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geoffg\Documents\FBTC_Projects\Vesta2\"/>
    </mc:Choice>
  </mc:AlternateContent>
  <workbookProtection workbookAlgorithmName="SHA-512" workbookHashValue="Qp2RY8gg4D0AnKMPHHi9sRYgcvgyt8UajITadANOxCFLuutfrqQ9XcNmvnH0BW9mB3mz6XsdUpQuLrDXI4r9Bw==" workbookSaltValue="cMubPXPKaMYy0lTvKKFuoA==" workbookSpinCount="100000" lockStructure="1"/>
  <bookViews>
    <workbookView xWindow="-120" yWindow="-120" windowWidth="29040" windowHeight="15840" tabRatio="724" activeTab="3"/>
  </bookViews>
  <sheets>
    <sheet name="Version" sheetId="17" r:id="rId1"/>
    <sheet name="RHcount" sheetId="16" state="hidden" r:id="rId2"/>
    <sheet name="Instructions" sheetId="1" r:id="rId3"/>
    <sheet name="Weather_Site" sheetId="2" r:id="rId4"/>
    <sheet name="Forest(McArthur)" sheetId="3" r:id="rId5"/>
    <sheet name="DryForest(VESTA)" sheetId="30" r:id="rId6"/>
    <sheet name="Forest(VESTA)" sheetId="8" r:id="rId7"/>
    <sheet name="VESTA Mk2 Dry" sheetId="31" r:id="rId8"/>
    <sheet name="VESTA Mk2 Wet" sheetId="32" r:id="rId9"/>
    <sheet name="Grass" sheetId="4" r:id="rId10"/>
    <sheet name="Spinifex" sheetId="28" r:id="rId11"/>
    <sheet name="Heath" sheetId="5" r:id="rId12"/>
    <sheet name="Mallee-Heath" sheetId="25" r:id="rId13"/>
    <sheet name="Buttongrass" sheetId="6" r:id="rId14"/>
    <sheet name="Pine" sheetId="7" r:id="rId15"/>
    <sheet name="RedBook" sheetId="19" r:id="rId16"/>
    <sheet name="WA Mallee" sheetId="12" r:id="rId17"/>
    <sheet name="Custom" sheetId="9" r:id="rId18"/>
    <sheet name="Suppression" sheetId="27" r:id="rId19"/>
    <sheet name="Slope_Calcs" sheetId="10" r:id="rId20"/>
    <sheet name="RH_DewPt" sheetId="11" r:id="rId21"/>
    <sheet name="Grid_Convert" sheetId="15" r:id="rId22"/>
    <sheet name="Phoenix" sheetId="14" r:id="rId23"/>
    <sheet name="WindFactors" sheetId="21" r:id="rId24"/>
    <sheet name="FuelTypes_Vic" sheetId="20" r:id="rId25"/>
    <sheet name="FuelTypes_NSW" sheetId="29" r:id="rId26"/>
    <sheet name="Lists" sheetId="24" state="hidden" r:id="rId27"/>
  </sheets>
  <definedNames>
    <definedName name="Fuel_Classes">Spinifex!$AA$2:$AA$8</definedName>
    <definedName name="FuelClasses" localSheetId="10">Spinifex!$AA$2:$AA$8</definedName>
    <definedName name="true_False">Lists!$A$2:$A$3</definedName>
    <definedName name="Use_BOM_DF">'Forest(McArthur)'!$J$5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79" i="31" l="1"/>
  <c r="H178" i="31"/>
  <c r="H177" i="31"/>
  <c r="H176" i="31"/>
  <c r="H175" i="31"/>
  <c r="H174" i="31"/>
  <c r="H173" i="31"/>
  <c r="H172" i="31"/>
  <c r="H171" i="31"/>
  <c r="H170" i="31"/>
  <c r="H169" i="31"/>
  <c r="H168" i="31"/>
  <c r="S168" i="31" s="1"/>
  <c r="H167" i="31"/>
  <c r="H166" i="31"/>
  <c r="H165" i="31"/>
  <c r="H164" i="31"/>
  <c r="H163" i="31"/>
  <c r="H162" i="31"/>
  <c r="H161" i="31"/>
  <c r="H160" i="31"/>
  <c r="H159" i="31"/>
  <c r="H158" i="31"/>
  <c r="H157" i="31"/>
  <c r="H156" i="31"/>
  <c r="S156" i="31" s="1"/>
  <c r="H155" i="31"/>
  <c r="H154" i="31"/>
  <c r="H153" i="31"/>
  <c r="H152" i="31"/>
  <c r="H151" i="31"/>
  <c r="H150" i="31"/>
  <c r="H149" i="31"/>
  <c r="H148" i="31"/>
  <c r="H147" i="31"/>
  <c r="H146" i="31"/>
  <c r="H145" i="31"/>
  <c r="H144" i="31"/>
  <c r="S144" i="31" s="1"/>
  <c r="H143" i="31"/>
  <c r="H142" i="31"/>
  <c r="H141" i="31"/>
  <c r="H140" i="31"/>
  <c r="H139" i="31"/>
  <c r="H138" i="31"/>
  <c r="H137" i="31"/>
  <c r="H136" i="31"/>
  <c r="H135" i="31"/>
  <c r="H134" i="31"/>
  <c r="H133" i="31"/>
  <c r="H132" i="31"/>
  <c r="S132" i="31" s="1"/>
  <c r="H131" i="31"/>
  <c r="H130" i="31"/>
  <c r="H129" i="31"/>
  <c r="H128" i="31"/>
  <c r="H127" i="31"/>
  <c r="H126" i="31"/>
  <c r="H125" i="31"/>
  <c r="H124" i="31"/>
  <c r="H123" i="31"/>
  <c r="H122" i="31"/>
  <c r="H121" i="31"/>
  <c r="H120" i="31"/>
  <c r="S120" i="31" s="1"/>
  <c r="H119" i="31"/>
  <c r="H118" i="31"/>
  <c r="H117" i="31"/>
  <c r="H116" i="31"/>
  <c r="H115" i="31"/>
  <c r="H114" i="31"/>
  <c r="H113" i="31"/>
  <c r="H112" i="31"/>
  <c r="H111" i="31"/>
  <c r="H110" i="31"/>
  <c r="H109" i="31"/>
  <c r="S109" i="31" s="1"/>
  <c r="H108" i="31"/>
  <c r="S108" i="31" s="1"/>
  <c r="H107" i="31"/>
  <c r="H106" i="31"/>
  <c r="H105" i="31"/>
  <c r="H104" i="31"/>
  <c r="H103" i="31"/>
  <c r="H102" i="31"/>
  <c r="H101" i="31"/>
  <c r="H100" i="31"/>
  <c r="H99" i="31"/>
  <c r="H98" i="31"/>
  <c r="H97" i="31"/>
  <c r="S97" i="31" s="1"/>
  <c r="H96" i="31"/>
  <c r="S96" i="31" s="1"/>
  <c r="H95" i="31"/>
  <c r="H94" i="31"/>
  <c r="H93" i="31"/>
  <c r="H92" i="31"/>
  <c r="H91" i="31"/>
  <c r="H90" i="31"/>
  <c r="H89" i="31"/>
  <c r="H88" i="31"/>
  <c r="H87" i="31"/>
  <c r="H86" i="31"/>
  <c r="H85" i="31"/>
  <c r="H84" i="31"/>
  <c r="S84" i="31" s="1"/>
  <c r="H83" i="31"/>
  <c r="H82" i="31"/>
  <c r="H81" i="31"/>
  <c r="H80" i="31"/>
  <c r="H79" i="31"/>
  <c r="H78" i="31"/>
  <c r="H77" i="31"/>
  <c r="H76" i="31"/>
  <c r="H75" i="31"/>
  <c r="H74" i="31"/>
  <c r="H73" i="31"/>
  <c r="S73" i="31" s="1"/>
  <c r="H72" i="31"/>
  <c r="S72" i="31" s="1"/>
  <c r="H71" i="31"/>
  <c r="H70" i="31"/>
  <c r="H69" i="31"/>
  <c r="H68" i="31"/>
  <c r="H67" i="31"/>
  <c r="H66" i="31"/>
  <c r="H65" i="31"/>
  <c r="H64" i="31"/>
  <c r="H63" i="31"/>
  <c r="H62" i="31"/>
  <c r="H61" i="31"/>
  <c r="S61" i="31" s="1"/>
  <c r="H60" i="31"/>
  <c r="S60" i="31" s="1"/>
  <c r="H59" i="31"/>
  <c r="H58" i="31"/>
  <c r="H57" i="31"/>
  <c r="H56" i="31"/>
  <c r="H55" i="31"/>
  <c r="H54" i="31"/>
  <c r="H53" i="31"/>
  <c r="H52" i="31"/>
  <c r="H51" i="31"/>
  <c r="H50" i="31"/>
  <c r="H49" i="31"/>
  <c r="S49" i="31" s="1"/>
  <c r="H48" i="31"/>
  <c r="S48" i="31" s="1"/>
  <c r="H47" i="31"/>
  <c r="H46" i="31"/>
  <c r="H45" i="31"/>
  <c r="H44" i="31"/>
  <c r="H43" i="31"/>
  <c r="H42" i="31"/>
  <c r="H41" i="31"/>
  <c r="H40" i="31"/>
  <c r="H39" i="31"/>
  <c r="H38" i="31"/>
  <c r="H37" i="31"/>
  <c r="S37" i="31" s="1"/>
  <c r="H36" i="31"/>
  <c r="S36" i="31" s="1"/>
  <c r="H35" i="31"/>
  <c r="H34" i="31"/>
  <c r="H33" i="31"/>
  <c r="H32" i="31"/>
  <c r="H31" i="31"/>
  <c r="H30" i="31"/>
  <c r="H29" i="31"/>
  <c r="H28" i="31"/>
  <c r="H27" i="31"/>
  <c r="H26" i="31"/>
  <c r="H25" i="31"/>
  <c r="S25" i="31" s="1"/>
  <c r="H24" i="31"/>
  <c r="S24" i="31" s="1"/>
  <c r="H23" i="31"/>
  <c r="H22" i="31"/>
  <c r="H21" i="31"/>
  <c r="H20" i="31"/>
  <c r="H19" i="31"/>
  <c r="J15" i="31"/>
  <c r="P15" i="31"/>
  <c r="Q15" i="31" s="1"/>
  <c r="S15" i="31"/>
  <c r="J16" i="31"/>
  <c r="P16" i="31"/>
  <c r="Q16" i="31" s="1"/>
  <c r="S16" i="31"/>
  <c r="J17" i="31"/>
  <c r="P17" i="31"/>
  <c r="Q17" i="31" s="1"/>
  <c r="S17" i="31"/>
  <c r="J18" i="31"/>
  <c r="P18" i="31"/>
  <c r="Q18" i="31" s="1"/>
  <c r="S18" i="31"/>
  <c r="J19" i="31"/>
  <c r="P19" i="31"/>
  <c r="Q19" i="31" s="1"/>
  <c r="S19" i="31"/>
  <c r="J20" i="31"/>
  <c r="P20" i="31"/>
  <c r="Q20" i="31" s="1"/>
  <c r="S20" i="31"/>
  <c r="J21" i="31"/>
  <c r="P21" i="31"/>
  <c r="Q21" i="31" s="1"/>
  <c r="S21" i="31"/>
  <c r="J22" i="31"/>
  <c r="P22" i="31"/>
  <c r="Q22" i="31" s="1"/>
  <c r="S22" i="31"/>
  <c r="J23" i="31"/>
  <c r="P23" i="31"/>
  <c r="Q23" i="31" s="1"/>
  <c r="S23" i="31"/>
  <c r="J24" i="31"/>
  <c r="P24" i="31"/>
  <c r="Q24" i="31" s="1"/>
  <c r="J25" i="31"/>
  <c r="P25" i="31"/>
  <c r="Q25" i="31" s="1"/>
  <c r="J26" i="31"/>
  <c r="P26" i="31"/>
  <c r="Q26" i="31" s="1"/>
  <c r="S26" i="31"/>
  <c r="J27" i="31"/>
  <c r="P27" i="31"/>
  <c r="Q27" i="31" s="1"/>
  <c r="S27" i="31"/>
  <c r="J28" i="31"/>
  <c r="P28" i="31"/>
  <c r="Q28" i="31" s="1"/>
  <c r="S28" i="31"/>
  <c r="J29" i="31"/>
  <c r="P29" i="31"/>
  <c r="Q29" i="31" s="1"/>
  <c r="S29" i="31"/>
  <c r="J30" i="31"/>
  <c r="P30" i="31"/>
  <c r="Q30" i="31" s="1"/>
  <c r="S30" i="31"/>
  <c r="J31" i="31"/>
  <c r="P31" i="31"/>
  <c r="Q31" i="31" s="1"/>
  <c r="S31" i="31"/>
  <c r="J32" i="31"/>
  <c r="P32" i="31"/>
  <c r="Q32" i="31" s="1"/>
  <c r="S32" i="31"/>
  <c r="J33" i="31"/>
  <c r="P33" i="31"/>
  <c r="Q33" i="31" s="1"/>
  <c r="S33" i="31"/>
  <c r="J34" i="31"/>
  <c r="P34" i="31"/>
  <c r="Q34" i="31" s="1"/>
  <c r="S34" i="31"/>
  <c r="J35" i="31"/>
  <c r="P35" i="31"/>
  <c r="Q35" i="31" s="1"/>
  <c r="S35" i="31"/>
  <c r="J36" i="31"/>
  <c r="P36" i="31"/>
  <c r="Q36" i="31" s="1"/>
  <c r="J37" i="31"/>
  <c r="P37" i="31"/>
  <c r="Q37" i="31" s="1"/>
  <c r="J38" i="31"/>
  <c r="P38" i="31"/>
  <c r="Q38" i="31" s="1"/>
  <c r="S38" i="31"/>
  <c r="J39" i="31"/>
  <c r="P39" i="31"/>
  <c r="Q39" i="31" s="1"/>
  <c r="S39" i="31"/>
  <c r="J40" i="31"/>
  <c r="P40" i="31"/>
  <c r="Q40" i="31" s="1"/>
  <c r="S40" i="31"/>
  <c r="J41" i="31"/>
  <c r="P41" i="31"/>
  <c r="Q41" i="31" s="1"/>
  <c r="S41" i="31"/>
  <c r="J42" i="31"/>
  <c r="P42" i="31"/>
  <c r="Q42" i="31" s="1"/>
  <c r="S42" i="31"/>
  <c r="J43" i="31"/>
  <c r="P43" i="31"/>
  <c r="Q43" i="31" s="1"/>
  <c r="S43" i="31"/>
  <c r="J44" i="31"/>
  <c r="P44" i="31"/>
  <c r="Q44" i="31" s="1"/>
  <c r="S44" i="31"/>
  <c r="J45" i="31"/>
  <c r="P45" i="31"/>
  <c r="Q45" i="31" s="1"/>
  <c r="S45" i="31"/>
  <c r="J46" i="31"/>
  <c r="P46" i="31"/>
  <c r="Q46" i="31" s="1"/>
  <c r="S46" i="31"/>
  <c r="J47" i="31"/>
  <c r="P47" i="31"/>
  <c r="Q47" i="31" s="1"/>
  <c r="S47" i="31"/>
  <c r="J48" i="31"/>
  <c r="P48" i="31"/>
  <c r="Q48" i="31" s="1"/>
  <c r="J49" i="31"/>
  <c r="P49" i="31"/>
  <c r="Q49" i="31" s="1"/>
  <c r="J50" i="31"/>
  <c r="P50" i="31"/>
  <c r="Q50" i="31" s="1"/>
  <c r="S50" i="31"/>
  <c r="J51" i="31"/>
  <c r="P51" i="31"/>
  <c r="Q51" i="31" s="1"/>
  <c r="S51" i="31"/>
  <c r="J52" i="31"/>
  <c r="P52" i="31"/>
  <c r="Q52" i="31" s="1"/>
  <c r="S52" i="31"/>
  <c r="J53" i="31"/>
  <c r="P53" i="31"/>
  <c r="Q53" i="31" s="1"/>
  <c r="S53" i="31"/>
  <c r="J54" i="31"/>
  <c r="P54" i="31"/>
  <c r="Q54" i="31" s="1"/>
  <c r="S54" i="31"/>
  <c r="J55" i="31"/>
  <c r="P55" i="31"/>
  <c r="Q55" i="31" s="1"/>
  <c r="S55" i="31"/>
  <c r="J56" i="31"/>
  <c r="P56" i="31"/>
  <c r="Q56" i="31" s="1"/>
  <c r="S56" i="31"/>
  <c r="J57" i="31"/>
  <c r="P57" i="31"/>
  <c r="Q57" i="31" s="1"/>
  <c r="S57" i="31"/>
  <c r="J58" i="31"/>
  <c r="P58" i="31"/>
  <c r="Q58" i="31" s="1"/>
  <c r="S58" i="31"/>
  <c r="J59" i="31"/>
  <c r="P59" i="31"/>
  <c r="Q59" i="31" s="1"/>
  <c r="S59" i="31"/>
  <c r="J60" i="31"/>
  <c r="P60" i="31"/>
  <c r="Q60" i="31" s="1"/>
  <c r="J61" i="31"/>
  <c r="P61" i="31"/>
  <c r="Q61" i="31" s="1"/>
  <c r="J62" i="31"/>
  <c r="P62" i="31"/>
  <c r="Q62" i="31" s="1"/>
  <c r="S62" i="31"/>
  <c r="J63" i="31"/>
  <c r="P63" i="31"/>
  <c r="Q63" i="31" s="1"/>
  <c r="S63" i="31"/>
  <c r="J64" i="31"/>
  <c r="P64" i="31"/>
  <c r="Q64" i="31" s="1"/>
  <c r="S64" i="31"/>
  <c r="J65" i="31"/>
  <c r="P65" i="31"/>
  <c r="Q65" i="31" s="1"/>
  <c r="S65" i="31"/>
  <c r="J66" i="31"/>
  <c r="P66" i="31"/>
  <c r="Q66" i="31"/>
  <c r="S66" i="31"/>
  <c r="J67" i="31"/>
  <c r="P67" i="31"/>
  <c r="Q67" i="31" s="1"/>
  <c r="S67" i="31"/>
  <c r="J68" i="31"/>
  <c r="P68" i="31"/>
  <c r="Q68" i="31" s="1"/>
  <c r="S68" i="31"/>
  <c r="J69" i="31"/>
  <c r="P69" i="31"/>
  <c r="Q69" i="31"/>
  <c r="S69" i="31"/>
  <c r="J70" i="31"/>
  <c r="P70" i="31"/>
  <c r="Q70" i="31" s="1"/>
  <c r="S70" i="31"/>
  <c r="J71" i="31"/>
  <c r="P71" i="31"/>
  <c r="Q71" i="31" s="1"/>
  <c r="S71" i="31"/>
  <c r="J72" i="31"/>
  <c r="P72" i="31"/>
  <c r="Q72" i="31"/>
  <c r="J73" i="31"/>
  <c r="P73" i="31"/>
  <c r="Q73" i="31" s="1"/>
  <c r="J74" i="31"/>
  <c r="P74" i="31"/>
  <c r="Q74" i="31" s="1"/>
  <c r="S74" i="31"/>
  <c r="J75" i="31"/>
  <c r="P75" i="31"/>
  <c r="Q75" i="31"/>
  <c r="S75" i="31"/>
  <c r="J76" i="31"/>
  <c r="P76" i="31"/>
  <c r="Q76" i="31" s="1"/>
  <c r="S76" i="31"/>
  <c r="J77" i="31"/>
  <c r="M77" i="31"/>
  <c r="P77" i="31"/>
  <c r="Q77" i="31" s="1"/>
  <c r="S77" i="31"/>
  <c r="J78" i="31"/>
  <c r="P78" i="31"/>
  <c r="Q78" i="31"/>
  <c r="S78" i="31"/>
  <c r="J79" i="31"/>
  <c r="P79" i="31"/>
  <c r="Q79" i="31" s="1"/>
  <c r="S79" i="31"/>
  <c r="J80" i="31"/>
  <c r="P80" i="31"/>
  <c r="Q80" i="31" s="1"/>
  <c r="S80" i="31"/>
  <c r="J81" i="31"/>
  <c r="P81" i="31"/>
  <c r="Q81" i="31"/>
  <c r="S81" i="31"/>
  <c r="J82" i="31"/>
  <c r="P82" i="31"/>
  <c r="Q82" i="31" s="1"/>
  <c r="S82" i="31"/>
  <c r="J83" i="31"/>
  <c r="P83" i="31"/>
  <c r="Q83" i="31" s="1"/>
  <c r="S83" i="31"/>
  <c r="J84" i="31"/>
  <c r="P84" i="31"/>
  <c r="Q84" i="31"/>
  <c r="J85" i="31"/>
  <c r="P85" i="31"/>
  <c r="Q85" i="31" s="1"/>
  <c r="S85" i="31"/>
  <c r="J86" i="31"/>
  <c r="P86" i="31"/>
  <c r="Q86" i="31" s="1"/>
  <c r="S86" i="31"/>
  <c r="J87" i="31"/>
  <c r="P87" i="31"/>
  <c r="Q87" i="31" s="1"/>
  <c r="S87" i="31"/>
  <c r="J88" i="31"/>
  <c r="P88" i="31"/>
  <c r="Q88" i="31" s="1"/>
  <c r="S88" i="31"/>
  <c r="J89" i="31"/>
  <c r="P89" i="31"/>
  <c r="Q89" i="31" s="1"/>
  <c r="S89" i="31"/>
  <c r="J90" i="31"/>
  <c r="P90" i="31"/>
  <c r="Q90" i="31" s="1"/>
  <c r="S90" i="31"/>
  <c r="J91" i="31"/>
  <c r="P91" i="31"/>
  <c r="Q91" i="31" s="1"/>
  <c r="S91" i="31"/>
  <c r="J92" i="31"/>
  <c r="P92" i="31"/>
  <c r="Q92" i="31" s="1"/>
  <c r="S92" i="31"/>
  <c r="J93" i="31"/>
  <c r="P93" i="31"/>
  <c r="Q93" i="31"/>
  <c r="S93" i="31"/>
  <c r="J94" i="31"/>
  <c r="P94" i="31"/>
  <c r="Q94" i="31" s="1"/>
  <c r="S94" i="31"/>
  <c r="J95" i="31"/>
  <c r="P95" i="31"/>
  <c r="Q95" i="31" s="1"/>
  <c r="S95" i="31"/>
  <c r="J96" i="31"/>
  <c r="P96" i="31"/>
  <c r="Q96" i="31" s="1"/>
  <c r="J97" i="31"/>
  <c r="P97" i="31"/>
  <c r="Q97" i="31" s="1"/>
  <c r="J98" i="31"/>
  <c r="P98" i="31"/>
  <c r="Q98" i="31" s="1"/>
  <c r="S98" i="31"/>
  <c r="J99" i="31"/>
  <c r="P99" i="31"/>
  <c r="Q99" i="31" s="1"/>
  <c r="S99" i="31"/>
  <c r="J100" i="31"/>
  <c r="P100" i="31"/>
  <c r="Q100" i="31" s="1"/>
  <c r="S100" i="31"/>
  <c r="J101" i="31"/>
  <c r="P101" i="31"/>
  <c r="Q101" i="31" s="1"/>
  <c r="S101" i="31"/>
  <c r="J102" i="31"/>
  <c r="P102" i="31"/>
  <c r="Q102" i="31"/>
  <c r="S102" i="31"/>
  <c r="J103" i="31"/>
  <c r="P103" i="31"/>
  <c r="Q103" i="31" s="1"/>
  <c r="S103" i="31"/>
  <c r="J104" i="31"/>
  <c r="P104" i="31"/>
  <c r="Q104" i="31" s="1"/>
  <c r="S104" i="31"/>
  <c r="J105" i="31"/>
  <c r="P105" i="31"/>
  <c r="Q105" i="31"/>
  <c r="S105" i="31"/>
  <c r="J106" i="31"/>
  <c r="P106" i="31"/>
  <c r="Q106" i="31" s="1"/>
  <c r="S106" i="31"/>
  <c r="J107" i="31"/>
  <c r="P107" i="31"/>
  <c r="Q107" i="31" s="1"/>
  <c r="S107" i="31"/>
  <c r="J108" i="31"/>
  <c r="P108" i="31"/>
  <c r="Q108" i="31"/>
  <c r="J109" i="31"/>
  <c r="P109" i="31"/>
  <c r="Q109" i="31" s="1"/>
  <c r="J110" i="31"/>
  <c r="P110" i="31"/>
  <c r="Q110" i="31" s="1"/>
  <c r="S110" i="31"/>
  <c r="J111" i="31"/>
  <c r="P111" i="31"/>
  <c r="Q111" i="31"/>
  <c r="S111" i="31"/>
  <c r="J112" i="31"/>
  <c r="P112" i="31"/>
  <c r="Q112" i="31" s="1"/>
  <c r="S112" i="31"/>
  <c r="J113" i="31"/>
  <c r="P113" i="31"/>
  <c r="Q113" i="31" s="1"/>
  <c r="S113" i="31"/>
  <c r="J114" i="31"/>
  <c r="P114" i="31"/>
  <c r="Q114" i="31"/>
  <c r="S114" i="31"/>
  <c r="J115" i="31"/>
  <c r="P115" i="31"/>
  <c r="Q115" i="31" s="1"/>
  <c r="S115" i="31"/>
  <c r="J116" i="31"/>
  <c r="P116" i="31"/>
  <c r="Q116" i="31" s="1"/>
  <c r="S116" i="31"/>
  <c r="J117" i="31"/>
  <c r="P117" i="31"/>
  <c r="Q117" i="31"/>
  <c r="S117" i="31"/>
  <c r="J118" i="31"/>
  <c r="P118" i="31"/>
  <c r="Q118" i="31" s="1"/>
  <c r="S118" i="31"/>
  <c r="J119" i="31"/>
  <c r="P119" i="31"/>
  <c r="Q119" i="31" s="1"/>
  <c r="S119" i="31"/>
  <c r="J120" i="31"/>
  <c r="P120" i="31"/>
  <c r="Q120" i="31"/>
  <c r="J121" i="31"/>
  <c r="P121" i="31"/>
  <c r="Q121" i="31" s="1"/>
  <c r="S121" i="31"/>
  <c r="J122" i="31"/>
  <c r="P122" i="31"/>
  <c r="Q122" i="31" s="1"/>
  <c r="S122" i="31"/>
  <c r="J123" i="31"/>
  <c r="P123" i="31"/>
  <c r="Q123" i="31"/>
  <c r="S123" i="31"/>
  <c r="J124" i="31"/>
  <c r="P124" i="31"/>
  <c r="Q124" i="31" s="1"/>
  <c r="S124" i="31"/>
  <c r="J125" i="31"/>
  <c r="P125" i="31"/>
  <c r="Q125" i="31" s="1"/>
  <c r="S125" i="31"/>
  <c r="J126" i="31"/>
  <c r="P126" i="31"/>
  <c r="Q126" i="31" s="1"/>
  <c r="S126" i="31"/>
  <c r="J127" i="31"/>
  <c r="P127" i="31"/>
  <c r="Q127" i="31" s="1"/>
  <c r="S127" i="31"/>
  <c r="J128" i="31"/>
  <c r="P128" i="31"/>
  <c r="Q128" i="31"/>
  <c r="S128" i="31"/>
  <c r="J129" i="31"/>
  <c r="P129" i="31"/>
  <c r="Q129" i="31" s="1"/>
  <c r="S129" i="31"/>
  <c r="J130" i="31"/>
  <c r="P130" i="31"/>
  <c r="Q130" i="31" s="1"/>
  <c r="S130" i="31"/>
  <c r="J131" i="31"/>
  <c r="K131" i="31"/>
  <c r="P131" i="31"/>
  <c r="Q131" i="31"/>
  <c r="S131" i="31"/>
  <c r="J132" i="31"/>
  <c r="P132" i="31"/>
  <c r="Q132" i="31"/>
  <c r="J133" i="31"/>
  <c r="P133" i="31"/>
  <c r="Q133" i="31" s="1"/>
  <c r="S133" i="31"/>
  <c r="J134" i="31"/>
  <c r="P134" i="31"/>
  <c r="Q134" i="31" s="1"/>
  <c r="S134" i="31"/>
  <c r="J135" i="31"/>
  <c r="P135" i="31"/>
  <c r="Q135" i="31"/>
  <c r="S135" i="31"/>
  <c r="J136" i="31"/>
  <c r="P136" i="31"/>
  <c r="Q136" i="31" s="1"/>
  <c r="S136" i="31"/>
  <c r="J137" i="31"/>
  <c r="P137" i="31"/>
  <c r="Q137" i="31" s="1"/>
  <c r="S137" i="31"/>
  <c r="J138" i="31"/>
  <c r="P138" i="31"/>
  <c r="Q138" i="31"/>
  <c r="S138" i="31"/>
  <c r="J139" i="31"/>
  <c r="K139" i="31"/>
  <c r="P139" i="31"/>
  <c r="Q139" i="31" s="1"/>
  <c r="S139" i="31"/>
  <c r="J140" i="31"/>
  <c r="P140" i="31"/>
  <c r="Q140" i="31" s="1"/>
  <c r="S140" i="31"/>
  <c r="J141" i="31"/>
  <c r="P141" i="31"/>
  <c r="Q141" i="31"/>
  <c r="S141" i="31"/>
  <c r="J142" i="31"/>
  <c r="P142" i="31"/>
  <c r="Q142" i="31" s="1"/>
  <c r="S142" i="31"/>
  <c r="J143" i="31"/>
  <c r="P143" i="31"/>
  <c r="Q143" i="31" s="1"/>
  <c r="S143" i="31"/>
  <c r="J144" i="31"/>
  <c r="P144" i="31"/>
  <c r="Q144" i="31"/>
  <c r="J145" i="31"/>
  <c r="P145" i="31"/>
  <c r="Q145" i="31" s="1"/>
  <c r="S145" i="31"/>
  <c r="J146" i="31"/>
  <c r="P146" i="31"/>
  <c r="Q146" i="31" s="1"/>
  <c r="S146" i="31"/>
  <c r="J147" i="31"/>
  <c r="P147" i="31"/>
  <c r="Q147" i="31"/>
  <c r="S147" i="31"/>
  <c r="J148" i="31"/>
  <c r="P148" i="31"/>
  <c r="Q148" i="31" s="1"/>
  <c r="S148" i="31"/>
  <c r="J149" i="31"/>
  <c r="P149" i="31"/>
  <c r="Q149" i="31" s="1"/>
  <c r="S149" i="31"/>
  <c r="J150" i="31"/>
  <c r="P150" i="31"/>
  <c r="Q150" i="31"/>
  <c r="S150" i="31"/>
  <c r="J151" i="31"/>
  <c r="K151" i="31"/>
  <c r="P151" i="31"/>
  <c r="Q151" i="31" s="1"/>
  <c r="S151" i="31"/>
  <c r="J152" i="31"/>
  <c r="P152" i="31"/>
  <c r="Q152" i="31" s="1"/>
  <c r="S152" i="31"/>
  <c r="J153" i="31"/>
  <c r="P153" i="31"/>
  <c r="Q153" i="31"/>
  <c r="S153" i="31"/>
  <c r="J154" i="31"/>
  <c r="P154" i="31"/>
  <c r="Q154" i="31" s="1"/>
  <c r="S154" i="31"/>
  <c r="J155" i="31"/>
  <c r="P155" i="31"/>
  <c r="Q155" i="31" s="1"/>
  <c r="S155" i="31"/>
  <c r="J156" i="31"/>
  <c r="P156" i="31"/>
  <c r="Q156" i="31"/>
  <c r="J157" i="31"/>
  <c r="P157" i="31"/>
  <c r="Q157" i="31" s="1"/>
  <c r="S157" i="31"/>
  <c r="J158" i="31"/>
  <c r="P158" i="31"/>
  <c r="Q158" i="31" s="1"/>
  <c r="S158" i="31"/>
  <c r="J159" i="31"/>
  <c r="P159" i="31"/>
  <c r="Q159" i="31"/>
  <c r="S159" i="31"/>
  <c r="J160" i="31"/>
  <c r="P160" i="31"/>
  <c r="Q160" i="31" s="1"/>
  <c r="S160" i="31"/>
  <c r="J161" i="31"/>
  <c r="K161" i="31"/>
  <c r="P161" i="31"/>
  <c r="Q161" i="31" s="1"/>
  <c r="S161" i="31"/>
  <c r="J162" i="31"/>
  <c r="P162" i="31"/>
  <c r="Q162" i="31"/>
  <c r="S162" i="31"/>
  <c r="J163" i="31"/>
  <c r="P163" i="31"/>
  <c r="Q163" i="31" s="1"/>
  <c r="S163" i="31"/>
  <c r="J164" i="31"/>
  <c r="K164" i="31"/>
  <c r="P164" i="31"/>
  <c r="Q164" i="31" s="1"/>
  <c r="S164" i="31"/>
  <c r="J165" i="31"/>
  <c r="P165" i="31"/>
  <c r="Q165" i="31"/>
  <c r="S165" i="31"/>
  <c r="J166" i="31"/>
  <c r="P166" i="31"/>
  <c r="Q166" i="31" s="1"/>
  <c r="S166" i="31"/>
  <c r="J167" i="31"/>
  <c r="P167" i="31"/>
  <c r="Q167" i="31" s="1"/>
  <c r="S167" i="31"/>
  <c r="J168" i="31"/>
  <c r="P168" i="31"/>
  <c r="Q168" i="31"/>
  <c r="J169" i="31"/>
  <c r="P169" i="31"/>
  <c r="Q169" i="31" s="1"/>
  <c r="S169" i="31"/>
  <c r="J170" i="31"/>
  <c r="P170" i="31"/>
  <c r="Q170" i="31" s="1"/>
  <c r="S170" i="31"/>
  <c r="J171" i="31"/>
  <c r="L171" i="31"/>
  <c r="P171" i="31"/>
  <c r="Q171" i="31"/>
  <c r="S171" i="31"/>
  <c r="J172" i="31"/>
  <c r="K172" i="31"/>
  <c r="P172" i="31"/>
  <c r="Q172" i="31" s="1"/>
  <c r="S172" i="31"/>
  <c r="J173" i="31"/>
  <c r="K173" i="31"/>
  <c r="P173" i="31"/>
  <c r="Q173" i="31" s="1"/>
  <c r="S173" i="31"/>
  <c r="J174" i="31"/>
  <c r="P174" i="31"/>
  <c r="Q174" i="31"/>
  <c r="S174" i="31"/>
  <c r="J175" i="31"/>
  <c r="P175" i="31"/>
  <c r="Q175" i="31" s="1"/>
  <c r="S175" i="31"/>
  <c r="J176" i="31"/>
  <c r="M176" i="31"/>
  <c r="P176" i="31"/>
  <c r="Q176" i="31" s="1"/>
  <c r="S176" i="31"/>
  <c r="J177" i="31"/>
  <c r="P177" i="31"/>
  <c r="Q177" i="31" s="1"/>
  <c r="S177" i="31"/>
  <c r="J178" i="31"/>
  <c r="P178" i="31"/>
  <c r="Q178" i="31" s="1"/>
  <c r="S178" i="31"/>
  <c r="J179" i="31"/>
  <c r="P179" i="31"/>
  <c r="Q179" i="31" s="1"/>
  <c r="S179" i="31"/>
  <c r="A15" i="31"/>
  <c r="B15" i="31"/>
  <c r="C15" i="31"/>
  <c r="D15" i="31"/>
  <c r="E15" i="31"/>
  <c r="F15" i="31"/>
  <c r="G15" i="31"/>
  <c r="A16" i="31"/>
  <c r="B16" i="31"/>
  <c r="C16" i="31"/>
  <c r="D16" i="31"/>
  <c r="E16" i="31"/>
  <c r="F16" i="31"/>
  <c r="G16" i="31"/>
  <c r="A17" i="31"/>
  <c r="B17" i="31"/>
  <c r="C17" i="31"/>
  <c r="D17" i="31"/>
  <c r="E17" i="31"/>
  <c r="F17" i="31"/>
  <c r="G17" i="31"/>
  <c r="A18" i="31"/>
  <c r="B18" i="31"/>
  <c r="C18" i="31"/>
  <c r="D18" i="31"/>
  <c r="E18" i="31"/>
  <c r="F18" i="31"/>
  <c r="G18" i="31"/>
  <c r="A19" i="31"/>
  <c r="B19" i="31"/>
  <c r="C19" i="31"/>
  <c r="D19" i="31"/>
  <c r="E19" i="31"/>
  <c r="F19" i="31"/>
  <c r="G19" i="31"/>
  <c r="A20" i="31"/>
  <c r="B20" i="31"/>
  <c r="C20" i="31"/>
  <c r="D20" i="31"/>
  <c r="E20" i="31"/>
  <c r="F20" i="31"/>
  <c r="G20" i="31"/>
  <c r="A21" i="31"/>
  <c r="B21" i="31"/>
  <c r="C21" i="31"/>
  <c r="D21" i="31"/>
  <c r="E21" i="31"/>
  <c r="F21" i="31"/>
  <c r="G21" i="31"/>
  <c r="A22" i="31"/>
  <c r="B22" i="31"/>
  <c r="C22" i="31"/>
  <c r="D22" i="31"/>
  <c r="E22" i="31"/>
  <c r="F22" i="31"/>
  <c r="G22" i="31"/>
  <c r="A23" i="31"/>
  <c r="B23" i="31"/>
  <c r="C23" i="31"/>
  <c r="D23" i="31"/>
  <c r="E23" i="31"/>
  <c r="F23" i="31"/>
  <c r="G23" i="31"/>
  <c r="A24" i="31"/>
  <c r="B24" i="31"/>
  <c r="C24" i="31"/>
  <c r="D24" i="31"/>
  <c r="E24" i="31"/>
  <c r="F24" i="31"/>
  <c r="G24" i="31"/>
  <c r="A25" i="31"/>
  <c r="B25" i="31"/>
  <c r="C25" i="31"/>
  <c r="D25" i="31"/>
  <c r="E25" i="31"/>
  <c r="F25" i="31"/>
  <c r="G25" i="31"/>
  <c r="A26" i="31"/>
  <c r="B26" i="31"/>
  <c r="C26" i="31"/>
  <c r="D26" i="31"/>
  <c r="E26" i="31"/>
  <c r="F26" i="31"/>
  <c r="G26" i="31"/>
  <c r="A27" i="31"/>
  <c r="B27" i="31"/>
  <c r="C27" i="31"/>
  <c r="D27" i="31"/>
  <c r="E27" i="31"/>
  <c r="F27" i="31"/>
  <c r="G27" i="31"/>
  <c r="A28" i="31"/>
  <c r="B28" i="31"/>
  <c r="C28" i="31"/>
  <c r="D28" i="31"/>
  <c r="E28" i="31"/>
  <c r="F28" i="31"/>
  <c r="G28" i="31"/>
  <c r="A29" i="31"/>
  <c r="B29" i="31"/>
  <c r="C29" i="31"/>
  <c r="D29" i="31"/>
  <c r="E29" i="31"/>
  <c r="F29" i="31"/>
  <c r="G29" i="31"/>
  <c r="A30" i="31"/>
  <c r="B30" i="31"/>
  <c r="C30" i="31"/>
  <c r="D30" i="31"/>
  <c r="E30" i="31"/>
  <c r="F30" i="31"/>
  <c r="G30" i="31"/>
  <c r="A31" i="31"/>
  <c r="B31" i="31"/>
  <c r="C31" i="31"/>
  <c r="D31" i="31"/>
  <c r="E31" i="31"/>
  <c r="F31" i="31"/>
  <c r="G31" i="31"/>
  <c r="A32" i="31"/>
  <c r="B32" i="31"/>
  <c r="C32" i="31"/>
  <c r="D32" i="31"/>
  <c r="E32" i="31"/>
  <c r="F32" i="31"/>
  <c r="G32" i="31"/>
  <c r="A33" i="31"/>
  <c r="B33" i="31"/>
  <c r="C33" i="31"/>
  <c r="D33" i="31"/>
  <c r="E33" i="31"/>
  <c r="F33" i="31"/>
  <c r="G33" i="31"/>
  <c r="A34" i="31"/>
  <c r="B34" i="31"/>
  <c r="C34" i="31"/>
  <c r="D34" i="31"/>
  <c r="E34" i="31"/>
  <c r="F34" i="31"/>
  <c r="G34" i="31"/>
  <c r="A35" i="31"/>
  <c r="B35" i="31"/>
  <c r="C35" i="31"/>
  <c r="D35" i="31"/>
  <c r="E35" i="31"/>
  <c r="F35" i="31"/>
  <c r="G35" i="31"/>
  <c r="A36" i="31"/>
  <c r="B36" i="31"/>
  <c r="C36" i="31"/>
  <c r="D36" i="31"/>
  <c r="E36" i="31"/>
  <c r="F36" i="31"/>
  <c r="G36" i="31"/>
  <c r="A37" i="31"/>
  <c r="B37" i="31"/>
  <c r="C37" i="31"/>
  <c r="D37" i="31"/>
  <c r="E37" i="31"/>
  <c r="F37" i="31"/>
  <c r="G37" i="31"/>
  <c r="A38" i="31"/>
  <c r="B38" i="31"/>
  <c r="C38" i="31"/>
  <c r="D38" i="31"/>
  <c r="E38" i="31"/>
  <c r="F38" i="31"/>
  <c r="G38" i="31"/>
  <c r="A39" i="31"/>
  <c r="B39" i="31"/>
  <c r="C39" i="31"/>
  <c r="D39" i="31"/>
  <c r="E39" i="31"/>
  <c r="F39" i="31"/>
  <c r="G39" i="31"/>
  <c r="A40" i="31"/>
  <c r="B40" i="31"/>
  <c r="C40" i="31"/>
  <c r="D40" i="31"/>
  <c r="E40" i="31"/>
  <c r="F40" i="31"/>
  <c r="G40" i="31"/>
  <c r="A41" i="31"/>
  <c r="B41" i="31"/>
  <c r="C41" i="31"/>
  <c r="D41" i="31"/>
  <c r="E41" i="31"/>
  <c r="F41" i="31"/>
  <c r="G41" i="31"/>
  <c r="A42" i="31"/>
  <c r="B42" i="31"/>
  <c r="C42" i="31"/>
  <c r="D42" i="31"/>
  <c r="E42" i="31"/>
  <c r="F42" i="31"/>
  <c r="G42" i="31"/>
  <c r="A43" i="31"/>
  <c r="B43" i="31"/>
  <c r="C43" i="31"/>
  <c r="D43" i="31"/>
  <c r="E43" i="31"/>
  <c r="F43" i="31"/>
  <c r="G43" i="31"/>
  <c r="A44" i="31"/>
  <c r="B44" i="31"/>
  <c r="C44" i="31"/>
  <c r="D44" i="31"/>
  <c r="E44" i="31"/>
  <c r="F44" i="31"/>
  <c r="G44" i="31"/>
  <c r="A45" i="31"/>
  <c r="B45" i="31"/>
  <c r="C45" i="31"/>
  <c r="D45" i="31"/>
  <c r="E45" i="31"/>
  <c r="F45" i="31"/>
  <c r="G45" i="31"/>
  <c r="A46" i="31"/>
  <c r="B46" i="31"/>
  <c r="C46" i="31"/>
  <c r="D46" i="31"/>
  <c r="E46" i="31"/>
  <c r="F46" i="31"/>
  <c r="G46" i="31"/>
  <c r="A47" i="31"/>
  <c r="B47" i="31"/>
  <c r="C47" i="31"/>
  <c r="D47" i="31"/>
  <c r="E47" i="31"/>
  <c r="F47" i="31"/>
  <c r="G47" i="31"/>
  <c r="A48" i="31"/>
  <c r="B48" i="31"/>
  <c r="C48" i="31"/>
  <c r="D48" i="31"/>
  <c r="E48" i="31"/>
  <c r="F48" i="31"/>
  <c r="G48" i="31"/>
  <c r="A49" i="31"/>
  <c r="B49" i="31"/>
  <c r="C49" i="31"/>
  <c r="D49" i="31"/>
  <c r="E49" i="31"/>
  <c r="F49" i="31"/>
  <c r="G49" i="31"/>
  <c r="A50" i="31"/>
  <c r="B50" i="31"/>
  <c r="C50" i="31"/>
  <c r="D50" i="31"/>
  <c r="E50" i="31"/>
  <c r="F50" i="31"/>
  <c r="G50" i="31"/>
  <c r="A51" i="31"/>
  <c r="B51" i="31"/>
  <c r="C51" i="31"/>
  <c r="D51" i="31"/>
  <c r="E51" i="31"/>
  <c r="F51" i="31"/>
  <c r="G51" i="31"/>
  <c r="A52" i="31"/>
  <c r="B52" i="31"/>
  <c r="C52" i="31"/>
  <c r="D52" i="31"/>
  <c r="E52" i="31"/>
  <c r="F52" i="31"/>
  <c r="G52" i="31"/>
  <c r="A53" i="31"/>
  <c r="B53" i="31"/>
  <c r="C53" i="31"/>
  <c r="D53" i="31"/>
  <c r="E53" i="31"/>
  <c r="F53" i="31"/>
  <c r="G53" i="31"/>
  <c r="A54" i="31"/>
  <c r="B54" i="31"/>
  <c r="C54" i="31"/>
  <c r="D54" i="31"/>
  <c r="E54" i="31"/>
  <c r="F54" i="31"/>
  <c r="G54" i="31"/>
  <c r="A55" i="31"/>
  <c r="B55" i="31"/>
  <c r="C55" i="31"/>
  <c r="D55" i="31"/>
  <c r="E55" i="31"/>
  <c r="F55" i="31"/>
  <c r="G55" i="31"/>
  <c r="A56" i="31"/>
  <c r="B56" i="31"/>
  <c r="C56" i="31"/>
  <c r="D56" i="31"/>
  <c r="E56" i="31"/>
  <c r="F56" i="31"/>
  <c r="G56" i="31"/>
  <c r="A57" i="31"/>
  <c r="B57" i="31"/>
  <c r="C57" i="31"/>
  <c r="D57" i="31"/>
  <c r="E57" i="31"/>
  <c r="F57" i="31"/>
  <c r="G57" i="31"/>
  <c r="A58" i="31"/>
  <c r="B58" i="31"/>
  <c r="C58" i="31"/>
  <c r="D58" i="31"/>
  <c r="E58" i="31"/>
  <c r="F58" i="31"/>
  <c r="G58" i="31"/>
  <c r="A59" i="31"/>
  <c r="B59" i="31"/>
  <c r="C59" i="31"/>
  <c r="D59" i="31"/>
  <c r="E59" i="31"/>
  <c r="F59" i="31"/>
  <c r="G59" i="31"/>
  <c r="A60" i="31"/>
  <c r="B60" i="31"/>
  <c r="C60" i="31"/>
  <c r="D60" i="31"/>
  <c r="E60" i="31"/>
  <c r="F60" i="31"/>
  <c r="G60" i="31"/>
  <c r="A61" i="31"/>
  <c r="B61" i="31"/>
  <c r="C61" i="31"/>
  <c r="D61" i="31"/>
  <c r="E61" i="31"/>
  <c r="F61" i="31"/>
  <c r="G61" i="31"/>
  <c r="A62" i="31"/>
  <c r="B62" i="31"/>
  <c r="C62" i="31"/>
  <c r="D62" i="31"/>
  <c r="E62" i="31"/>
  <c r="F62" i="31"/>
  <c r="G62" i="31"/>
  <c r="A63" i="31"/>
  <c r="B63" i="31"/>
  <c r="C63" i="31"/>
  <c r="D63" i="31"/>
  <c r="E63" i="31"/>
  <c r="F63" i="31"/>
  <c r="G63" i="31"/>
  <c r="A64" i="31"/>
  <c r="B64" i="31"/>
  <c r="C64" i="31"/>
  <c r="D64" i="31"/>
  <c r="E64" i="31"/>
  <c r="F64" i="31"/>
  <c r="G64" i="31"/>
  <c r="A65" i="31"/>
  <c r="B65" i="31"/>
  <c r="C65" i="31"/>
  <c r="D65" i="31"/>
  <c r="E65" i="31"/>
  <c r="F65" i="31"/>
  <c r="G65" i="31"/>
  <c r="A66" i="31"/>
  <c r="B66" i="31"/>
  <c r="C66" i="31"/>
  <c r="D66" i="31"/>
  <c r="E66" i="31"/>
  <c r="F66" i="31"/>
  <c r="G66" i="31"/>
  <c r="A67" i="31"/>
  <c r="B67" i="31"/>
  <c r="C67" i="31"/>
  <c r="D67" i="31"/>
  <c r="E67" i="31"/>
  <c r="F67" i="31"/>
  <c r="G67" i="31"/>
  <c r="A68" i="31"/>
  <c r="B68" i="31"/>
  <c r="C68" i="31"/>
  <c r="D68" i="31"/>
  <c r="E68" i="31"/>
  <c r="F68" i="31"/>
  <c r="G68" i="31"/>
  <c r="A69" i="31"/>
  <c r="B69" i="31"/>
  <c r="C69" i="31"/>
  <c r="D69" i="31"/>
  <c r="E69" i="31"/>
  <c r="F69" i="31"/>
  <c r="G69" i="31"/>
  <c r="A70" i="31"/>
  <c r="B70" i="31"/>
  <c r="C70" i="31"/>
  <c r="D70" i="31"/>
  <c r="E70" i="31"/>
  <c r="F70" i="31"/>
  <c r="G70" i="31"/>
  <c r="A71" i="31"/>
  <c r="B71" i="31"/>
  <c r="C71" i="31"/>
  <c r="D71" i="31"/>
  <c r="E71" i="31"/>
  <c r="F71" i="31"/>
  <c r="G71" i="31"/>
  <c r="A72" i="31"/>
  <c r="B72" i="31"/>
  <c r="C72" i="31"/>
  <c r="D72" i="31"/>
  <c r="E72" i="31"/>
  <c r="F72" i="31"/>
  <c r="G72" i="31"/>
  <c r="A73" i="31"/>
  <c r="B73" i="31"/>
  <c r="C73" i="31"/>
  <c r="D73" i="31"/>
  <c r="E73" i="31"/>
  <c r="F73" i="31"/>
  <c r="G73" i="31"/>
  <c r="A74" i="31"/>
  <c r="B74" i="31"/>
  <c r="C74" i="31"/>
  <c r="D74" i="31"/>
  <c r="E74" i="31"/>
  <c r="F74" i="31"/>
  <c r="G74" i="31"/>
  <c r="A75" i="31"/>
  <c r="B75" i="31"/>
  <c r="C75" i="31"/>
  <c r="D75" i="31"/>
  <c r="E75" i="31"/>
  <c r="F75" i="31"/>
  <c r="G75" i="31"/>
  <c r="A76" i="31"/>
  <c r="B76" i="31"/>
  <c r="C76" i="31"/>
  <c r="D76" i="31"/>
  <c r="E76" i="31"/>
  <c r="F76" i="31"/>
  <c r="G76" i="31"/>
  <c r="A77" i="31"/>
  <c r="B77" i="31"/>
  <c r="C77" i="31"/>
  <c r="D77" i="31"/>
  <c r="E77" i="31"/>
  <c r="F77" i="31"/>
  <c r="G77" i="31"/>
  <c r="A78" i="31"/>
  <c r="B78" i="31"/>
  <c r="C78" i="31"/>
  <c r="D78" i="31"/>
  <c r="E78" i="31"/>
  <c r="F78" i="31"/>
  <c r="G78" i="31"/>
  <c r="A79" i="31"/>
  <c r="B79" i="31"/>
  <c r="C79" i="31"/>
  <c r="D79" i="31"/>
  <c r="E79" i="31"/>
  <c r="F79" i="31"/>
  <c r="G79" i="31"/>
  <c r="A80" i="31"/>
  <c r="B80" i="31"/>
  <c r="C80" i="31"/>
  <c r="D80" i="31"/>
  <c r="E80" i="31"/>
  <c r="F80" i="31"/>
  <c r="G80" i="31"/>
  <c r="A81" i="31"/>
  <c r="B81" i="31"/>
  <c r="C81" i="31"/>
  <c r="D81" i="31"/>
  <c r="E81" i="31"/>
  <c r="F81" i="31"/>
  <c r="G81" i="31"/>
  <c r="A82" i="31"/>
  <c r="B82" i="31"/>
  <c r="C82" i="31"/>
  <c r="D82" i="31"/>
  <c r="E82" i="31"/>
  <c r="F82" i="31"/>
  <c r="G82" i="31"/>
  <c r="A83" i="31"/>
  <c r="B83" i="31"/>
  <c r="C83" i="31"/>
  <c r="D83" i="31"/>
  <c r="E83" i="31"/>
  <c r="F83" i="31"/>
  <c r="G83" i="31"/>
  <c r="A84" i="31"/>
  <c r="B84" i="31"/>
  <c r="C84" i="31"/>
  <c r="D84" i="31"/>
  <c r="E84" i="31"/>
  <c r="F84" i="31"/>
  <c r="G84" i="31"/>
  <c r="A85" i="31"/>
  <c r="B85" i="31"/>
  <c r="C85" i="31"/>
  <c r="D85" i="31"/>
  <c r="E85" i="31"/>
  <c r="F85" i="31"/>
  <c r="G85" i="31"/>
  <c r="A86" i="31"/>
  <c r="B86" i="31"/>
  <c r="C86" i="31"/>
  <c r="D86" i="31"/>
  <c r="E86" i="31"/>
  <c r="F86" i="31"/>
  <c r="G86" i="31"/>
  <c r="A87" i="31"/>
  <c r="B87" i="31"/>
  <c r="C87" i="31"/>
  <c r="D87" i="31"/>
  <c r="E87" i="31"/>
  <c r="F87" i="31"/>
  <c r="G87" i="31"/>
  <c r="A88" i="31"/>
  <c r="B88" i="31"/>
  <c r="C88" i="31"/>
  <c r="D88" i="31"/>
  <c r="E88" i="31"/>
  <c r="F88" i="31"/>
  <c r="G88" i="31"/>
  <c r="A89" i="31"/>
  <c r="B89" i="31"/>
  <c r="C89" i="31"/>
  <c r="D89" i="31"/>
  <c r="E89" i="31"/>
  <c r="F89" i="31"/>
  <c r="G89" i="31"/>
  <c r="A90" i="31"/>
  <c r="B90" i="31"/>
  <c r="C90" i="31"/>
  <c r="D90" i="31"/>
  <c r="E90" i="31"/>
  <c r="F90" i="31"/>
  <c r="G90" i="31"/>
  <c r="A91" i="31"/>
  <c r="B91" i="31"/>
  <c r="C91" i="31"/>
  <c r="D91" i="31"/>
  <c r="E91" i="31"/>
  <c r="F91" i="31"/>
  <c r="G91" i="31"/>
  <c r="A92" i="31"/>
  <c r="B92" i="31"/>
  <c r="C92" i="31"/>
  <c r="D92" i="31"/>
  <c r="E92" i="31"/>
  <c r="F92" i="31"/>
  <c r="G92" i="31"/>
  <c r="A93" i="31"/>
  <c r="B93" i="31"/>
  <c r="C93" i="31"/>
  <c r="D93" i="31"/>
  <c r="E93" i="31"/>
  <c r="F93" i="31"/>
  <c r="G93" i="31"/>
  <c r="A94" i="31"/>
  <c r="B94" i="31"/>
  <c r="C94" i="31"/>
  <c r="D94" i="31"/>
  <c r="E94" i="31"/>
  <c r="L94" i="31" s="1"/>
  <c r="F94" i="31"/>
  <c r="G94" i="31"/>
  <c r="A95" i="31"/>
  <c r="B95" i="31"/>
  <c r="C95" i="31"/>
  <c r="D95" i="31"/>
  <c r="E95" i="31"/>
  <c r="F95" i="31"/>
  <c r="G95" i="31"/>
  <c r="A96" i="31"/>
  <c r="B96" i="31"/>
  <c r="C96" i="31"/>
  <c r="D96" i="31"/>
  <c r="E96" i="31"/>
  <c r="F96" i="31"/>
  <c r="G96" i="31"/>
  <c r="A97" i="31"/>
  <c r="B97" i="31"/>
  <c r="C97" i="31"/>
  <c r="D97" i="31"/>
  <c r="E97" i="31"/>
  <c r="F97" i="31"/>
  <c r="G97" i="31"/>
  <c r="A98" i="31"/>
  <c r="B98" i="31"/>
  <c r="C98" i="31"/>
  <c r="D98" i="31"/>
  <c r="E98" i="31"/>
  <c r="F98" i="31"/>
  <c r="G98" i="31"/>
  <c r="A99" i="31"/>
  <c r="B99" i="31"/>
  <c r="C99" i="31"/>
  <c r="D99" i="31"/>
  <c r="E99" i="31"/>
  <c r="F99" i="31"/>
  <c r="G99" i="31"/>
  <c r="A100" i="31"/>
  <c r="B100" i="31"/>
  <c r="C100" i="31"/>
  <c r="D100" i="31"/>
  <c r="E100" i="31"/>
  <c r="F100" i="31"/>
  <c r="G100" i="31"/>
  <c r="A101" i="31"/>
  <c r="B101" i="31"/>
  <c r="C101" i="31"/>
  <c r="D101" i="31"/>
  <c r="E101" i="31"/>
  <c r="F101" i="31"/>
  <c r="G101" i="31"/>
  <c r="A102" i="31"/>
  <c r="B102" i="31"/>
  <c r="C102" i="31"/>
  <c r="D102" i="31"/>
  <c r="E102" i="31"/>
  <c r="F102" i="31"/>
  <c r="G102" i="31"/>
  <c r="A103" i="31"/>
  <c r="B103" i="31"/>
  <c r="C103" i="31"/>
  <c r="D103" i="31"/>
  <c r="E103" i="31"/>
  <c r="F103" i="31"/>
  <c r="G103" i="31"/>
  <c r="A104" i="31"/>
  <c r="B104" i="31"/>
  <c r="C104" i="31"/>
  <c r="D104" i="31"/>
  <c r="E104" i="31"/>
  <c r="F104" i="31"/>
  <c r="G104" i="31"/>
  <c r="A105" i="31"/>
  <c r="B105" i="31"/>
  <c r="C105" i="31"/>
  <c r="D105" i="31"/>
  <c r="E105" i="31"/>
  <c r="F105" i="31"/>
  <c r="G105" i="31"/>
  <c r="A106" i="31"/>
  <c r="B106" i="31"/>
  <c r="C106" i="31"/>
  <c r="D106" i="31"/>
  <c r="E106" i="31"/>
  <c r="F106" i="31"/>
  <c r="G106" i="31"/>
  <c r="A107" i="31"/>
  <c r="B107" i="31"/>
  <c r="C107" i="31"/>
  <c r="D107" i="31"/>
  <c r="E107" i="31"/>
  <c r="F107" i="31"/>
  <c r="G107" i="31"/>
  <c r="A108" i="31"/>
  <c r="B108" i="31"/>
  <c r="C108" i="31"/>
  <c r="D108" i="31"/>
  <c r="E108" i="31"/>
  <c r="F108" i="31"/>
  <c r="G108" i="31"/>
  <c r="A109" i="31"/>
  <c r="B109" i="31"/>
  <c r="C109" i="31"/>
  <c r="D109" i="31"/>
  <c r="E109" i="31"/>
  <c r="F109" i="31"/>
  <c r="G109" i="31"/>
  <c r="A110" i="31"/>
  <c r="B110" i="31"/>
  <c r="C110" i="31"/>
  <c r="D110" i="31"/>
  <c r="E110" i="31"/>
  <c r="F110" i="31"/>
  <c r="G110" i="31"/>
  <c r="A111" i="31"/>
  <c r="B111" i="31"/>
  <c r="C111" i="31"/>
  <c r="D111" i="31"/>
  <c r="E111" i="31"/>
  <c r="F111" i="31"/>
  <c r="G111" i="31"/>
  <c r="A112" i="31"/>
  <c r="B112" i="31"/>
  <c r="C112" i="31"/>
  <c r="D112" i="31"/>
  <c r="E112" i="31"/>
  <c r="F112" i="31"/>
  <c r="G112" i="31"/>
  <c r="A113" i="31"/>
  <c r="B113" i="31"/>
  <c r="C113" i="31"/>
  <c r="D113" i="31"/>
  <c r="E113" i="31"/>
  <c r="F113" i="31"/>
  <c r="G113" i="31"/>
  <c r="A114" i="31"/>
  <c r="B114" i="31"/>
  <c r="C114" i="31"/>
  <c r="D114" i="31"/>
  <c r="E114" i="31"/>
  <c r="F114" i="31"/>
  <c r="G114" i="31"/>
  <c r="A115" i="31"/>
  <c r="B115" i="31"/>
  <c r="C115" i="31"/>
  <c r="D115" i="31"/>
  <c r="E115" i="31"/>
  <c r="F115" i="31"/>
  <c r="G115" i="31"/>
  <c r="A116" i="31"/>
  <c r="B116" i="31"/>
  <c r="C116" i="31"/>
  <c r="D116" i="31"/>
  <c r="E116" i="31"/>
  <c r="F116" i="31"/>
  <c r="G116" i="31"/>
  <c r="A117" i="31"/>
  <c r="B117" i="31"/>
  <c r="C117" i="31"/>
  <c r="D117" i="31"/>
  <c r="E117" i="31"/>
  <c r="F117" i="31"/>
  <c r="G117" i="31"/>
  <c r="A118" i="31"/>
  <c r="B118" i="31"/>
  <c r="C118" i="31"/>
  <c r="D118" i="31"/>
  <c r="E118" i="31"/>
  <c r="K118" i="31" s="1"/>
  <c r="F118" i="31"/>
  <c r="G118" i="31"/>
  <c r="A119" i="31"/>
  <c r="B119" i="31"/>
  <c r="C119" i="31"/>
  <c r="D119" i="31"/>
  <c r="E119" i="31"/>
  <c r="M119" i="31" s="1"/>
  <c r="F119" i="31"/>
  <c r="G119" i="31"/>
  <c r="A120" i="31"/>
  <c r="B120" i="31"/>
  <c r="C120" i="31"/>
  <c r="D120" i="31"/>
  <c r="E120" i="31"/>
  <c r="F120" i="31"/>
  <c r="G120" i="31"/>
  <c r="A121" i="31"/>
  <c r="B121" i="31"/>
  <c r="C121" i="31"/>
  <c r="D121" i="31"/>
  <c r="E121" i="31"/>
  <c r="K121" i="31" s="1"/>
  <c r="F121" i="31"/>
  <c r="G121" i="31"/>
  <c r="A122" i="31"/>
  <c r="B122" i="31"/>
  <c r="C122" i="31"/>
  <c r="D122" i="31"/>
  <c r="E122" i="31"/>
  <c r="F122" i="31"/>
  <c r="G122" i="31"/>
  <c r="A123" i="31"/>
  <c r="B123" i="31"/>
  <c r="C123" i="31"/>
  <c r="D123" i="31"/>
  <c r="E123" i="31"/>
  <c r="F123" i="31"/>
  <c r="G123" i="31"/>
  <c r="A124" i="31"/>
  <c r="B124" i="31"/>
  <c r="C124" i="31"/>
  <c r="D124" i="31"/>
  <c r="E124" i="31"/>
  <c r="F124" i="31"/>
  <c r="G124" i="31"/>
  <c r="A125" i="31"/>
  <c r="B125" i="31"/>
  <c r="C125" i="31"/>
  <c r="D125" i="31"/>
  <c r="E125" i="31"/>
  <c r="F125" i="31"/>
  <c r="G125" i="31"/>
  <c r="A126" i="31"/>
  <c r="B126" i="31"/>
  <c r="C126" i="31"/>
  <c r="D126" i="31"/>
  <c r="E126" i="31"/>
  <c r="F126" i="31"/>
  <c r="G126" i="31"/>
  <c r="A127" i="31"/>
  <c r="B127" i="31"/>
  <c r="C127" i="31"/>
  <c r="D127" i="31"/>
  <c r="E127" i="31"/>
  <c r="F127" i="31"/>
  <c r="G127" i="31"/>
  <c r="A128" i="31"/>
  <c r="B128" i="31"/>
  <c r="C128" i="31"/>
  <c r="D128" i="31"/>
  <c r="E128" i="31"/>
  <c r="F128" i="31"/>
  <c r="G128" i="31"/>
  <c r="A129" i="31"/>
  <c r="B129" i="31"/>
  <c r="C129" i="31"/>
  <c r="D129" i="31"/>
  <c r="E129" i="31"/>
  <c r="F129" i="31"/>
  <c r="G129" i="31"/>
  <c r="A130" i="31"/>
  <c r="B130" i="31"/>
  <c r="C130" i="31"/>
  <c r="D130" i="31"/>
  <c r="E130" i="31"/>
  <c r="F130" i="31"/>
  <c r="G130" i="31"/>
  <c r="A131" i="31"/>
  <c r="B131" i="31"/>
  <c r="C131" i="31"/>
  <c r="D131" i="31"/>
  <c r="E131" i="31"/>
  <c r="M131" i="31" s="1"/>
  <c r="F131" i="31"/>
  <c r="G131" i="31"/>
  <c r="A132" i="31"/>
  <c r="B132" i="31"/>
  <c r="C132" i="31"/>
  <c r="D132" i="31"/>
  <c r="E132" i="31"/>
  <c r="F132" i="31"/>
  <c r="G132" i="31"/>
  <c r="A133" i="31"/>
  <c r="B133" i="31"/>
  <c r="C133" i="31"/>
  <c r="D133" i="31"/>
  <c r="K133" i="31" s="1"/>
  <c r="E133" i="31"/>
  <c r="F133" i="31"/>
  <c r="G133" i="31"/>
  <c r="A134" i="31"/>
  <c r="B134" i="31"/>
  <c r="C134" i="31"/>
  <c r="D134" i="31"/>
  <c r="E134" i="31"/>
  <c r="F134" i="31"/>
  <c r="G134" i="31"/>
  <c r="A135" i="31"/>
  <c r="B135" i="31"/>
  <c r="C135" i="31"/>
  <c r="D135" i="31"/>
  <c r="E135" i="31"/>
  <c r="F135" i="31"/>
  <c r="G135" i="31"/>
  <c r="A136" i="31"/>
  <c r="B136" i="31"/>
  <c r="C136" i="31"/>
  <c r="D136" i="31"/>
  <c r="E136" i="31"/>
  <c r="F136" i="31"/>
  <c r="G136" i="31"/>
  <c r="A137" i="31"/>
  <c r="B137" i="31"/>
  <c r="C137" i="31"/>
  <c r="D137" i="31"/>
  <c r="E137" i="31"/>
  <c r="F137" i="31"/>
  <c r="G137" i="31"/>
  <c r="A138" i="31"/>
  <c r="B138" i="31"/>
  <c r="C138" i="31"/>
  <c r="D138" i="31"/>
  <c r="E138" i="31"/>
  <c r="F138" i="31"/>
  <c r="G138" i="31"/>
  <c r="A139" i="31"/>
  <c r="B139" i="31"/>
  <c r="C139" i="31"/>
  <c r="D139" i="31"/>
  <c r="E139" i="31"/>
  <c r="F139" i="31"/>
  <c r="G139" i="31"/>
  <c r="A140" i="31"/>
  <c r="B140" i="31"/>
  <c r="C140" i="31"/>
  <c r="D140" i="31"/>
  <c r="E140" i="31"/>
  <c r="F140" i="31"/>
  <c r="G140" i="31"/>
  <c r="A141" i="31"/>
  <c r="B141" i="31"/>
  <c r="C141" i="31"/>
  <c r="D141" i="31"/>
  <c r="E141" i="31"/>
  <c r="F141" i="31"/>
  <c r="G141" i="31"/>
  <c r="A142" i="31"/>
  <c r="B142" i="31"/>
  <c r="C142" i="31"/>
  <c r="D142" i="31"/>
  <c r="E142" i="31"/>
  <c r="K142" i="31" s="1"/>
  <c r="F142" i="31"/>
  <c r="G142" i="31"/>
  <c r="A143" i="31"/>
  <c r="B143" i="31"/>
  <c r="C143" i="31"/>
  <c r="D143" i="31"/>
  <c r="E143" i="31"/>
  <c r="F143" i="31"/>
  <c r="G143" i="31"/>
  <c r="A144" i="31"/>
  <c r="B144" i="31"/>
  <c r="C144" i="31"/>
  <c r="D144" i="31"/>
  <c r="E144" i="31"/>
  <c r="F144" i="31"/>
  <c r="G144" i="31"/>
  <c r="A145" i="31"/>
  <c r="B145" i="31"/>
  <c r="C145" i="31"/>
  <c r="D145" i="31"/>
  <c r="K145" i="31" s="1"/>
  <c r="E145" i="31"/>
  <c r="F145" i="31"/>
  <c r="G145" i="31"/>
  <c r="A146" i="31"/>
  <c r="B146" i="31"/>
  <c r="C146" i="31"/>
  <c r="D146" i="31"/>
  <c r="E146" i="31"/>
  <c r="F146" i="31"/>
  <c r="G146" i="31"/>
  <c r="A147" i="31"/>
  <c r="B147" i="31"/>
  <c r="C147" i="31"/>
  <c r="D147" i="31"/>
  <c r="E147" i="31"/>
  <c r="F147" i="31"/>
  <c r="G147" i="31"/>
  <c r="A148" i="31"/>
  <c r="B148" i="31"/>
  <c r="C148" i="31"/>
  <c r="D148" i="31"/>
  <c r="E148" i="31"/>
  <c r="F148" i="31"/>
  <c r="G148" i="31"/>
  <c r="A149" i="31"/>
  <c r="B149" i="31"/>
  <c r="C149" i="31"/>
  <c r="D149" i="31"/>
  <c r="E149" i="31"/>
  <c r="F149" i="31"/>
  <c r="G149" i="31"/>
  <c r="A150" i="31"/>
  <c r="B150" i="31"/>
  <c r="C150" i="31"/>
  <c r="D150" i="31"/>
  <c r="E150" i="31"/>
  <c r="F150" i="31"/>
  <c r="G150" i="31"/>
  <c r="A151" i="31"/>
  <c r="B151" i="31"/>
  <c r="C151" i="31"/>
  <c r="D151" i="31"/>
  <c r="E151" i="31"/>
  <c r="F151" i="31"/>
  <c r="G151" i="31"/>
  <c r="A152" i="31"/>
  <c r="B152" i="31"/>
  <c r="C152" i="31"/>
  <c r="D152" i="31"/>
  <c r="E152" i="31"/>
  <c r="F152" i="31"/>
  <c r="G152" i="31"/>
  <c r="A153" i="31"/>
  <c r="B153" i="31"/>
  <c r="C153" i="31"/>
  <c r="D153" i="31"/>
  <c r="E153" i="31"/>
  <c r="F153" i="31"/>
  <c r="G153" i="31"/>
  <c r="A154" i="31"/>
  <c r="B154" i="31"/>
  <c r="C154" i="31"/>
  <c r="D154" i="31"/>
  <c r="E154" i="31"/>
  <c r="K154" i="31" s="1"/>
  <c r="F154" i="31"/>
  <c r="G154" i="31"/>
  <c r="A155" i="31"/>
  <c r="B155" i="31"/>
  <c r="C155" i="31"/>
  <c r="D155" i="31"/>
  <c r="E155" i="31"/>
  <c r="F155" i="31"/>
  <c r="G155" i="31"/>
  <c r="A156" i="31"/>
  <c r="B156" i="31"/>
  <c r="C156" i="31"/>
  <c r="D156" i="31"/>
  <c r="E156" i="31"/>
  <c r="F156" i="31"/>
  <c r="G156" i="31"/>
  <c r="A157" i="31"/>
  <c r="B157" i="31"/>
  <c r="C157" i="31"/>
  <c r="D157" i="31"/>
  <c r="E157" i="31"/>
  <c r="K157" i="31" s="1"/>
  <c r="F157" i="31"/>
  <c r="G157" i="31"/>
  <c r="A158" i="31"/>
  <c r="B158" i="31"/>
  <c r="C158" i="31"/>
  <c r="D158" i="31"/>
  <c r="E158" i="31"/>
  <c r="F158" i="31"/>
  <c r="G158" i="31"/>
  <c r="A159" i="31"/>
  <c r="B159" i="31"/>
  <c r="C159" i="31"/>
  <c r="D159" i="31"/>
  <c r="E159" i="31"/>
  <c r="F159" i="31"/>
  <c r="G159" i="31"/>
  <c r="A160" i="31"/>
  <c r="B160" i="31"/>
  <c r="C160" i="31"/>
  <c r="D160" i="31"/>
  <c r="E160" i="31"/>
  <c r="F160" i="31"/>
  <c r="G160" i="31"/>
  <c r="A161" i="31"/>
  <c r="B161" i="31"/>
  <c r="C161" i="31"/>
  <c r="D161" i="31"/>
  <c r="E161" i="31"/>
  <c r="F161" i="31"/>
  <c r="G161" i="31"/>
  <c r="A162" i="31"/>
  <c r="B162" i="31"/>
  <c r="C162" i="31"/>
  <c r="D162" i="31"/>
  <c r="E162" i="31"/>
  <c r="F162" i="31"/>
  <c r="G162" i="31"/>
  <c r="A163" i="31"/>
  <c r="B163" i="31"/>
  <c r="C163" i="31"/>
  <c r="D163" i="31"/>
  <c r="E163" i="31"/>
  <c r="F163" i="31"/>
  <c r="G163" i="31"/>
  <c r="A164" i="31"/>
  <c r="B164" i="31"/>
  <c r="N164" i="31" s="1"/>
  <c r="O164" i="31" s="1"/>
  <c r="R164" i="31" s="1"/>
  <c r="C164" i="31"/>
  <c r="D164" i="31"/>
  <c r="E164" i="31"/>
  <c r="L164" i="31" s="1"/>
  <c r="F164" i="31"/>
  <c r="G164" i="31"/>
  <c r="A165" i="31"/>
  <c r="B165" i="31"/>
  <c r="C165" i="31"/>
  <c r="D165" i="31"/>
  <c r="E165" i="31"/>
  <c r="F165" i="31"/>
  <c r="G165" i="31"/>
  <c r="A166" i="31"/>
  <c r="B166" i="31"/>
  <c r="C166" i="31"/>
  <c r="D166" i="31"/>
  <c r="E166" i="31"/>
  <c r="K166" i="31" s="1"/>
  <c r="F166" i="31"/>
  <c r="G166" i="31"/>
  <c r="I166" i="31" s="1"/>
  <c r="A167" i="31"/>
  <c r="B167" i="31"/>
  <c r="C167" i="31"/>
  <c r="D167" i="31"/>
  <c r="E167" i="31"/>
  <c r="L167" i="31" s="1"/>
  <c r="F167" i="31"/>
  <c r="G167" i="31"/>
  <c r="A168" i="31"/>
  <c r="B168" i="31"/>
  <c r="C168" i="31"/>
  <c r="D168" i="31"/>
  <c r="E168" i="31"/>
  <c r="F168" i="31"/>
  <c r="G168" i="31"/>
  <c r="I168" i="31" s="1"/>
  <c r="A169" i="31"/>
  <c r="B169" i="31"/>
  <c r="C169" i="31"/>
  <c r="D169" i="31"/>
  <c r="K169" i="31" s="1"/>
  <c r="N169" i="31" s="1"/>
  <c r="O169" i="31" s="1"/>
  <c r="R169" i="31" s="1"/>
  <c r="E169" i="31"/>
  <c r="F169" i="31"/>
  <c r="G169" i="31"/>
  <c r="V169" i="31" s="1"/>
  <c r="A170" i="31"/>
  <c r="B170" i="31"/>
  <c r="C170" i="31"/>
  <c r="D170" i="31"/>
  <c r="E170" i="31"/>
  <c r="L170" i="31" s="1"/>
  <c r="F170" i="31"/>
  <c r="G170" i="31"/>
  <c r="A171" i="31"/>
  <c r="B171" i="31"/>
  <c r="C171" i="31"/>
  <c r="D171" i="31"/>
  <c r="E171" i="31"/>
  <c r="K171" i="31" s="1"/>
  <c r="F171" i="31"/>
  <c r="G171" i="31"/>
  <c r="I171" i="31" s="1"/>
  <c r="A172" i="31"/>
  <c r="B172" i="31"/>
  <c r="C172" i="31"/>
  <c r="D172" i="31"/>
  <c r="E172" i="31"/>
  <c r="F172" i="31"/>
  <c r="G172" i="31"/>
  <c r="A173" i="31"/>
  <c r="B173" i="31"/>
  <c r="C173" i="31"/>
  <c r="D173" i="31"/>
  <c r="E173" i="31"/>
  <c r="F173" i="31"/>
  <c r="G173" i="31"/>
  <c r="I173" i="31" s="1"/>
  <c r="A174" i="31"/>
  <c r="B174" i="31"/>
  <c r="N174" i="31" s="1"/>
  <c r="O174" i="31" s="1"/>
  <c r="R174" i="31" s="1"/>
  <c r="C174" i="31"/>
  <c r="D174" i="31"/>
  <c r="E174" i="31"/>
  <c r="M174" i="31" s="1"/>
  <c r="F174" i="31"/>
  <c r="G174" i="31"/>
  <c r="I174" i="31" s="1"/>
  <c r="A175" i="31"/>
  <c r="B175" i="31"/>
  <c r="C175" i="31"/>
  <c r="D175" i="31"/>
  <c r="E175" i="31"/>
  <c r="F175" i="31"/>
  <c r="G175" i="31"/>
  <c r="A176" i="31"/>
  <c r="B176" i="31"/>
  <c r="C176" i="31"/>
  <c r="N176" i="31" s="1"/>
  <c r="O176" i="31" s="1"/>
  <c r="R176" i="31" s="1"/>
  <c r="D176" i="31"/>
  <c r="E176" i="31"/>
  <c r="K176" i="31" s="1"/>
  <c r="F176" i="31"/>
  <c r="G176" i="31"/>
  <c r="I176" i="31" s="1"/>
  <c r="A177" i="31"/>
  <c r="B177" i="31"/>
  <c r="C177" i="31"/>
  <c r="D177" i="31"/>
  <c r="E177" i="31"/>
  <c r="F177" i="31"/>
  <c r="G177" i="31"/>
  <c r="I177" i="31" s="1"/>
  <c r="A178" i="31"/>
  <c r="B178" i="31"/>
  <c r="C178" i="31"/>
  <c r="D178" i="31"/>
  <c r="E178" i="31"/>
  <c r="K178" i="31" s="1"/>
  <c r="F178" i="31"/>
  <c r="G178" i="31"/>
  <c r="A179" i="31"/>
  <c r="B179" i="31"/>
  <c r="C179" i="31"/>
  <c r="D179" i="31"/>
  <c r="E179" i="31"/>
  <c r="K179" i="31" s="1"/>
  <c r="F179" i="31"/>
  <c r="G179" i="31"/>
  <c r="I179" i="31" s="1"/>
  <c r="N152" i="31" l="1"/>
  <c r="O152" i="31" s="1"/>
  <c r="R152" i="31" s="1"/>
  <c r="V152" i="31" s="1"/>
  <c r="V174" i="31"/>
  <c r="W174" i="31"/>
  <c r="N112" i="31"/>
  <c r="O112" i="31" s="1"/>
  <c r="R112" i="31" s="1"/>
  <c r="N177" i="31"/>
  <c r="O177" i="31" s="1"/>
  <c r="R177" i="31" s="1"/>
  <c r="W177" i="31" s="1"/>
  <c r="Y177" i="31" s="1"/>
  <c r="T166" i="31"/>
  <c r="T176" i="31"/>
  <c r="N175" i="31"/>
  <c r="O175" i="31" s="1"/>
  <c r="R175" i="31" s="1"/>
  <c r="V175" i="31" s="1"/>
  <c r="I160" i="31"/>
  <c r="K78" i="31"/>
  <c r="L78" i="31"/>
  <c r="M78" i="31"/>
  <c r="K66" i="31"/>
  <c r="L66" i="31"/>
  <c r="M66" i="31"/>
  <c r="L54" i="31"/>
  <c r="M54" i="31"/>
  <c r="K54" i="31"/>
  <c r="I40" i="31"/>
  <c r="I28" i="31"/>
  <c r="L148" i="31"/>
  <c r="N148" i="31" s="1"/>
  <c r="O148" i="31" s="1"/>
  <c r="R148" i="31" s="1"/>
  <c r="V148" i="31" s="1"/>
  <c r="M148" i="31"/>
  <c r="N145" i="31"/>
  <c r="O145" i="31" s="1"/>
  <c r="R145" i="31" s="1"/>
  <c r="L136" i="31"/>
  <c r="M136" i="31"/>
  <c r="I134" i="31"/>
  <c r="M124" i="31"/>
  <c r="K124" i="31"/>
  <c r="L124" i="31"/>
  <c r="I122" i="31"/>
  <c r="N121" i="31"/>
  <c r="O121" i="31" s="1"/>
  <c r="R121" i="31" s="1"/>
  <c r="V121" i="31" s="1"/>
  <c r="K112" i="31"/>
  <c r="L112" i="31"/>
  <c r="M112" i="31"/>
  <c r="I110" i="31"/>
  <c r="M100" i="31"/>
  <c r="K100" i="31"/>
  <c r="L100" i="31"/>
  <c r="I98" i="31"/>
  <c r="L88" i="31"/>
  <c r="M88" i="31"/>
  <c r="K88" i="31"/>
  <c r="I86" i="31"/>
  <c r="L76" i="31"/>
  <c r="M76" i="31"/>
  <c r="K76" i="31"/>
  <c r="I74" i="31"/>
  <c r="M64" i="31"/>
  <c r="K64" i="31"/>
  <c r="L64" i="31"/>
  <c r="I62" i="31"/>
  <c r="N61" i="31"/>
  <c r="O61" i="31" s="1"/>
  <c r="R61" i="31" s="1"/>
  <c r="L52" i="31"/>
  <c r="N52" i="31" s="1"/>
  <c r="O52" i="31" s="1"/>
  <c r="R52" i="31" s="1"/>
  <c r="V52" i="31" s="1"/>
  <c r="M52" i="31"/>
  <c r="K52" i="31"/>
  <c r="I50" i="31"/>
  <c r="K40" i="31"/>
  <c r="L40" i="31"/>
  <c r="M40" i="31"/>
  <c r="I38" i="31"/>
  <c r="V38" i="31"/>
  <c r="K28" i="31"/>
  <c r="L28" i="31"/>
  <c r="M28" i="31"/>
  <c r="I26" i="31"/>
  <c r="K16" i="31"/>
  <c r="L16" i="31"/>
  <c r="M16" i="31"/>
  <c r="N16" i="31" s="1"/>
  <c r="O16" i="31" s="1"/>
  <c r="R16" i="31" s="1"/>
  <c r="V16" i="31" s="1"/>
  <c r="L176" i="31"/>
  <c r="M170" i="31"/>
  <c r="K162" i="31"/>
  <c r="L162" i="31"/>
  <c r="M162" i="31"/>
  <c r="I148" i="31"/>
  <c r="K138" i="31"/>
  <c r="L138" i="31"/>
  <c r="M138" i="31"/>
  <c r="M126" i="31"/>
  <c r="K126" i="31"/>
  <c r="L126" i="31"/>
  <c r="M114" i="31"/>
  <c r="L114" i="31"/>
  <c r="I93" i="31"/>
  <c r="I45" i="31"/>
  <c r="I33" i="31"/>
  <c r="V33" i="31"/>
  <c r="L23" i="31"/>
  <c r="M23" i="31"/>
  <c r="K23" i="31"/>
  <c r="I21" i="31"/>
  <c r="K114" i="31"/>
  <c r="L172" i="31"/>
  <c r="N172" i="31" s="1"/>
  <c r="O172" i="31" s="1"/>
  <c r="R172" i="31" s="1"/>
  <c r="V172" i="31" s="1"/>
  <c r="M172" i="31"/>
  <c r="I170" i="31"/>
  <c r="L160" i="31"/>
  <c r="M160" i="31"/>
  <c r="I158" i="31"/>
  <c r="I146" i="31"/>
  <c r="M177" i="31"/>
  <c r="K165" i="31"/>
  <c r="L165" i="31"/>
  <c r="M165" i="31"/>
  <c r="N162" i="31"/>
  <c r="O162" i="31" s="1"/>
  <c r="R162" i="31" s="1"/>
  <c r="K153" i="31"/>
  <c r="L153" i="31"/>
  <c r="M153" i="31"/>
  <c r="I151" i="31"/>
  <c r="K141" i="31"/>
  <c r="L141" i="31"/>
  <c r="M141" i="31"/>
  <c r="I139" i="31"/>
  <c r="N138" i="31"/>
  <c r="O138" i="31" s="1"/>
  <c r="R138" i="31" s="1"/>
  <c r="M129" i="31"/>
  <c r="I127" i="31"/>
  <c r="N126" i="31"/>
  <c r="O126" i="31" s="1"/>
  <c r="R126" i="31" s="1"/>
  <c r="M117" i="31"/>
  <c r="K117" i="31"/>
  <c r="L117" i="31"/>
  <c r="I115" i="31"/>
  <c r="N114" i="31"/>
  <c r="O114" i="31" s="1"/>
  <c r="R114" i="31" s="1"/>
  <c r="M105" i="31"/>
  <c r="K105" i="31"/>
  <c r="L105" i="31"/>
  <c r="I103" i="31"/>
  <c r="N102" i="31"/>
  <c r="O102" i="31" s="1"/>
  <c r="R102" i="31" s="1"/>
  <c r="M93" i="31"/>
  <c r="K93" i="31"/>
  <c r="L93" i="31"/>
  <c r="V91" i="31"/>
  <c r="I91" i="31"/>
  <c r="K81" i="31"/>
  <c r="L81" i="31"/>
  <c r="M81" i="31"/>
  <c r="I79" i="31"/>
  <c r="N78" i="31"/>
  <c r="O78" i="31" s="1"/>
  <c r="R78" i="31" s="1"/>
  <c r="K69" i="31"/>
  <c r="L69" i="31"/>
  <c r="N69" i="31" s="1"/>
  <c r="O69" i="31" s="1"/>
  <c r="R69" i="31" s="1"/>
  <c r="V69" i="31" s="1"/>
  <c r="M69" i="31"/>
  <c r="I67" i="31"/>
  <c r="N66" i="31"/>
  <c r="O66" i="31" s="1"/>
  <c r="R66" i="31" s="1"/>
  <c r="M57" i="31"/>
  <c r="K57" i="31"/>
  <c r="L57" i="31"/>
  <c r="I55" i="31"/>
  <c r="N54" i="31"/>
  <c r="O54" i="31" s="1"/>
  <c r="R54" i="31" s="1"/>
  <c r="V54" i="31" s="1"/>
  <c r="L45" i="31"/>
  <c r="N45" i="31" s="1"/>
  <c r="O45" i="31" s="1"/>
  <c r="R45" i="31" s="1"/>
  <c r="V45" i="31" s="1"/>
  <c r="M45" i="31"/>
  <c r="K45" i="31"/>
  <c r="I43" i="31"/>
  <c r="K33" i="31"/>
  <c r="L33" i="31"/>
  <c r="M33" i="31"/>
  <c r="I31" i="31"/>
  <c r="V31" i="31"/>
  <c r="K21" i="31"/>
  <c r="L21" i="31"/>
  <c r="M21" i="31"/>
  <c r="I19" i="31"/>
  <c r="M179" i="31"/>
  <c r="N179" i="31" s="1"/>
  <c r="O179" i="31" s="1"/>
  <c r="R179" i="31" s="1"/>
  <c r="V177" i="31"/>
  <c r="I172" i="31"/>
  <c r="K170" i="31"/>
  <c r="N170" i="31" s="1"/>
  <c r="O170" i="31" s="1"/>
  <c r="R170" i="31" s="1"/>
  <c r="V170" i="31" s="1"/>
  <c r="I169" i="31"/>
  <c r="N171" i="31"/>
  <c r="O171" i="31" s="1"/>
  <c r="R171" i="31" s="1"/>
  <c r="W171" i="31" s="1"/>
  <c r="Y171" i="31" s="1"/>
  <c r="I64" i="31"/>
  <c r="I69" i="31"/>
  <c r="L35" i="31"/>
  <c r="M35" i="31"/>
  <c r="K35" i="31"/>
  <c r="I156" i="31"/>
  <c r="K146" i="31"/>
  <c r="N146" i="31" s="1"/>
  <c r="O146" i="31" s="1"/>
  <c r="R146" i="31" s="1"/>
  <c r="V146" i="31" s="1"/>
  <c r="L146" i="31"/>
  <c r="M146" i="31"/>
  <c r="I144" i="31"/>
  <c r="K134" i="31"/>
  <c r="L134" i="31"/>
  <c r="M134" i="31"/>
  <c r="N134" i="31" s="1"/>
  <c r="O134" i="31" s="1"/>
  <c r="R134" i="31" s="1"/>
  <c r="V134" i="31" s="1"/>
  <c r="I132" i="31"/>
  <c r="K122" i="31"/>
  <c r="N122" i="31" s="1"/>
  <c r="O122" i="31" s="1"/>
  <c r="R122" i="31" s="1"/>
  <c r="V122" i="31" s="1"/>
  <c r="L122" i="31"/>
  <c r="M122" i="31"/>
  <c r="K110" i="31"/>
  <c r="L110" i="31"/>
  <c r="M110" i="31"/>
  <c r="I108" i="31"/>
  <c r="K86" i="31"/>
  <c r="L86" i="31"/>
  <c r="M86" i="31"/>
  <c r="N86" i="31" s="1"/>
  <c r="O86" i="31" s="1"/>
  <c r="R86" i="31" s="1"/>
  <c r="V86" i="31" s="1"/>
  <c r="I84" i="31"/>
  <c r="K74" i="31"/>
  <c r="L74" i="31"/>
  <c r="M74" i="31"/>
  <c r="I72" i="31"/>
  <c r="N71" i="31"/>
  <c r="O71" i="31" s="1"/>
  <c r="R71" i="31" s="1"/>
  <c r="L62" i="31"/>
  <c r="M62" i="31"/>
  <c r="K62" i="31"/>
  <c r="I60" i="31"/>
  <c r="L50" i="31"/>
  <c r="M50" i="31"/>
  <c r="K50" i="31"/>
  <c r="I48" i="31"/>
  <c r="N47" i="31"/>
  <c r="O47" i="31" s="1"/>
  <c r="R47" i="31" s="1"/>
  <c r="V47" i="31" s="1"/>
  <c r="L38" i="31"/>
  <c r="M38" i="31"/>
  <c r="K38" i="31"/>
  <c r="I36" i="31"/>
  <c r="N35" i="31"/>
  <c r="O35" i="31" s="1"/>
  <c r="R35" i="31" s="1"/>
  <c r="L26" i="31"/>
  <c r="M26" i="31"/>
  <c r="K26" i="31"/>
  <c r="I24" i="31"/>
  <c r="N23" i="31"/>
  <c r="O23" i="31" s="1"/>
  <c r="R23" i="31" s="1"/>
  <c r="L179" i="31"/>
  <c r="N159" i="31"/>
  <c r="O159" i="31" s="1"/>
  <c r="R159" i="31" s="1"/>
  <c r="V159" i="31" s="1"/>
  <c r="N123" i="31"/>
  <c r="O123" i="31" s="1"/>
  <c r="R123" i="31" s="1"/>
  <c r="V123" i="31" s="1"/>
  <c r="M102" i="31"/>
  <c r="L102" i="31"/>
  <c r="K30" i="31"/>
  <c r="L30" i="31"/>
  <c r="M30" i="31"/>
  <c r="N30" i="31" s="1"/>
  <c r="O30" i="31" s="1"/>
  <c r="R30" i="31" s="1"/>
  <c r="V30" i="31" s="1"/>
  <c r="L155" i="31"/>
  <c r="M155" i="31"/>
  <c r="N155" i="31" s="1"/>
  <c r="O155" i="31" s="1"/>
  <c r="R155" i="31" s="1"/>
  <c r="V155" i="31" s="1"/>
  <c r="K119" i="31"/>
  <c r="N119" i="31" s="1"/>
  <c r="O119" i="31" s="1"/>
  <c r="R119" i="31" s="1"/>
  <c r="V119" i="31" s="1"/>
  <c r="L119" i="31"/>
  <c r="N104" i="31"/>
  <c r="O104" i="31" s="1"/>
  <c r="R104" i="31" s="1"/>
  <c r="V104" i="31" s="1"/>
  <c r="K95" i="31"/>
  <c r="N95" i="31" s="1"/>
  <c r="O95" i="31" s="1"/>
  <c r="R95" i="31" s="1"/>
  <c r="V95" i="31" s="1"/>
  <c r="L95" i="31"/>
  <c r="M95" i="31"/>
  <c r="L83" i="31"/>
  <c r="K83" i="31"/>
  <c r="M83" i="31"/>
  <c r="N83" i="31" s="1"/>
  <c r="O83" i="31" s="1"/>
  <c r="R83" i="31" s="1"/>
  <c r="V83" i="31" s="1"/>
  <c r="K71" i="31"/>
  <c r="L71" i="31"/>
  <c r="M71" i="31"/>
  <c r="N20" i="31"/>
  <c r="O20" i="31" s="1"/>
  <c r="R20" i="31" s="1"/>
  <c r="V20" i="31" s="1"/>
  <c r="L158" i="31"/>
  <c r="M158" i="31"/>
  <c r="N158" i="31" s="1"/>
  <c r="O158" i="31" s="1"/>
  <c r="R158" i="31" s="1"/>
  <c r="V158" i="31" s="1"/>
  <c r="N131" i="31"/>
  <c r="O131" i="31" s="1"/>
  <c r="R131" i="31" s="1"/>
  <c r="I120" i="31"/>
  <c r="K98" i="31"/>
  <c r="N98" i="31" s="1"/>
  <c r="O98" i="31" s="1"/>
  <c r="R98" i="31" s="1"/>
  <c r="V98" i="31" s="1"/>
  <c r="L98" i="31"/>
  <c r="M98" i="31"/>
  <c r="I96" i="31"/>
  <c r="L175" i="31"/>
  <c r="M175" i="31"/>
  <c r="L163" i="31"/>
  <c r="M163" i="31"/>
  <c r="I161" i="31"/>
  <c r="V161" i="31"/>
  <c r="N160" i="31"/>
  <c r="O160" i="31" s="1"/>
  <c r="R160" i="31" s="1"/>
  <c r="V160" i="31" s="1"/>
  <c r="L151" i="31"/>
  <c r="M151" i="31"/>
  <c r="I149" i="31"/>
  <c r="V149" i="31"/>
  <c r="L139" i="31"/>
  <c r="M139" i="31"/>
  <c r="I137" i="31"/>
  <c r="N136" i="31"/>
  <c r="O136" i="31" s="1"/>
  <c r="R136" i="31" s="1"/>
  <c r="V136" i="31" s="1"/>
  <c r="K127" i="31"/>
  <c r="I125" i="31"/>
  <c r="N124" i="31"/>
  <c r="O124" i="31" s="1"/>
  <c r="R124" i="31" s="1"/>
  <c r="V124" i="31" s="1"/>
  <c r="K115" i="31"/>
  <c r="L115" i="31"/>
  <c r="M115" i="31"/>
  <c r="I113" i="31"/>
  <c r="K103" i="31"/>
  <c r="L103" i="31"/>
  <c r="M103" i="31"/>
  <c r="I101" i="31"/>
  <c r="N100" i="31"/>
  <c r="O100" i="31" s="1"/>
  <c r="R100" i="31" s="1"/>
  <c r="V100" i="31" s="1"/>
  <c r="L91" i="31"/>
  <c r="M91" i="31"/>
  <c r="K91" i="31"/>
  <c r="I89" i="31"/>
  <c r="N88" i="31"/>
  <c r="O88" i="31" s="1"/>
  <c r="R88" i="31" s="1"/>
  <c r="V88" i="31" s="1"/>
  <c r="L79" i="31"/>
  <c r="M79" i="31"/>
  <c r="K79" i="31"/>
  <c r="I77" i="31"/>
  <c r="V77" i="31"/>
  <c r="N76" i="31"/>
  <c r="O76" i="31" s="1"/>
  <c r="R76" i="31" s="1"/>
  <c r="L67" i="31"/>
  <c r="M67" i="31"/>
  <c r="K67" i="31"/>
  <c r="I65" i="31"/>
  <c r="N64" i="31"/>
  <c r="O64" i="31" s="1"/>
  <c r="R64" i="31" s="1"/>
  <c r="V64" i="31" s="1"/>
  <c r="L55" i="31"/>
  <c r="M55" i="31"/>
  <c r="N55" i="31" s="1"/>
  <c r="O55" i="31" s="1"/>
  <c r="R55" i="31" s="1"/>
  <c r="V55" i="31" s="1"/>
  <c r="K55" i="31"/>
  <c r="I53" i="31"/>
  <c r="K43" i="31"/>
  <c r="L43" i="31"/>
  <c r="M43" i="31"/>
  <c r="I41" i="31"/>
  <c r="N40" i="31"/>
  <c r="O40" i="31" s="1"/>
  <c r="R40" i="31" s="1"/>
  <c r="V40" i="31" s="1"/>
  <c r="K31" i="31"/>
  <c r="L31" i="31"/>
  <c r="M31" i="31"/>
  <c r="I29" i="31"/>
  <c r="N28" i="31"/>
  <c r="O28" i="31" s="1"/>
  <c r="R28" i="31" s="1"/>
  <c r="V28" i="31" s="1"/>
  <c r="K19" i="31"/>
  <c r="L19" i="31"/>
  <c r="M19" i="31"/>
  <c r="I17" i="31"/>
  <c r="V17" i="31"/>
  <c r="W176" i="31"/>
  <c r="K175" i="31"/>
  <c r="I136" i="31"/>
  <c r="I16" i="31"/>
  <c r="K102" i="31"/>
  <c r="I153" i="31"/>
  <c r="I141" i="31"/>
  <c r="K107" i="31"/>
  <c r="L107" i="31"/>
  <c r="M107" i="31"/>
  <c r="N107" i="31" s="1"/>
  <c r="O107" i="31" s="1"/>
  <c r="R107" i="31" s="1"/>
  <c r="V107" i="31" s="1"/>
  <c r="N153" i="31"/>
  <c r="O153" i="31" s="1"/>
  <c r="R153" i="31" s="1"/>
  <c r="V153" i="31" s="1"/>
  <c r="N141" i="31"/>
  <c r="O141" i="31" s="1"/>
  <c r="R141" i="31" s="1"/>
  <c r="V141" i="31" s="1"/>
  <c r="M132" i="31"/>
  <c r="N132" i="31" s="1"/>
  <c r="O132" i="31" s="1"/>
  <c r="R132" i="31" s="1"/>
  <c r="V132" i="31" s="1"/>
  <c r="K132" i="31"/>
  <c r="L132" i="31"/>
  <c r="I130" i="31"/>
  <c r="N117" i="31"/>
  <c r="O117" i="31" s="1"/>
  <c r="R117" i="31" s="1"/>
  <c r="N105" i="31"/>
  <c r="O105" i="31" s="1"/>
  <c r="R105" i="31" s="1"/>
  <c r="V105" i="31" s="1"/>
  <c r="M96" i="31"/>
  <c r="K96" i="31"/>
  <c r="N96" i="31" s="1"/>
  <c r="O96" i="31" s="1"/>
  <c r="R96" i="31" s="1"/>
  <c r="V96" i="31" s="1"/>
  <c r="L96" i="31"/>
  <c r="I94" i="31"/>
  <c r="N93" i="31"/>
  <c r="O93" i="31" s="1"/>
  <c r="R93" i="31" s="1"/>
  <c r="V93" i="31" s="1"/>
  <c r="K84" i="31"/>
  <c r="L84" i="31"/>
  <c r="M84" i="31"/>
  <c r="I82" i="31"/>
  <c r="N81" i="31"/>
  <c r="O81" i="31" s="1"/>
  <c r="R81" i="31" s="1"/>
  <c r="V81" i="31" s="1"/>
  <c r="K72" i="31"/>
  <c r="L72" i="31"/>
  <c r="M72" i="31"/>
  <c r="I70" i="31"/>
  <c r="M60" i="31"/>
  <c r="L60" i="31"/>
  <c r="K60" i="31"/>
  <c r="I58" i="31"/>
  <c r="N57" i="31"/>
  <c r="O57" i="31" s="1"/>
  <c r="R57" i="31" s="1"/>
  <c r="V57" i="31" s="1"/>
  <c r="L48" i="31"/>
  <c r="M48" i="31"/>
  <c r="K48" i="31"/>
  <c r="I46" i="31"/>
  <c r="K36" i="31"/>
  <c r="L36" i="31"/>
  <c r="M36" i="31"/>
  <c r="I34" i="31"/>
  <c r="V34" i="31"/>
  <c r="N33" i="31"/>
  <c r="O33" i="31" s="1"/>
  <c r="R33" i="31" s="1"/>
  <c r="K24" i="31"/>
  <c r="L24" i="31"/>
  <c r="M24" i="31"/>
  <c r="I22" i="31"/>
  <c r="N21" i="31"/>
  <c r="O21" i="31" s="1"/>
  <c r="R21" i="31" s="1"/>
  <c r="V21" i="31" s="1"/>
  <c r="V176" i="31"/>
  <c r="K148" i="31"/>
  <c r="K136" i="31"/>
  <c r="I124" i="31"/>
  <c r="K90" i="31"/>
  <c r="M90" i="31"/>
  <c r="L90" i="31"/>
  <c r="N90" i="31" s="1"/>
  <c r="O90" i="31" s="1"/>
  <c r="R90" i="31" s="1"/>
  <c r="V90" i="31" s="1"/>
  <c r="I165" i="31"/>
  <c r="V165" i="31"/>
  <c r="I117" i="31"/>
  <c r="V117" i="31"/>
  <c r="I81" i="31"/>
  <c r="I57" i="31"/>
  <c r="K168" i="31"/>
  <c r="N168" i="31" s="1"/>
  <c r="O168" i="31" s="1"/>
  <c r="R168" i="31" s="1"/>
  <c r="L168" i="31"/>
  <c r="M168" i="31"/>
  <c r="K156" i="31"/>
  <c r="L156" i="31"/>
  <c r="M156" i="31"/>
  <c r="I154" i="31"/>
  <c r="K144" i="31"/>
  <c r="L144" i="31"/>
  <c r="M144" i="31"/>
  <c r="I142" i="31"/>
  <c r="N129" i="31"/>
  <c r="O129" i="31" s="1"/>
  <c r="R129" i="31" s="1"/>
  <c r="M120" i="31"/>
  <c r="L120" i="31"/>
  <c r="I118" i="31"/>
  <c r="M108" i="31"/>
  <c r="K108" i="31"/>
  <c r="L108" i="31"/>
  <c r="I106" i="31"/>
  <c r="L173" i="31"/>
  <c r="N173" i="31" s="1"/>
  <c r="O173" i="31" s="1"/>
  <c r="R173" i="31" s="1"/>
  <c r="T171" i="31"/>
  <c r="U171" i="31"/>
  <c r="X171" i="31" s="1"/>
  <c r="L161" i="31"/>
  <c r="M161" i="31"/>
  <c r="N161" i="31" s="1"/>
  <c r="O161" i="31" s="1"/>
  <c r="R161" i="31" s="1"/>
  <c r="I159" i="31"/>
  <c r="K149" i="31"/>
  <c r="L149" i="31"/>
  <c r="N149" i="31" s="1"/>
  <c r="O149" i="31" s="1"/>
  <c r="R149" i="31" s="1"/>
  <c r="M149" i="31"/>
  <c r="I147" i="31"/>
  <c r="K137" i="31"/>
  <c r="L137" i="31"/>
  <c r="M137" i="31"/>
  <c r="N137" i="31" s="1"/>
  <c r="O137" i="31" s="1"/>
  <c r="R137" i="31" s="1"/>
  <c r="V137" i="31" s="1"/>
  <c r="I135" i="31"/>
  <c r="M125" i="31"/>
  <c r="I123" i="31"/>
  <c r="K113" i="31"/>
  <c r="L113" i="31"/>
  <c r="M113" i="31"/>
  <c r="I111" i="31"/>
  <c r="N110" i="31"/>
  <c r="O110" i="31" s="1"/>
  <c r="R110" i="31" s="1"/>
  <c r="V110" i="31" s="1"/>
  <c r="K101" i="31"/>
  <c r="L101" i="31"/>
  <c r="M101" i="31"/>
  <c r="I99" i="31"/>
  <c r="L89" i="31"/>
  <c r="M89" i="31"/>
  <c r="N89" i="31" s="1"/>
  <c r="O89" i="31" s="1"/>
  <c r="R89" i="31" s="1"/>
  <c r="V89" i="31" s="1"/>
  <c r="K89" i="31"/>
  <c r="I87" i="31"/>
  <c r="L77" i="31"/>
  <c r="N77" i="31" s="1"/>
  <c r="O77" i="31" s="1"/>
  <c r="R77" i="31" s="1"/>
  <c r="K77" i="31"/>
  <c r="I75" i="31"/>
  <c r="N74" i="31"/>
  <c r="O74" i="31" s="1"/>
  <c r="R74" i="31" s="1"/>
  <c r="V74" i="31" s="1"/>
  <c r="L65" i="31"/>
  <c r="M65" i="31"/>
  <c r="K65" i="31"/>
  <c r="I63" i="31"/>
  <c r="N62" i="31"/>
  <c r="O62" i="31" s="1"/>
  <c r="R62" i="31" s="1"/>
  <c r="V62" i="31" s="1"/>
  <c r="L53" i="31"/>
  <c r="N53" i="31" s="1"/>
  <c r="O53" i="31" s="1"/>
  <c r="R53" i="31" s="1"/>
  <c r="V53" i="31" s="1"/>
  <c r="M53" i="31"/>
  <c r="K53" i="31"/>
  <c r="I51" i="31"/>
  <c r="V51" i="31"/>
  <c r="N50" i="31"/>
  <c r="O50" i="31" s="1"/>
  <c r="R50" i="31" s="1"/>
  <c r="V50" i="31" s="1"/>
  <c r="L41" i="31"/>
  <c r="M41" i="31"/>
  <c r="K41" i="31"/>
  <c r="I39" i="31"/>
  <c r="N38" i="31"/>
  <c r="O38" i="31" s="1"/>
  <c r="R38" i="31" s="1"/>
  <c r="L29" i="31"/>
  <c r="M29" i="31"/>
  <c r="K29" i="31"/>
  <c r="I27" i="31"/>
  <c r="N26" i="31"/>
  <c r="O26" i="31" s="1"/>
  <c r="R26" i="31" s="1"/>
  <c r="V26" i="31" s="1"/>
  <c r="L17" i="31"/>
  <c r="M17" i="31"/>
  <c r="K17" i="31"/>
  <c r="I15" i="31"/>
  <c r="I175" i="31"/>
  <c r="V171" i="31"/>
  <c r="K163" i="31"/>
  <c r="K160" i="31"/>
  <c r="I88" i="31"/>
  <c r="I52" i="31"/>
  <c r="K42" i="31"/>
  <c r="L42" i="31"/>
  <c r="N42" i="31" s="1"/>
  <c r="O42" i="31" s="1"/>
  <c r="R42" i="31" s="1"/>
  <c r="V42" i="31" s="1"/>
  <c r="M42" i="31"/>
  <c r="K143" i="31"/>
  <c r="N143" i="31" s="1"/>
  <c r="O143" i="31" s="1"/>
  <c r="R143" i="31" s="1"/>
  <c r="L143" i="31"/>
  <c r="M143" i="31"/>
  <c r="I105" i="31"/>
  <c r="N151" i="31"/>
  <c r="O151" i="31" s="1"/>
  <c r="R151" i="31" s="1"/>
  <c r="L142" i="31"/>
  <c r="N142" i="31" s="1"/>
  <c r="O142" i="31" s="1"/>
  <c r="R142" i="31" s="1"/>
  <c r="V142" i="31" s="1"/>
  <c r="M142" i="31"/>
  <c r="I140" i="31"/>
  <c r="L118" i="31"/>
  <c r="M118" i="31"/>
  <c r="I116" i="31"/>
  <c r="N103" i="31"/>
  <c r="O103" i="31" s="1"/>
  <c r="R103" i="31" s="1"/>
  <c r="V103" i="31" s="1"/>
  <c r="N91" i="31"/>
  <c r="O91" i="31" s="1"/>
  <c r="R91" i="31" s="1"/>
  <c r="L82" i="31"/>
  <c r="M82" i="31"/>
  <c r="N82" i="31" s="1"/>
  <c r="O82" i="31" s="1"/>
  <c r="R82" i="31" s="1"/>
  <c r="V82" i="31" s="1"/>
  <c r="K82" i="31"/>
  <c r="I80" i="31"/>
  <c r="N79" i="31"/>
  <c r="O79" i="31" s="1"/>
  <c r="R79" i="31" s="1"/>
  <c r="V79" i="31" s="1"/>
  <c r="L70" i="31"/>
  <c r="M70" i="31"/>
  <c r="K70" i="31"/>
  <c r="I68" i="31"/>
  <c r="N67" i="31"/>
  <c r="O67" i="31" s="1"/>
  <c r="R67" i="31" s="1"/>
  <c r="V67" i="31" s="1"/>
  <c r="M58" i="31"/>
  <c r="N58" i="31" s="1"/>
  <c r="O58" i="31" s="1"/>
  <c r="R58" i="31" s="1"/>
  <c r="V58" i="31" s="1"/>
  <c r="K58" i="31"/>
  <c r="L58" i="31"/>
  <c r="I56" i="31"/>
  <c r="K46" i="31"/>
  <c r="L46" i="31"/>
  <c r="M46" i="31"/>
  <c r="I44" i="31"/>
  <c r="N43" i="31"/>
  <c r="O43" i="31" s="1"/>
  <c r="R43" i="31" s="1"/>
  <c r="V43" i="31" s="1"/>
  <c r="K34" i="31"/>
  <c r="L34" i="31"/>
  <c r="M34" i="31"/>
  <c r="I32" i="31"/>
  <c r="N31" i="31"/>
  <c r="O31" i="31" s="1"/>
  <c r="R31" i="31" s="1"/>
  <c r="K22" i="31"/>
  <c r="L22" i="31"/>
  <c r="M22" i="31"/>
  <c r="I20" i="31"/>
  <c r="N19" i="31"/>
  <c r="O19" i="31" s="1"/>
  <c r="R19" i="31" s="1"/>
  <c r="V19" i="31" s="1"/>
  <c r="L174" i="31"/>
  <c r="N51" i="31"/>
  <c r="O51" i="31" s="1"/>
  <c r="R51" i="31" s="1"/>
  <c r="I129" i="31"/>
  <c r="V129" i="31"/>
  <c r="N92" i="31"/>
  <c r="O92" i="31" s="1"/>
  <c r="R92" i="31" s="1"/>
  <c r="L59" i="31"/>
  <c r="M59" i="31"/>
  <c r="N59" i="31" s="1"/>
  <c r="O59" i="31" s="1"/>
  <c r="R59" i="31" s="1"/>
  <c r="V59" i="31" s="1"/>
  <c r="K59" i="31"/>
  <c r="N163" i="31"/>
  <c r="O163" i="31" s="1"/>
  <c r="R163" i="31" s="1"/>
  <c r="V163" i="31" s="1"/>
  <c r="N139" i="31"/>
  <c r="O139" i="31" s="1"/>
  <c r="R139" i="31" s="1"/>
  <c r="V139" i="31" s="1"/>
  <c r="K130" i="31"/>
  <c r="L130" i="31"/>
  <c r="M130" i="31"/>
  <c r="I128" i="31"/>
  <c r="N115" i="31"/>
  <c r="O115" i="31" s="1"/>
  <c r="R115" i="31" s="1"/>
  <c r="V115" i="31" s="1"/>
  <c r="K106" i="31"/>
  <c r="L106" i="31"/>
  <c r="M106" i="31"/>
  <c r="I104" i="31"/>
  <c r="M94" i="31"/>
  <c r="K94" i="31"/>
  <c r="I92" i="31"/>
  <c r="V92" i="31"/>
  <c r="M171" i="31"/>
  <c r="K159" i="31"/>
  <c r="L159" i="31"/>
  <c r="M159" i="31"/>
  <c r="I157" i="31"/>
  <c r="N156" i="31"/>
  <c r="O156" i="31" s="1"/>
  <c r="R156" i="31" s="1"/>
  <c r="V156" i="31" s="1"/>
  <c r="K147" i="31"/>
  <c r="N147" i="31" s="1"/>
  <c r="O147" i="31" s="1"/>
  <c r="R147" i="31" s="1"/>
  <c r="V147" i="31" s="1"/>
  <c r="L147" i="31"/>
  <c r="M147" i="31"/>
  <c r="I145" i="31"/>
  <c r="N144" i="31"/>
  <c r="O144" i="31" s="1"/>
  <c r="R144" i="31" s="1"/>
  <c r="V144" i="31" s="1"/>
  <c r="K135" i="31"/>
  <c r="L135" i="31"/>
  <c r="M135" i="31"/>
  <c r="N135" i="31" s="1"/>
  <c r="O135" i="31" s="1"/>
  <c r="R135" i="31" s="1"/>
  <c r="V135" i="31" s="1"/>
  <c r="I133" i="31"/>
  <c r="M123" i="31"/>
  <c r="K123" i="31"/>
  <c r="L123" i="31"/>
  <c r="I121" i="31"/>
  <c r="M111" i="31"/>
  <c r="N111" i="31" s="1"/>
  <c r="O111" i="31" s="1"/>
  <c r="R111" i="31" s="1"/>
  <c r="V111" i="31" s="1"/>
  <c r="K111" i="31"/>
  <c r="L111" i="31"/>
  <c r="I109" i="31"/>
  <c r="N108" i="31"/>
  <c r="O108" i="31" s="1"/>
  <c r="R108" i="31" s="1"/>
  <c r="V108" i="31" s="1"/>
  <c r="M99" i="31"/>
  <c r="K99" i="31"/>
  <c r="N99" i="31" s="1"/>
  <c r="O99" i="31" s="1"/>
  <c r="R99" i="31" s="1"/>
  <c r="V99" i="31" s="1"/>
  <c r="L99" i="31"/>
  <c r="I97" i="31"/>
  <c r="K87" i="31"/>
  <c r="L87" i="31"/>
  <c r="M87" i="31"/>
  <c r="I85" i="31"/>
  <c r="N84" i="31"/>
  <c r="O84" i="31" s="1"/>
  <c r="R84" i="31" s="1"/>
  <c r="V84" i="31" s="1"/>
  <c r="K75" i="31"/>
  <c r="N75" i="31" s="1"/>
  <c r="O75" i="31" s="1"/>
  <c r="R75" i="31" s="1"/>
  <c r="V75" i="31" s="1"/>
  <c r="L75" i="31"/>
  <c r="M75" i="31"/>
  <c r="I73" i="31"/>
  <c r="N72" i="31"/>
  <c r="O72" i="31" s="1"/>
  <c r="R72" i="31" s="1"/>
  <c r="V72" i="31" s="1"/>
  <c r="M63" i="31"/>
  <c r="N63" i="31" s="1"/>
  <c r="O63" i="31" s="1"/>
  <c r="R63" i="31" s="1"/>
  <c r="V63" i="31" s="1"/>
  <c r="K63" i="31"/>
  <c r="L63" i="31"/>
  <c r="I61" i="31"/>
  <c r="V61" i="31"/>
  <c r="N60" i="31"/>
  <c r="O60" i="31" s="1"/>
  <c r="R60" i="31" s="1"/>
  <c r="V60" i="31" s="1"/>
  <c r="L51" i="31"/>
  <c r="M51" i="31"/>
  <c r="K51" i="31"/>
  <c r="I49" i="31"/>
  <c r="N48" i="31"/>
  <c r="O48" i="31" s="1"/>
  <c r="R48" i="31" s="1"/>
  <c r="V48" i="31" s="1"/>
  <c r="K39" i="31"/>
  <c r="L39" i="31"/>
  <c r="M39" i="31"/>
  <c r="N39" i="31" s="1"/>
  <c r="O39" i="31" s="1"/>
  <c r="R39" i="31" s="1"/>
  <c r="V39" i="31" s="1"/>
  <c r="I37" i="31"/>
  <c r="N36" i="31"/>
  <c r="O36" i="31" s="1"/>
  <c r="R36" i="31" s="1"/>
  <c r="V36" i="31" s="1"/>
  <c r="K27" i="31"/>
  <c r="N27" i="31" s="1"/>
  <c r="O27" i="31" s="1"/>
  <c r="R27" i="31" s="1"/>
  <c r="V27" i="31" s="1"/>
  <c r="L27" i="31"/>
  <c r="M27" i="31"/>
  <c r="I25" i="31"/>
  <c r="N24" i="31"/>
  <c r="O24" i="31" s="1"/>
  <c r="R24" i="31" s="1"/>
  <c r="V24" i="31" s="1"/>
  <c r="I178" i="31"/>
  <c r="K174" i="31"/>
  <c r="M167" i="31"/>
  <c r="I163" i="31"/>
  <c r="K155" i="31"/>
  <c r="V151" i="31"/>
  <c r="V145" i="31"/>
  <c r="L125" i="31"/>
  <c r="N125" i="31" s="1"/>
  <c r="O125" i="31" s="1"/>
  <c r="R125" i="31" s="1"/>
  <c r="V125" i="31" s="1"/>
  <c r="K150" i="31"/>
  <c r="L150" i="31"/>
  <c r="M150" i="31"/>
  <c r="N150" i="31" s="1"/>
  <c r="O150" i="31" s="1"/>
  <c r="R150" i="31" s="1"/>
  <c r="V150" i="31" s="1"/>
  <c r="I112" i="31"/>
  <c r="V112" i="31"/>
  <c r="I100" i="31"/>
  <c r="K18" i="31"/>
  <c r="L18" i="31"/>
  <c r="N18" i="31" s="1"/>
  <c r="O18" i="31" s="1"/>
  <c r="R18" i="31" s="1"/>
  <c r="V18" i="31" s="1"/>
  <c r="M18" i="31"/>
  <c r="T177" i="31"/>
  <c r="U177" i="31"/>
  <c r="X177" i="31" s="1"/>
  <c r="N165" i="31"/>
  <c r="O165" i="31" s="1"/>
  <c r="R165" i="31" s="1"/>
  <c r="L178" i="31"/>
  <c r="M178" i="31"/>
  <c r="N178" i="31" s="1"/>
  <c r="O178" i="31" s="1"/>
  <c r="R178" i="31" s="1"/>
  <c r="V178" i="31" s="1"/>
  <c r="L166" i="31"/>
  <c r="M166" i="31"/>
  <c r="I152" i="31"/>
  <c r="I162" i="31"/>
  <c r="V162" i="31"/>
  <c r="I150" i="31"/>
  <c r="I138" i="31"/>
  <c r="V138" i="31"/>
  <c r="K128" i="31"/>
  <c r="L128" i="31"/>
  <c r="M128" i="31"/>
  <c r="N128" i="31" s="1"/>
  <c r="O128" i="31" s="1"/>
  <c r="R128" i="31" s="1"/>
  <c r="V128" i="31" s="1"/>
  <c r="K116" i="31"/>
  <c r="L116" i="31"/>
  <c r="N116" i="31" s="1"/>
  <c r="O116" i="31" s="1"/>
  <c r="R116" i="31" s="1"/>
  <c r="V116" i="31" s="1"/>
  <c r="M116" i="31"/>
  <c r="I114" i="31"/>
  <c r="V114" i="31"/>
  <c r="N101" i="31"/>
  <c r="O101" i="31" s="1"/>
  <c r="R101" i="31" s="1"/>
  <c r="V101" i="31" s="1"/>
  <c r="K92" i="31"/>
  <c r="L92" i="31"/>
  <c r="M92" i="31"/>
  <c r="I90" i="31"/>
  <c r="L80" i="31"/>
  <c r="M80" i="31"/>
  <c r="N80" i="31" s="1"/>
  <c r="O80" i="31" s="1"/>
  <c r="R80" i="31" s="1"/>
  <c r="V80" i="31" s="1"/>
  <c r="K80" i="31"/>
  <c r="I78" i="31"/>
  <c r="V78" i="31"/>
  <c r="K68" i="31"/>
  <c r="L68" i="31"/>
  <c r="M68" i="31"/>
  <c r="I66" i="31"/>
  <c r="V66" i="31"/>
  <c r="N65" i="31"/>
  <c r="O65" i="31" s="1"/>
  <c r="R65" i="31" s="1"/>
  <c r="V65" i="31" s="1"/>
  <c r="L56" i="31"/>
  <c r="M56" i="31"/>
  <c r="N56" i="31" s="1"/>
  <c r="O56" i="31" s="1"/>
  <c r="R56" i="31" s="1"/>
  <c r="V56" i="31" s="1"/>
  <c r="K56" i="31"/>
  <c r="I54" i="31"/>
  <c r="L44" i="31"/>
  <c r="N44" i="31" s="1"/>
  <c r="O44" i="31" s="1"/>
  <c r="R44" i="31" s="1"/>
  <c r="V44" i="31" s="1"/>
  <c r="M44" i="31"/>
  <c r="K44" i="31"/>
  <c r="I42" i="31"/>
  <c r="N41" i="31"/>
  <c r="O41" i="31" s="1"/>
  <c r="R41" i="31" s="1"/>
  <c r="V41" i="31" s="1"/>
  <c r="L32" i="31"/>
  <c r="M32" i="31"/>
  <c r="N32" i="31" s="1"/>
  <c r="O32" i="31" s="1"/>
  <c r="R32" i="31" s="1"/>
  <c r="V32" i="31" s="1"/>
  <c r="K32" i="31"/>
  <c r="I30" i="31"/>
  <c r="N29" i="31"/>
  <c r="O29" i="31" s="1"/>
  <c r="R29" i="31" s="1"/>
  <c r="V29" i="31" s="1"/>
  <c r="L20" i="31"/>
  <c r="M20" i="31"/>
  <c r="K20" i="31"/>
  <c r="I18" i="31"/>
  <c r="N17" i="31"/>
  <c r="O17" i="31" s="1"/>
  <c r="R17" i="31" s="1"/>
  <c r="L177" i="31"/>
  <c r="K167" i="31"/>
  <c r="N167" i="31" s="1"/>
  <c r="O167" i="31" s="1"/>
  <c r="R167" i="31" s="1"/>
  <c r="V167" i="31" s="1"/>
  <c r="L129" i="31"/>
  <c r="M127" i="31"/>
  <c r="N127" i="31" s="1"/>
  <c r="O127" i="31" s="1"/>
  <c r="R127" i="31" s="1"/>
  <c r="V127" i="31" s="1"/>
  <c r="K125" i="31"/>
  <c r="N87" i="31"/>
  <c r="O87" i="31" s="1"/>
  <c r="R87" i="31" s="1"/>
  <c r="V87" i="31" s="1"/>
  <c r="I76" i="31"/>
  <c r="V76" i="31"/>
  <c r="N68" i="31"/>
  <c r="O68" i="31" s="1"/>
  <c r="R68" i="31" s="1"/>
  <c r="V68" i="31" s="1"/>
  <c r="L47" i="31"/>
  <c r="M47" i="31"/>
  <c r="K47" i="31"/>
  <c r="U176" i="31"/>
  <c r="X176" i="31" s="1"/>
  <c r="I164" i="31"/>
  <c r="V164" i="31"/>
  <c r="L154" i="31"/>
  <c r="M154" i="31"/>
  <c r="N154" i="31" s="1"/>
  <c r="O154" i="31" s="1"/>
  <c r="R154" i="31" s="1"/>
  <c r="V154" i="31" s="1"/>
  <c r="T174" i="31"/>
  <c r="U174" i="31"/>
  <c r="X174" i="31" s="1"/>
  <c r="K152" i="31"/>
  <c r="L152" i="31"/>
  <c r="M152" i="31"/>
  <c r="K140" i="31"/>
  <c r="L140" i="31"/>
  <c r="N140" i="31" s="1"/>
  <c r="O140" i="31" s="1"/>
  <c r="R140" i="31" s="1"/>
  <c r="V140" i="31" s="1"/>
  <c r="M140" i="31"/>
  <c r="I126" i="31"/>
  <c r="V126" i="31"/>
  <c r="N113" i="31"/>
  <c r="O113" i="31" s="1"/>
  <c r="R113" i="31" s="1"/>
  <c r="V113" i="31" s="1"/>
  <c r="K104" i="31"/>
  <c r="L104" i="31"/>
  <c r="M104" i="31"/>
  <c r="I102" i="31"/>
  <c r="V102" i="31"/>
  <c r="L169" i="31"/>
  <c r="M169" i="31"/>
  <c r="I167" i="31"/>
  <c r="N166" i="31"/>
  <c r="O166" i="31" s="1"/>
  <c r="R166" i="31" s="1"/>
  <c r="W166" i="31" s="1"/>
  <c r="L157" i="31"/>
  <c r="M157" i="31"/>
  <c r="N157" i="31" s="1"/>
  <c r="O157" i="31" s="1"/>
  <c r="R157" i="31" s="1"/>
  <c r="V157" i="31" s="1"/>
  <c r="I155" i="31"/>
  <c r="L145" i="31"/>
  <c r="M145" i="31"/>
  <c r="I143" i="31"/>
  <c r="V143" i="31"/>
  <c r="L133" i="31"/>
  <c r="M133" i="31"/>
  <c r="N133" i="31" s="1"/>
  <c r="O133" i="31" s="1"/>
  <c r="R133" i="31" s="1"/>
  <c r="V133" i="31" s="1"/>
  <c r="I131" i="31"/>
  <c r="V131" i="31"/>
  <c r="N130" i="31"/>
  <c r="O130" i="31" s="1"/>
  <c r="R130" i="31" s="1"/>
  <c r="V130" i="31" s="1"/>
  <c r="M121" i="31"/>
  <c r="L121" i="31"/>
  <c r="I119" i="31"/>
  <c r="N118" i="31"/>
  <c r="O118" i="31" s="1"/>
  <c r="R118" i="31" s="1"/>
  <c r="V118" i="31" s="1"/>
  <c r="K109" i="31"/>
  <c r="L109" i="31"/>
  <c r="M109" i="31"/>
  <c r="N109" i="31" s="1"/>
  <c r="O109" i="31" s="1"/>
  <c r="R109" i="31" s="1"/>
  <c r="V109" i="31" s="1"/>
  <c r="I107" i="31"/>
  <c r="N106" i="31"/>
  <c r="O106" i="31" s="1"/>
  <c r="R106" i="31" s="1"/>
  <c r="V106" i="31" s="1"/>
  <c r="M97" i="31"/>
  <c r="K97" i="31"/>
  <c r="N97" i="31" s="1"/>
  <c r="O97" i="31" s="1"/>
  <c r="R97" i="31" s="1"/>
  <c r="V97" i="31" s="1"/>
  <c r="L97" i="31"/>
  <c r="I95" i="31"/>
  <c r="N94" i="31"/>
  <c r="O94" i="31" s="1"/>
  <c r="R94" i="31" s="1"/>
  <c r="V94" i="31" s="1"/>
  <c r="L85" i="31"/>
  <c r="M85" i="31"/>
  <c r="N85" i="31" s="1"/>
  <c r="O85" i="31" s="1"/>
  <c r="R85" i="31" s="1"/>
  <c r="V85" i="31" s="1"/>
  <c r="K85" i="31"/>
  <c r="I83" i="31"/>
  <c r="L73" i="31"/>
  <c r="M73" i="31"/>
  <c r="K73" i="31"/>
  <c r="N73" i="31" s="1"/>
  <c r="O73" i="31" s="1"/>
  <c r="R73" i="31" s="1"/>
  <c r="V73" i="31" s="1"/>
  <c r="I71" i="31"/>
  <c r="V71" i="31"/>
  <c r="N70" i="31"/>
  <c r="O70" i="31" s="1"/>
  <c r="R70" i="31" s="1"/>
  <c r="V70" i="31" s="1"/>
  <c r="M61" i="31"/>
  <c r="K61" i="31"/>
  <c r="L61" i="31"/>
  <c r="I59" i="31"/>
  <c r="L49" i="31"/>
  <c r="M49" i="31"/>
  <c r="K49" i="31"/>
  <c r="N49" i="31" s="1"/>
  <c r="O49" i="31" s="1"/>
  <c r="R49" i="31" s="1"/>
  <c r="V49" i="31" s="1"/>
  <c r="I47" i="31"/>
  <c r="N46" i="31"/>
  <c r="O46" i="31" s="1"/>
  <c r="R46" i="31" s="1"/>
  <c r="V46" i="31" s="1"/>
  <c r="K37" i="31"/>
  <c r="L37" i="31"/>
  <c r="M37" i="31"/>
  <c r="N37" i="31" s="1"/>
  <c r="O37" i="31" s="1"/>
  <c r="R37" i="31" s="1"/>
  <c r="V37" i="31" s="1"/>
  <c r="I35" i="31"/>
  <c r="V35" i="31"/>
  <c r="N34" i="31"/>
  <c r="O34" i="31" s="1"/>
  <c r="R34" i="31" s="1"/>
  <c r="K25" i="31"/>
  <c r="N25" i="31" s="1"/>
  <c r="O25" i="31" s="1"/>
  <c r="R25" i="31" s="1"/>
  <c r="V25" i="31" s="1"/>
  <c r="L25" i="31"/>
  <c r="M25" i="31"/>
  <c r="I23" i="31"/>
  <c r="V23" i="31"/>
  <c r="N22" i="31"/>
  <c r="O22" i="31" s="1"/>
  <c r="R22" i="31" s="1"/>
  <c r="V22" i="31" s="1"/>
  <c r="K177" i="31"/>
  <c r="M173" i="31"/>
  <c r="M164" i="31"/>
  <c r="K158" i="31"/>
  <c r="L131" i="31"/>
  <c r="K129" i="31"/>
  <c r="L127" i="31"/>
  <c r="K120" i="31"/>
  <c r="N120" i="31" s="1"/>
  <c r="O120" i="31" s="1"/>
  <c r="R120" i="31" s="1"/>
  <c r="V120" i="31" s="1"/>
  <c r="K15" i="31"/>
  <c r="L15" i="31"/>
  <c r="M15" i="31"/>
  <c r="N15" i="31" s="1"/>
  <c r="O15" i="31" s="1"/>
  <c r="R15" i="31" s="1"/>
  <c r="V15" i="31" s="1"/>
  <c r="P15" i="32"/>
  <c r="Q15" i="32" s="1"/>
  <c r="R15" i="32" s="1"/>
  <c r="T15" i="32"/>
  <c r="P16" i="32"/>
  <c r="Q16" i="32" s="1"/>
  <c r="R16" i="32" s="1"/>
  <c r="T16" i="32"/>
  <c r="P17" i="32"/>
  <c r="Q17" i="32" s="1"/>
  <c r="R17" i="32" s="1"/>
  <c r="T17" i="32"/>
  <c r="P18" i="32"/>
  <c r="Q18" i="32"/>
  <c r="R18" i="32" s="1"/>
  <c r="T18" i="32"/>
  <c r="B15" i="32"/>
  <c r="C15" i="32"/>
  <c r="D15" i="32"/>
  <c r="E15" i="32"/>
  <c r="K15" i="32" s="1"/>
  <c r="F15" i="32"/>
  <c r="G15" i="32"/>
  <c r="I15" i="32" s="1"/>
  <c r="B16" i="32"/>
  <c r="C16" i="32"/>
  <c r="D16" i="32"/>
  <c r="E16" i="32"/>
  <c r="F16" i="32"/>
  <c r="G16" i="32"/>
  <c r="B17" i="32"/>
  <c r="C17" i="32"/>
  <c r="D17" i="32"/>
  <c r="L17" i="32" s="1"/>
  <c r="E17" i="32"/>
  <c r="F17" i="32"/>
  <c r="G17" i="32"/>
  <c r="B18" i="32"/>
  <c r="C18" i="32"/>
  <c r="D18" i="32"/>
  <c r="K18" i="32" s="1"/>
  <c r="E18" i="32"/>
  <c r="F18" i="32"/>
  <c r="G18" i="32"/>
  <c r="O15" i="8"/>
  <c r="O16" i="8"/>
  <c r="O17" i="8"/>
  <c r="O18" i="8"/>
  <c r="B15" i="8"/>
  <c r="C15" i="8"/>
  <c r="D15" i="8"/>
  <c r="E15" i="8"/>
  <c r="J15" i="8" s="1"/>
  <c r="F15" i="8"/>
  <c r="G15" i="8"/>
  <c r="B16" i="8"/>
  <c r="C16" i="8"/>
  <c r="D16" i="8"/>
  <c r="E16" i="8"/>
  <c r="F16" i="8"/>
  <c r="G16" i="8"/>
  <c r="B17" i="8"/>
  <c r="C17" i="8"/>
  <c r="D17" i="8"/>
  <c r="E17" i="8"/>
  <c r="F17" i="8"/>
  <c r="G17" i="8"/>
  <c r="B18" i="8"/>
  <c r="C18" i="8"/>
  <c r="D18" i="8"/>
  <c r="E18" i="8"/>
  <c r="F18" i="8"/>
  <c r="G18" i="8"/>
  <c r="O15" i="30"/>
  <c r="O16" i="30"/>
  <c r="O17" i="30"/>
  <c r="O18" i="30"/>
  <c r="B15" i="30"/>
  <c r="C15" i="30"/>
  <c r="D15" i="30"/>
  <c r="E15" i="30"/>
  <c r="F15" i="30"/>
  <c r="G15" i="30"/>
  <c r="B16" i="30"/>
  <c r="C16" i="30"/>
  <c r="D16" i="30"/>
  <c r="E16" i="30"/>
  <c r="K16" i="30" s="1"/>
  <c r="F16" i="30"/>
  <c r="G16" i="30"/>
  <c r="B17" i="30"/>
  <c r="C17" i="30"/>
  <c r="D17" i="30"/>
  <c r="E17" i="30"/>
  <c r="J17" i="30" s="1"/>
  <c r="F17" i="30"/>
  <c r="G17" i="30"/>
  <c r="B18" i="30"/>
  <c r="C18" i="30"/>
  <c r="D18" i="30"/>
  <c r="J18" i="30" s="1"/>
  <c r="E18" i="30"/>
  <c r="F18" i="30"/>
  <c r="G18" i="30"/>
  <c r="S10" i="32"/>
  <c r="T168" i="31" l="1"/>
  <c r="V168" i="31"/>
  <c r="U168" i="31"/>
  <c r="X168" i="31" s="1"/>
  <c r="W168" i="31"/>
  <c r="Z171" i="31"/>
  <c r="AB171" i="31"/>
  <c r="AA171" i="31"/>
  <c r="U173" i="31"/>
  <c r="X173" i="31" s="1"/>
  <c r="V173" i="31"/>
  <c r="T173" i="31"/>
  <c r="W173" i="31"/>
  <c r="Y173" i="31" s="1"/>
  <c r="Y166" i="31"/>
  <c r="AB177" i="31"/>
  <c r="Z177" i="31"/>
  <c r="AA177" i="31"/>
  <c r="T179" i="31"/>
  <c r="V179" i="31"/>
  <c r="U179" i="31"/>
  <c r="X179" i="31" s="1"/>
  <c r="W179" i="31"/>
  <c r="Y179" i="31" s="1"/>
  <c r="T18" i="31"/>
  <c r="U18" i="31"/>
  <c r="X18" i="31" s="1"/>
  <c r="W18" i="31"/>
  <c r="Y18" i="31" s="1"/>
  <c r="T77" i="31"/>
  <c r="U77" i="31"/>
  <c r="X77" i="31" s="1"/>
  <c r="W77" i="31"/>
  <c r="T33" i="31"/>
  <c r="U33" i="31"/>
  <c r="X33" i="31" s="1"/>
  <c r="W33" i="31"/>
  <c r="T38" i="31"/>
  <c r="U38" i="31"/>
  <c r="X38" i="31" s="1"/>
  <c r="W38" i="31"/>
  <c r="Y38" i="31" s="1"/>
  <c r="U98" i="31"/>
  <c r="X98" i="31" s="1"/>
  <c r="T98" i="31"/>
  <c r="W98" i="31"/>
  <c r="Y98" i="31" s="1"/>
  <c r="T71" i="31"/>
  <c r="U71" i="31"/>
  <c r="X71" i="31" s="1"/>
  <c r="W71" i="31"/>
  <c r="T42" i="31"/>
  <c r="U42" i="31"/>
  <c r="X42" i="31" s="1"/>
  <c r="W42" i="31"/>
  <c r="T61" i="31"/>
  <c r="U61" i="31"/>
  <c r="X61" i="31" s="1"/>
  <c r="W61" i="31"/>
  <c r="Y61" i="31" s="1"/>
  <c r="U85" i="31"/>
  <c r="X85" i="31" s="1"/>
  <c r="W85" i="31"/>
  <c r="T85" i="31"/>
  <c r="U92" i="31"/>
  <c r="X92" i="31" s="1"/>
  <c r="W92" i="31"/>
  <c r="Y92" i="31" s="1"/>
  <c r="T92" i="31"/>
  <c r="U128" i="31"/>
  <c r="X128" i="31" s="1"/>
  <c r="T128" i="31"/>
  <c r="W128" i="31"/>
  <c r="T51" i="31"/>
  <c r="U51" i="31"/>
  <c r="X51" i="31" s="1"/>
  <c r="W51" i="31"/>
  <c r="Y51" i="31" s="1"/>
  <c r="T165" i="31"/>
  <c r="U165" i="31"/>
  <c r="X165" i="31" s="1"/>
  <c r="W165" i="31"/>
  <c r="T34" i="31"/>
  <c r="U34" i="31"/>
  <c r="X34" i="31" s="1"/>
  <c r="W34" i="31"/>
  <c r="T16" i="31"/>
  <c r="U16" i="31"/>
  <c r="X16" i="31" s="1"/>
  <c r="W16" i="31"/>
  <c r="U96" i="31"/>
  <c r="X96" i="31" s="1"/>
  <c r="T96" i="31"/>
  <c r="W96" i="31"/>
  <c r="Y96" i="31" s="1"/>
  <c r="T31" i="31"/>
  <c r="U31" i="31"/>
  <c r="X31" i="31" s="1"/>
  <c r="W31" i="31"/>
  <c r="U122" i="31"/>
  <c r="X122" i="31" s="1"/>
  <c r="W122" i="31"/>
  <c r="Y122" i="31" s="1"/>
  <c r="T122" i="31"/>
  <c r="T37" i="31"/>
  <c r="U37" i="31"/>
  <c r="X37" i="31" s="1"/>
  <c r="W37" i="31"/>
  <c r="W178" i="31"/>
  <c r="T178" i="31"/>
  <c r="U178" i="31"/>
  <c r="X178" i="31" s="1"/>
  <c r="T129" i="31"/>
  <c r="U129" i="31"/>
  <c r="X129" i="31" s="1"/>
  <c r="W129" i="31"/>
  <c r="T24" i="31"/>
  <c r="U24" i="31"/>
  <c r="X24" i="31" s="1"/>
  <c r="W24" i="31"/>
  <c r="T68" i="31"/>
  <c r="U68" i="31"/>
  <c r="X68" i="31" s="1"/>
  <c r="W68" i="31"/>
  <c r="T52" i="31"/>
  <c r="U52" i="31"/>
  <c r="X52" i="31" s="1"/>
  <c r="W52" i="31"/>
  <c r="Y52" i="31" s="1"/>
  <c r="T142" i="31"/>
  <c r="U142" i="31"/>
  <c r="X142" i="31" s="1"/>
  <c r="W142" i="31"/>
  <c r="T41" i="31"/>
  <c r="U41" i="31"/>
  <c r="X41" i="31" s="1"/>
  <c r="W41" i="31"/>
  <c r="U101" i="31"/>
  <c r="X101" i="31" s="1"/>
  <c r="T101" i="31"/>
  <c r="W101" i="31"/>
  <c r="T48" i="31"/>
  <c r="U48" i="31"/>
  <c r="X48" i="31" s="1"/>
  <c r="W48" i="31"/>
  <c r="Y48" i="31" s="1"/>
  <c r="T156" i="31"/>
  <c r="U156" i="31"/>
  <c r="X156" i="31" s="1"/>
  <c r="W156" i="31"/>
  <c r="T175" i="31"/>
  <c r="U175" i="31"/>
  <c r="X175" i="31" s="1"/>
  <c r="W175" i="31"/>
  <c r="T17" i="31"/>
  <c r="U17" i="31"/>
  <c r="X17" i="31" s="1"/>
  <c r="W17" i="31"/>
  <c r="T167" i="31"/>
  <c r="U167" i="31"/>
  <c r="X167" i="31" s="1"/>
  <c r="W167" i="31"/>
  <c r="Y167" i="31" s="1"/>
  <c r="T162" i="31"/>
  <c r="U162" i="31"/>
  <c r="X162" i="31" s="1"/>
  <c r="W162" i="31"/>
  <c r="T35" i="31"/>
  <c r="U35" i="31"/>
  <c r="X35" i="31" s="1"/>
  <c r="W35" i="31"/>
  <c r="U95" i="31"/>
  <c r="X95" i="31" s="1"/>
  <c r="W95" i="31"/>
  <c r="Y95" i="31" s="1"/>
  <c r="T95" i="31"/>
  <c r="U126" i="31"/>
  <c r="X126" i="31" s="1"/>
  <c r="W126" i="31"/>
  <c r="T126" i="31"/>
  <c r="T164" i="31"/>
  <c r="U164" i="31"/>
  <c r="X164" i="31" s="1"/>
  <c r="W164" i="31"/>
  <c r="T66" i="31"/>
  <c r="U66" i="31"/>
  <c r="X66" i="31" s="1"/>
  <c r="W66" i="31"/>
  <c r="T133" i="31"/>
  <c r="U133" i="31"/>
  <c r="X133" i="31" s="1"/>
  <c r="W133" i="31"/>
  <c r="T157" i="31"/>
  <c r="U157" i="31"/>
  <c r="X157" i="31" s="1"/>
  <c r="W157" i="31"/>
  <c r="Y157" i="31" s="1"/>
  <c r="T75" i="31"/>
  <c r="U75" i="31"/>
  <c r="X75" i="31" s="1"/>
  <c r="W75" i="31"/>
  <c r="T147" i="31"/>
  <c r="U147" i="31"/>
  <c r="X147" i="31" s="1"/>
  <c r="W147" i="31"/>
  <c r="T58" i="31"/>
  <c r="U58" i="31"/>
  <c r="X58" i="31" s="1"/>
  <c r="W58" i="31"/>
  <c r="T136" i="31"/>
  <c r="U136" i="31"/>
  <c r="X136" i="31" s="1"/>
  <c r="W136" i="31"/>
  <c r="Y136" i="31" s="1"/>
  <c r="T65" i="31"/>
  <c r="U65" i="31"/>
  <c r="X65" i="31" s="1"/>
  <c r="W65" i="31"/>
  <c r="U125" i="31"/>
  <c r="X125" i="31" s="1"/>
  <c r="T125" i="31"/>
  <c r="W125" i="31"/>
  <c r="T72" i="31"/>
  <c r="U72" i="31"/>
  <c r="X72" i="31" s="1"/>
  <c r="W72" i="31"/>
  <c r="T132" i="31"/>
  <c r="U132" i="31"/>
  <c r="X132" i="31" s="1"/>
  <c r="W132" i="31"/>
  <c r="T64" i="31"/>
  <c r="U64" i="31"/>
  <c r="X64" i="31" s="1"/>
  <c r="W64" i="31"/>
  <c r="T55" i="31"/>
  <c r="U55" i="31"/>
  <c r="X55" i="31" s="1"/>
  <c r="W55" i="31"/>
  <c r="V166" i="31"/>
  <c r="T45" i="31"/>
  <c r="U45" i="31"/>
  <c r="X45" i="31" s="1"/>
  <c r="W45" i="31"/>
  <c r="U62" i="31"/>
  <c r="X62" i="31" s="1"/>
  <c r="T62" i="31"/>
  <c r="W62" i="31"/>
  <c r="T88" i="31"/>
  <c r="U88" i="31"/>
  <c r="X88" i="31" s="1"/>
  <c r="W88" i="31"/>
  <c r="Y88" i="31" s="1"/>
  <c r="U99" i="31"/>
  <c r="X99" i="31" s="1"/>
  <c r="T99" i="31"/>
  <c r="W99" i="31"/>
  <c r="T106" i="31"/>
  <c r="U106" i="31"/>
  <c r="X106" i="31" s="1"/>
  <c r="W106" i="31"/>
  <c r="T82" i="31"/>
  <c r="W82" i="31"/>
  <c r="U82" i="31"/>
  <c r="X82" i="31" s="1"/>
  <c r="T108" i="31"/>
  <c r="U108" i="31"/>
  <c r="X108" i="31" s="1"/>
  <c r="W108" i="31"/>
  <c r="Y108" i="31" s="1"/>
  <c r="T79" i="31"/>
  <c r="U79" i="31"/>
  <c r="X79" i="31" s="1"/>
  <c r="W79" i="31"/>
  <c r="U131" i="31"/>
  <c r="X131" i="31" s="1"/>
  <c r="T131" i="31"/>
  <c r="W131" i="31"/>
  <c r="T94" i="31"/>
  <c r="U94" i="31"/>
  <c r="X94" i="31" s="1"/>
  <c r="W94" i="31"/>
  <c r="T91" i="31"/>
  <c r="U91" i="31"/>
  <c r="X91" i="31" s="1"/>
  <c r="W91" i="31"/>
  <c r="Y91" i="31" s="1"/>
  <c r="T139" i="31"/>
  <c r="U139" i="31"/>
  <c r="X139" i="31" s="1"/>
  <c r="W139" i="31"/>
  <c r="U170" i="31"/>
  <c r="X170" i="31" s="1"/>
  <c r="T170" i="31"/>
  <c r="W170" i="31"/>
  <c r="T143" i="31"/>
  <c r="U143" i="31"/>
  <c r="X143" i="31" s="1"/>
  <c r="W143" i="31"/>
  <c r="T105" i="31"/>
  <c r="U105" i="31"/>
  <c r="X105" i="31" s="1"/>
  <c r="W105" i="31"/>
  <c r="Y105" i="31" s="1"/>
  <c r="U119" i="31"/>
  <c r="X119" i="31" s="1"/>
  <c r="W119" i="31"/>
  <c r="T119" i="31"/>
  <c r="U123" i="31"/>
  <c r="X123" i="31" s="1"/>
  <c r="W123" i="31"/>
  <c r="T123" i="31"/>
  <c r="T57" i="31"/>
  <c r="U57" i="31"/>
  <c r="X57" i="31" s="1"/>
  <c r="W57" i="31"/>
  <c r="T161" i="31"/>
  <c r="U161" i="31"/>
  <c r="X161" i="31" s="1"/>
  <c r="W161" i="31"/>
  <c r="Y161" i="31" s="1"/>
  <c r="T151" i="31"/>
  <c r="U151" i="31"/>
  <c r="X151" i="31" s="1"/>
  <c r="W151" i="31"/>
  <c r="T146" i="31"/>
  <c r="U146" i="31"/>
  <c r="X146" i="31" s="1"/>
  <c r="W146" i="31"/>
  <c r="T148" i="31"/>
  <c r="U148" i="31"/>
  <c r="X148" i="31" s="1"/>
  <c r="W148" i="31"/>
  <c r="T26" i="31"/>
  <c r="U26" i="31"/>
  <c r="X26" i="31" s="1"/>
  <c r="W26" i="31"/>
  <c r="Y26" i="31" s="1"/>
  <c r="T86" i="31"/>
  <c r="U86" i="31"/>
  <c r="X86" i="31" s="1"/>
  <c r="W86" i="31"/>
  <c r="T28" i="31"/>
  <c r="U28" i="31"/>
  <c r="X28" i="31" s="1"/>
  <c r="W28" i="31"/>
  <c r="U59" i="31"/>
  <c r="X59" i="31" s="1"/>
  <c r="T59" i="31"/>
  <c r="W59" i="31"/>
  <c r="T30" i="31"/>
  <c r="U30" i="31"/>
  <c r="X30" i="31" s="1"/>
  <c r="W30" i="31"/>
  <c r="Y30" i="31" s="1"/>
  <c r="W100" i="31"/>
  <c r="Y100" i="31" s="1"/>
  <c r="T100" i="31"/>
  <c r="U100" i="31"/>
  <c r="X100" i="31" s="1"/>
  <c r="T49" i="31"/>
  <c r="U49" i="31"/>
  <c r="X49" i="31" s="1"/>
  <c r="W49" i="31"/>
  <c r="U104" i="31"/>
  <c r="X104" i="31" s="1"/>
  <c r="W104" i="31"/>
  <c r="Y104" i="31" s="1"/>
  <c r="T104" i="31"/>
  <c r="T39" i="31"/>
  <c r="U39" i="31"/>
  <c r="X39" i="31" s="1"/>
  <c r="W39" i="31"/>
  <c r="Y39" i="31" s="1"/>
  <c r="T22" i="31"/>
  <c r="U22" i="31"/>
  <c r="X22" i="31" s="1"/>
  <c r="W22" i="31"/>
  <c r="T19" i="31"/>
  <c r="U19" i="31"/>
  <c r="X19" i="31" s="1"/>
  <c r="W19" i="31"/>
  <c r="T103" i="31"/>
  <c r="U103" i="31"/>
  <c r="X103" i="31" s="1"/>
  <c r="W103" i="31"/>
  <c r="T21" i="31"/>
  <c r="U21" i="31"/>
  <c r="X21" i="31" s="1"/>
  <c r="W21" i="31"/>
  <c r="Y21" i="31" s="1"/>
  <c r="T152" i="31"/>
  <c r="U152" i="31"/>
  <c r="X152" i="31" s="1"/>
  <c r="W152" i="31"/>
  <c r="T25" i="31"/>
  <c r="U25" i="31"/>
  <c r="X25" i="31" s="1"/>
  <c r="W25" i="31"/>
  <c r="T109" i="31"/>
  <c r="U109" i="31"/>
  <c r="X109" i="31" s="1"/>
  <c r="W109" i="31"/>
  <c r="T15" i="31"/>
  <c r="U15" i="31"/>
  <c r="X15" i="31" s="1"/>
  <c r="W15" i="31"/>
  <c r="Y15" i="31" s="1"/>
  <c r="T32" i="31"/>
  <c r="U32" i="31"/>
  <c r="X32" i="31" s="1"/>
  <c r="W32" i="31"/>
  <c r="U116" i="31"/>
  <c r="X116" i="31" s="1"/>
  <c r="W116" i="31"/>
  <c r="T116" i="31"/>
  <c r="T73" i="31"/>
  <c r="U73" i="31"/>
  <c r="X73" i="31" s="1"/>
  <c r="W73" i="31"/>
  <c r="T154" i="31"/>
  <c r="U154" i="31"/>
  <c r="X154" i="31" s="1"/>
  <c r="W154" i="31"/>
  <c r="Y154" i="31" s="1"/>
  <c r="T124" i="31"/>
  <c r="U124" i="31"/>
  <c r="X124" i="31" s="1"/>
  <c r="W124" i="31"/>
  <c r="T141" i="31"/>
  <c r="U141" i="31"/>
  <c r="X141" i="31" s="1"/>
  <c r="W141" i="31"/>
  <c r="T29" i="31"/>
  <c r="U29" i="31"/>
  <c r="X29" i="31" s="1"/>
  <c r="W29" i="31"/>
  <c r="U89" i="31"/>
  <c r="X89" i="31" s="1"/>
  <c r="T89" i="31"/>
  <c r="W89" i="31"/>
  <c r="Y89" i="31" s="1"/>
  <c r="T137" i="31"/>
  <c r="U137" i="31"/>
  <c r="X137" i="31" s="1"/>
  <c r="W137" i="31"/>
  <c r="U120" i="31"/>
  <c r="X120" i="31" s="1"/>
  <c r="T120" i="31"/>
  <c r="W120" i="31"/>
  <c r="T36" i="31"/>
  <c r="U36" i="31"/>
  <c r="X36" i="31" s="1"/>
  <c r="W36" i="31"/>
  <c r="T127" i="31"/>
  <c r="U127" i="31"/>
  <c r="X127" i="31" s="1"/>
  <c r="W127" i="31"/>
  <c r="Y127" i="31" s="1"/>
  <c r="T158" i="31"/>
  <c r="U158" i="31"/>
  <c r="X158" i="31" s="1"/>
  <c r="W158" i="31"/>
  <c r="T93" i="31"/>
  <c r="U93" i="31"/>
  <c r="X93" i="31" s="1"/>
  <c r="W93" i="31"/>
  <c r="U110" i="31"/>
  <c r="X110" i="31" s="1"/>
  <c r="W110" i="31"/>
  <c r="Y110" i="31" s="1"/>
  <c r="T110" i="31"/>
  <c r="T134" i="31"/>
  <c r="U134" i="31"/>
  <c r="X134" i="31" s="1"/>
  <c r="W134" i="31"/>
  <c r="Y134" i="31" s="1"/>
  <c r="T160" i="31"/>
  <c r="U160" i="31"/>
  <c r="X160" i="31" s="1"/>
  <c r="W160" i="31"/>
  <c r="T27" i="31"/>
  <c r="U27" i="31"/>
  <c r="X27" i="31" s="1"/>
  <c r="W27" i="31"/>
  <c r="T115" i="31"/>
  <c r="W115" i="31"/>
  <c r="Y115" i="31" s="1"/>
  <c r="U115" i="31"/>
  <c r="X115" i="31" s="1"/>
  <c r="T150" i="31"/>
  <c r="U150" i="31"/>
  <c r="X150" i="31" s="1"/>
  <c r="W150" i="31"/>
  <c r="Y150" i="31" s="1"/>
  <c r="T83" i="31"/>
  <c r="U83" i="31"/>
  <c r="X83" i="31" s="1"/>
  <c r="W83" i="31"/>
  <c r="T54" i="31"/>
  <c r="U54" i="31"/>
  <c r="X54" i="31" s="1"/>
  <c r="W54" i="31"/>
  <c r="T163" i="31"/>
  <c r="U163" i="31"/>
  <c r="X163" i="31" s="1"/>
  <c r="W163" i="31"/>
  <c r="T97" i="31"/>
  <c r="U97" i="31"/>
  <c r="X97" i="31" s="1"/>
  <c r="W97" i="31"/>
  <c r="Y97" i="31" s="1"/>
  <c r="U56" i="31"/>
  <c r="X56" i="31" s="1"/>
  <c r="T56" i="31"/>
  <c r="W56" i="31"/>
  <c r="U63" i="31"/>
  <c r="X63" i="31" s="1"/>
  <c r="W63" i="31"/>
  <c r="Y63" i="31" s="1"/>
  <c r="T63" i="31"/>
  <c r="T159" i="31"/>
  <c r="U159" i="31"/>
  <c r="X159" i="31" s="1"/>
  <c r="W159" i="31"/>
  <c r="T118" i="31"/>
  <c r="U118" i="31"/>
  <c r="X118" i="31" s="1"/>
  <c r="W118" i="31"/>
  <c r="Y118" i="31" s="1"/>
  <c r="T81" i="31"/>
  <c r="U81" i="31"/>
  <c r="X81" i="31" s="1"/>
  <c r="W81" i="31"/>
  <c r="T46" i="31"/>
  <c r="U46" i="31"/>
  <c r="X46" i="31" s="1"/>
  <c r="W46" i="31"/>
  <c r="T130" i="31"/>
  <c r="U130" i="31"/>
  <c r="X130" i="31" s="1"/>
  <c r="W130" i="31"/>
  <c r="U113" i="31"/>
  <c r="X113" i="31" s="1"/>
  <c r="W113" i="31"/>
  <c r="T113" i="31"/>
  <c r="U60" i="31"/>
  <c r="X60" i="31" s="1"/>
  <c r="T60" i="31"/>
  <c r="W60" i="31"/>
  <c r="T169" i="31"/>
  <c r="U169" i="31"/>
  <c r="X169" i="31" s="1"/>
  <c r="W169" i="31"/>
  <c r="T43" i="31"/>
  <c r="U43" i="31"/>
  <c r="X43" i="31" s="1"/>
  <c r="W43" i="31"/>
  <c r="T67" i="31"/>
  <c r="W67" i="31"/>
  <c r="U67" i="31"/>
  <c r="X67" i="31" s="1"/>
  <c r="T50" i="31"/>
  <c r="U50" i="31"/>
  <c r="X50" i="31" s="1"/>
  <c r="W50" i="31"/>
  <c r="T40" i="31"/>
  <c r="U40" i="31"/>
  <c r="X40" i="31" s="1"/>
  <c r="W40" i="31"/>
  <c r="T69" i="31"/>
  <c r="U69" i="31"/>
  <c r="X69" i="31" s="1"/>
  <c r="W69" i="31"/>
  <c r="T44" i="31"/>
  <c r="U44" i="31"/>
  <c r="X44" i="31" s="1"/>
  <c r="W44" i="31"/>
  <c r="Y44" i="31" s="1"/>
  <c r="T149" i="31"/>
  <c r="U149" i="31"/>
  <c r="X149" i="31" s="1"/>
  <c r="W149" i="31"/>
  <c r="T90" i="31"/>
  <c r="U90" i="31"/>
  <c r="X90" i="31" s="1"/>
  <c r="W90" i="31"/>
  <c r="T23" i="31"/>
  <c r="U23" i="31"/>
  <c r="X23" i="31" s="1"/>
  <c r="W23" i="31"/>
  <c r="T102" i="31"/>
  <c r="U102" i="31"/>
  <c r="X102" i="31" s="1"/>
  <c r="W102" i="31"/>
  <c r="Y102" i="31" s="1"/>
  <c r="T155" i="31"/>
  <c r="U155" i="31"/>
  <c r="X155" i="31" s="1"/>
  <c r="W155" i="31"/>
  <c r="T78" i="31"/>
  <c r="U78" i="31"/>
  <c r="X78" i="31" s="1"/>
  <c r="W78" i="31"/>
  <c r="T138" i="31"/>
  <c r="U138" i="31"/>
  <c r="X138" i="31" s="1"/>
  <c r="W138" i="31"/>
  <c r="T112" i="31"/>
  <c r="U112" i="31"/>
  <c r="X112" i="31" s="1"/>
  <c r="W112" i="31"/>
  <c r="Y112" i="31" s="1"/>
  <c r="T121" i="31"/>
  <c r="U121" i="31"/>
  <c r="X121" i="31" s="1"/>
  <c r="W121" i="31"/>
  <c r="T145" i="31"/>
  <c r="U145" i="31"/>
  <c r="X145" i="31" s="1"/>
  <c r="W145" i="31"/>
  <c r="T80" i="31"/>
  <c r="U80" i="31"/>
  <c r="X80" i="31" s="1"/>
  <c r="W80" i="31"/>
  <c r="T87" i="31"/>
  <c r="U87" i="31"/>
  <c r="X87" i="31" s="1"/>
  <c r="W87" i="31"/>
  <c r="Y87" i="31" s="1"/>
  <c r="T135" i="31"/>
  <c r="U135" i="31"/>
  <c r="X135" i="31" s="1"/>
  <c r="W135" i="31"/>
  <c r="T70" i="31"/>
  <c r="U70" i="31"/>
  <c r="X70" i="31" s="1"/>
  <c r="W70" i="31"/>
  <c r="T153" i="31"/>
  <c r="U153" i="31"/>
  <c r="X153" i="31" s="1"/>
  <c r="W153" i="31"/>
  <c r="Y176" i="31"/>
  <c r="T144" i="31"/>
  <c r="U144" i="31"/>
  <c r="X144" i="31" s="1"/>
  <c r="W144" i="31"/>
  <c r="Y144" i="31" s="1"/>
  <c r="U166" i="31"/>
  <c r="X166" i="31" s="1"/>
  <c r="Y174" i="31"/>
  <c r="T47" i="31"/>
  <c r="U47" i="31"/>
  <c r="X47" i="31" s="1"/>
  <c r="W47" i="31"/>
  <c r="U107" i="31"/>
  <c r="X107" i="31" s="1"/>
  <c r="W107" i="31"/>
  <c r="Y107" i="31" s="1"/>
  <c r="T107" i="31"/>
  <c r="T76" i="31"/>
  <c r="U76" i="31"/>
  <c r="X76" i="31" s="1"/>
  <c r="W76" i="31"/>
  <c r="Y76" i="31" s="1"/>
  <c r="T114" i="31"/>
  <c r="U114" i="31"/>
  <c r="X114" i="31" s="1"/>
  <c r="W114" i="31"/>
  <c r="T20" i="31"/>
  <c r="U20" i="31"/>
  <c r="X20" i="31" s="1"/>
  <c r="W20" i="31"/>
  <c r="T140" i="31"/>
  <c r="U140" i="31"/>
  <c r="X140" i="31" s="1"/>
  <c r="W140" i="31"/>
  <c r="T111" i="31"/>
  <c r="U111" i="31"/>
  <c r="X111" i="31" s="1"/>
  <c r="W111" i="31"/>
  <c r="Y111" i="31" s="1"/>
  <c r="T117" i="31"/>
  <c r="U117" i="31"/>
  <c r="X117" i="31" s="1"/>
  <c r="W117" i="31"/>
  <c r="T53" i="31"/>
  <c r="U53" i="31"/>
  <c r="X53" i="31" s="1"/>
  <c r="W53" i="31"/>
  <c r="T84" i="31"/>
  <c r="U84" i="31"/>
  <c r="X84" i="31" s="1"/>
  <c r="W84" i="31"/>
  <c r="T172" i="31"/>
  <c r="U172" i="31"/>
  <c r="X172" i="31" s="1"/>
  <c r="W172" i="31"/>
  <c r="Y172" i="31" s="1"/>
  <c r="T74" i="31"/>
  <c r="U74" i="31"/>
  <c r="X74" i="31" s="1"/>
  <c r="W74" i="31"/>
  <c r="N16" i="32"/>
  <c r="N18" i="32"/>
  <c r="M15" i="30"/>
  <c r="N15" i="30" s="1"/>
  <c r="M18" i="8"/>
  <c r="J17" i="8"/>
  <c r="J15" i="30"/>
  <c r="J16" i="30"/>
  <c r="J18" i="8"/>
  <c r="J16" i="8"/>
  <c r="L18" i="32"/>
  <c r="L16" i="32"/>
  <c r="L18" i="30"/>
  <c r="L15" i="8"/>
  <c r="M15" i="8" s="1"/>
  <c r="K17" i="32"/>
  <c r="L16" i="30"/>
  <c r="M16" i="30" s="1"/>
  <c r="N16" i="30" s="1"/>
  <c r="P16" i="30" s="1"/>
  <c r="K16" i="32"/>
  <c r="M17" i="32"/>
  <c r="O17" i="32" s="1"/>
  <c r="S17" i="32" s="1"/>
  <c r="W17" i="32" s="1"/>
  <c r="I16" i="32"/>
  <c r="I18" i="32"/>
  <c r="M15" i="32"/>
  <c r="O15" i="32" s="1"/>
  <c r="S15" i="32" s="1"/>
  <c r="U15" i="32" s="1"/>
  <c r="M18" i="32"/>
  <c r="O18" i="32" s="1"/>
  <c r="S18" i="32" s="1"/>
  <c r="W18" i="32" s="1"/>
  <c r="L15" i="32"/>
  <c r="I17" i="32"/>
  <c r="M16" i="32"/>
  <c r="O16" i="32" s="1"/>
  <c r="S16" i="32" s="1"/>
  <c r="W16" i="32" s="1"/>
  <c r="N15" i="8"/>
  <c r="Q15" i="8"/>
  <c r="P15" i="8"/>
  <c r="L18" i="8"/>
  <c r="L16" i="8"/>
  <c r="M16" i="8" s="1"/>
  <c r="N16" i="8" s="1"/>
  <c r="K18" i="8"/>
  <c r="K16" i="8"/>
  <c r="L17" i="8"/>
  <c r="M17" i="8" s="1"/>
  <c r="N17" i="8" s="1"/>
  <c r="Q17" i="8" s="1"/>
  <c r="K17" i="8"/>
  <c r="K15" i="8"/>
  <c r="K18" i="30"/>
  <c r="M18" i="30" s="1"/>
  <c r="N18" i="30" s="1"/>
  <c r="Q18" i="30" s="1"/>
  <c r="L17" i="30"/>
  <c r="M17" i="30" s="1"/>
  <c r="N17" i="30" s="1"/>
  <c r="P17" i="30" s="1"/>
  <c r="L15" i="30"/>
  <c r="K17" i="30"/>
  <c r="K15" i="30"/>
  <c r="Z76" i="31" l="1"/>
  <c r="AB76" i="31"/>
  <c r="AA76" i="31"/>
  <c r="Z97" i="31"/>
  <c r="AB97" i="31"/>
  <c r="AA97" i="31"/>
  <c r="AB39" i="31"/>
  <c r="Z39" i="31"/>
  <c r="AA39" i="31"/>
  <c r="Y113" i="31"/>
  <c r="Y64" i="31"/>
  <c r="Y65" i="31"/>
  <c r="Y75" i="31"/>
  <c r="Y164" i="31"/>
  <c r="Y162" i="31"/>
  <c r="Y156" i="31"/>
  <c r="Y142" i="31"/>
  <c r="Y129" i="31"/>
  <c r="Y31" i="31"/>
  <c r="Y165" i="31"/>
  <c r="Z98" i="31"/>
  <c r="AB98" i="31"/>
  <c r="AA98" i="31"/>
  <c r="AB18" i="31"/>
  <c r="Z18" i="31"/>
  <c r="AA18" i="31"/>
  <c r="AB134" i="31"/>
  <c r="AA134" i="31"/>
  <c r="Z134" i="31"/>
  <c r="Z108" i="31"/>
  <c r="AB108" i="31"/>
  <c r="AA108" i="31"/>
  <c r="Y85" i="31"/>
  <c r="AB92" i="31"/>
  <c r="Z92" i="31"/>
  <c r="AA92" i="31"/>
  <c r="Z111" i="31"/>
  <c r="AB111" i="31"/>
  <c r="AA111" i="31"/>
  <c r="Z118" i="31"/>
  <c r="AB118" i="31"/>
  <c r="AA118" i="31"/>
  <c r="Z26" i="31"/>
  <c r="AB26" i="31"/>
  <c r="AA26" i="31"/>
  <c r="Y67" i="31"/>
  <c r="AB176" i="31"/>
  <c r="AA176" i="31"/>
  <c r="Z176" i="31"/>
  <c r="Y84" i="31"/>
  <c r="Y140" i="31"/>
  <c r="Y153" i="31"/>
  <c r="Y80" i="31"/>
  <c r="Y138" i="31"/>
  <c r="Y23" i="31"/>
  <c r="Y69" i="31"/>
  <c r="Y43" i="31"/>
  <c r="Y130" i="31"/>
  <c r="Y159" i="31"/>
  <c r="Y163" i="31"/>
  <c r="Y36" i="31"/>
  <c r="Y29" i="31"/>
  <c r="Y73" i="31"/>
  <c r="Y109" i="31"/>
  <c r="Y103" i="31"/>
  <c r="Y59" i="31"/>
  <c r="Y148" i="31"/>
  <c r="Y57" i="31"/>
  <c r="Y143" i="31"/>
  <c r="Y94" i="31"/>
  <c r="Y62" i="31"/>
  <c r="Z100" i="31"/>
  <c r="AB100" i="31"/>
  <c r="AA100" i="31"/>
  <c r="AB15" i="31"/>
  <c r="Z15" i="31"/>
  <c r="AA15" i="31"/>
  <c r="Z105" i="31"/>
  <c r="AB105" i="31"/>
  <c r="AA105" i="31"/>
  <c r="Z107" i="31"/>
  <c r="AB107" i="31"/>
  <c r="AA107" i="31"/>
  <c r="Z115" i="31"/>
  <c r="AB115" i="31"/>
  <c r="AA115" i="31"/>
  <c r="Z110" i="31"/>
  <c r="AB110" i="31"/>
  <c r="AA110" i="31"/>
  <c r="Z104" i="31"/>
  <c r="AB104" i="31"/>
  <c r="AA104" i="31"/>
  <c r="Y82" i="31"/>
  <c r="Y132" i="31"/>
  <c r="Z136" i="31"/>
  <c r="AB136" i="31"/>
  <c r="AA136" i="31"/>
  <c r="Z157" i="31"/>
  <c r="AB157" i="31"/>
  <c r="AA157" i="31"/>
  <c r="AB167" i="31"/>
  <c r="AA167" i="31"/>
  <c r="Z167" i="31"/>
  <c r="AB48" i="31"/>
  <c r="Z48" i="31"/>
  <c r="AA48" i="31"/>
  <c r="AB52" i="31"/>
  <c r="Z52" i="31"/>
  <c r="AA52" i="31"/>
  <c r="Z96" i="31"/>
  <c r="AB96" i="31"/>
  <c r="AA96" i="31"/>
  <c r="AB51" i="31"/>
  <c r="Z51" i="31"/>
  <c r="AA51" i="31"/>
  <c r="AB61" i="31"/>
  <c r="Z61" i="31"/>
  <c r="AA61" i="31"/>
  <c r="Z38" i="31"/>
  <c r="AB38" i="31"/>
  <c r="AA38" i="31"/>
  <c r="Z179" i="31"/>
  <c r="AB179" i="31"/>
  <c r="AA179" i="31"/>
  <c r="Z144" i="31"/>
  <c r="AB144" i="31"/>
  <c r="AA144" i="31"/>
  <c r="Z166" i="31"/>
  <c r="AB166" i="31"/>
  <c r="AA166" i="31"/>
  <c r="AB30" i="31"/>
  <c r="Z30" i="31"/>
  <c r="AA30" i="31"/>
  <c r="Y126" i="31"/>
  <c r="Z102" i="31"/>
  <c r="AB102" i="31"/>
  <c r="AA102" i="31"/>
  <c r="AB21" i="31"/>
  <c r="Z21" i="31"/>
  <c r="AA21" i="31"/>
  <c r="AB173" i="31"/>
  <c r="Z173" i="31"/>
  <c r="AA173" i="31"/>
  <c r="Y53" i="31"/>
  <c r="Y20" i="31"/>
  <c r="Y47" i="31"/>
  <c r="Y70" i="31"/>
  <c r="Y145" i="31"/>
  <c r="Y78" i="31"/>
  <c r="Y90" i="31"/>
  <c r="Y40" i="31"/>
  <c r="Y169" i="31"/>
  <c r="Y46" i="31"/>
  <c r="Y54" i="31"/>
  <c r="Y27" i="31"/>
  <c r="Y93" i="31"/>
  <c r="Y120" i="31"/>
  <c r="Y141" i="31"/>
  <c r="Y25" i="31"/>
  <c r="Y19" i="31"/>
  <c r="Y49" i="31"/>
  <c r="Y28" i="31"/>
  <c r="Y146" i="31"/>
  <c r="Y170" i="31"/>
  <c r="Y131" i="31"/>
  <c r="Y106" i="31"/>
  <c r="Y45" i="31"/>
  <c r="Y178" i="31"/>
  <c r="Z112" i="31"/>
  <c r="AB112" i="31"/>
  <c r="AA112" i="31"/>
  <c r="Z150" i="31"/>
  <c r="AB150" i="31"/>
  <c r="AA150" i="31"/>
  <c r="AB161" i="31"/>
  <c r="Z161" i="31"/>
  <c r="AA161" i="31"/>
  <c r="AB63" i="31"/>
  <c r="Z63" i="31"/>
  <c r="AA63" i="31"/>
  <c r="Y116" i="31"/>
  <c r="Y123" i="31"/>
  <c r="Y72" i="31"/>
  <c r="Y58" i="31"/>
  <c r="Y133" i="31"/>
  <c r="Y17" i="31"/>
  <c r="Y101" i="31"/>
  <c r="Y68" i="31"/>
  <c r="Y37" i="31"/>
  <c r="Y16" i="31"/>
  <c r="Y128" i="31"/>
  <c r="Y42" i="31"/>
  <c r="Y33" i="31"/>
  <c r="Y168" i="31"/>
  <c r="Z172" i="31"/>
  <c r="AB172" i="31"/>
  <c r="AA172" i="31"/>
  <c r="AB89" i="31"/>
  <c r="Z89" i="31"/>
  <c r="AA89" i="31"/>
  <c r="Z95" i="31"/>
  <c r="AB95" i="31"/>
  <c r="AA95" i="31"/>
  <c r="AB122" i="31"/>
  <c r="Z122" i="31"/>
  <c r="AA122" i="31"/>
  <c r="Z44" i="31"/>
  <c r="AB44" i="31"/>
  <c r="AA44" i="31"/>
  <c r="Z154" i="31"/>
  <c r="AB154" i="31"/>
  <c r="AA154" i="31"/>
  <c r="AB91" i="31"/>
  <c r="Z91" i="31"/>
  <c r="AA91" i="31"/>
  <c r="Y74" i="31"/>
  <c r="Y117" i="31"/>
  <c r="Y114" i="31"/>
  <c r="Z174" i="31"/>
  <c r="AB174" i="31"/>
  <c r="AA174" i="31"/>
  <c r="Y135" i="31"/>
  <c r="Y121" i="31"/>
  <c r="Y155" i="31"/>
  <c r="Y149" i="31"/>
  <c r="Y50" i="31"/>
  <c r="Y60" i="31"/>
  <c r="Y81" i="31"/>
  <c r="Y56" i="31"/>
  <c r="Y83" i="31"/>
  <c r="Y160" i="31"/>
  <c r="Y158" i="31"/>
  <c r="Y137" i="31"/>
  <c r="Y124" i="31"/>
  <c r="Y32" i="31"/>
  <c r="Y152" i="31"/>
  <c r="Y22" i="31"/>
  <c r="Y86" i="31"/>
  <c r="Y151" i="31"/>
  <c r="Y139" i="31"/>
  <c r="Y79" i="31"/>
  <c r="Y99" i="31"/>
  <c r="Z87" i="31"/>
  <c r="AB87" i="31"/>
  <c r="AA87" i="31"/>
  <c r="AB127" i="31"/>
  <c r="Z127" i="31"/>
  <c r="AA127" i="31"/>
  <c r="Z88" i="31"/>
  <c r="AB88" i="31"/>
  <c r="AA88" i="31"/>
  <c r="Y119" i="31"/>
  <c r="Y55" i="31"/>
  <c r="Y125" i="31"/>
  <c r="Y147" i="31"/>
  <c r="Y66" i="31"/>
  <c r="Y35" i="31"/>
  <c r="Y175" i="31"/>
  <c r="Y41" i="31"/>
  <c r="Y24" i="31"/>
  <c r="Y34" i="31"/>
  <c r="Y71" i="31"/>
  <c r="Y77" i="31"/>
  <c r="P16" i="8"/>
  <c r="Q16" i="8"/>
  <c r="P15" i="30"/>
  <c r="Q15" i="30"/>
  <c r="W15" i="32"/>
  <c r="N17" i="32"/>
  <c r="N15" i="32"/>
  <c r="N18" i="8"/>
  <c r="Q18" i="8" s="1"/>
  <c r="U18" i="32"/>
  <c r="V18" i="32"/>
  <c r="Y18" i="32" s="1"/>
  <c r="X18" i="32"/>
  <c r="U16" i="32"/>
  <c r="V16" i="32"/>
  <c r="Y16" i="32" s="1"/>
  <c r="X16" i="32"/>
  <c r="Z16" i="32" s="1"/>
  <c r="X17" i="32"/>
  <c r="V17" i="32"/>
  <c r="Y17" i="32" s="1"/>
  <c r="U17" i="32"/>
  <c r="V15" i="32"/>
  <c r="Y15" i="32" s="1"/>
  <c r="X15" i="32"/>
  <c r="Z15" i="32" s="1"/>
  <c r="R15" i="8"/>
  <c r="S15" i="8"/>
  <c r="T15" i="8"/>
  <c r="R16" i="8"/>
  <c r="S16" i="8"/>
  <c r="T16" i="8"/>
  <c r="P17" i="8"/>
  <c r="P18" i="30"/>
  <c r="T18" i="30" s="1"/>
  <c r="Q16" i="30"/>
  <c r="Q17" i="30"/>
  <c r="R17" i="30"/>
  <c r="S17" i="30"/>
  <c r="T17" i="30"/>
  <c r="T16" i="30"/>
  <c r="R16" i="30"/>
  <c r="S16" i="30"/>
  <c r="R15" i="30"/>
  <c r="S15" i="30"/>
  <c r="T15" i="30"/>
  <c r="Z178" i="31" l="1"/>
  <c r="AB178" i="31"/>
  <c r="AA178" i="31"/>
  <c r="AB65" i="31"/>
  <c r="Z65" i="31"/>
  <c r="AA65" i="31"/>
  <c r="AB45" i="31"/>
  <c r="Z45" i="31"/>
  <c r="AA45" i="31"/>
  <c r="AB16" i="31"/>
  <c r="Z16" i="31"/>
  <c r="AA16" i="31"/>
  <c r="Z106" i="31"/>
  <c r="AB106" i="31"/>
  <c r="AA106" i="31"/>
  <c r="AB54" i="31"/>
  <c r="Z54" i="31"/>
  <c r="AA54" i="31"/>
  <c r="Z132" i="31"/>
  <c r="AB132" i="31"/>
  <c r="AA132" i="31"/>
  <c r="AB94" i="31"/>
  <c r="Z94" i="31"/>
  <c r="AA94" i="31"/>
  <c r="Z130" i="31"/>
  <c r="AB130" i="31"/>
  <c r="AA130" i="31"/>
  <c r="Z67" i="31"/>
  <c r="AB67" i="31"/>
  <c r="AA67" i="31"/>
  <c r="Z113" i="31"/>
  <c r="AB113" i="31"/>
  <c r="AA113" i="31"/>
  <c r="Z139" i="31"/>
  <c r="AB139" i="31"/>
  <c r="AA139" i="31"/>
  <c r="Z151" i="31"/>
  <c r="AB151" i="31"/>
  <c r="AA151" i="31"/>
  <c r="Z131" i="31"/>
  <c r="AB131" i="31"/>
  <c r="AA131" i="31"/>
  <c r="AB46" i="31"/>
  <c r="Z46" i="31"/>
  <c r="AA46" i="31"/>
  <c r="Z82" i="31"/>
  <c r="AB82" i="31"/>
  <c r="AA82" i="31"/>
  <c r="AB143" i="31"/>
  <c r="Z143" i="31"/>
  <c r="AA143" i="31"/>
  <c r="AB43" i="31"/>
  <c r="Z43" i="31"/>
  <c r="AA43" i="31"/>
  <c r="Z85" i="31"/>
  <c r="AB85" i="31"/>
  <c r="AA85" i="31"/>
  <c r="Z128" i="31"/>
  <c r="AB128" i="31"/>
  <c r="AA128" i="31"/>
  <c r="Z159" i="31"/>
  <c r="AB159" i="31"/>
  <c r="AA159" i="31"/>
  <c r="AB86" i="31"/>
  <c r="Z86" i="31"/>
  <c r="AA86" i="31"/>
  <c r="AB152" i="31"/>
  <c r="AA152" i="31"/>
  <c r="Z152" i="31"/>
  <c r="AB155" i="31"/>
  <c r="Z155" i="31"/>
  <c r="AA155" i="31"/>
  <c r="AB68" i="31"/>
  <c r="Z68" i="31"/>
  <c r="AA68" i="31"/>
  <c r="AB170" i="31"/>
  <c r="Z170" i="31"/>
  <c r="AA170" i="31"/>
  <c r="Z169" i="31"/>
  <c r="AB169" i="31"/>
  <c r="AA169" i="31"/>
  <c r="AB57" i="31"/>
  <c r="Z57" i="31"/>
  <c r="AA57" i="31"/>
  <c r="Z69" i="31"/>
  <c r="AB69" i="31"/>
  <c r="AA69" i="31"/>
  <c r="Z165" i="31"/>
  <c r="AB165" i="31"/>
  <c r="AA165" i="31"/>
  <c r="Z53" i="31"/>
  <c r="AB53" i="31"/>
  <c r="AA53" i="31"/>
  <c r="Z62" i="31"/>
  <c r="AB62" i="31"/>
  <c r="AA62" i="31"/>
  <c r="AB71" i="31"/>
  <c r="Z71" i="31"/>
  <c r="AA71" i="31"/>
  <c r="AB34" i="31"/>
  <c r="Z34" i="31"/>
  <c r="AA34" i="31"/>
  <c r="Z41" i="31"/>
  <c r="AB41" i="31"/>
  <c r="AA41" i="31"/>
  <c r="Z32" i="31"/>
  <c r="AB32" i="31"/>
  <c r="AA32" i="31"/>
  <c r="Z121" i="31"/>
  <c r="AB121" i="31"/>
  <c r="AA121" i="31"/>
  <c r="Z101" i="31"/>
  <c r="AB101" i="31"/>
  <c r="AA101" i="31"/>
  <c r="AB146" i="31"/>
  <c r="Z146" i="31"/>
  <c r="AA146" i="31"/>
  <c r="AB40" i="31"/>
  <c r="Z40" i="31"/>
  <c r="AA40" i="31"/>
  <c r="Z148" i="31"/>
  <c r="AB148" i="31"/>
  <c r="AA148" i="31"/>
  <c r="Z23" i="31"/>
  <c r="AB23" i="31"/>
  <c r="AA23" i="31"/>
  <c r="AB31" i="31"/>
  <c r="Z31" i="31"/>
  <c r="AA31" i="31"/>
  <c r="Z163" i="31"/>
  <c r="AB163" i="31"/>
  <c r="AA163" i="31"/>
  <c r="AB27" i="31"/>
  <c r="Z27" i="31"/>
  <c r="AA27" i="31"/>
  <c r="AB22" i="31"/>
  <c r="Z22" i="31"/>
  <c r="AA22" i="31"/>
  <c r="Z124" i="31"/>
  <c r="AB124" i="31"/>
  <c r="AA124" i="31"/>
  <c r="Z135" i="31"/>
  <c r="AB135" i="31"/>
  <c r="AA135" i="31"/>
  <c r="Z17" i="31"/>
  <c r="AB17" i="31"/>
  <c r="AA17" i="31"/>
  <c r="AB28" i="31"/>
  <c r="Z28" i="31"/>
  <c r="AA28" i="31"/>
  <c r="Z90" i="31"/>
  <c r="AB90" i="31"/>
  <c r="AA90" i="31"/>
  <c r="Z59" i="31"/>
  <c r="AB59" i="31"/>
  <c r="AA59" i="31"/>
  <c r="Z138" i="31"/>
  <c r="AB138" i="31"/>
  <c r="AA138" i="31"/>
  <c r="AB129" i="31"/>
  <c r="Z129" i="31"/>
  <c r="AA129" i="31"/>
  <c r="Z93" i="31"/>
  <c r="AB93" i="31"/>
  <c r="AA93" i="31"/>
  <c r="AB60" i="31"/>
  <c r="Z60" i="31"/>
  <c r="AA60" i="31"/>
  <c r="AB37" i="31"/>
  <c r="Z37" i="31"/>
  <c r="AA37" i="31"/>
  <c r="Z35" i="31"/>
  <c r="AB35" i="31"/>
  <c r="AA35" i="31"/>
  <c r="AB137" i="31"/>
  <c r="Z137" i="31"/>
  <c r="AA137" i="31"/>
  <c r="Z133" i="31"/>
  <c r="AB133" i="31"/>
  <c r="AA133" i="31"/>
  <c r="AB49" i="31"/>
  <c r="Z49" i="31"/>
  <c r="AA49" i="31"/>
  <c r="Z78" i="31"/>
  <c r="AB78" i="31"/>
  <c r="AA78" i="31"/>
  <c r="AB103" i="31"/>
  <c r="Z103" i="31"/>
  <c r="AA103" i="31"/>
  <c r="AB80" i="31"/>
  <c r="Z80" i="31"/>
  <c r="AA80" i="31"/>
  <c r="Z142" i="31"/>
  <c r="AB142" i="31"/>
  <c r="AA142" i="31"/>
  <c r="Z81" i="31"/>
  <c r="AB81" i="31"/>
  <c r="AA81" i="31"/>
  <c r="AB77" i="31"/>
  <c r="Z77" i="31"/>
  <c r="AA77" i="31"/>
  <c r="AB149" i="31"/>
  <c r="Z149" i="31"/>
  <c r="AA149" i="31"/>
  <c r="Z175" i="31"/>
  <c r="AB175" i="31"/>
  <c r="AA175" i="31"/>
  <c r="Z66" i="31"/>
  <c r="AB66" i="31"/>
  <c r="AA66" i="31"/>
  <c r="AB158" i="31"/>
  <c r="Z158" i="31"/>
  <c r="AA158" i="31"/>
  <c r="Z58" i="31"/>
  <c r="AB58" i="31"/>
  <c r="AA58" i="31"/>
  <c r="AB19" i="31"/>
  <c r="Z19" i="31"/>
  <c r="AA19" i="31"/>
  <c r="Z145" i="31"/>
  <c r="AB145" i="31"/>
  <c r="AA145" i="31"/>
  <c r="Z109" i="31"/>
  <c r="AB109" i="31"/>
  <c r="AA109" i="31"/>
  <c r="Z153" i="31"/>
  <c r="AB153" i="31"/>
  <c r="AA153" i="31"/>
  <c r="Z156" i="31"/>
  <c r="AB156" i="31"/>
  <c r="AA156" i="31"/>
  <c r="Z119" i="31"/>
  <c r="AB119" i="31"/>
  <c r="AA119" i="31"/>
  <c r="Z64" i="31"/>
  <c r="AB64" i="31"/>
  <c r="AA64" i="31"/>
  <c r="Z147" i="31"/>
  <c r="AB147" i="31"/>
  <c r="AA147" i="31"/>
  <c r="Z160" i="31"/>
  <c r="AB160" i="31"/>
  <c r="AA160" i="31"/>
  <c r="Z72" i="31"/>
  <c r="AB72" i="31"/>
  <c r="AA72" i="31"/>
  <c r="AB25" i="31"/>
  <c r="Z25" i="31"/>
  <c r="AA25" i="31"/>
  <c r="Z70" i="31"/>
  <c r="AB70" i="31"/>
  <c r="AA70" i="31"/>
  <c r="Z73" i="31"/>
  <c r="AB73" i="31"/>
  <c r="AA73" i="31"/>
  <c r="AB140" i="31"/>
  <c r="AA140" i="31"/>
  <c r="Z140" i="31"/>
  <c r="Z162" i="31"/>
  <c r="AB162" i="31"/>
  <c r="AA162" i="31"/>
  <c r="AB42" i="31"/>
  <c r="Z42" i="31"/>
  <c r="AA42" i="31"/>
  <c r="Z50" i="31"/>
  <c r="AB50" i="31"/>
  <c r="AA50" i="31"/>
  <c r="AB24" i="31"/>
  <c r="Z24" i="31"/>
  <c r="AA24" i="31"/>
  <c r="AB125" i="31"/>
  <c r="Z125" i="31"/>
  <c r="AA125" i="31"/>
  <c r="Z99" i="31"/>
  <c r="AB99" i="31"/>
  <c r="AA99" i="31"/>
  <c r="AB83" i="31"/>
  <c r="Z83" i="31"/>
  <c r="AA83" i="31"/>
  <c r="Z114" i="31"/>
  <c r="AB114" i="31"/>
  <c r="AA114" i="31"/>
  <c r="Z168" i="31"/>
  <c r="AB168" i="31"/>
  <c r="AA168" i="31"/>
  <c r="AB123" i="31"/>
  <c r="Z123" i="31"/>
  <c r="AA123" i="31"/>
  <c r="Z141" i="31"/>
  <c r="AB141" i="31"/>
  <c r="AA141" i="31"/>
  <c r="Z47" i="31"/>
  <c r="AB47" i="31"/>
  <c r="AA47" i="31"/>
  <c r="Z126" i="31"/>
  <c r="AB126" i="31"/>
  <c r="AA126" i="31"/>
  <c r="Z29" i="31"/>
  <c r="AB29" i="31"/>
  <c r="AA29" i="31"/>
  <c r="Z84" i="31"/>
  <c r="AB84" i="31"/>
  <c r="AA84" i="31"/>
  <c r="AB164" i="31"/>
  <c r="Z164" i="31"/>
  <c r="AA164" i="31"/>
  <c r="AB74" i="31"/>
  <c r="Z74" i="31"/>
  <c r="AA74" i="31"/>
  <c r="AB55" i="31"/>
  <c r="Z55" i="31"/>
  <c r="AA55" i="31"/>
  <c r="Z79" i="31"/>
  <c r="AB79" i="31"/>
  <c r="AA79" i="31"/>
  <c r="AB56" i="31"/>
  <c r="Z56" i="31"/>
  <c r="AA56" i="31"/>
  <c r="Z117" i="31"/>
  <c r="AB117" i="31"/>
  <c r="AA117" i="31"/>
  <c r="AB33" i="31"/>
  <c r="Z33" i="31"/>
  <c r="AA33" i="31"/>
  <c r="Z116" i="31"/>
  <c r="AB116" i="31"/>
  <c r="AA116" i="31"/>
  <c r="Z120" i="31"/>
  <c r="AB120" i="31"/>
  <c r="AA120" i="31"/>
  <c r="Z20" i="31"/>
  <c r="AB20" i="31"/>
  <c r="AA20" i="31"/>
  <c r="AB36" i="31"/>
  <c r="Z36" i="31"/>
  <c r="AA36" i="31"/>
  <c r="Z75" i="31"/>
  <c r="AB75" i="31"/>
  <c r="AA75" i="31"/>
  <c r="Z18" i="32"/>
  <c r="P18" i="8"/>
  <c r="Z17" i="32"/>
  <c r="AC16" i="32"/>
  <c r="AA16" i="32"/>
  <c r="AB16" i="32"/>
  <c r="AA18" i="32"/>
  <c r="AC18" i="32"/>
  <c r="AB18" i="32"/>
  <c r="AA15" i="32"/>
  <c r="AC15" i="32"/>
  <c r="AB15" i="32"/>
  <c r="R17" i="8"/>
  <c r="S17" i="8"/>
  <c r="T17" i="8"/>
  <c r="R18" i="8"/>
  <c r="S18" i="8"/>
  <c r="T18" i="8"/>
  <c r="S18" i="30"/>
  <c r="R18" i="30"/>
  <c r="B36" i="28"/>
  <c r="C36" i="28"/>
  <c r="D36" i="28"/>
  <c r="E36" i="28"/>
  <c r="F36" i="28"/>
  <c r="G36" i="28"/>
  <c r="I36" i="28" s="1"/>
  <c r="K36" i="28" s="1"/>
  <c r="L36" i="28" s="1"/>
  <c r="M36" i="28" s="1"/>
  <c r="B37" i="28"/>
  <c r="C37" i="28"/>
  <c r="D37" i="28"/>
  <c r="E37" i="28"/>
  <c r="F37" i="28"/>
  <c r="G37" i="28"/>
  <c r="I37" i="28"/>
  <c r="K37" i="28" s="1"/>
  <c r="L37" i="28" s="1"/>
  <c r="M37" i="28" s="1"/>
  <c r="B38" i="28"/>
  <c r="C38" i="28"/>
  <c r="D38" i="28"/>
  <c r="E38" i="28"/>
  <c r="F38" i="28"/>
  <c r="G38" i="28"/>
  <c r="I38" i="28"/>
  <c r="K38" i="28"/>
  <c r="L38" i="28" s="1"/>
  <c r="M38" i="28" s="1"/>
  <c r="B39" i="28"/>
  <c r="C39" i="28"/>
  <c r="D39" i="28"/>
  <c r="E39" i="28"/>
  <c r="F39" i="28"/>
  <c r="G39" i="28"/>
  <c r="I39" i="28"/>
  <c r="K39" i="28" s="1"/>
  <c r="L39" i="28" s="1"/>
  <c r="M39" i="28" s="1"/>
  <c r="B40" i="28"/>
  <c r="C40" i="28"/>
  <c r="D40" i="28"/>
  <c r="E40" i="28"/>
  <c r="F40" i="28"/>
  <c r="G40" i="28"/>
  <c r="I40" i="28" s="1"/>
  <c r="K40" i="28" s="1"/>
  <c r="L40" i="28" s="1"/>
  <c r="M40" i="28" s="1"/>
  <c r="B10" i="5"/>
  <c r="C10" i="5"/>
  <c r="K10" i="5" s="1"/>
  <c r="D10" i="5"/>
  <c r="E10" i="5"/>
  <c r="F10" i="5"/>
  <c r="G10" i="5"/>
  <c r="I10" i="5" s="1"/>
  <c r="J10" i="5" s="1"/>
  <c r="B11" i="5"/>
  <c r="C11" i="5"/>
  <c r="D11" i="5"/>
  <c r="E11" i="5"/>
  <c r="F11" i="5"/>
  <c r="G11" i="5"/>
  <c r="I11" i="5"/>
  <c r="J11" i="5" s="1"/>
  <c r="B12" i="5"/>
  <c r="C12" i="5"/>
  <c r="D12" i="5"/>
  <c r="E12" i="5"/>
  <c r="K12" i="5" s="1"/>
  <c r="F12" i="5"/>
  <c r="G12" i="5"/>
  <c r="I12" i="5" s="1"/>
  <c r="J12" i="5" s="1"/>
  <c r="B13" i="5"/>
  <c r="C13" i="5"/>
  <c r="D13" i="5"/>
  <c r="E13" i="5"/>
  <c r="F13" i="5"/>
  <c r="G13" i="5"/>
  <c r="I13" i="5"/>
  <c r="J13" i="5" s="1"/>
  <c r="B14" i="5"/>
  <c r="C14" i="5"/>
  <c r="D14" i="5"/>
  <c r="E14" i="5"/>
  <c r="F14" i="5"/>
  <c r="G14" i="5"/>
  <c r="B10" i="4"/>
  <c r="C10" i="4"/>
  <c r="D10" i="4"/>
  <c r="J10" i="4" s="1"/>
  <c r="K10" i="4" s="1"/>
  <c r="N10" i="4" s="1"/>
  <c r="E10" i="4"/>
  <c r="F10" i="4"/>
  <c r="G10" i="4"/>
  <c r="O10" i="4"/>
  <c r="U10" i="4"/>
  <c r="B11" i="4"/>
  <c r="C11" i="4"/>
  <c r="D11" i="4"/>
  <c r="J11" i="4" s="1"/>
  <c r="E11" i="4"/>
  <c r="F11" i="4"/>
  <c r="G11" i="4"/>
  <c r="I11" i="4"/>
  <c r="O11" i="4"/>
  <c r="U11" i="4"/>
  <c r="B12" i="4"/>
  <c r="C12" i="4"/>
  <c r="D12" i="4"/>
  <c r="E12" i="4"/>
  <c r="F12" i="4"/>
  <c r="G12" i="4"/>
  <c r="J12" i="4"/>
  <c r="K12" i="4"/>
  <c r="O12" i="4"/>
  <c r="U12" i="4"/>
  <c r="B13" i="4"/>
  <c r="C13" i="4"/>
  <c r="D13" i="4"/>
  <c r="E13" i="4"/>
  <c r="F13" i="4"/>
  <c r="G13" i="4"/>
  <c r="O13" i="4"/>
  <c r="U13" i="4"/>
  <c r="B14" i="4"/>
  <c r="C14" i="4"/>
  <c r="D14" i="4"/>
  <c r="E14" i="4"/>
  <c r="F14" i="4"/>
  <c r="G14" i="4"/>
  <c r="O14" i="4"/>
  <c r="U14" i="4"/>
  <c r="M10" i="3"/>
  <c r="Z10" i="3"/>
  <c r="M11" i="3"/>
  <c r="X11" i="3" s="1"/>
  <c r="P11" i="3" s="1"/>
  <c r="Z11" i="3"/>
  <c r="M12" i="3"/>
  <c r="Z12" i="3"/>
  <c r="M13" i="3"/>
  <c r="T13" i="3" s="1"/>
  <c r="Z13" i="3"/>
  <c r="M14" i="3"/>
  <c r="T14" i="3" s="1"/>
  <c r="Z14" i="3"/>
  <c r="M15" i="3"/>
  <c r="T15" i="3" s="1"/>
  <c r="Z15" i="3"/>
  <c r="M16" i="3"/>
  <c r="X16" i="3" s="1"/>
  <c r="P16" i="3" s="1"/>
  <c r="Z16" i="3"/>
  <c r="M17" i="3"/>
  <c r="T17" i="3" s="1"/>
  <c r="Z17" i="3"/>
  <c r="M18" i="3"/>
  <c r="Z18" i="3"/>
  <c r="M19" i="3"/>
  <c r="Z19" i="3"/>
  <c r="M20" i="3"/>
  <c r="Z20" i="3"/>
  <c r="M21" i="3"/>
  <c r="T21" i="3" s="1"/>
  <c r="Z21" i="3"/>
  <c r="M22" i="3"/>
  <c r="T22" i="3" s="1"/>
  <c r="Z22" i="3"/>
  <c r="M23" i="3"/>
  <c r="T23" i="3" s="1"/>
  <c r="Z23" i="3"/>
  <c r="M24" i="3"/>
  <c r="Z24" i="3"/>
  <c r="M25" i="3"/>
  <c r="T25" i="3" s="1"/>
  <c r="Z25" i="3"/>
  <c r="B10" i="3"/>
  <c r="C10" i="3"/>
  <c r="D10" i="3"/>
  <c r="E10" i="3"/>
  <c r="U10" i="3" s="1"/>
  <c r="F10" i="3"/>
  <c r="G10" i="3"/>
  <c r="K10" i="3" s="1"/>
  <c r="B11" i="3"/>
  <c r="C11" i="3"/>
  <c r="Y11" i="3" s="1"/>
  <c r="D11" i="3"/>
  <c r="E11" i="3"/>
  <c r="F11" i="3"/>
  <c r="G11" i="3"/>
  <c r="V11" i="3" s="1"/>
  <c r="B12" i="3"/>
  <c r="C12" i="3"/>
  <c r="Y12" i="3" s="1"/>
  <c r="AC12" i="3" s="1"/>
  <c r="D12" i="3"/>
  <c r="E12" i="3"/>
  <c r="U12" i="3" s="1"/>
  <c r="F12" i="3"/>
  <c r="G12" i="3"/>
  <c r="B13" i="3"/>
  <c r="C13" i="3"/>
  <c r="D13" i="3"/>
  <c r="E13" i="3"/>
  <c r="N13" i="3" s="1"/>
  <c r="O13" i="3" s="1"/>
  <c r="F13" i="3"/>
  <c r="G13" i="3"/>
  <c r="V13" i="3" s="1"/>
  <c r="B14" i="3"/>
  <c r="C14" i="3"/>
  <c r="D14" i="3"/>
  <c r="E14" i="3"/>
  <c r="F14" i="3"/>
  <c r="G14" i="3"/>
  <c r="B15" i="3"/>
  <c r="C15" i="3"/>
  <c r="D15" i="3"/>
  <c r="E15" i="3"/>
  <c r="F15" i="3"/>
  <c r="G15" i="3"/>
  <c r="V15" i="3" s="1"/>
  <c r="B16" i="3"/>
  <c r="C16" i="3"/>
  <c r="D16" i="3"/>
  <c r="E16" i="3"/>
  <c r="F16" i="3"/>
  <c r="G16" i="3"/>
  <c r="W16" i="3" s="1"/>
  <c r="B17" i="3"/>
  <c r="C17" i="3"/>
  <c r="D17" i="3"/>
  <c r="E17" i="3"/>
  <c r="F17" i="3"/>
  <c r="G17" i="3"/>
  <c r="B18" i="3"/>
  <c r="C18" i="3"/>
  <c r="D18" i="3"/>
  <c r="E18" i="3"/>
  <c r="F18" i="3"/>
  <c r="G18" i="3"/>
  <c r="B19" i="3"/>
  <c r="C19" i="3"/>
  <c r="D19" i="3"/>
  <c r="E19" i="3"/>
  <c r="F19" i="3"/>
  <c r="G19" i="3"/>
  <c r="K19" i="3" s="1"/>
  <c r="B20" i="3"/>
  <c r="C20" i="3"/>
  <c r="D20" i="3"/>
  <c r="E20" i="3"/>
  <c r="F20" i="3"/>
  <c r="G20" i="3"/>
  <c r="B21" i="3"/>
  <c r="C21" i="3"/>
  <c r="D21" i="3"/>
  <c r="E21" i="3"/>
  <c r="F21" i="3"/>
  <c r="G21" i="3"/>
  <c r="B22" i="3"/>
  <c r="C22" i="3"/>
  <c r="D22" i="3"/>
  <c r="E22" i="3"/>
  <c r="F22" i="3"/>
  <c r="G22" i="3"/>
  <c r="B23" i="3"/>
  <c r="C23" i="3"/>
  <c r="D23" i="3"/>
  <c r="E23" i="3"/>
  <c r="F23" i="3"/>
  <c r="G23" i="3"/>
  <c r="B24" i="3"/>
  <c r="C24" i="3"/>
  <c r="D24" i="3"/>
  <c r="E24" i="3"/>
  <c r="F24" i="3"/>
  <c r="G24" i="3"/>
  <c r="W24" i="3" s="1"/>
  <c r="B25" i="3"/>
  <c r="C25" i="3"/>
  <c r="D25" i="3"/>
  <c r="E25" i="3"/>
  <c r="F25" i="3"/>
  <c r="G25" i="3"/>
  <c r="L25" i="3"/>
  <c r="L24" i="3"/>
  <c r="L23" i="3"/>
  <c r="L22" i="3"/>
  <c r="L21" i="3"/>
  <c r="L20" i="3"/>
  <c r="L19" i="3"/>
  <c r="L18" i="3"/>
  <c r="L17" i="3"/>
  <c r="L16" i="3"/>
  <c r="L15" i="3"/>
  <c r="J25" i="3"/>
  <c r="J24" i="3"/>
  <c r="J23" i="3"/>
  <c r="J22" i="3"/>
  <c r="J21" i="3"/>
  <c r="J20" i="3"/>
  <c r="J19" i="3"/>
  <c r="J18" i="3"/>
  <c r="J17" i="3"/>
  <c r="J16" i="3"/>
  <c r="J15" i="3"/>
  <c r="I25" i="3"/>
  <c r="I24" i="3"/>
  <c r="I23" i="3"/>
  <c r="I22" i="3"/>
  <c r="I21" i="3"/>
  <c r="I20" i="3"/>
  <c r="I19" i="3"/>
  <c r="I18" i="3"/>
  <c r="I17" i="3"/>
  <c r="I16" i="3"/>
  <c r="I15" i="3"/>
  <c r="H15" i="30"/>
  <c r="H16" i="30"/>
  <c r="H17" i="30"/>
  <c r="H18" i="30"/>
  <c r="H14" i="30"/>
  <c r="AB11" i="9"/>
  <c r="AB12" i="9"/>
  <c r="AB13" i="9"/>
  <c r="AB16" i="9"/>
  <c r="AB17" i="9"/>
  <c r="AB18" i="9"/>
  <c r="AB19" i="9"/>
  <c r="AB20" i="9"/>
  <c r="AB21" i="9"/>
  <c r="AB22" i="9"/>
  <c r="AB23" i="9"/>
  <c r="AB24" i="9"/>
  <c r="AA22" i="9"/>
  <c r="AA23" i="9"/>
  <c r="AA24" i="9"/>
  <c r="AK22" i="9"/>
  <c r="AK23" i="9"/>
  <c r="AK24" i="9"/>
  <c r="AJ22" i="9"/>
  <c r="AJ23" i="9"/>
  <c r="AJ24" i="9"/>
  <c r="N22" i="9"/>
  <c r="N23" i="9"/>
  <c r="N24" i="9"/>
  <c r="H15" i="31"/>
  <c r="H16" i="31"/>
  <c r="H17" i="31"/>
  <c r="H18" i="31"/>
  <c r="H14" i="31"/>
  <c r="Y13" i="3" l="1"/>
  <c r="AC13" i="3" s="1"/>
  <c r="Y10" i="3"/>
  <c r="AC10" i="3" s="1"/>
  <c r="N12" i="4"/>
  <c r="X21" i="3"/>
  <c r="P21" i="3" s="1"/>
  <c r="N10" i="3"/>
  <c r="O10" i="3" s="1"/>
  <c r="U11" i="3"/>
  <c r="K11" i="5"/>
  <c r="U24" i="3"/>
  <c r="U22" i="3"/>
  <c r="U20" i="3"/>
  <c r="I13" i="4"/>
  <c r="R10" i="4"/>
  <c r="AA12" i="3"/>
  <c r="AC11" i="3"/>
  <c r="J13" i="4"/>
  <c r="Y20" i="3"/>
  <c r="AC20" i="3" s="1"/>
  <c r="K13" i="5"/>
  <c r="L13" i="5" s="1"/>
  <c r="X24" i="3"/>
  <c r="P24" i="3" s="1"/>
  <c r="U25" i="3"/>
  <c r="U23" i="3"/>
  <c r="U21" i="3"/>
  <c r="AA17" i="32"/>
  <c r="AC17" i="32"/>
  <c r="AB17" i="32"/>
  <c r="AB15" i="9"/>
  <c r="AB14" i="9"/>
  <c r="J14" i="4"/>
  <c r="L14" i="4" s="1"/>
  <c r="X19" i="3"/>
  <c r="P19" i="3" s="1"/>
  <c r="U16" i="3"/>
  <c r="AG16" i="3" s="1"/>
  <c r="K14" i="5"/>
  <c r="L14" i="5" s="1"/>
  <c r="Y14" i="3"/>
  <c r="AC14" i="3" s="1"/>
  <c r="I14" i="4"/>
  <c r="U14" i="3"/>
  <c r="AG14" i="3" s="1"/>
  <c r="N39" i="28"/>
  <c r="O39" i="28"/>
  <c r="N38" i="28"/>
  <c r="O38" i="28"/>
  <c r="O36" i="28"/>
  <c r="N36" i="28"/>
  <c r="N40" i="28"/>
  <c r="O40" i="28"/>
  <c r="N37" i="28"/>
  <c r="O37" i="28"/>
  <c r="L12" i="5"/>
  <c r="M12" i="5"/>
  <c r="M13" i="5"/>
  <c r="L11" i="5"/>
  <c r="M11" i="5"/>
  <c r="I14" i="5"/>
  <c r="J14" i="5" s="1"/>
  <c r="M10" i="5"/>
  <c r="L10" i="5"/>
  <c r="S12" i="4"/>
  <c r="AK12" i="4" s="1"/>
  <c r="AL12" i="4" s="1"/>
  <c r="AM12" i="4"/>
  <c r="X12" i="4"/>
  <c r="R12" i="4"/>
  <c r="AH12" i="4"/>
  <c r="AR12" i="4"/>
  <c r="AC12" i="4"/>
  <c r="P12" i="4"/>
  <c r="M13" i="4"/>
  <c r="K13" i="4"/>
  <c r="L13" i="4"/>
  <c r="N13" i="4"/>
  <c r="R13" i="4" s="1"/>
  <c r="L11" i="4"/>
  <c r="M11" i="4"/>
  <c r="K11" i="4"/>
  <c r="N11" i="4" s="1"/>
  <c r="AH10" i="4"/>
  <c r="AR10" i="4"/>
  <c r="AC10" i="4"/>
  <c r="AM10" i="4"/>
  <c r="X10" i="4"/>
  <c r="M12" i="4"/>
  <c r="Q10" i="4"/>
  <c r="V10" i="4" s="1"/>
  <c r="W10" i="4" s="1"/>
  <c r="I10" i="4"/>
  <c r="T12" i="4"/>
  <c r="AF12" i="4" s="1"/>
  <c r="AG12" i="4" s="1"/>
  <c r="L12" i="4"/>
  <c r="P10" i="4"/>
  <c r="M10" i="4"/>
  <c r="Q12" i="4"/>
  <c r="V12" i="4" s="1"/>
  <c r="W12" i="4" s="1"/>
  <c r="I12" i="4"/>
  <c r="T10" i="4"/>
  <c r="AF10" i="4" s="1"/>
  <c r="AG10" i="4" s="1"/>
  <c r="L10" i="4"/>
  <c r="S10" i="4"/>
  <c r="AP10" i="4" s="1"/>
  <c r="AQ10" i="4" s="1"/>
  <c r="Y25" i="3"/>
  <c r="AC25" i="3" s="1"/>
  <c r="Y24" i="3"/>
  <c r="AC24" i="3" s="1"/>
  <c r="Y23" i="3"/>
  <c r="AC23" i="3" s="1"/>
  <c r="Y22" i="3"/>
  <c r="AC22" i="3" s="1"/>
  <c r="Y21" i="3"/>
  <c r="AC21" i="3" s="1"/>
  <c r="Y19" i="3"/>
  <c r="AC19" i="3" s="1"/>
  <c r="Y18" i="3"/>
  <c r="AC18" i="3" s="1"/>
  <c r="Y17" i="3"/>
  <c r="AC17" i="3" s="1"/>
  <c r="Y16" i="3"/>
  <c r="AC16" i="3" s="1"/>
  <c r="Y15" i="3"/>
  <c r="AC15" i="3" s="1"/>
  <c r="N18" i="3"/>
  <c r="O18" i="3" s="1"/>
  <c r="Q18" i="3" s="1"/>
  <c r="N23" i="3"/>
  <c r="O23" i="3" s="1"/>
  <c r="AG22" i="3"/>
  <c r="N21" i="3"/>
  <c r="O21" i="3" s="1"/>
  <c r="Q21" i="3" s="1"/>
  <c r="AA20" i="3"/>
  <c r="AE20" i="3" s="1"/>
  <c r="X25" i="3"/>
  <c r="P25" i="3" s="1"/>
  <c r="X17" i="3"/>
  <c r="P17" i="3" s="1"/>
  <c r="U18" i="3"/>
  <c r="AG18" i="3" s="1"/>
  <c r="U17" i="3"/>
  <c r="AG17" i="3" s="1"/>
  <c r="U15" i="3"/>
  <c r="AG21" i="3"/>
  <c r="AA25" i="3"/>
  <c r="R23" i="3"/>
  <c r="Q23" i="3"/>
  <c r="S21" i="3"/>
  <c r="AB20" i="3"/>
  <c r="AB12" i="3"/>
  <c r="AE12" i="3"/>
  <c r="Q13" i="3"/>
  <c r="R13" i="3"/>
  <c r="S13" i="3"/>
  <c r="Q10" i="3"/>
  <c r="S10" i="3"/>
  <c r="R10" i="3"/>
  <c r="K18" i="3"/>
  <c r="K25" i="3"/>
  <c r="K17" i="3"/>
  <c r="AG25" i="3"/>
  <c r="V24" i="3"/>
  <c r="N24" i="3"/>
  <c r="O24" i="3" s="1"/>
  <c r="AA23" i="3"/>
  <c r="AB23" i="3" s="1"/>
  <c r="AD23" i="3" s="1"/>
  <c r="S23" i="3"/>
  <c r="X22" i="3"/>
  <c r="P22" i="3" s="1"/>
  <c r="W19" i="3"/>
  <c r="T18" i="3"/>
  <c r="V16" i="3"/>
  <c r="N16" i="3"/>
  <c r="O16" i="3" s="1"/>
  <c r="S16" i="3" s="1"/>
  <c r="X14" i="3"/>
  <c r="P14" i="3" s="1"/>
  <c r="U13" i="3"/>
  <c r="AG13" i="3" s="1"/>
  <c r="W11" i="3"/>
  <c r="T10" i="3"/>
  <c r="W22" i="3"/>
  <c r="AG20" i="3"/>
  <c r="N11" i="3"/>
  <c r="O11" i="3" s="1"/>
  <c r="K23" i="3"/>
  <c r="K15" i="3"/>
  <c r="W25" i="3"/>
  <c r="T24" i="3"/>
  <c r="AG23" i="3"/>
  <c r="V22" i="3"/>
  <c r="N22" i="3"/>
  <c r="O22" i="3" s="1"/>
  <c r="AA21" i="3"/>
  <c r="X20" i="3"/>
  <c r="P20" i="3" s="1"/>
  <c r="U19" i="3"/>
  <c r="AG19" i="3" s="1"/>
  <c r="W17" i="3"/>
  <c r="T16" i="3"/>
  <c r="AG15" i="3"/>
  <c r="V14" i="3"/>
  <c r="N14" i="3"/>
  <c r="O14" i="3" s="1"/>
  <c r="AA13" i="3"/>
  <c r="X12" i="3"/>
  <c r="P12" i="3" s="1"/>
  <c r="K22" i="3"/>
  <c r="K14" i="3"/>
  <c r="V25" i="3"/>
  <c r="N25" i="3"/>
  <c r="O25" i="3" s="1"/>
  <c r="AA24" i="3"/>
  <c r="S24" i="3"/>
  <c r="X23" i="3"/>
  <c r="P23" i="3" s="1"/>
  <c r="W20" i="3"/>
  <c r="T19" i="3"/>
  <c r="V17" i="3"/>
  <c r="N17" i="3"/>
  <c r="O17" i="3" s="1"/>
  <c r="X15" i="3"/>
  <c r="P15" i="3" s="1"/>
  <c r="W12" i="3"/>
  <c r="T11" i="3"/>
  <c r="AG10" i="3"/>
  <c r="K16" i="3"/>
  <c r="V19" i="3"/>
  <c r="W14" i="3"/>
  <c r="AA10" i="3"/>
  <c r="K21" i="3"/>
  <c r="K13" i="3"/>
  <c r="W23" i="3"/>
  <c r="V20" i="3"/>
  <c r="N20" i="3"/>
  <c r="O20" i="3" s="1"/>
  <c r="S20" i="3" s="1"/>
  <c r="AA19" i="3"/>
  <c r="AB19" i="3" s="1"/>
  <c r="AD19" i="3" s="1"/>
  <c r="X18" i="3"/>
  <c r="P18" i="3" s="1"/>
  <c r="W15" i="3"/>
  <c r="V12" i="3"/>
  <c r="N12" i="3"/>
  <c r="O12" i="3" s="1"/>
  <c r="S12" i="3" s="1"/>
  <c r="AA11" i="3"/>
  <c r="AB11" i="3" s="1"/>
  <c r="AD11" i="3" s="1"/>
  <c r="X10" i="3"/>
  <c r="P10" i="3" s="1"/>
  <c r="N19" i="3"/>
  <c r="O19" i="3" s="1"/>
  <c r="AG12" i="3"/>
  <c r="K20" i="3"/>
  <c r="K12" i="3"/>
  <c r="AG24" i="3"/>
  <c r="V23" i="3"/>
  <c r="W18" i="3"/>
  <c r="N15" i="3"/>
  <c r="O15" i="3" s="1"/>
  <c r="S15" i="3" s="1"/>
  <c r="AA14" i="3"/>
  <c r="X13" i="3"/>
  <c r="P13" i="3" s="1"/>
  <c r="W10" i="3"/>
  <c r="K11" i="3"/>
  <c r="W21" i="3"/>
  <c r="T20" i="3"/>
  <c r="V18" i="3"/>
  <c r="W13" i="3"/>
  <c r="T12" i="3"/>
  <c r="AG11" i="3"/>
  <c r="V10" i="3"/>
  <c r="K24" i="3"/>
  <c r="V21" i="3"/>
  <c r="P14" i="32"/>
  <c r="G14" i="32"/>
  <c r="F14" i="32"/>
  <c r="E14" i="32"/>
  <c r="D14" i="32"/>
  <c r="C14" i="32"/>
  <c r="B14" i="32"/>
  <c r="D11" i="32"/>
  <c r="E11" i="32" s="1"/>
  <c r="D9" i="32"/>
  <c r="E9" i="32" s="1"/>
  <c r="S9" i="32"/>
  <c r="P7" i="32"/>
  <c r="P8" i="32" s="1"/>
  <c r="D7" i="32"/>
  <c r="E7" i="32" s="1"/>
  <c r="D6" i="32"/>
  <c r="E6" i="32" s="1"/>
  <c r="V5" i="32"/>
  <c r="V4" i="32"/>
  <c r="C4" i="32"/>
  <c r="B2" i="32"/>
  <c r="S18" i="3" l="1"/>
  <c r="S13" i="4"/>
  <c r="R18" i="3"/>
  <c r="M14" i="4"/>
  <c r="N14" i="32"/>
  <c r="M14" i="32"/>
  <c r="L14" i="32"/>
  <c r="K14" i="32"/>
  <c r="AE23" i="3"/>
  <c r="K14" i="4"/>
  <c r="N14" i="4" s="1"/>
  <c r="S14" i="4" s="1"/>
  <c r="AA17" i="3"/>
  <c r="AB17" i="3" s="1"/>
  <c r="AA15" i="3"/>
  <c r="AB15" i="3" s="1"/>
  <c r="AD15" i="3" s="1"/>
  <c r="AA18" i="3"/>
  <c r="M14" i="5"/>
  <c r="AA16" i="3"/>
  <c r="AS10" i="4"/>
  <c r="AT10" i="4"/>
  <c r="T11" i="4"/>
  <c r="AF11" i="4" s="1"/>
  <c r="AG11" i="4" s="1"/>
  <c r="AR11" i="4"/>
  <c r="AC11" i="4"/>
  <c r="P11" i="4"/>
  <c r="X11" i="4"/>
  <c r="Q11" i="4"/>
  <c r="V11" i="4" s="1"/>
  <c r="W11" i="4" s="1"/>
  <c r="AM11" i="4"/>
  <c r="AH11" i="4"/>
  <c r="S11" i="4"/>
  <c r="R11" i="4"/>
  <c r="AI10" i="4"/>
  <c r="AJ10" i="4"/>
  <c r="AN12" i="4"/>
  <c r="AO12" i="4"/>
  <c r="AP12" i="4"/>
  <c r="AQ12" i="4" s="1"/>
  <c r="AA12" i="4"/>
  <c r="AB12" i="4" s="1"/>
  <c r="AA10" i="4"/>
  <c r="AB10" i="4" s="1"/>
  <c r="AK10" i="4"/>
  <c r="AL10" i="4" s="1"/>
  <c r="P13" i="4"/>
  <c r="X13" i="4"/>
  <c r="Q13" i="4"/>
  <c r="V13" i="4" s="1"/>
  <c r="W13" i="4" s="1"/>
  <c r="AH13" i="4"/>
  <c r="T13" i="4"/>
  <c r="AF13" i="4" s="1"/>
  <c r="AG13" i="4" s="1"/>
  <c r="AR13" i="4"/>
  <c r="AM13" i="4"/>
  <c r="AC13" i="4"/>
  <c r="Y12" i="4"/>
  <c r="Z12" i="4"/>
  <c r="AA13" i="4"/>
  <c r="AB13" i="4" s="1"/>
  <c r="Z10" i="4"/>
  <c r="Y10" i="4"/>
  <c r="AI12" i="4"/>
  <c r="AJ12" i="4"/>
  <c r="AA22" i="3"/>
  <c r="AE22" i="3" s="1"/>
  <c r="R21" i="3"/>
  <c r="AF23" i="3"/>
  <c r="AD20" i="3"/>
  <c r="AF20" i="3"/>
  <c r="R12" i="3"/>
  <c r="Q12" i="3"/>
  <c r="AF11" i="3"/>
  <c r="AB14" i="3"/>
  <c r="AE14" i="3"/>
  <c r="AE13" i="3"/>
  <c r="AB13" i="3"/>
  <c r="AB21" i="3"/>
  <c r="AE21" i="3"/>
  <c r="Q11" i="3"/>
  <c r="R11" i="3"/>
  <c r="Q14" i="3"/>
  <c r="R14" i="3"/>
  <c r="S14" i="3"/>
  <c r="Q16" i="3"/>
  <c r="R16" i="3"/>
  <c r="Q24" i="3"/>
  <c r="R24" i="3"/>
  <c r="AD12" i="3"/>
  <c r="AF12" i="3"/>
  <c r="AE10" i="3"/>
  <c r="AB10" i="3"/>
  <c r="Q22" i="3"/>
  <c r="R22" i="3"/>
  <c r="S22" i="3"/>
  <c r="Q19" i="3"/>
  <c r="R19" i="3"/>
  <c r="S19" i="3"/>
  <c r="AE16" i="3"/>
  <c r="AB16" i="3"/>
  <c r="AB24" i="3"/>
  <c r="AE24" i="3"/>
  <c r="AF19" i="3"/>
  <c r="R17" i="3"/>
  <c r="S17" i="3"/>
  <c r="Q17" i="3"/>
  <c r="R25" i="3"/>
  <c r="S25" i="3"/>
  <c r="Q25" i="3"/>
  <c r="AE11" i="3"/>
  <c r="AE18" i="3"/>
  <c r="AB18" i="3"/>
  <c r="AB25" i="3"/>
  <c r="AE25" i="3"/>
  <c r="R15" i="3"/>
  <c r="Q15" i="3"/>
  <c r="S11" i="3"/>
  <c r="R20" i="3"/>
  <c r="Q20" i="3"/>
  <c r="AE19" i="3"/>
  <c r="H15" i="32"/>
  <c r="H16" i="32"/>
  <c r="H14" i="32"/>
  <c r="H17" i="32"/>
  <c r="H18" i="32"/>
  <c r="T14" i="32"/>
  <c r="O14" i="32"/>
  <c r="F11" i="32"/>
  <c r="I14" i="32"/>
  <c r="AF15" i="3" l="1"/>
  <c r="AM14" i="4"/>
  <c r="AH14" i="4"/>
  <c r="AE15" i="3"/>
  <c r="AB22" i="3"/>
  <c r="AK13" i="4"/>
  <c r="AL13" i="4" s="1"/>
  <c r="AP13" i="4"/>
  <c r="AQ13" i="4" s="1"/>
  <c r="X14" i="4"/>
  <c r="AC14" i="4"/>
  <c r="T14" i="4"/>
  <c r="AF14" i="4" s="1"/>
  <c r="AG14" i="4" s="1"/>
  <c r="AI14" i="4" s="1"/>
  <c r="AR14" i="4"/>
  <c r="P14" i="4"/>
  <c r="AE17" i="3"/>
  <c r="R14" i="4"/>
  <c r="AK14" i="4" s="1"/>
  <c r="AL14" i="4" s="1"/>
  <c r="AO14" i="4" s="1"/>
  <c r="Q14" i="4"/>
  <c r="AA14" i="4"/>
  <c r="AB14" i="4" s="1"/>
  <c r="AD14" i="4" s="1"/>
  <c r="AP14" i="4"/>
  <c r="AQ14" i="4" s="1"/>
  <c r="AS14" i="4" s="1"/>
  <c r="V14" i="4"/>
  <c r="W14" i="4" s="1"/>
  <c r="Z14" i="4" s="1"/>
  <c r="AN10" i="4"/>
  <c r="AO10" i="4"/>
  <c r="Y11" i="4"/>
  <c r="Z11" i="4"/>
  <c r="AD13" i="4"/>
  <c r="AE13" i="4"/>
  <c r="AD12" i="4"/>
  <c r="AE12" i="4"/>
  <c r="AT12" i="4"/>
  <c r="AS12" i="4"/>
  <c r="Y13" i="4"/>
  <c r="Z13" i="4"/>
  <c r="AE10" i="4"/>
  <c r="AD10" i="4"/>
  <c r="AK11" i="4"/>
  <c r="AL11" i="4" s="1"/>
  <c r="AA11" i="4"/>
  <c r="AB11" i="4" s="1"/>
  <c r="AP11" i="4"/>
  <c r="AQ11" i="4" s="1"/>
  <c r="AJ11" i="4"/>
  <c r="AI11" i="4"/>
  <c r="AI13" i="4"/>
  <c r="AJ13" i="4"/>
  <c r="AN14" i="4"/>
  <c r="AF24" i="3"/>
  <c r="AD24" i="3"/>
  <c r="AD13" i="3"/>
  <c r="AF13" i="3"/>
  <c r="AF25" i="3"/>
  <c r="AD25" i="3"/>
  <c r="AF16" i="3"/>
  <c r="AD16" i="3"/>
  <c r="AD10" i="3"/>
  <c r="AF10" i="3"/>
  <c r="AD14" i="3"/>
  <c r="AF14" i="3"/>
  <c r="AD22" i="3"/>
  <c r="AF22" i="3"/>
  <c r="AD18" i="3"/>
  <c r="AF18" i="3"/>
  <c r="AF17" i="3"/>
  <c r="AD17" i="3"/>
  <c r="AD21" i="3"/>
  <c r="AF21" i="3"/>
  <c r="N15" i="9"/>
  <c r="AJ12" i="9"/>
  <c r="AA12" i="9"/>
  <c r="N12" i="9"/>
  <c r="AK17" i="9"/>
  <c r="AK19" i="9"/>
  <c r="AK12" i="9"/>
  <c r="AK11" i="9"/>
  <c r="N16" i="9"/>
  <c r="N6" i="9"/>
  <c r="Q14" i="32"/>
  <c r="R14" i="32" s="1"/>
  <c r="S14" i="32" s="1"/>
  <c r="V14" i="32" s="1"/>
  <c r="AS13" i="4" l="1"/>
  <c r="AT13" i="4"/>
  <c r="AN13" i="4"/>
  <c r="AO13" i="4"/>
  <c r="W14" i="32"/>
  <c r="U14" i="32"/>
  <c r="X14" i="32"/>
  <c r="AJ14" i="4"/>
  <c r="AE14" i="4"/>
  <c r="Y14" i="4"/>
  <c r="AT14" i="4"/>
  <c r="AS11" i="4"/>
  <c r="AT11" i="4"/>
  <c r="AD11" i="4"/>
  <c r="AE11" i="4"/>
  <c r="AN11" i="4"/>
  <c r="AO11" i="4"/>
  <c r="AK20" i="9"/>
  <c r="AA14" i="9"/>
  <c r="AJ14" i="9"/>
  <c r="AK16" i="9"/>
  <c r="AJ15" i="9"/>
  <c r="AA15" i="9"/>
  <c r="AJ16" i="9"/>
  <c r="AA16" i="9"/>
  <c r="AJ19" i="9"/>
  <c r="AJ11" i="9"/>
  <c r="AA11" i="9"/>
  <c r="N11" i="9"/>
  <c r="AK14" i="9"/>
  <c r="AK7" i="9"/>
  <c r="AK6" i="9"/>
  <c r="AK15" i="9"/>
  <c r="AA18" i="9"/>
  <c r="AJ13" i="9"/>
  <c r="AA13" i="9"/>
  <c r="N13" i="9"/>
  <c r="AA19" i="9"/>
  <c r="AJ8" i="9"/>
  <c r="AK18" i="9"/>
  <c r="AK13" i="9"/>
  <c r="AK21" i="9"/>
  <c r="N20" i="9"/>
  <c r="AJ20" i="9"/>
  <c r="AA20" i="9"/>
  <c r="AJ17" i="9"/>
  <c r="AA17" i="9"/>
  <c r="N17" i="9"/>
  <c r="AJ6" i="9"/>
  <c r="AJ18" i="9"/>
  <c r="N18" i="9"/>
  <c r="AJ21" i="9"/>
  <c r="N21" i="9"/>
  <c r="AA21" i="9"/>
  <c r="N19" i="9"/>
  <c r="N14" i="9"/>
  <c r="AA8" i="9"/>
  <c r="AK10" i="9"/>
  <c r="AB10" i="9"/>
  <c r="AJ7" i="9"/>
  <c r="AB9" i="9"/>
  <c r="AB7" i="9"/>
  <c r="AJ10" i="9"/>
  <c r="AA7" i="9"/>
  <c r="AJ9" i="9"/>
  <c r="AA10" i="9"/>
  <c r="AA9" i="9"/>
  <c r="O9" i="9"/>
  <c r="AA6" i="9"/>
  <c r="O8" i="9"/>
  <c r="O6" i="9"/>
  <c r="AK9" i="9"/>
  <c r="AB6" i="9"/>
  <c r="AK8" i="9"/>
  <c r="AB8" i="9"/>
  <c r="N7" i="9"/>
  <c r="O7" i="9"/>
  <c r="N8" i="9"/>
  <c r="O10" i="9"/>
  <c r="N9" i="9"/>
  <c r="N10" i="9"/>
  <c r="Y14" i="32"/>
  <c r="Z14" i="32" l="1"/>
  <c r="P14" i="31"/>
  <c r="Q14" i="31" s="1"/>
  <c r="AC14" i="32" l="1"/>
  <c r="AB5" i="9" s="1"/>
  <c r="AA14" i="32"/>
  <c r="AK5" i="9" s="1"/>
  <c r="AB14" i="32"/>
  <c r="O5" i="9"/>
  <c r="G14" i="31"/>
  <c r="F14" i="31"/>
  <c r="E14" i="31"/>
  <c r="D14" i="31"/>
  <c r="C14" i="31"/>
  <c r="B14" i="31"/>
  <c r="P7" i="31"/>
  <c r="P8" i="31" s="1"/>
  <c r="K14" i="31" l="1"/>
  <c r="M14" i="31"/>
  <c r="L14" i="31"/>
  <c r="N14" i="31"/>
  <c r="O14" i="31" s="1"/>
  <c r="R14" i="31" s="1"/>
  <c r="I14" i="31"/>
  <c r="W14" i="31" l="1"/>
  <c r="U14" i="31"/>
  <c r="T14" i="31"/>
  <c r="D11" i="31"/>
  <c r="E11" i="31" s="1"/>
  <c r="D9" i="31"/>
  <c r="E9" i="31" s="1"/>
  <c r="D7" i="31"/>
  <c r="E7" i="31" s="1"/>
  <c r="D6" i="31"/>
  <c r="E6" i="31" s="1"/>
  <c r="C4" i="31"/>
  <c r="B2" i="31"/>
  <c r="S14" i="31" l="1"/>
  <c r="V14" i="31" s="1"/>
  <c r="F11" i="31"/>
  <c r="X14" i="31" l="1"/>
  <c r="B15" i="19"/>
  <c r="C15" i="19"/>
  <c r="D15" i="19"/>
  <c r="E15" i="19"/>
  <c r="F15" i="19"/>
  <c r="G15" i="19"/>
  <c r="H15" i="19"/>
  <c r="I15" i="19"/>
  <c r="M15" i="19" s="1"/>
  <c r="J15" i="19"/>
  <c r="B16" i="19"/>
  <c r="C16" i="19"/>
  <c r="D16" i="19"/>
  <c r="T16" i="19" s="1"/>
  <c r="E16" i="19"/>
  <c r="F16" i="19"/>
  <c r="G16" i="19"/>
  <c r="H16" i="19"/>
  <c r="I16" i="19"/>
  <c r="J16" i="19"/>
  <c r="Q16" i="19"/>
  <c r="B17" i="19"/>
  <c r="C17" i="19"/>
  <c r="D17" i="19"/>
  <c r="E17" i="19"/>
  <c r="F17" i="19"/>
  <c r="G17" i="19"/>
  <c r="H17" i="19"/>
  <c r="I17" i="19"/>
  <c r="M17" i="19" s="1"/>
  <c r="J17" i="19"/>
  <c r="L14" i="3"/>
  <c r="J14" i="3"/>
  <c r="Y14" i="31" l="1"/>
  <c r="Q17" i="19"/>
  <c r="T17" i="19"/>
  <c r="T15" i="19"/>
  <c r="M16" i="19"/>
  <c r="Q15" i="19"/>
  <c r="Q7" i="28"/>
  <c r="P7" i="28"/>
  <c r="AB14" i="31" l="1"/>
  <c r="AA5" i="9" s="1"/>
  <c r="Z14" i="31"/>
  <c r="AJ5" i="9" s="1"/>
  <c r="N5" i="9"/>
  <c r="AA14" i="31"/>
  <c r="D11" i="8"/>
  <c r="D9" i="8"/>
  <c r="D7" i="8"/>
  <c r="D6" i="8"/>
  <c r="D11" i="30"/>
  <c r="D9" i="30"/>
  <c r="D7" i="30"/>
  <c r="D6" i="30"/>
  <c r="K15" i="25" l="1"/>
  <c r="K12" i="25"/>
  <c r="N12" i="25"/>
  <c r="Q12" i="25"/>
  <c r="N13" i="25"/>
  <c r="Q13" i="25"/>
  <c r="N14" i="25"/>
  <c r="Q14" i="25"/>
  <c r="N15" i="25"/>
  <c r="Q15" i="25"/>
  <c r="K13" i="25"/>
  <c r="K14" i="25"/>
  <c r="B12" i="25"/>
  <c r="C12" i="25"/>
  <c r="D12" i="25"/>
  <c r="E12" i="25"/>
  <c r="F12" i="25"/>
  <c r="G12" i="25"/>
  <c r="B13" i="25"/>
  <c r="C13" i="25"/>
  <c r="D13" i="25"/>
  <c r="E13" i="25"/>
  <c r="F13" i="25"/>
  <c r="G13" i="25"/>
  <c r="B14" i="25"/>
  <c r="C14" i="25"/>
  <c r="D14" i="25"/>
  <c r="E14" i="25"/>
  <c r="F14" i="25"/>
  <c r="G14" i="25"/>
  <c r="B15" i="25"/>
  <c r="C15" i="25"/>
  <c r="D15" i="25"/>
  <c r="E15" i="25"/>
  <c r="F15" i="25"/>
  <c r="G15" i="25"/>
  <c r="B14" i="6"/>
  <c r="C14" i="6"/>
  <c r="D14" i="6"/>
  <c r="E14" i="6"/>
  <c r="F14" i="6"/>
  <c r="G14" i="6"/>
  <c r="H14" i="6"/>
  <c r="I14" i="6"/>
  <c r="B15" i="6"/>
  <c r="C15" i="6"/>
  <c r="D15" i="6"/>
  <c r="E15" i="6"/>
  <c r="J15" i="6" s="1"/>
  <c r="F15" i="6"/>
  <c r="G15" i="6"/>
  <c r="H15" i="6"/>
  <c r="I15" i="6"/>
  <c r="B16" i="6"/>
  <c r="C16" i="6"/>
  <c r="D16" i="6"/>
  <c r="E16" i="6"/>
  <c r="F16" i="6"/>
  <c r="G16" i="6"/>
  <c r="H16" i="6"/>
  <c r="I16" i="6"/>
  <c r="B17" i="6"/>
  <c r="C17" i="6"/>
  <c r="D17" i="6"/>
  <c r="E17" i="6"/>
  <c r="F17" i="6"/>
  <c r="G17" i="6"/>
  <c r="H17" i="6"/>
  <c r="I17" i="6"/>
  <c r="Q11" i="25"/>
  <c r="N11" i="25"/>
  <c r="J16" i="6" l="1"/>
  <c r="J14" i="6"/>
  <c r="K14" i="6" s="1"/>
  <c r="L14" i="25"/>
  <c r="L15" i="25"/>
  <c r="S15" i="25" s="1"/>
  <c r="K15" i="6"/>
  <c r="T15" i="6" s="1"/>
  <c r="L13" i="25"/>
  <c r="P13" i="25" s="1"/>
  <c r="T14" i="6"/>
  <c r="J17" i="6"/>
  <c r="K17" i="6" s="1"/>
  <c r="T17" i="6" s="1"/>
  <c r="K16" i="6"/>
  <c r="T16" i="6" s="1"/>
  <c r="J15" i="25"/>
  <c r="J14" i="25"/>
  <c r="J13" i="25"/>
  <c r="J12" i="25"/>
  <c r="O14" i="25"/>
  <c r="R14" i="25" s="1"/>
  <c r="L12" i="25"/>
  <c r="O12" i="25" s="1"/>
  <c r="R12" i="25" s="1"/>
  <c r="S14" i="25"/>
  <c r="P14" i="25"/>
  <c r="S13" i="25" l="1"/>
  <c r="O13" i="25"/>
  <c r="R13" i="25" s="1"/>
  <c r="P15" i="25"/>
  <c r="O15" i="25"/>
  <c r="R15" i="25" s="1"/>
  <c r="P12" i="25"/>
  <c r="T13" i="25"/>
  <c r="U13" i="25" s="1"/>
  <c r="V13" i="25" s="1"/>
  <c r="S12" i="25"/>
  <c r="T14" i="25"/>
  <c r="U14" i="25" s="1"/>
  <c r="V14" i="25" s="1"/>
  <c r="T12" i="25" l="1"/>
  <c r="U12" i="25" s="1"/>
  <c r="V12" i="25" s="1"/>
  <c r="T15" i="25"/>
  <c r="U15" i="25" s="1"/>
  <c r="V15" i="25" s="1"/>
  <c r="T10" i="9"/>
  <c r="T11" i="9"/>
  <c r="T12" i="9"/>
  <c r="T13" i="9"/>
  <c r="T14" i="9"/>
  <c r="T15" i="9"/>
  <c r="T16" i="9"/>
  <c r="T17" i="9"/>
  <c r="T18" i="9"/>
  <c r="T19" i="9"/>
  <c r="T20" i="9"/>
  <c r="T21" i="9"/>
  <c r="T22" i="9"/>
  <c r="T23" i="9"/>
  <c r="T24" i="9"/>
  <c r="AQ11" i="9"/>
  <c r="AQ12" i="9"/>
  <c r="AQ13" i="9"/>
  <c r="AQ14" i="9"/>
  <c r="AQ15" i="9"/>
  <c r="AQ16" i="9"/>
  <c r="AQ17" i="9"/>
  <c r="AQ18" i="9"/>
  <c r="AQ19" i="9"/>
  <c r="AQ20" i="9"/>
  <c r="AQ21" i="9"/>
  <c r="AQ22" i="9"/>
  <c r="AQ23" i="9"/>
  <c r="AQ24" i="9"/>
  <c r="AI11" i="9"/>
  <c r="AI12" i="9"/>
  <c r="AI13" i="9"/>
  <c r="AI14" i="9"/>
  <c r="AI15" i="9"/>
  <c r="AI16" i="9"/>
  <c r="AI17" i="9"/>
  <c r="AI18" i="9"/>
  <c r="AI19" i="9"/>
  <c r="AI20" i="9"/>
  <c r="AI21" i="9"/>
  <c r="AI22" i="9"/>
  <c r="AI23" i="9"/>
  <c r="AI24" i="9"/>
  <c r="Z11" i="9"/>
  <c r="Z12" i="9"/>
  <c r="Z13" i="9"/>
  <c r="Z14" i="9"/>
  <c r="Z15" i="9"/>
  <c r="Z16" i="9"/>
  <c r="Z17" i="9"/>
  <c r="Z18" i="9"/>
  <c r="Z19" i="9"/>
  <c r="Z20" i="9"/>
  <c r="Z21" i="9"/>
  <c r="Z22" i="9"/>
  <c r="Z23" i="9"/>
  <c r="Z24" i="9"/>
  <c r="M11" i="9"/>
  <c r="M12" i="9"/>
  <c r="M13" i="9"/>
  <c r="M14" i="9"/>
  <c r="M15" i="9"/>
  <c r="M16" i="9"/>
  <c r="M17" i="9"/>
  <c r="M18" i="9"/>
  <c r="M19" i="9"/>
  <c r="M20" i="9"/>
  <c r="M21" i="9"/>
  <c r="M22" i="9"/>
  <c r="M23" i="9"/>
  <c r="M24" i="9"/>
  <c r="J10" i="3"/>
  <c r="J11" i="3"/>
  <c r="J12" i="3"/>
  <c r="J13" i="3"/>
  <c r="J9" i="3"/>
  <c r="T8" i="9" l="1"/>
  <c r="T7" i="9"/>
  <c r="T9" i="9"/>
  <c r="T6" i="9"/>
  <c r="D14" i="30"/>
  <c r="G14" i="30" l="1"/>
  <c r="F14" i="30"/>
  <c r="E14" i="30"/>
  <c r="C14" i="30"/>
  <c r="B14" i="30"/>
  <c r="E11" i="30"/>
  <c r="E9" i="30"/>
  <c r="E7" i="30"/>
  <c r="E6" i="30"/>
  <c r="C4" i="30"/>
  <c r="B2" i="30"/>
  <c r="M14" i="30" l="1"/>
  <c r="AI10" i="9"/>
  <c r="AQ10" i="9"/>
  <c r="M10" i="9"/>
  <c r="L14" i="30"/>
  <c r="K14" i="30"/>
  <c r="J14" i="30"/>
  <c r="F11" i="30"/>
  <c r="O14" i="30"/>
  <c r="N14" i="30" l="1"/>
  <c r="Z10" i="9"/>
  <c r="Z6" i="9"/>
  <c r="AI9" i="9"/>
  <c r="AQ9" i="9"/>
  <c r="Z9" i="9"/>
  <c r="AQ8" i="9"/>
  <c r="AI8" i="9"/>
  <c r="AQ6" i="9"/>
  <c r="AI6" i="9"/>
  <c r="AQ7" i="9"/>
  <c r="AI7" i="9"/>
  <c r="Z7" i="9"/>
  <c r="Z8" i="9"/>
  <c r="M8" i="9"/>
  <c r="M6" i="9"/>
  <c r="M7" i="9"/>
  <c r="M9" i="9"/>
  <c r="P14" i="30"/>
  <c r="R14" i="30" s="1"/>
  <c r="Q14" i="30"/>
  <c r="M5" i="9" l="1"/>
  <c r="S14" i="30"/>
  <c r="AQ5" i="9" s="1"/>
  <c r="T14" i="30"/>
  <c r="Z5" i="9" s="1"/>
  <c r="AI5" i="9"/>
  <c r="AO74" i="29"/>
  <c r="AN74" i="29"/>
  <c r="AM74" i="29"/>
  <c r="AL74" i="29"/>
  <c r="AK74" i="29"/>
  <c r="AJ74" i="29"/>
  <c r="AL73" i="29"/>
  <c r="AK73" i="29"/>
  <c r="AJ73" i="29"/>
  <c r="M73" i="29"/>
  <c r="K73" i="29" s="1"/>
  <c r="AO73" i="29" s="1"/>
  <c r="J73" i="29"/>
  <c r="H73" i="29" s="1"/>
  <c r="AN73" i="29" s="1"/>
  <c r="G73" i="29"/>
  <c r="E73" i="29" s="1"/>
  <c r="AM73" i="29" s="1"/>
  <c r="AL72" i="29"/>
  <c r="AK72" i="29"/>
  <c r="AJ72" i="29"/>
  <c r="M72" i="29"/>
  <c r="K72" i="29" s="1"/>
  <c r="AO72" i="29" s="1"/>
  <c r="J72" i="29"/>
  <c r="H72" i="29" s="1"/>
  <c r="AN72" i="29" s="1"/>
  <c r="G72" i="29"/>
  <c r="E72" i="29" s="1"/>
  <c r="AM72" i="29" s="1"/>
  <c r="AO71" i="29"/>
  <c r="AN71" i="29"/>
  <c r="AM71" i="29"/>
  <c r="AL71" i="29"/>
  <c r="AK71" i="29"/>
  <c r="AJ71" i="29"/>
  <c r="AL70" i="29"/>
  <c r="AK70" i="29"/>
  <c r="AJ70" i="29"/>
  <c r="M70" i="29"/>
  <c r="K70" i="29" s="1"/>
  <c r="AO70" i="29" s="1"/>
  <c r="J70" i="29"/>
  <c r="H70" i="29" s="1"/>
  <c r="AN70" i="29" s="1"/>
  <c r="G70" i="29"/>
  <c r="E70" i="29" s="1"/>
  <c r="AM70" i="29" s="1"/>
  <c r="AL69" i="29"/>
  <c r="AK69" i="29"/>
  <c r="AJ69" i="29"/>
  <c r="M69" i="29"/>
  <c r="K69" i="29" s="1"/>
  <c r="AO69" i="29" s="1"/>
  <c r="J69" i="29"/>
  <c r="H69" i="29" s="1"/>
  <c r="AN69" i="29" s="1"/>
  <c r="G69" i="29"/>
  <c r="E69" i="29" s="1"/>
  <c r="AM69" i="29" s="1"/>
  <c r="AO68" i="29"/>
  <c r="AN68" i="29"/>
  <c r="AM68" i="29"/>
  <c r="AL68" i="29"/>
  <c r="AK68" i="29"/>
  <c r="AJ68" i="29"/>
  <c r="AL67" i="29"/>
  <c r="AK67" i="29"/>
  <c r="AJ67" i="29"/>
  <c r="M67" i="29"/>
  <c r="K67" i="29" s="1"/>
  <c r="AO67" i="29" s="1"/>
  <c r="J67" i="29"/>
  <c r="H67" i="29" s="1"/>
  <c r="AN67" i="29" s="1"/>
  <c r="G67" i="29"/>
  <c r="E67" i="29" s="1"/>
  <c r="AM67" i="29" s="1"/>
  <c r="AO66" i="29"/>
  <c r="AN66" i="29"/>
  <c r="AL66" i="29"/>
  <c r="AK66" i="29"/>
  <c r="AJ66" i="29"/>
  <c r="G66" i="29"/>
  <c r="E66" i="29" s="1"/>
  <c r="AM66" i="29" s="1"/>
  <c r="AO65" i="29"/>
  <c r="AN65" i="29"/>
  <c r="AL65" i="29"/>
  <c r="AK65" i="29"/>
  <c r="AJ65" i="29"/>
  <c r="G65" i="29"/>
  <c r="AM65" i="29" s="1"/>
  <c r="AO64" i="29"/>
  <c r="AN64" i="29"/>
  <c r="AL64" i="29"/>
  <c r="AK64" i="29"/>
  <c r="AJ64" i="29"/>
  <c r="G64" i="29"/>
  <c r="AM64" i="29" s="1"/>
  <c r="AO63" i="29"/>
  <c r="AN63" i="29"/>
  <c r="AL63" i="29"/>
  <c r="AK63" i="29"/>
  <c r="AJ63" i="29"/>
  <c r="G63" i="29"/>
  <c r="AM63" i="29" s="1"/>
  <c r="AO62" i="29"/>
  <c r="AN62" i="29"/>
  <c r="AL62" i="29"/>
  <c r="AK62" i="29"/>
  <c r="AJ62" i="29"/>
  <c r="G62" i="29"/>
  <c r="AM62" i="29" s="1"/>
  <c r="AO61" i="29"/>
  <c r="AN61" i="29"/>
  <c r="AL61" i="29"/>
  <c r="AK61" i="29"/>
  <c r="AJ61" i="29"/>
  <c r="G61" i="29"/>
  <c r="AM61" i="29" s="1"/>
  <c r="AO60" i="29"/>
  <c r="AN60" i="29"/>
  <c r="AL60" i="29"/>
  <c r="AK60" i="29"/>
  <c r="AJ60" i="29"/>
  <c r="G60" i="29"/>
  <c r="E60" i="29"/>
  <c r="AM60" i="29" s="1"/>
  <c r="AO59" i="29"/>
  <c r="AN59" i="29"/>
  <c r="AM59" i="29"/>
  <c r="AL59" i="29"/>
  <c r="AK59" i="29"/>
  <c r="AJ59" i="29"/>
  <c r="AO58" i="29"/>
  <c r="AN58" i="29"/>
  <c r="AL58" i="29"/>
  <c r="AK58" i="29"/>
  <c r="AJ58" i="29"/>
  <c r="G58" i="29"/>
  <c r="E58" i="29" s="1"/>
  <c r="AM58" i="29" s="1"/>
  <c r="AL57" i="29"/>
  <c r="AK57" i="29"/>
  <c r="AJ57" i="29"/>
  <c r="M57" i="29"/>
  <c r="K57" i="29" s="1"/>
  <c r="AO57" i="29" s="1"/>
  <c r="J57" i="29"/>
  <c r="H57" i="29" s="1"/>
  <c r="AN57" i="29" s="1"/>
  <c r="G57" i="29"/>
  <c r="E57" i="29" s="1"/>
  <c r="AM57" i="29" s="1"/>
  <c r="AL56" i="29"/>
  <c r="AK56" i="29"/>
  <c r="AJ56" i="29"/>
  <c r="M56" i="29"/>
  <c r="K56" i="29" s="1"/>
  <c r="AO56" i="29" s="1"/>
  <c r="J56" i="29"/>
  <c r="H56" i="29" s="1"/>
  <c r="AN56" i="29" s="1"/>
  <c r="G56" i="29"/>
  <c r="E56" i="29" s="1"/>
  <c r="AM56" i="29" s="1"/>
  <c r="AO55" i="29"/>
  <c r="AL55" i="29"/>
  <c r="AK55" i="29"/>
  <c r="AJ55" i="29"/>
  <c r="J55" i="29"/>
  <c r="H55" i="29" s="1"/>
  <c r="AN55" i="29" s="1"/>
  <c r="G55" i="29"/>
  <c r="E55" i="29" s="1"/>
  <c r="AM55" i="29" s="1"/>
  <c r="AO54" i="29"/>
  <c r="AN54" i="29"/>
  <c r="AL54" i="29"/>
  <c r="AK54" i="29"/>
  <c r="AJ54" i="29"/>
  <c r="G54" i="29"/>
  <c r="E54" i="29" s="1"/>
  <c r="AM54" i="29" s="1"/>
  <c r="AO53" i="29"/>
  <c r="AL53" i="29"/>
  <c r="AK53" i="29"/>
  <c r="AJ53" i="29"/>
  <c r="J53" i="29"/>
  <c r="H53" i="29" s="1"/>
  <c r="AN53" i="29" s="1"/>
  <c r="G53" i="29"/>
  <c r="E53" i="29" s="1"/>
  <c r="AM53" i="29" s="1"/>
  <c r="AL52" i="29"/>
  <c r="AK52" i="29"/>
  <c r="AJ52" i="29"/>
  <c r="M52" i="29"/>
  <c r="K52" i="29" s="1"/>
  <c r="AO52" i="29" s="1"/>
  <c r="J52" i="29"/>
  <c r="H52" i="29" s="1"/>
  <c r="AN52" i="29" s="1"/>
  <c r="G52" i="29"/>
  <c r="E52" i="29" s="1"/>
  <c r="AM52" i="29" s="1"/>
  <c r="AL51" i="29"/>
  <c r="AK51" i="29"/>
  <c r="AJ51" i="29"/>
  <c r="M51" i="29"/>
  <c r="AO51" i="29" s="1"/>
  <c r="J51" i="29"/>
  <c r="H51" i="29" s="1"/>
  <c r="AN51" i="29" s="1"/>
  <c r="G51" i="29"/>
  <c r="E51" i="29" s="1"/>
  <c r="AM51" i="29" s="1"/>
  <c r="AL50" i="29"/>
  <c r="AK50" i="29"/>
  <c r="AJ50" i="29"/>
  <c r="M50" i="29"/>
  <c r="K50" i="29" s="1"/>
  <c r="AO50" i="29" s="1"/>
  <c r="J50" i="29"/>
  <c r="H50" i="29" s="1"/>
  <c r="AN50" i="29" s="1"/>
  <c r="G50" i="29"/>
  <c r="E50" i="29" s="1"/>
  <c r="AM50" i="29" s="1"/>
  <c r="AL49" i="29"/>
  <c r="AK49" i="29"/>
  <c r="AJ49" i="29"/>
  <c r="M49" i="29"/>
  <c r="K49" i="29" s="1"/>
  <c r="AO49" i="29" s="1"/>
  <c r="J49" i="29"/>
  <c r="H49" i="29"/>
  <c r="AN49" i="29" s="1"/>
  <c r="G49" i="29"/>
  <c r="E49" i="29" s="1"/>
  <c r="AM49" i="29" s="1"/>
  <c r="AO48" i="29"/>
  <c r="AN48" i="29"/>
  <c r="AL48" i="29"/>
  <c r="AK48" i="29"/>
  <c r="AJ48" i="29"/>
  <c r="G48" i="29"/>
  <c r="E48" i="29" s="1"/>
  <c r="AM48" i="29" s="1"/>
  <c r="AO47" i="29"/>
  <c r="AN47" i="29"/>
  <c r="AL47" i="29"/>
  <c r="AK47" i="29"/>
  <c r="AJ47" i="29"/>
  <c r="G47" i="29"/>
  <c r="E47" i="29" s="1"/>
  <c r="AM47" i="29" s="1"/>
  <c r="AO46" i="29"/>
  <c r="AL46" i="29"/>
  <c r="AK46" i="29"/>
  <c r="AJ46" i="29"/>
  <c r="J46" i="29"/>
  <c r="H46" i="29" s="1"/>
  <c r="AN46" i="29" s="1"/>
  <c r="G46" i="29"/>
  <c r="E46" i="29" s="1"/>
  <c r="AM46" i="29" s="1"/>
  <c r="AO45" i="29"/>
  <c r="AL45" i="29"/>
  <c r="AK45" i="29"/>
  <c r="AJ45" i="29"/>
  <c r="J45" i="29"/>
  <c r="H45" i="29" s="1"/>
  <c r="AN45" i="29" s="1"/>
  <c r="G45" i="29"/>
  <c r="E45" i="29" s="1"/>
  <c r="AM45" i="29" s="1"/>
  <c r="AO44" i="29"/>
  <c r="AN44" i="29"/>
  <c r="AM44" i="29"/>
  <c r="AL44" i="29"/>
  <c r="AK44" i="29"/>
  <c r="AJ44" i="29"/>
  <c r="AO43" i="29"/>
  <c r="AN43" i="29"/>
  <c r="AM43" i="29"/>
  <c r="AL43" i="29"/>
  <c r="AK43" i="29"/>
  <c r="AJ43" i="29"/>
  <c r="AO42" i="29"/>
  <c r="AN42" i="29"/>
  <c r="AM42" i="29"/>
  <c r="AL42" i="29"/>
  <c r="AK42" i="29"/>
  <c r="AJ42" i="29"/>
  <c r="AO41" i="29"/>
  <c r="AN41" i="29"/>
  <c r="AM41" i="29"/>
  <c r="AL41" i="29"/>
  <c r="AK41" i="29"/>
  <c r="AJ41" i="29"/>
  <c r="AO40" i="29"/>
  <c r="AN40" i="29"/>
  <c r="AM40" i="29"/>
  <c r="AL40" i="29"/>
  <c r="AK40" i="29"/>
  <c r="AJ40" i="29"/>
  <c r="AO39" i="29"/>
  <c r="AN39" i="29"/>
  <c r="AM39" i="29"/>
  <c r="AL39" i="29"/>
  <c r="AK39" i="29"/>
  <c r="AJ39" i="29"/>
  <c r="AO38" i="29"/>
  <c r="AN38" i="29"/>
  <c r="AM38" i="29"/>
  <c r="AL38" i="29"/>
  <c r="AK38" i="29"/>
  <c r="AJ38" i="29"/>
  <c r="AO37" i="29"/>
  <c r="AN37" i="29"/>
  <c r="AM37" i="29"/>
  <c r="AL37" i="29"/>
  <c r="AK37" i="29"/>
  <c r="AJ37" i="29"/>
  <c r="AO36" i="29"/>
  <c r="AN36" i="29"/>
  <c r="AM36" i="29"/>
  <c r="AL36" i="29"/>
  <c r="AK36" i="29"/>
  <c r="AJ36" i="29"/>
  <c r="AO35" i="29"/>
  <c r="AN35" i="29"/>
  <c r="AM35" i="29"/>
  <c r="AL35" i="29"/>
  <c r="AK35" i="29"/>
  <c r="AJ35" i="29"/>
  <c r="AO34" i="29"/>
  <c r="AN34" i="29"/>
  <c r="AM34" i="29"/>
  <c r="AL34" i="29"/>
  <c r="AK34" i="29"/>
  <c r="AJ34" i="29"/>
  <c r="AO33" i="29"/>
  <c r="AN33" i="29"/>
  <c r="AM33" i="29"/>
  <c r="AL33" i="29"/>
  <c r="AK33" i="29"/>
  <c r="AJ33" i="29"/>
  <c r="AO32" i="29"/>
  <c r="AN32" i="29"/>
  <c r="AM32" i="29"/>
  <c r="AL32" i="29"/>
  <c r="AK32" i="29"/>
  <c r="AJ32" i="29"/>
  <c r="AO31" i="29"/>
  <c r="AN31" i="29"/>
  <c r="AM31" i="29"/>
  <c r="AL31" i="29"/>
  <c r="AK31" i="29"/>
  <c r="AJ31" i="29"/>
  <c r="AO30" i="29"/>
  <c r="AN30" i="29"/>
  <c r="AM30" i="29"/>
  <c r="AL30" i="29"/>
  <c r="AK30" i="29"/>
  <c r="AJ30" i="29"/>
  <c r="AO29" i="29"/>
  <c r="AN29" i="29"/>
  <c r="AM29" i="29"/>
  <c r="AL29" i="29"/>
  <c r="AK29" i="29"/>
  <c r="AJ29" i="29"/>
  <c r="AO28" i="29"/>
  <c r="AN28" i="29"/>
  <c r="AM28" i="29"/>
  <c r="AL28" i="29"/>
  <c r="AK28" i="29"/>
  <c r="AJ28" i="29"/>
  <c r="AO27" i="29"/>
  <c r="AN27" i="29"/>
  <c r="AM27" i="29"/>
  <c r="AL27" i="29"/>
  <c r="AK27" i="29"/>
  <c r="AJ27" i="29"/>
  <c r="AO26" i="29"/>
  <c r="AN26" i="29"/>
  <c r="AM26" i="29"/>
  <c r="AL26" i="29"/>
  <c r="AK26" i="29"/>
  <c r="AJ26" i="29"/>
  <c r="AO25" i="29"/>
  <c r="AN25" i="29"/>
  <c r="AM25" i="29"/>
  <c r="AL25" i="29"/>
  <c r="AK25" i="29"/>
  <c r="AJ25" i="29"/>
  <c r="AO24" i="29"/>
  <c r="AN24" i="29"/>
  <c r="AM24" i="29"/>
  <c r="AL24" i="29"/>
  <c r="AK24" i="29"/>
  <c r="AJ24" i="29"/>
  <c r="AO23" i="29"/>
  <c r="AN23" i="29"/>
  <c r="AM23" i="29"/>
  <c r="AL23" i="29"/>
  <c r="AK23" i="29"/>
  <c r="AJ23" i="29"/>
  <c r="AO22" i="29"/>
  <c r="AN22" i="29"/>
  <c r="AM22" i="29"/>
  <c r="AL22" i="29"/>
  <c r="AK22" i="29"/>
  <c r="AJ22" i="29"/>
  <c r="AO21" i="29"/>
  <c r="AN21" i="29"/>
  <c r="AM21" i="29"/>
  <c r="AL21" i="29"/>
  <c r="AK21" i="29"/>
  <c r="AJ21" i="29"/>
  <c r="AO20" i="29"/>
  <c r="AN20" i="29"/>
  <c r="AM20" i="29"/>
  <c r="AL20" i="29"/>
  <c r="AK20" i="29"/>
  <c r="AJ20" i="29"/>
  <c r="AO19" i="29"/>
  <c r="AN19" i="29"/>
  <c r="AM19" i="29"/>
  <c r="AL19" i="29"/>
  <c r="AK19" i="29"/>
  <c r="AJ19" i="29"/>
  <c r="AO18" i="29"/>
  <c r="AN18" i="29"/>
  <c r="AM18" i="29"/>
  <c r="AL18" i="29"/>
  <c r="AK18" i="29"/>
  <c r="AJ18" i="29"/>
  <c r="AO17" i="29"/>
  <c r="AN17" i="29"/>
  <c r="AM17" i="29"/>
  <c r="AL17" i="29"/>
  <c r="AK17" i="29"/>
  <c r="AJ17" i="29"/>
  <c r="AO16" i="29"/>
  <c r="AN16" i="29"/>
  <c r="AM16" i="29"/>
  <c r="AL16" i="29"/>
  <c r="AK16" i="29"/>
  <c r="AJ16" i="29"/>
  <c r="AO15" i="29"/>
  <c r="AN15" i="29"/>
  <c r="AM15" i="29"/>
  <c r="AL15" i="29"/>
  <c r="AK15" i="29"/>
  <c r="AJ15" i="29"/>
  <c r="AO14" i="29"/>
  <c r="AN14" i="29"/>
  <c r="AM14" i="29"/>
  <c r="AL14" i="29"/>
  <c r="AK14" i="29"/>
  <c r="AJ14" i="29"/>
  <c r="AO13" i="29"/>
  <c r="AN13" i="29"/>
  <c r="AM13" i="29"/>
  <c r="AL13" i="29"/>
  <c r="AK13" i="29"/>
  <c r="AJ13" i="29"/>
  <c r="AO12" i="29"/>
  <c r="AN12" i="29"/>
  <c r="AM12" i="29"/>
  <c r="AL12" i="29"/>
  <c r="AK12" i="29"/>
  <c r="AJ12" i="29"/>
  <c r="AO11" i="29"/>
  <c r="AN11" i="29"/>
  <c r="AM11" i="29"/>
  <c r="AL11" i="29"/>
  <c r="AK11" i="29"/>
  <c r="AJ11" i="29"/>
  <c r="AO10" i="29"/>
  <c r="AN10" i="29"/>
  <c r="AM10" i="29"/>
  <c r="AL10" i="29"/>
  <c r="AK10" i="29"/>
  <c r="AJ10" i="29"/>
  <c r="AO9" i="29"/>
  <c r="AN9" i="29"/>
  <c r="AM9" i="29"/>
  <c r="AL9" i="29"/>
  <c r="AK9" i="29"/>
  <c r="AJ9" i="29"/>
  <c r="AO8" i="29"/>
  <c r="AN8" i="29"/>
  <c r="AM8" i="29"/>
  <c r="AL8" i="29"/>
  <c r="AK8" i="29"/>
  <c r="AJ8" i="29"/>
  <c r="AO7" i="29"/>
  <c r="AN7" i="29"/>
  <c r="AM7" i="29"/>
  <c r="AL7" i="29"/>
  <c r="AK7" i="29"/>
  <c r="AJ7" i="29"/>
  <c r="AO6" i="29"/>
  <c r="AN6" i="29"/>
  <c r="AM6" i="29"/>
  <c r="AL6" i="29"/>
  <c r="AK6" i="29"/>
  <c r="AJ6" i="29"/>
  <c r="AO5" i="29"/>
  <c r="AN5" i="29"/>
  <c r="AM5" i="29"/>
  <c r="AL5" i="29"/>
  <c r="AK5" i="29"/>
  <c r="AJ5" i="29"/>
  <c r="AO4" i="29"/>
  <c r="AN4" i="29"/>
  <c r="AM4" i="29"/>
  <c r="AL4" i="29"/>
  <c r="AK4" i="29"/>
  <c r="AJ4" i="29"/>
  <c r="AO3" i="29"/>
  <c r="AN3" i="29"/>
  <c r="AM3" i="29"/>
  <c r="AL3" i="29"/>
  <c r="AK3" i="29"/>
  <c r="AJ3" i="29"/>
  <c r="AP23" i="29" l="1"/>
  <c r="AP46" i="29"/>
  <c r="AP53" i="29"/>
  <c r="AP48" i="29"/>
  <c r="AP60" i="29"/>
  <c r="AP24" i="29"/>
  <c r="AP26" i="29"/>
  <c r="AP27" i="29"/>
  <c r="AP28" i="29"/>
  <c r="AP30" i="29"/>
  <c r="AP39" i="29"/>
  <c r="AP40" i="29"/>
  <c r="AP42" i="29"/>
  <c r="AP44" i="29"/>
  <c r="AP59" i="29"/>
  <c r="AP62" i="29"/>
  <c r="AP64" i="29"/>
  <c r="AP66" i="29"/>
  <c r="AP3" i="29"/>
  <c r="AP5" i="29"/>
  <c r="AP7" i="29"/>
  <c r="AP17" i="29"/>
  <c r="AP19" i="29"/>
  <c r="AP21" i="29"/>
  <c r="AP49" i="29"/>
  <c r="AP57" i="29"/>
  <c r="AP43" i="29"/>
  <c r="AP73" i="29"/>
  <c r="AP74" i="29"/>
  <c r="AP45" i="29"/>
  <c r="AP56" i="29"/>
  <c r="AP15" i="29"/>
  <c r="AP33" i="29"/>
  <c r="AP35" i="29"/>
  <c r="AP52" i="29"/>
  <c r="AP8" i="29"/>
  <c r="AP11" i="29"/>
  <c r="AP12" i="29"/>
  <c r="AP31" i="29"/>
  <c r="AP71" i="29"/>
  <c r="AP9" i="29"/>
  <c r="AP14" i="29"/>
  <c r="AP16" i="29"/>
  <c r="AP25" i="29"/>
  <c r="AP32" i="29"/>
  <c r="AP34" i="29"/>
  <c r="AP37" i="29"/>
  <c r="AP10" i="29"/>
  <c r="AP4" i="29"/>
  <c r="AP6" i="29"/>
  <c r="AP13" i="29"/>
  <c r="AP18" i="29"/>
  <c r="AP20" i="29"/>
  <c r="AP22" i="29"/>
  <c r="AP29" i="29"/>
  <c r="AP36" i="29"/>
  <c r="AP38" i="29"/>
  <c r="AP41" i="29"/>
  <c r="AP47" i="29"/>
  <c r="AP51" i="29"/>
  <c r="AP54" i="29"/>
  <c r="AP58" i="29"/>
  <c r="AP61" i="29"/>
  <c r="AP63" i="29"/>
  <c r="AP65" i="29"/>
  <c r="AP68" i="29"/>
  <c r="AP50" i="29"/>
  <c r="AP55" i="29"/>
  <c r="AP69" i="29"/>
  <c r="AP67" i="29"/>
  <c r="AP70" i="29"/>
  <c r="AP72" i="29"/>
  <c r="B10" i="12" l="1"/>
  <c r="C10" i="12"/>
  <c r="D10" i="12"/>
  <c r="E10" i="12"/>
  <c r="F10" i="12"/>
  <c r="G10" i="12"/>
  <c r="I10" i="12" s="1"/>
  <c r="B11" i="12"/>
  <c r="C11" i="12"/>
  <c r="D11" i="12"/>
  <c r="E11" i="12"/>
  <c r="F11" i="12"/>
  <c r="G11" i="12"/>
  <c r="I11" i="12" s="1"/>
  <c r="B12" i="12"/>
  <c r="C12" i="12"/>
  <c r="D12" i="12"/>
  <c r="E12" i="12"/>
  <c r="F12" i="12"/>
  <c r="G12" i="12"/>
  <c r="I12" i="12" s="1"/>
  <c r="B13" i="12"/>
  <c r="C13" i="12"/>
  <c r="D13" i="12"/>
  <c r="E13" i="12"/>
  <c r="F13" i="12"/>
  <c r="G13" i="12"/>
  <c r="I13" i="12" s="1"/>
  <c r="F35" i="28" l="1"/>
  <c r="G35" i="28"/>
  <c r="E35" i="28"/>
  <c r="D35" i="28"/>
  <c r="C35" i="28"/>
  <c r="B35" i="28"/>
  <c r="C31" i="28"/>
  <c r="G25" i="28"/>
  <c r="I35" i="28" l="1"/>
  <c r="K35" i="28" s="1"/>
  <c r="L35" i="28" s="1"/>
  <c r="M35" i="28" s="1"/>
  <c r="N35" i="28" s="1"/>
  <c r="O35" i="28" l="1"/>
  <c r="B3" i="28"/>
  <c r="O9" i="4" l="1"/>
  <c r="E4" i="5" l="1"/>
  <c r="Z9" i="3" l="1"/>
  <c r="B35" i="27"/>
  <c r="B34" i="27"/>
  <c r="B27" i="27"/>
  <c r="G21" i="27"/>
  <c r="B21" i="27" s="1"/>
  <c r="G15" i="27"/>
  <c r="B15" i="27" s="1"/>
  <c r="G9" i="27"/>
  <c r="B9" i="27" s="1"/>
  <c r="K9" i="27" l="1"/>
  <c r="L13" i="3" l="1"/>
  <c r="L12" i="3"/>
  <c r="D37" i="10"/>
  <c r="D34" i="10"/>
  <c r="L10" i="3"/>
  <c r="L11" i="3"/>
  <c r="L9" i="3"/>
  <c r="G11" i="25"/>
  <c r="F11" i="25"/>
  <c r="E11" i="25"/>
  <c r="D11" i="25"/>
  <c r="C11" i="25"/>
  <c r="B11" i="25"/>
  <c r="B2" i="25"/>
  <c r="D9" i="10"/>
  <c r="AE6" i="20"/>
  <c r="AH6" i="20" s="1"/>
  <c r="AE7" i="20"/>
  <c r="AH7" i="20" s="1"/>
  <c r="AE8" i="20"/>
  <c r="AH8" i="20" s="1"/>
  <c r="AE9" i="20"/>
  <c r="AH9" i="20" s="1"/>
  <c r="AE10" i="20"/>
  <c r="AH10" i="20" s="1"/>
  <c r="AE11" i="20"/>
  <c r="AH11" i="20" s="1"/>
  <c r="AE12" i="20"/>
  <c r="AH12" i="20" s="1"/>
  <c r="AE13" i="20"/>
  <c r="AH13" i="20" s="1"/>
  <c r="AE14" i="20"/>
  <c r="AH14" i="20" s="1"/>
  <c r="AE15" i="20"/>
  <c r="AH15" i="20" s="1"/>
  <c r="AE16" i="20"/>
  <c r="AH16" i="20" s="1"/>
  <c r="AE17" i="20"/>
  <c r="AH17" i="20" s="1"/>
  <c r="AE18" i="20"/>
  <c r="AH18" i="20" s="1"/>
  <c r="AE19" i="20"/>
  <c r="AH19" i="20" s="1"/>
  <c r="AE20" i="20"/>
  <c r="AH20" i="20" s="1"/>
  <c r="AE21" i="20"/>
  <c r="AH21" i="20" s="1"/>
  <c r="AE22" i="20"/>
  <c r="AH22" i="20" s="1"/>
  <c r="AE23" i="20"/>
  <c r="AH23" i="20" s="1"/>
  <c r="AE24" i="20"/>
  <c r="AH24" i="20" s="1"/>
  <c r="AE25" i="20"/>
  <c r="AH25" i="20" s="1"/>
  <c r="AE26" i="20"/>
  <c r="AH26" i="20" s="1"/>
  <c r="AE27" i="20"/>
  <c r="AH27" i="20" s="1"/>
  <c r="AE28" i="20"/>
  <c r="AH28" i="20" s="1"/>
  <c r="AE29" i="20"/>
  <c r="AH29" i="20" s="1"/>
  <c r="AE30" i="20"/>
  <c r="AH30" i="20" s="1"/>
  <c r="AE31" i="20"/>
  <c r="AH31" i="20" s="1"/>
  <c r="AE32" i="20"/>
  <c r="AH32" i="20" s="1"/>
  <c r="AE33" i="20"/>
  <c r="AH33" i="20" s="1"/>
  <c r="AE34" i="20"/>
  <c r="AE35" i="20"/>
  <c r="AH35" i="20" s="1"/>
  <c r="AE36" i="20"/>
  <c r="AH36" i="20" s="1"/>
  <c r="AE37" i="20"/>
  <c r="AH37" i="20" s="1"/>
  <c r="AE38" i="20"/>
  <c r="AH38" i="20" s="1"/>
  <c r="AE39" i="20"/>
  <c r="AH39" i="20" s="1"/>
  <c r="AE40" i="20"/>
  <c r="AH40" i="20" s="1"/>
  <c r="AE41" i="20"/>
  <c r="AH41" i="20" s="1"/>
  <c r="AE42" i="20"/>
  <c r="AH42" i="20" s="1"/>
  <c r="AE43" i="20"/>
  <c r="AH43" i="20" s="1"/>
  <c r="AE44" i="20"/>
  <c r="AH44" i="20" s="1"/>
  <c r="AE45" i="20"/>
  <c r="AH45" i="20" s="1"/>
  <c r="AE46" i="20"/>
  <c r="AH46" i="20" s="1"/>
  <c r="AE47" i="20"/>
  <c r="AH47" i="20" s="1"/>
  <c r="AE48" i="20"/>
  <c r="AH48" i="20" s="1"/>
  <c r="AE49" i="20"/>
  <c r="AH49" i="20" s="1"/>
  <c r="AE50" i="20"/>
  <c r="AH50" i="20" s="1"/>
  <c r="AE51" i="20"/>
  <c r="AH51" i="20" s="1"/>
  <c r="AE52" i="20"/>
  <c r="AH52" i="20" s="1"/>
  <c r="AE53" i="20"/>
  <c r="AH53" i="20" s="1"/>
  <c r="AE5" i="20"/>
  <c r="AH5" i="20" s="1"/>
  <c r="AD6" i="20"/>
  <c r="AG6" i="20" s="1"/>
  <c r="AD7" i="20"/>
  <c r="AG7" i="20" s="1"/>
  <c r="AD8" i="20"/>
  <c r="AG8" i="20" s="1"/>
  <c r="AD9" i="20"/>
  <c r="AG9" i="20" s="1"/>
  <c r="AD10" i="20"/>
  <c r="AG10" i="20" s="1"/>
  <c r="AD11" i="20"/>
  <c r="AG11" i="20" s="1"/>
  <c r="AD12" i="20"/>
  <c r="AG12" i="20" s="1"/>
  <c r="AD13" i="20"/>
  <c r="AG13" i="20" s="1"/>
  <c r="AD14" i="20"/>
  <c r="AG14" i="20" s="1"/>
  <c r="AD15" i="20"/>
  <c r="AG15" i="20" s="1"/>
  <c r="AD16" i="20"/>
  <c r="AG16" i="20" s="1"/>
  <c r="AD17" i="20"/>
  <c r="AG17" i="20" s="1"/>
  <c r="AD18" i="20"/>
  <c r="AG18" i="20" s="1"/>
  <c r="AD19" i="20"/>
  <c r="AG19" i="20" s="1"/>
  <c r="AD20" i="20"/>
  <c r="AG20" i="20" s="1"/>
  <c r="AD21" i="20"/>
  <c r="AG21" i="20" s="1"/>
  <c r="AD22" i="20"/>
  <c r="AG22" i="20" s="1"/>
  <c r="AD23" i="20"/>
  <c r="AG23" i="20" s="1"/>
  <c r="AD24" i="20"/>
  <c r="AG24" i="20" s="1"/>
  <c r="AD25" i="20"/>
  <c r="AG25" i="20" s="1"/>
  <c r="AD26" i="20"/>
  <c r="AG26" i="20" s="1"/>
  <c r="AD27" i="20"/>
  <c r="AG27" i="20" s="1"/>
  <c r="AD28" i="20"/>
  <c r="AG28" i="20" s="1"/>
  <c r="AD29" i="20"/>
  <c r="AG29" i="20" s="1"/>
  <c r="AD30" i="20"/>
  <c r="AG30" i="20" s="1"/>
  <c r="AD31" i="20"/>
  <c r="AG31" i="20" s="1"/>
  <c r="AD32" i="20"/>
  <c r="AG32" i="20" s="1"/>
  <c r="AD33" i="20"/>
  <c r="AG33" i="20" s="1"/>
  <c r="AD34" i="20"/>
  <c r="AG34" i="20" s="1"/>
  <c r="AD35" i="20"/>
  <c r="AG35" i="20" s="1"/>
  <c r="AD36" i="20"/>
  <c r="AG36" i="20" s="1"/>
  <c r="AD37" i="20"/>
  <c r="AG37" i="20" s="1"/>
  <c r="AD38" i="20"/>
  <c r="AG38" i="20" s="1"/>
  <c r="AD39" i="20"/>
  <c r="AG39" i="20" s="1"/>
  <c r="AD40" i="20"/>
  <c r="AG40" i="20" s="1"/>
  <c r="AD41" i="20"/>
  <c r="AG41" i="20" s="1"/>
  <c r="AD42" i="20"/>
  <c r="AG42" i="20" s="1"/>
  <c r="AD43" i="20"/>
  <c r="AG43" i="20" s="1"/>
  <c r="AD44" i="20"/>
  <c r="AG44" i="20" s="1"/>
  <c r="AD45" i="20"/>
  <c r="AG45" i="20" s="1"/>
  <c r="AD46" i="20"/>
  <c r="AG46" i="20" s="1"/>
  <c r="AD47" i="20"/>
  <c r="AG47" i="20" s="1"/>
  <c r="AD48" i="20"/>
  <c r="AG48" i="20" s="1"/>
  <c r="AD49" i="20"/>
  <c r="AG49" i="20" s="1"/>
  <c r="AD50" i="20"/>
  <c r="AG50" i="20" s="1"/>
  <c r="AD51" i="20"/>
  <c r="AG51" i="20" s="1"/>
  <c r="AD52" i="20"/>
  <c r="AG52" i="20" s="1"/>
  <c r="AD53" i="20"/>
  <c r="AG53" i="20" s="1"/>
  <c r="AD5" i="20"/>
  <c r="AG5" i="20" s="1"/>
  <c r="AC46" i="20"/>
  <c r="AF46" i="20" s="1"/>
  <c r="AC47" i="20"/>
  <c r="AF47" i="20" s="1"/>
  <c r="AC48" i="20"/>
  <c r="AF48" i="20" s="1"/>
  <c r="AC49" i="20"/>
  <c r="AF49" i="20" s="1"/>
  <c r="AC50" i="20"/>
  <c r="AF50" i="20" s="1"/>
  <c r="AC51" i="20"/>
  <c r="AF51" i="20" s="1"/>
  <c r="AC52" i="20"/>
  <c r="AF52" i="20" s="1"/>
  <c r="AC53" i="20"/>
  <c r="AF53" i="20" s="1"/>
  <c r="AC6" i="20"/>
  <c r="AF6" i="20" s="1"/>
  <c r="AC7" i="20"/>
  <c r="AF7" i="20" s="1"/>
  <c r="AC8" i="20"/>
  <c r="AF8" i="20" s="1"/>
  <c r="AC9" i="20"/>
  <c r="AF9" i="20" s="1"/>
  <c r="AC10" i="20"/>
  <c r="AF10" i="20" s="1"/>
  <c r="AC11" i="20"/>
  <c r="AF11" i="20" s="1"/>
  <c r="AC12" i="20"/>
  <c r="AF12" i="20" s="1"/>
  <c r="AC13" i="20"/>
  <c r="AF13" i="20" s="1"/>
  <c r="AC14" i="20"/>
  <c r="AF14" i="20" s="1"/>
  <c r="AC15" i="20"/>
  <c r="AF15" i="20" s="1"/>
  <c r="AC16" i="20"/>
  <c r="AF16" i="20" s="1"/>
  <c r="AC17" i="20"/>
  <c r="AF17" i="20" s="1"/>
  <c r="AC18" i="20"/>
  <c r="AF18" i="20" s="1"/>
  <c r="AC19" i="20"/>
  <c r="AF19" i="20" s="1"/>
  <c r="AC20" i="20"/>
  <c r="AF20" i="20" s="1"/>
  <c r="AC21" i="20"/>
  <c r="AF21" i="20" s="1"/>
  <c r="AC22" i="20"/>
  <c r="AF22" i="20" s="1"/>
  <c r="AC23" i="20"/>
  <c r="AF23" i="20" s="1"/>
  <c r="AC24" i="20"/>
  <c r="AF24" i="20" s="1"/>
  <c r="AC25" i="20"/>
  <c r="AF25" i="20" s="1"/>
  <c r="AC26" i="20"/>
  <c r="AF26" i="20" s="1"/>
  <c r="AC27" i="20"/>
  <c r="AF27" i="20" s="1"/>
  <c r="AC28" i="20"/>
  <c r="AF28" i="20" s="1"/>
  <c r="AC29" i="20"/>
  <c r="AF29" i="20" s="1"/>
  <c r="AC30" i="20"/>
  <c r="AF30" i="20" s="1"/>
  <c r="AC31" i="20"/>
  <c r="AF31" i="20" s="1"/>
  <c r="AC32" i="20"/>
  <c r="AF32" i="20" s="1"/>
  <c r="AC33" i="20"/>
  <c r="AF33" i="20" s="1"/>
  <c r="AC34" i="20"/>
  <c r="AF34" i="20" s="1"/>
  <c r="AH34" i="20"/>
  <c r="AC35" i="20"/>
  <c r="AF35" i="20" s="1"/>
  <c r="AC36" i="20"/>
  <c r="AF36" i="20" s="1"/>
  <c r="AC37" i="20"/>
  <c r="AF37" i="20" s="1"/>
  <c r="AC38" i="20"/>
  <c r="AF38" i="20" s="1"/>
  <c r="AC39" i="20"/>
  <c r="AF39" i="20" s="1"/>
  <c r="AC40" i="20"/>
  <c r="AF40" i="20" s="1"/>
  <c r="AC41" i="20"/>
  <c r="AF41" i="20" s="1"/>
  <c r="AC42" i="20"/>
  <c r="AF42" i="20" s="1"/>
  <c r="AC43" i="20"/>
  <c r="AF43" i="20" s="1"/>
  <c r="AC44" i="20"/>
  <c r="AF44" i="20" s="1"/>
  <c r="AC45" i="20"/>
  <c r="AF45" i="20" s="1"/>
  <c r="AC5" i="20"/>
  <c r="AF5" i="20" s="1"/>
  <c r="L11" i="25" l="1"/>
  <c r="O11" i="25" s="1"/>
  <c r="R11" i="25" s="1"/>
  <c r="AI52" i="20"/>
  <c r="I10" i="9"/>
  <c r="I15" i="9"/>
  <c r="I18" i="9"/>
  <c r="I19" i="9"/>
  <c r="I20" i="9"/>
  <c r="AI36" i="20"/>
  <c r="AI46" i="20"/>
  <c r="AI49" i="20"/>
  <c r="AI31" i="20"/>
  <c r="AI23" i="20"/>
  <c r="AI28" i="20"/>
  <c r="AI20" i="20"/>
  <c r="AI10" i="20"/>
  <c r="AI43" i="20"/>
  <c r="AI38" i="20"/>
  <c r="AI35" i="20"/>
  <c r="AI27" i="20"/>
  <c r="AI22" i="20"/>
  <c r="AI19" i="20"/>
  <c r="AI14" i="20"/>
  <c r="AI11" i="20"/>
  <c r="AI6" i="20"/>
  <c r="AI8" i="20"/>
  <c r="AI34" i="20"/>
  <c r="AI41" i="20"/>
  <c r="AI33" i="20"/>
  <c r="AI25" i="20"/>
  <c r="AI17" i="20"/>
  <c r="AI9" i="20"/>
  <c r="AI50" i="20"/>
  <c r="AI18" i="20"/>
  <c r="AI44" i="20"/>
  <c r="AI26" i="20"/>
  <c r="AI30" i="20"/>
  <c r="AI16" i="20"/>
  <c r="AI24" i="20"/>
  <c r="AI15" i="20"/>
  <c r="AI32" i="20"/>
  <c r="AI45" i="20"/>
  <c r="AI37" i="20"/>
  <c r="AI29" i="20"/>
  <c r="AI21" i="20"/>
  <c r="AI13" i="20"/>
  <c r="AI12" i="20"/>
  <c r="AI39" i="20"/>
  <c r="AI7" i="20"/>
  <c r="AI42" i="20"/>
  <c r="AI40" i="20"/>
  <c r="AI48" i="20"/>
  <c r="AI53" i="20"/>
  <c r="AI47" i="20"/>
  <c r="AI51" i="20"/>
  <c r="AI5" i="20"/>
  <c r="F7" i="14"/>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6" i="2"/>
  <c r="A17" i="2"/>
  <c r="A18" i="2"/>
  <c r="A19" i="2"/>
  <c r="A20" i="2"/>
  <c r="A21" i="2"/>
  <c r="A22" i="2"/>
  <c r="A23" i="2"/>
  <c r="A24" i="2"/>
  <c r="A25" i="2"/>
  <c r="A26" i="2"/>
  <c r="A27" i="2"/>
  <c r="A28" i="2"/>
  <c r="A29" i="2"/>
  <c r="A30" i="2"/>
  <c r="A31" i="2"/>
  <c r="A32" i="2"/>
  <c r="A33" i="2"/>
  <c r="A34" i="2"/>
  <c r="A35" i="2"/>
  <c r="A36" i="2"/>
  <c r="A37" i="2"/>
  <c r="A14" i="2"/>
  <c r="A15" i="2"/>
  <c r="A13" i="2"/>
  <c r="F8" i="14"/>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C5" i="3"/>
  <c r="G9" i="5"/>
  <c r="M13" i="2"/>
  <c r="C4" i="8"/>
  <c r="B24" i="9"/>
  <c r="C24" i="9"/>
  <c r="D24" i="9"/>
  <c r="E24" i="9"/>
  <c r="F24" i="9"/>
  <c r="G24" i="9"/>
  <c r="H24" i="9"/>
  <c r="I24" i="9"/>
  <c r="J24" i="9"/>
  <c r="K24" i="9"/>
  <c r="L24" i="9"/>
  <c r="C14" i="19"/>
  <c r="I14" i="19"/>
  <c r="D14" i="19"/>
  <c r="E14" i="19"/>
  <c r="P24" i="9"/>
  <c r="C5" i="4"/>
  <c r="Q24" i="9"/>
  <c r="R24" i="9"/>
  <c r="S24" i="9"/>
  <c r="C8" i="6"/>
  <c r="U24" i="9"/>
  <c r="C5" i="12"/>
  <c r="V24" i="9"/>
  <c r="W24" i="9"/>
  <c r="X24" i="9"/>
  <c r="Y24" i="9"/>
  <c r="AC24" i="9"/>
  <c r="AD24" i="9"/>
  <c r="AE24" i="9"/>
  <c r="AF24" i="9"/>
  <c r="AG24" i="9"/>
  <c r="AH24" i="9"/>
  <c r="AL24" i="9"/>
  <c r="AM24" i="9"/>
  <c r="AN24" i="9"/>
  <c r="AO24" i="9"/>
  <c r="AP24" i="9"/>
  <c r="B13" i="9"/>
  <c r="C13" i="9"/>
  <c r="D13" i="9"/>
  <c r="E13" i="9"/>
  <c r="F13" i="9"/>
  <c r="G13" i="9"/>
  <c r="B14" i="9"/>
  <c r="C14" i="9"/>
  <c r="D14" i="9"/>
  <c r="E14" i="9"/>
  <c r="F14" i="9"/>
  <c r="G14" i="9"/>
  <c r="B15" i="9"/>
  <c r="C15" i="9"/>
  <c r="D15" i="9"/>
  <c r="E15" i="9"/>
  <c r="F15" i="9"/>
  <c r="G15" i="9"/>
  <c r="B16" i="9"/>
  <c r="C16" i="9"/>
  <c r="D16" i="9"/>
  <c r="E16" i="9"/>
  <c r="F16" i="9"/>
  <c r="G16" i="9"/>
  <c r="B17" i="9"/>
  <c r="C17" i="9"/>
  <c r="D17" i="9"/>
  <c r="E17" i="9"/>
  <c r="F17" i="9"/>
  <c r="G17" i="9"/>
  <c r="B18" i="9"/>
  <c r="C18" i="9"/>
  <c r="D18" i="9"/>
  <c r="E18" i="9"/>
  <c r="F18" i="9"/>
  <c r="G18" i="9"/>
  <c r="B19" i="9"/>
  <c r="C19" i="9"/>
  <c r="D19" i="9"/>
  <c r="E19" i="9"/>
  <c r="F19" i="9"/>
  <c r="G19" i="9"/>
  <c r="B20" i="9"/>
  <c r="C20" i="9"/>
  <c r="D20" i="9"/>
  <c r="E20" i="9"/>
  <c r="F20" i="9"/>
  <c r="G20" i="9"/>
  <c r="B21" i="9"/>
  <c r="C21" i="9"/>
  <c r="D21" i="9"/>
  <c r="E21" i="9"/>
  <c r="F21" i="9"/>
  <c r="G21" i="9"/>
  <c r="I21" i="9"/>
  <c r="B22" i="9"/>
  <c r="C22" i="9"/>
  <c r="D22" i="9"/>
  <c r="E22" i="9"/>
  <c r="F22" i="9"/>
  <c r="G22" i="9"/>
  <c r="I22" i="9"/>
  <c r="B23" i="9"/>
  <c r="C23" i="9"/>
  <c r="D23" i="9"/>
  <c r="E23" i="9"/>
  <c r="F23" i="9"/>
  <c r="G23" i="9"/>
  <c r="H23" i="9"/>
  <c r="I23" i="9"/>
  <c r="J23" i="9"/>
  <c r="K23" i="9"/>
  <c r="L23" i="9"/>
  <c r="P23" i="9"/>
  <c r="Q23" i="9"/>
  <c r="R23" i="9"/>
  <c r="S23" i="9"/>
  <c r="U23" i="9"/>
  <c r="V23" i="9"/>
  <c r="W23" i="9"/>
  <c r="X23" i="9"/>
  <c r="Y23" i="9"/>
  <c r="AC23" i="9"/>
  <c r="AD23" i="9"/>
  <c r="AE23" i="9"/>
  <c r="AF23" i="9"/>
  <c r="AG23" i="9"/>
  <c r="AH23" i="9"/>
  <c r="AL23" i="9"/>
  <c r="AM23" i="9"/>
  <c r="AN23" i="9"/>
  <c r="AO23" i="9"/>
  <c r="AP23" i="9"/>
  <c r="C14" i="8"/>
  <c r="D14" i="8"/>
  <c r="E14" i="8"/>
  <c r="B14" i="8"/>
  <c r="G14" i="8"/>
  <c r="D9" i="3"/>
  <c r="E9" i="3"/>
  <c r="G9" i="3"/>
  <c r="M9" i="3"/>
  <c r="D9" i="4"/>
  <c r="E9" i="4"/>
  <c r="G9" i="4"/>
  <c r="C9" i="3"/>
  <c r="O6" i="16"/>
  <c r="S6" i="16" s="1"/>
  <c r="O7" i="16"/>
  <c r="C8" i="19"/>
  <c r="O8" i="16"/>
  <c r="S8" i="16" s="1"/>
  <c r="O9" i="16"/>
  <c r="S9" i="16" s="1"/>
  <c r="P6" i="16"/>
  <c r="P7" i="16"/>
  <c r="N7" i="16"/>
  <c r="N6" i="16"/>
  <c r="P8" i="16"/>
  <c r="N8" i="16"/>
  <c r="N9" i="16"/>
  <c r="P9" i="16"/>
  <c r="N10" i="16"/>
  <c r="O10" i="16"/>
  <c r="S10" i="16" s="1"/>
  <c r="P10" i="16"/>
  <c r="O11" i="16"/>
  <c r="S11" i="16" s="1"/>
  <c r="O12" i="16"/>
  <c r="O13" i="16"/>
  <c r="O14" i="16"/>
  <c r="S14" i="16" s="1"/>
  <c r="O15" i="16"/>
  <c r="S15" i="16" s="1"/>
  <c r="O16" i="16"/>
  <c r="S16" i="16" s="1"/>
  <c r="O17" i="16"/>
  <c r="S17" i="16" s="1"/>
  <c r="O18" i="16"/>
  <c r="S18" i="16" s="1"/>
  <c r="O19" i="16"/>
  <c r="S19" i="16" s="1"/>
  <c r="O20" i="16"/>
  <c r="S20" i="16" s="1"/>
  <c r="O21" i="16"/>
  <c r="S21" i="16" s="1"/>
  <c r="O22" i="16"/>
  <c r="O23" i="16"/>
  <c r="S23" i="16" s="1"/>
  <c r="O24" i="16"/>
  <c r="S24" i="16" s="1"/>
  <c r="O25" i="16"/>
  <c r="S25" i="16" s="1"/>
  <c r="O26" i="16"/>
  <c r="S26" i="16" s="1"/>
  <c r="O27" i="16"/>
  <c r="S27" i="16" s="1"/>
  <c r="O28" i="16"/>
  <c r="S28" i="16" s="1"/>
  <c r="O29" i="16"/>
  <c r="S29" i="16" s="1"/>
  <c r="O30" i="16"/>
  <c r="S30" i="16" s="1"/>
  <c r="O31" i="16"/>
  <c r="S31" i="16" s="1"/>
  <c r="O32" i="16"/>
  <c r="S32" i="16" s="1"/>
  <c r="O33" i="16"/>
  <c r="S33" i="16" s="1"/>
  <c r="N15" i="16"/>
  <c r="N14" i="16"/>
  <c r="P15" i="16"/>
  <c r="P14" i="16"/>
  <c r="N13" i="16"/>
  <c r="P13" i="16"/>
  <c r="N16" i="16"/>
  <c r="P16" i="16"/>
  <c r="N17" i="16"/>
  <c r="P17" i="16"/>
  <c r="N18" i="16"/>
  <c r="P18" i="16"/>
  <c r="N19" i="16"/>
  <c r="P19" i="16"/>
  <c r="N20" i="16"/>
  <c r="P20" i="16"/>
  <c r="N21" i="16"/>
  <c r="P21" i="16"/>
  <c r="N22" i="16"/>
  <c r="P22" i="16"/>
  <c r="N23" i="16"/>
  <c r="P23" i="16"/>
  <c r="N24" i="16"/>
  <c r="P24" i="16"/>
  <c r="N25" i="16"/>
  <c r="P25" i="16"/>
  <c r="N26" i="16"/>
  <c r="P26" i="16"/>
  <c r="N27" i="16"/>
  <c r="P27" i="16"/>
  <c r="N28" i="16"/>
  <c r="P28" i="16"/>
  <c r="N29" i="16"/>
  <c r="P29" i="16"/>
  <c r="N30" i="16"/>
  <c r="P30" i="16"/>
  <c r="N31" i="16"/>
  <c r="P31" i="16"/>
  <c r="N32" i="16"/>
  <c r="P32" i="16"/>
  <c r="N33" i="16"/>
  <c r="P33" i="16"/>
  <c r="N34" i="16"/>
  <c r="O34" i="16"/>
  <c r="P34" i="16"/>
  <c r="O35" i="16"/>
  <c r="S35" i="16" s="1"/>
  <c r="O36" i="16"/>
  <c r="O37" i="16"/>
  <c r="O38" i="16"/>
  <c r="S38" i="16" s="1"/>
  <c r="O39" i="16"/>
  <c r="O40" i="16"/>
  <c r="O41" i="16"/>
  <c r="O42" i="16"/>
  <c r="S42" i="16" s="1"/>
  <c r="O43" i="16"/>
  <c r="S43" i="16" s="1"/>
  <c r="O44" i="16"/>
  <c r="S44" i="16" s="1"/>
  <c r="O45" i="16"/>
  <c r="S45" i="16" s="1"/>
  <c r="O46" i="16"/>
  <c r="O47" i="16"/>
  <c r="O48" i="16"/>
  <c r="S48" i="16" s="1"/>
  <c r="O49" i="16"/>
  <c r="O50" i="16"/>
  <c r="O51" i="16"/>
  <c r="O52" i="16"/>
  <c r="S52" i="16" s="1"/>
  <c r="O53" i="16"/>
  <c r="S53" i="16" s="1"/>
  <c r="O54" i="16"/>
  <c r="O55" i="16"/>
  <c r="O56" i="16"/>
  <c r="S56" i="16" s="1"/>
  <c r="O57" i="16"/>
  <c r="N39" i="16"/>
  <c r="N38" i="16"/>
  <c r="P39" i="16"/>
  <c r="P38" i="16"/>
  <c r="N37" i="16"/>
  <c r="P37" i="16"/>
  <c r="N36" i="16"/>
  <c r="P36" i="16"/>
  <c r="N35" i="16"/>
  <c r="P35" i="16"/>
  <c r="N40" i="16"/>
  <c r="P40" i="16"/>
  <c r="N41" i="16"/>
  <c r="P41" i="16"/>
  <c r="N42" i="16"/>
  <c r="P42" i="16"/>
  <c r="N43" i="16"/>
  <c r="P43" i="16"/>
  <c r="N44" i="16"/>
  <c r="P44" i="16"/>
  <c r="N45" i="16"/>
  <c r="P45" i="16"/>
  <c r="N46" i="16"/>
  <c r="P46" i="16"/>
  <c r="N47" i="16"/>
  <c r="P47" i="16"/>
  <c r="N48" i="16"/>
  <c r="P48" i="16"/>
  <c r="N49" i="16"/>
  <c r="P49" i="16"/>
  <c r="N50" i="16"/>
  <c r="P50" i="16"/>
  <c r="N51" i="16"/>
  <c r="P51" i="16"/>
  <c r="N52" i="16"/>
  <c r="P52" i="16"/>
  <c r="N53" i="16"/>
  <c r="P53" i="16"/>
  <c r="N54" i="16"/>
  <c r="P54" i="16"/>
  <c r="N55" i="16"/>
  <c r="P55" i="16"/>
  <c r="N56" i="16"/>
  <c r="P56" i="16"/>
  <c r="N57" i="16"/>
  <c r="P57" i="16"/>
  <c r="N58" i="16"/>
  <c r="O58" i="16"/>
  <c r="S58" i="16" s="1"/>
  <c r="P58" i="16"/>
  <c r="O59" i="16"/>
  <c r="S59" i="16" s="1"/>
  <c r="O60" i="16"/>
  <c r="S60" i="16" s="1"/>
  <c r="O61" i="16"/>
  <c r="S61" i="16" s="1"/>
  <c r="O62" i="16"/>
  <c r="O63" i="16"/>
  <c r="O64" i="16"/>
  <c r="S64" i="16" s="1"/>
  <c r="O65" i="16"/>
  <c r="O66" i="16"/>
  <c r="S66" i="16" s="1"/>
  <c r="O67" i="16"/>
  <c r="S67" i="16" s="1"/>
  <c r="O68" i="16"/>
  <c r="S68" i="16" s="1"/>
  <c r="O69" i="16"/>
  <c r="O70" i="16"/>
  <c r="S70" i="16" s="1"/>
  <c r="O71" i="16"/>
  <c r="O72" i="16"/>
  <c r="O73" i="16"/>
  <c r="O74" i="16"/>
  <c r="S74" i="16" s="1"/>
  <c r="O75" i="16"/>
  <c r="S75" i="16" s="1"/>
  <c r="O76" i="16"/>
  <c r="O77" i="16"/>
  <c r="O78" i="16"/>
  <c r="S78" i="16" s="1"/>
  <c r="O79" i="16"/>
  <c r="O80" i="16"/>
  <c r="S80" i="16" s="1"/>
  <c r="O81" i="16"/>
  <c r="S81" i="16" s="1"/>
  <c r="N63" i="16"/>
  <c r="N62" i="16"/>
  <c r="P63" i="16"/>
  <c r="P62" i="16"/>
  <c r="N61" i="16"/>
  <c r="P61" i="16"/>
  <c r="N60" i="16"/>
  <c r="P60" i="16"/>
  <c r="N59" i="16"/>
  <c r="P59" i="16"/>
  <c r="N64" i="16"/>
  <c r="P64" i="16"/>
  <c r="N65" i="16"/>
  <c r="P65" i="16"/>
  <c r="N66" i="16"/>
  <c r="P66" i="16"/>
  <c r="N67" i="16"/>
  <c r="P67" i="16"/>
  <c r="N68" i="16"/>
  <c r="P68" i="16"/>
  <c r="N69" i="16"/>
  <c r="P69" i="16"/>
  <c r="N70" i="16"/>
  <c r="P70" i="16"/>
  <c r="N71" i="16"/>
  <c r="P71" i="16"/>
  <c r="N72" i="16"/>
  <c r="P72" i="16"/>
  <c r="N73" i="16"/>
  <c r="P73" i="16"/>
  <c r="N74" i="16"/>
  <c r="P74" i="16"/>
  <c r="N75" i="16"/>
  <c r="P75" i="16"/>
  <c r="N76" i="16"/>
  <c r="P76" i="16"/>
  <c r="N77" i="16"/>
  <c r="P77" i="16"/>
  <c r="N78" i="16"/>
  <c r="P78" i="16"/>
  <c r="N79" i="16"/>
  <c r="P79" i="16"/>
  <c r="N80" i="16"/>
  <c r="P80" i="16"/>
  <c r="N81" i="16"/>
  <c r="P81" i="16"/>
  <c r="N82" i="16"/>
  <c r="O82" i="16"/>
  <c r="P82" i="16"/>
  <c r="O83" i="16"/>
  <c r="S83" i="16" s="1"/>
  <c r="O84" i="16"/>
  <c r="O85" i="16"/>
  <c r="S85" i="16" s="1"/>
  <c r="O86" i="16"/>
  <c r="S86" i="16" s="1"/>
  <c r="O87" i="16"/>
  <c r="O88" i="16"/>
  <c r="O89" i="16"/>
  <c r="S89" i="16" s="1"/>
  <c r="O90" i="16"/>
  <c r="S90" i="16" s="1"/>
  <c r="O91" i="16"/>
  <c r="S91" i="16" s="1"/>
  <c r="O92" i="16"/>
  <c r="O93" i="16"/>
  <c r="S93" i="16" s="1"/>
  <c r="O94" i="16"/>
  <c r="S94" i="16" s="1"/>
  <c r="O95" i="16"/>
  <c r="S95" i="16" s="1"/>
  <c r="O96" i="16"/>
  <c r="S96" i="16" s="1"/>
  <c r="O97" i="16"/>
  <c r="S97" i="16" s="1"/>
  <c r="O98" i="16"/>
  <c r="O99" i="16"/>
  <c r="O100" i="16"/>
  <c r="O101" i="16"/>
  <c r="S101" i="16" s="1"/>
  <c r="O102" i="16"/>
  <c r="O103" i="16"/>
  <c r="O104" i="16"/>
  <c r="S104" i="16" s="1"/>
  <c r="O105" i="16"/>
  <c r="S105" i="16" s="1"/>
  <c r="N87" i="16"/>
  <c r="N86" i="16"/>
  <c r="P87" i="16"/>
  <c r="P86" i="16"/>
  <c r="N85" i="16"/>
  <c r="P85" i="16"/>
  <c r="N84" i="16"/>
  <c r="P84" i="16"/>
  <c r="N83" i="16"/>
  <c r="P83" i="16"/>
  <c r="N88" i="16"/>
  <c r="P88" i="16"/>
  <c r="N89" i="16"/>
  <c r="P89" i="16"/>
  <c r="N90" i="16"/>
  <c r="P90" i="16"/>
  <c r="N91" i="16"/>
  <c r="P91" i="16"/>
  <c r="N92" i="16"/>
  <c r="P92" i="16"/>
  <c r="N93" i="16"/>
  <c r="P93" i="16"/>
  <c r="N94" i="16"/>
  <c r="P94" i="16"/>
  <c r="N95" i="16"/>
  <c r="P95" i="16"/>
  <c r="N96" i="16"/>
  <c r="P96" i="16"/>
  <c r="N97" i="16"/>
  <c r="P97" i="16"/>
  <c r="N98" i="16"/>
  <c r="P98" i="16"/>
  <c r="N99" i="16"/>
  <c r="P99" i="16"/>
  <c r="N100" i="16"/>
  <c r="P100" i="16"/>
  <c r="N101" i="16"/>
  <c r="P101" i="16"/>
  <c r="N102" i="16"/>
  <c r="P102" i="16"/>
  <c r="N103" i="16"/>
  <c r="P103" i="16"/>
  <c r="N104" i="16"/>
  <c r="P104" i="16"/>
  <c r="N105" i="16"/>
  <c r="P105" i="16"/>
  <c r="N106" i="16"/>
  <c r="O106" i="16"/>
  <c r="S106" i="16" s="1"/>
  <c r="P106" i="16"/>
  <c r="O107" i="16"/>
  <c r="O108" i="16"/>
  <c r="S108" i="16" s="1"/>
  <c r="O109" i="16"/>
  <c r="S109" i="16" s="1"/>
  <c r="O110" i="16"/>
  <c r="S110" i="16" s="1"/>
  <c r="O111" i="16"/>
  <c r="S111" i="16" s="1"/>
  <c r="O112" i="16"/>
  <c r="S112" i="16" s="1"/>
  <c r="O113" i="16"/>
  <c r="S113" i="16" s="1"/>
  <c r="O114" i="16"/>
  <c r="S114" i="16" s="1"/>
  <c r="O115" i="16"/>
  <c r="S115" i="16" s="1"/>
  <c r="O116" i="16"/>
  <c r="S116" i="16" s="1"/>
  <c r="O117" i="16"/>
  <c r="S117" i="16" s="1"/>
  <c r="O118" i="16"/>
  <c r="S118" i="16" s="1"/>
  <c r="O119" i="16"/>
  <c r="O120" i="16"/>
  <c r="O121" i="16"/>
  <c r="S121" i="16" s="1"/>
  <c r="O122" i="16"/>
  <c r="S122" i="16" s="1"/>
  <c r="O123" i="16"/>
  <c r="S123" i="16" s="1"/>
  <c r="O124" i="16"/>
  <c r="S124" i="16" s="1"/>
  <c r="O125" i="16"/>
  <c r="S125" i="16" s="1"/>
  <c r="O126" i="16"/>
  <c r="S126" i="16" s="1"/>
  <c r="O127" i="16"/>
  <c r="S127" i="16" s="1"/>
  <c r="O128" i="16"/>
  <c r="O129" i="16"/>
  <c r="S129" i="16" s="1"/>
  <c r="N111" i="16"/>
  <c r="N110" i="16"/>
  <c r="P111" i="16"/>
  <c r="P110" i="16"/>
  <c r="N109" i="16"/>
  <c r="P109" i="16"/>
  <c r="N108" i="16"/>
  <c r="P108" i="16"/>
  <c r="N107" i="16"/>
  <c r="P107" i="16"/>
  <c r="N112" i="16"/>
  <c r="P112" i="16"/>
  <c r="N113" i="16"/>
  <c r="P113" i="16"/>
  <c r="N114" i="16"/>
  <c r="P114" i="16"/>
  <c r="N115" i="16"/>
  <c r="P115" i="16"/>
  <c r="N116" i="16"/>
  <c r="P116" i="16"/>
  <c r="N117" i="16"/>
  <c r="P117" i="16"/>
  <c r="N118" i="16"/>
  <c r="P118" i="16"/>
  <c r="N119" i="16"/>
  <c r="P119" i="16"/>
  <c r="N120" i="16"/>
  <c r="P120" i="16"/>
  <c r="N121" i="16"/>
  <c r="P121" i="16"/>
  <c r="N122" i="16"/>
  <c r="P122" i="16"/>
  <c r="N123" i="16"/>
  <c r="P123" i="16"/>
  <c r="N124" i="16"/>
  <c r="P124" i="16"/>
  <c r="N125" i="16"/>
  <c r="P125" i="16"/>
  <c r="N126" i="16"/>
  <c r="P126" i="16"/>
  <c r="N127" i="16"/>
  <c r="P127" i="16"/>
  <c r="N128" i="16"/>
  <c r="P128" i="16"/>
  <c r="N129" i="16"/>
  <c r="P129" i="16"/>
  <c r="N130" i="16"/>
  <c r="O130" i="16"/>
  <c r="S130" i="16" s="1"/>
  <c r="P130" i="16"/>
  <c r="O131" i="16"/>
  <c r="S131" i="16" s="1"/>
  <c r="O132" i="16"/>
  <c r="S132" i="16" s="1"/>
  <c r="O133" i="16"/>
  <c r="S133" i="16" s="1"/>
  <c r="O134" i="16"/>
  <c r="O135" i="16"/>
  <c r="S135" i="16" s="1"/>
  <c r="O136" i="16"/>
  <c r="O137" i="16"/>
  <c r="O138" i="16"/>
  <c r="S138" i="16" s="1"/>
  <c r="O139" i="16"/>
  <c r="S139" i="16" s="1"/>
  <c r="O140" i="16"/>
  <c r="S140" i="16" s="1"/>
  <c r="O141" i="16"/>
  <c r="O142" i="16"/>
  <c r="O143" i="16"/>
  <c r="S143" i="16" s="1"/>
  <c r="O144" i="16"/>
  <c r="O145" i="16"/>
  <c r="O146" i="16"/>
  <c r="S146" i="16" s="1"/>
  <c r="O147" i="16"/>
  <c r="S147" i="16" s="1"/>
  <c r="O148" i="16"/>
  <c r="S148" i="16" s="1"/>
  <c r="O149" i="16"/>
  <c r="S149" i="16" s="1"/>
  <c r="O150" i="16"/>
  <c r="I13" i="6"/>
  <c r="E3"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 i="14"/>
  <c r="M14" i="2"/>
  <c r="M15" i="2"/>
  <c r="M16" i="2"/>
  <c r="M17" i="2"/>
  <c r="M18" i="2"/>
  <c r="F9" i="3"/>
  <c r="B9" i="3"/>
  <c r="N11" i="16"/>
  <c r="P11" i="16"/>
  <c r="N12" i="16"/>
  <c r="P12" i="16"/>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12" i="2"/>
  <c r="G14" i="19"/>
  <c r="B14" i="19"/>
  <c r="F14" i="19"/>
  <c r="H14" i="19"/>
  <c r="J14" i="19"/>
  <c r="D7" i="19"/>
  <c r="W13" i="19"/>
  <c r="AD13" i="19"/>
  <c r="U42" i="6"/>
  <c r="U41" i="6"/>
  <c r="U40" i="6"/>
  <c r="U39" i="6"/>
  <c r="U38" i="6"/>
  <c r="U37" i="6"/>
  <c r="U36" i="6"/>
  <c r="U35" i="6"/>
  <c r="U34" i="6"/>
  <c r="U33" i="6"/>
  <c r="U32" i="6"/>
  <c r="U31" i="6"/>
  <c r="U30" i="6"/>
  <c r="U29" i="6"/>
  <c r="U28" i="6"/>
  <c r="U27" i="6"/>
  <c r="U26" i="6"/>
  <c r="U25" i="6"/>
  <c r="U24" i="6"/>
  <c r="U23" i="6"/>
  <c r="U22" i="6"/>
  <c r="U21" i="6"/>
  <c r="U20" i="6"/>
  <c r="U19" i="6"/>
  <c r="U18" i="6"/>
  <c r="U17" i="6"/>
  <c r="U16" i="6"/>
  <c r="U15" i="6"/>
  <c r="U14" i="6"/>
  <c r="U13" i="6"/>
  <c r="O151" i="16"/>
  <c r="S151" i="16" s="1"/>
  <c r="O152" i="16"/>
  <c r="O153" i="16"/>
  <c r="S153" i="16" s="1"/>
  <c r="O154" i="16"/>
  <c r="O155" i="16"/>
  <c r="S155" i="16" s="1"/>
  <c r="O156" i="16"/>
  <c r="O157" i="16"/>
  <c r="S157" i="16" s="1"/>
  <c r="O158" i="16"/>
  <c r="S158" i="16" s="1"/>
  <c r="O159" i="16"/>
  <c r="S159" i="16" s="1"/>
  <c r="O160" i="16"/>
  <c r="O161" i="16"/>
  <c r="O162" i="16"/>
  <c r="S162" i="16" s="1"/>
  <c r="O163" i="16"/>
  <c r="O164" i="16"/>
  <c r="O165" i="16"/>
  <c r="O166" i="16"/>
  <c r="S166" i="16" s="1"/>
  <c r="O167" i="16"/>
  <c r="S167" i="16" s="1"/>
  <c r="O168" i="16"/>
  <c r="S168" i="16" s="1"/>
  <c r="O169" i="16"/>
  <c r="S169" i="16" s="1"/>
  <c r="O170" i="16"/>
  <c r="O171" i="16"/>
  <c r="O172" i="16"/>
  <c r="O173" i="16"/>
  <c r="S173" i="16" s="1"/>
  <c r="O174" i="16"/>
  <c r="S174" i="16" s="1"/>
  <c r="O175" i="16"/>
  <c r="S175" i="16" s="1"/>
  <c r="O176" i="16"/>
  <c r="S176" i="16" s="1"/>
  <c r="O177" i="16"/>
  <c r="S177" i="16" s="1"/>
  <c r="O178" i="16"/>
  <c r="S178" i="16" s="1"/>
  <c r="O179" i="16"/>
  <c r="S179" i="16" s="1"/>
  <c r="O180" i="16"/>
  <c r="O181" i="16"/>
  <c r="O182" i="16"/>
  <c r="S182" i="16" s="1"/>
  <c r="O183" i="16"/>
  <c r="S183" i="16" s="1"/>
  <c r="O184" i="16"/>
  <c r="O185" i="16"/>
  <c r="S185" i="16" s="1"/>
  <c r="O186" i="16"/>
  <c r="S186" i="16" s="1"/>
  <c r="O187" i="16"/>
  <c r="O188" i="16"/>
  <c r="S188" i="16" s="1"/>
  <c r="O189" i="16"/>
  <c r="O190" i="16"/>
  <c r="S190" i="16" s="1"/>
  <c r="O191" i="16"/>
  <c r="S191" i="16" s="1"/>
  <c r="O192" i="16"/>
  <c r="S192" i="16" s="1"/>
  <c r="O193" i="16"/>
  <c r="O194" i="16"/>
  <c r="S194" i="16" s="1"/>
  <c r="O195" i="16"/>
  <c r="O196" i="16"/>
  <c r="S196" i="16" s="1"/>
  <c r="O197" i="16"/>
  <c r="S197" i="16" s="1"/>
  <c r="O198" i="16"/>
  <c r="O199" i="16"/>
  <c r="S199" i="16" s="1"/>
  <c r="O200" i="16"/>
  <c r="S200" i="16" s="1"/>
  <c r="O201" i="16"/>
  <c r="O202" i="16"/>
  <c r="S202" i="16" s="1"/>
  <c r="O203" i="16"/>
  <c r="O204" i="16"/>
  <c r="O205" i="16"/>
  <c r="S205" i="16" s="1"/>
  <c r="O206" i="16"/>
  <c r="O207" i="16"/>
  <c r="O208" i="16"/>
  <c r="S208" i="16" s="1"/>
  <c r="O209" i="16"/>
  <c r="S209" i="16" s="1"/>
  <c r="O210" i="16"/>
  <c r="O211" i="16"/>
  <c r="O212" i="16"/>
  <c r="S212" i="16" s="1"/>
  <c r="O213" i="16"/>
  <c r="S213" i="16" s="1"/>
  <c r="O214" i="16"/>
  <c r="O215" i="16"/>
  <c r="O216" i="16"/>
  <c r="S216" i="16" s="1"/>
  <c r="O217" i="16"/>
  <c r="S217" i="16" s="1"/>
  <c r="O218" i="16"/>
  <c r="O219" i="16"/>
  <c r="O220" i="16"/>
  <c r="O221" i="16"/>
  <c r="S221" i="16" s="1"/>
  <c r="O222" i="16"/>
  <c r="S222" i="16" s="1"/>
  <c r="O223" i="16"/>
  <c r="S223" i="16" s="1"/>
  <c r="O224" i="16"/>
  <c r="O225" i="16"/>
  <c r="S225" i="16" s="1"/>
  <c r="O226" i="16"/>
  <c r="S226" i="16" s="1"/>
  <c r="O227" i="16"/>
  <c r="O228" i="16"/>
  <c r="S228" i="16" s="1"/>
  <c r="O229" i="16"/>
  <c r="S229" i="16" s="1"/>
  <c r="O230" i="16"/>
  <c r="O231" i="16"/>
  <c r="S231" i="16" s="1"/>
  <c r="O232" i="16"/>
  <c r="S232" i="16" s="1"/>
  <c r="O233" i="16"/>
  <c r="S233" i="16" s="1"/>
  <c r="O234" i="16"/>
  <c r="O235" i="16"/>
  <c r="O236" i="16"/>
  <c r="S236" i="16" s="1"/>
  <c r="O237" i="16"/>
  <c r="S237" i="16" s="1"/>
  <c r="O238" i="16"/>
  <c r="O239" i="16"/>
  <c r="S239" i="16" s="1"/>
  <c r="O240" i="16"/>
  <c r="S240" i="16" s="1"/>
  <c r="O241" i="16"/>
  <c r="O242" i="16"/>
  <c r="S242" i="16" s="1"/>
  <c r="O243" i="16"/>
  <c r="O244" i="16"/>
  <c r="S244" i="16" s="1"/>
  <c r="O245" i="16"/>
  <c r="S245" i="16" s="1"/>
  <c r="O246" i="16"/>
  <c r="O247" i="16"/>
  <c r="O248" i="16"/>
  <c r="S248" i="16" s="1"/>
  <c r="O249" i="16"/>
  <c r="O250" i="16"/>
  <c r="S250" i="16" s="1"/>
  <c r="O251" i="16"/>
  <c r="S251" i="16" s="1"/>
  <c r="O252" i="16"/>
  <c r="O253" i="16"/>
  <c r="S253" i="16" s="1"/>
  <c r="O254" i="16"/>
  <c r="O255" i="16"/>
  <c r="S255" i="16" s="1"/>
  <c r="O256" i="16"/>
  <c r="S256" i="16" s="1"/>
  <c r="O257" i="16"/>
  <c r="S257" i="16" s="1"/>
  <c r="O258" i="16"/>
  <c r="S258" i="16" s="1"/>
  <c r="O259" i="16"/>
  <c r="O260" i="16"/>
  <c r="S260" i="16" s="1"/>
  <c r="O261" i="16"/>
  <c r="S261" i="16" s="1"/>
  <c r="O262" i="16"/>
  <c r="S262" i="16" s="1"/>
  <c r="O263" i="16"/>
  <c r="S263" i="16" s="1"/>
  <c r="O264" i="16"/>
  <c r="O265" i="16"/>
  <c r="S265" i="16" s="1"/>
  <c r="O266" i="16"/>
  <c r="O267" i="16"/>
  <c r="O268" i="16"/>
  <c r="S268" i="16" s="1"/>
  <c r="O269" i="16"/>
  <c r="S269" i="16" s="1"/>
  <c r="O270" i="16"/>
  <c r="O271" i="16"/>
  <c r="S271" i="16" s="1"/>
  <c r="O272" i="16"/>
  <c r="S272" i="16" s="1"/>
  <c r="O273" i="16"/>
  <c r="O274" i="16"/>
  <c r="S274" i="16" s="1"/>
  <c r="O275" i="16"/>
  <c r="S275" i="16" s="1"/>
  <c r="O276" i="16"/>
  <c r="O277" i="16"/>
  <c r="S277" i="16" s="1"/>
  <c r="O278" i="16"/>
  <c r="O279" i="16"/>
  <c r="O280" i="16"/>
  <c r="O281" i="16"/>
  <c r="O282" i="16"/>
  <c r="S282" i="16" s="1"/>
  <c r="O283" i="16"/>
  <c r="O284" i="16"/>
  <c r="S284" i="16" s="1"/>
  <c r="O285" i="16"/>
  <c r="O286" i="16"/>
  <c r="S286" i="16" s="1"/>
  <c r="O287" i="16"/>
  <c r="S287" i="16" s="1"/>
  <c r="O288" i="16"/>
  <c r="S288" i="16" s="1"/>
  <c r="O289" i="16"/>
  <c r="O290" i="16"/>
  <c r="S290" i="16" s="1"/>
  <c r="O291" i="16"/>
  <c r="O292" i="16"/>
  <c r="O293" i="16"/>
  <c r="O294" i="16"/>
  <c r="O295" i="16"/>
  <c r="S295" i="16" s="1"/>
  <c r="O296" i="16"/>
  <c r="S296" i="16" s="1"/>
  <c r="O297" i="16"/>
  <c r="O298" i="16"/>
  <c r="S298" i="16" s="1"/>
  <c r="O299" i="16"/>
  <c r="S299" i="16" s="1"/>
  <c r="O300" i="16"/>
  <c r="S300" i="16" s="1"/>
  <c r="O301" i="16"/>
  <c r="O302" i="16"/>
  <c r="O303" i="16"/>
  <c r="S303" i="16" s="1"/>
  <c r="O304" i="16"/>
  <c r="S304" i="16" s="1"/>
  <c r="O305" i="16"/>
  <c r="S305" i="16" s="1"/>
  <c r="O306" i="16"/>
  <c r="S306" i="16" s="1"/>
  <c r="O307" i="16"/>
  <c r="O308" i="16"/>
  <c r="O309" i="16"/>
  <c r="O310" i="16"/>
  <c r="O311" i="16"/>
  <c r="S311" i="16" s="1"/>
  <c r="O312" i="16"/>
  <c r="S312" i="16" s="1"/>
  <c r="O313" i="16"/>
  <c r="S313" i="16" s="1"/>
  <c r="O314" i="16"/>
  <c r="S314" i="16" s="1"/>
  <c r="O315" i="16"/>
  <c r="O316" i="16"/>
  <c r="O317" i="16"/>
  <c r="O318" i="16"/>
  <c r="O319" i="16"/>
  <c r="S319" i="16" s="1"/>
  <c r="O320" i="16"/>
  <c r="S320" i="16" s="1"/>
  <c r="O321" i="16"/>
  <c r="O322" i="16"/>
  <c r="S322" i="16" s="1"/>
  <c r="O323" i="16"/>
  <c r="S323" i="16" s="1"/>
  <c r="O324" i="16"/>
  <c r="O325" i="16"/>
  <c r="O326" i="16"/>
  <c r="S326" i="16" s="1"/>
  <c r="O327" i="16"/>
  <c r="O328" i="16"/>
  <c r="S328" i="16" s="1"/>
  <c r="O329" i="16"/>
  <c r="O330" i="16"/>
  <c r="S330" i="16" s="1"/>
  <c r="O331" i="16"/>
  <c r="S331" i="16" s="1"/>
  <c r="O332" i="16"/>
  <c r="S332" i="16" s="1"/>
  <c r="O333" i="16"/>
  <c r="O334" i="16"/>
  <c r="S334" i="16" s="1"/>
  <c r="O335" i="16"/>
  <c r="S335" i="16" s="1"/>
  <c r="O336" i="16"/>
  <c r="S336" i="16" s="1"/>
  <c r="O337" i="16"/>
  <c r="O338" i="16"/>
  <c r="O339" i="16"/>
  <c r="S339" i="16" s="1"/>
  <c r="O340" i="16"/>
  <c r="S340" i="16" s="1"/>
  <c r="O341" i="16"/>
  <c r="S341" i="16" s="1"/>
  <c r="O342" i="16"/>
  <c r="O343" i="16"/>
  <c r="S343" i="16" s="1"/>
  <c r="O344" i="16"/>
  <c r="S344" i="16" s="1"/>
  <c r="O345" i="16"/>
  <c r="O346" i="16"/>
  <c r="S346" i="16" s="1"/>
  <c r="O347" i="16"/>
  <c r="O348" i="16"/>
  <c r="S348" i="16" s="1"/>
  <c r="O349" i="16"/>
  <c r="O350" i="16"/>
  <c r="S350" i="16" s="1"/>
  <c r="O351" i="16"/>
  <c r="O352" i="16"/>
  <c r="S352" i="16" s="1"/>
  <c r="O353" i="16"/>
  <c r="O354" i="16"/>
  <c r="O355" i="16"/>
  <c r="S355" i="16" s="1"/>
  <c r="O356" i="16"/>
  <c r="S356" i="16" s="1"/>
  <c r="O357" i="16"/>
  <c r="O358" i="16"/>
  <c r="S358" i="16" s="1"/>
  <c r="O359" i="16"/>
  <c r="S359" i="16" s="1"/>
  <c r="O360" i="16"/>
  <c r="O361" i="16"/>
  <c r="O362" i="16"/>
  <c r="O363" i="16"/>
  <c r="S363" i="16" s="1"/>
  <c r="O364" i="16"/>
  <c r="S364" i="16" s="1"/>
  <c r="O365" i="16"/>
  <c r="O366" i="16"/>
  <c r="S366" i="16" s="1"/>
  <c r="O367" i="16"/>
  <c r="S367" i="16" s="1"/>
  <c r="O368" i="16"/>
  <c r="S368" i="16" s="1"/>
  <c r="O369" i="16"/>
  <c r="O370" i="16"/>
  <c r="O371" i="16"/>
  <c r="S371" i="16" s="1"/>
  <c r="O372" i="16"/>
  <c r="S372" i="16" s="1"/>
  <c r="O373" i="16"/>
  <c r="S373" i="16" s="1"/>
  <c r="O374" i="16"/>
  <c r="S374" i="16" s="1"/>
  <c r="O375" i="16"/>
  <c r="S375" i="16" s="1"/>
  <c r="O376" i="16"/>
  <c r="S376" i="16" s="1"/>
  <c r="O377" i="16"/>
  <c r="O378" i="16"/>
  <c r="O379" i="16"/>
  <c r="S379" i="16" s="1"/>
  <c r="O380" i="16"/>
  <c r="S380" i="16" s="1"/>
  <c r="O381" i="16"/>
  <c r="S381" i="16" s="1"/>
  <c r="O382" i="16"/>
  <c r="S382" i="16" s="1"/>
  <c r="O383" i="16"/>
  <c r="S383" i="16" s="1"/>
  <c r="O384" i="16"/>
  <c r="S384" i="16" s="1"/>
  <c r="O385" i="16"/>
  <c r="O386" i="16"/>
  <c r="S386" i="16" s="1"/>
  <c r="O387" i="16"/>
  <c r="S387" i="16" s="1"/>
  <c r="O388" i="16"/>
  <c r="O389" i="16"/>
  <c r="O390" i="16"/>
  <c r="S390" i="16" s="1"/>
  <c r="O391" i="16"/>
  <c r="S391" i="16" s="1"/>
  <c r="O392" i="16"/>
  <c r="S392" i="16" s="1"/>
  <c r="O393" i="16"/>
  <c r="S393" i="16" s="1"/>
  <c r="O394" i="16"/>
  <c r="O395" i="16"/>
  <c r="S395" i="16" s="1"/>
  <c r="O396" i="16"/>
  <c r="S396" i="16" s="1"/>
  <c r="O397" i="16"/>
  <c r="O398" i="16"/>
  <c r="S398" i="16" s="1"/>
  <c r="O399" i="16"/>
  <c r="S399" i="16" s="1"/>
  <c r="O400" i="16"/>
  <c r="S400" i="16" s="1"/>
  <c r="O401" i="16"/>
  <c r="O402" i="16"/>
  <c r="O403" i="16"/>
  <c r="S403" i="16" s="1"/>
  <c r="O404" i="16"/>
  <c r="O405" i="16"/>
  <c r="O406" i="16"/>
  <c r="O407" i="16"/>
  <c r="S407" i="16" s="1"/>
  <c r="O408" i="16"/>
  <c r="S408" i="16" s="1"/>
  <c r="O409" i="16"/>
  <c r="O410" i="16"/>
  <c r="S410" i="16" s="1"/>
  <c r="O411" i="16"/>
  <c r="S411" i="16" s="1"/>
  <c r="O412" i="16"/>
  <c r="S412" i="16" s="1"/>
  <c r="O413" i="16"/>
  <c r="O414" i="16"/>
  <c r="S414" i="16" s="1"/>
  <c r="O415" i="16"/>
  <c r="O416" i="16"/>
  <c r="S416" i="16" s="1"/>
  <c r="O417" i="16"/>
  <c r="O418" i="16"/>
  <c r="S418" i="16" s="1"/>
  <c r="O419" i="16"/>
  <c r="S419" i="16" s="1"/>
  <c r="O420" i="16"/>
  <c r="O421" i="16"/>
  <c r="O422" i="16"/>
  <c r="O423" i="16"/>
  <c r="S423" i="16" s="1"/>
  <c r="O424" i="16"/>
  <c r="O425" i="16"/>
  <c r="S425" i="16" s="1"/>
  <c r="O426" i="16"/>
  <c r="O427" i="16"/>
  <c r="S427" i="16" s="1"/>
  <c r="O428" i="16"/>
  <c r="S428" i="16" s="1"/>
  <c r="O429" i="16"/>
  <c r="O430" i="16"/>
  <c r="O431" i="16"/>
  <c r="S431" i="16" s="1"/>
  <c r="O432" i="16"/>
  <c r="S432" i="16" s="1"/>
  <c r="O433" i="16"/>
  <c r="O434" i="16"/>
  <c r="O435" i="16"/>
  <c r="S435" i="16" s="1"/>
  <c r="O436" i="16"/>
  <c r="S436" i="16" s="1"/>
  <c r="O437" i="16"/>
  <c r="O438" i="16"/>
  <c r="O439" i="16"/>
  <c r="S439" i="16" s="1"/>
  <c r="O440" i="16"/>
  <c r="O441" i="16"/>
  <c r="S441" i="16" s="1"/>
  <c r="O442" i="16"/>
  <c r="O443" i="16"/>
  <c r="S443" i="16" s="1"/>
  <c r="O444" i="16"/>
  <c r="O445" i="16"/>
  <c r="O446" i="16"/>
  <c r="S446" i="16" s="1"/>
  <c r="O447" i="16"/>
  <c r="S447" i="16" s="1"/>
  <c r="O448" i="16"/>
  <c r="S448" i="16" s="1"/>
  <c r="O449" i="16"/>
  <c r="S449" i="16" s="1"/>
  <c r="O450" i="16"/>
  <c r="O451" i="16"/>
  <c r="S451" i="16" s="1"/>
  <c r="O452" i="16"/>
  <c r="S452" i="16" s="1"/>
  <c r="O453" i="16"/>
  <c r="O454" i="16"/>
  <c r="S454" i="16" s="1"/>
  <c r="O455" i="16"/>
  <c r="S455" i="16" s="1"/>
  <c r="O456" i="16"/>
  <c r="S456" i="16" s="1"/>
  <c r="O457" i="16"/>
  <c r="O458" i="16"/>
  <c r="O459" i="16"/>
  <c r="S459" i="16" s="1"/>
  <c r="O460" i="16"/>
  <c r="O461" i="16"/>
  <c r="O462" i="16"/>
  <c r="S462" i="16" s="1"/>
  <c r="O463" i="16"/>
  <c r="S463" i="16" s="1"/>
  <c r="O464" i="16"/>
  <c r="S464" i="16" s="1"/>
  <c r="O465" i="16"/>
  <c r="S465" i="16" s="1"/>
  <c r="O466" i="16"/>
  <c r="O467" i="16"/>
  <c r="S467" i="16" s="1"/>
  <c r="O468" i="16"/>
  <c r="S468" i="16" s="1"/>
  <c r="O469" i="16"/>
  <c r="O470" i="16"/>
  <c r="O471" i="16"/>
  <c r="S471" i="16" s="1"/>
  <c r="O472" i="16"/>
  <c r="S472" i="16" s="1"/>
  <c r="O473" i="16"/>
  <c r="O474" i="16"/>
  <c r="O475" i="16"/>
  <c r="S475" i="16" s="1"/>
  <c r="O476" i="16"/>
  <c r="S476" i="16" s="1"/>
  <c r="O477" i="16"/>
  <c r="O478" i="16"/>
  <c r="O479" i="16"/>
  <c r="S479" i="16" s="1"/>
  <c r="O480" i="16"/>
  <c r="S480" i="16" s="1"/>
  <c r="O481" i="16"/>
  <c r="S481" i="16" s="1"/>
  <c r="O482" i="16"/>
  <c r="O483" i="16"/>
  <c r="S483" i="16" s="1"/>
  <c r="O484" i="16"/>
  <c r="S484" i="16" s="1"/>
  <c r="O485" i="16"/>
  <c r="O486" i="16"/>
  <c r="O487" i="16"/>
  <c r="S487" i="16" s="1"/>
  <c r="O488" i="16"/>
  <c r="S488" i="16" s="1"/>
  <c r="O489" i="16"/>
  <c r="O490" i="16"/>
  <c r="O491" i="16"/>
  <c r="S491" i="16" s="1"/>
  <c r="O492" i="16"/>
  <c r="S492" i="16" s="1"/>
  <c r="O493" i="16"/>
  <c r="O494" i="16"/>
  <c r="O495" i="16"/>
  <c r="S495" i="16" s="1"/>
  <c r="O496" i="16"/>
  <c r="S496" i="16" s="1"/>
  <c r="O497" i="16"/>
  <c r="S497" i="16" s="1"/>
  <c r="O498" i="16"/>
  <c r="O499" i="16"/>
  <c r="S499" i="16" s="1"/>
  <c r="O500" i="16"/>
  <c r="S500" i="16" s="1"/>
  <c r="O501" i="16"/>
  <c r="O502" i="16"/>
  <c r="S502" i="16" s="1"/>
  <c r="O503" i="16"/>
  <c r="S503" i="16" s="1"/>
  <c r="O504" i="16"/>
  <c r="S504" i="16" s="1"/>
  <c r="O505" i="16"/>
  <c r="O506" i="16"/>
  <c r="S506" i="16" s="1"/>
  <c r="O507" i="16"/>
  <c r="S507" i="16" s="1"/>
  <c r="O508" i="16"/>
  <c r="S508" i="16" s="1"/>
  <c r="O509" i="16"/>
  <c r="S509" i="16" s="1"/>
  <c r="O510" i="16"/>
  <c r="S510" i="16" s="1"/>
  <c r="O511" i="16"/>
  <c r="S511" i="16" s="1"/>
  <c r="O512" i="16"/>
  <c r="O513" i="16"/>
  <c r="S513" i="16" s="1"/>
  <c r="O514" i="16"/>
  <c r="S514" i="16" s="1"/>
  <c r="O515" i="16"/>
  <c r="O516" i="16"/>
  <c r="O517" i="16"/>
  <c r="O518" i="16"/>
  <c r="S518" i="16" s="1"/>
  <c r="O519" i="16"/>
  <c r="S519" i="16" s="1"/>
  <c r="O520" i="16"/>
  <c r="S520" i="16" s="1"/>
  <c r="O521" i="16"/>
  <c r="O522" i="16"/>
  <c r="S522" i="16" s="1"/>
  <c r="O523" i="16"/>
  <c r="O524" i="16"/>
  <c r="S524" i="16" s="1"/>
  <c r="O525" i="16"/>
  <c r="O526" i="16"/>
  <c r="S526" i="16" s="1"/>
  <c r="O527" i="16"/>
  <c r="S527" i="16" s="1"/>
  <c r="O528" i="16"/>
  <c r="S528" i="16" s="1"/>
  <c r="O529" i="16"/>
  <c r="O530" i="16"/>
  <c r="S530" i="16" s="1"/>
  <c r="O531" i="16"/>
  <c r="S531" i="16" s="1"/>
  <c r="O532" i="16"/>
  <c r="O533" i="16"/>
  <c r="S533" i="16" s="1"/>
  <c r="O534" i="16"/>
  <c r="S534" i="16" s="1"/>
  <c r="O535" i="16"/>
  <c r="S535" i="16" s="1"/>
  <c r="O536" i="16"/>
  <c r="S536" i="16" s="1"/>
  <c r="O537" i="16"/>
  <c r="O538" i="16"/>
  <c r="O539" i="16"/>
  <c r="S539" i="16" s="1"/>
  <c r="O540" i="16"/>
  <c r="O541" i="16"/>
  <c r="O542" i="16"/>
  <c r="O543" i="16"/>
  <c r="S543" i="16" s="1"/>
  <c r="O544" i="16"/>
  <c r="S544" i="16" s="1"/>
  <c r="O545" i="16"/>
  <c r="S545" i="16" s="1"/>
  <c r="O546" i="16"/>
  <c r="S546" i="16" s="1"/>
  <c r="O547" i="16"/>
  <c r="S547" i="16" s="1"/>
  <c r="O548" i="16"/>
  <c r="O549" i="16"/>
  <c r="O550" i="16"/>
  <c r="S550" i="16" s="1"/>
  <c r="O551" i="16"/>
  <c r="S551" i="16" s="1"/>
  <c r="O552" i="16"/>
  <c r="S552" i="16" s="1"/>
  <c r="O553" i="16"/>
  <c r="S553" i="16" s="1"/>
  <c r="O554" i="16"/>
  <c r="S554" i="16" s="1"/>
  <c r="O555" i="16"/>
  <c r="S555" i="16" s="1"/>
  <c r="O556" i="16"/>
  <c r="O557" i="16"/>
  <c r="O558" i="16"/>
  <c r="S558" i="16" s="1"/>
  <c r="O559" i="16"/>
  <c r="O560" i="16"/>
  <c r="S560" i="16" s="1"/>
  <c r="O561" i="16"/>
  <c r="S561" i="16" s="1"/>
  <c r="O562" i="16"/>
  <c r="O563" i="16"/>
  <c r="S563" i="16" s="1"/>
  <c r="O564" i="16"/>
  <c r="S564" i="16" s="1"/>
  <c r="O565" i="16"/>
  <c r="O566" i="16"/>
  <c r="S566" i="16" s="1"/>
  <c r="O567" i="16"/>
  <c r="O568" i="16"/>
  <c r="O569" i="16"/>
  <c r="S569" i="16" s="1"/>
  <c r="O570" i="16"/>
  <c r="O571" i="16"/>
  <c r="S571" i="16" s="1"/>
  <c r="O572" i="16"/>
  <c r="S572" i="16" s="1"/>
  <c r="O573" i="16"/>
  <c r="O574" i="16"/>
  <c r="O575" i="16"/>
  <c r="S575" i="16" s="1"/>
  <c r="O576" i="16"/>
  <c r="S576" i="16" s="1"/>
  <c r="O577" i="16"/>
  <c r="O578" i="16"/>
  <c r="O579" i="16"/>
  <c r="S579" i="16" s="1"/>
  <c r="O580" i="16"/>
  <c r="S580" i="16" s="1"/>
  <c r="O581" i="16"/>
  <c r="S581" i="16" s="1"/>
  <c r="O582" i="16"/>
  <c r="S582" i="16" s="1"/>
  <c r="O583" i="16"/>
  <c r="S583" i="16" s="1"/>
  <c r="O584" i="16"/>
  <c r="O585" i="16"/>
  <c r="S585" i="16" s="1"/>
  <c r="O586" i="16"/>
  <c r="O587" i="16"/>
  <c r="S587" i="16" s="1"/>
  <c r="O588" i="16"/>
  <c r="S588" i="16" s="1"/>
  <c r="O589" i="16"/>
  <c r="S589" i="16" s="1"/>
  <c r="O590" i="16"/>
  <c r="S590" i="16" s="1"/>
  <c r="O591" i="16"/>
  <c r="O592" i="16"/>
  <c r="S592" i="16" s="1"/>
  <c r="O593" i="16"/>
  <c r="O594" i="16"/>
  <c r="S594" i="16" s="1"/>
  <c r="O595" i="16"/>
  <c r="S595" i="16" s="1"/>
  <c r="O596" i="16"/>
  <c r="S596" i="16" s="1"/>
  <c r="O597" i="16"/>
  <c r="S597" i="16" s="1"/>
  <c r="O598" i="16"/>
  <c r="S598" i="16" s="1"/>
  <c r="O599" i="16"/>
  <c r="S599" i="16" s="1"/>
  <c r="O600" i="16"/>
  <c r="O601" i="16"/>
  <c r="O602" i="16"/>
  <c r="S602" i="16" s="1"/>
  <c r="O603" i="16"/>
  <c r="S603" i="16" s="1"/>
  <c r="O604" i="16"/>
  <c r="O605" i="16"/>
  <c r="S605" i="16" s="1"/>
  <c r="O606" i="16"/>
  <c r="O607" i="16"/>
  <c r="O608" i="16"/>
  <c r="O609" i="16"/>
  <c r="S609" i="16" s="1"/>
  <c r="O610" i="16"/>
  <c r="S610" i="16" s="1"/>
  <c r="O611" i="16"/>
  <c r="S611" i="16" s="1"/>
  <c r="O612" i="16"/>
  <c r="O613" i="16"/>
  <c r="S613" i="16" s="1"/>
  <c r="O614" i="16"/>
  <c r="O615" i="16"/>
  <c r="O616" i="16"/>
  <c r="O617" i="16"/>
  <c r="S617" i="16" s="1"/>
  <c r="O618" i="16"/>
  <c r="S618" i="16" s="1"/>
  <c r="O619" i="16"/>
  <c r="O620" i="16"/>
  <c r="S620" i="16" s="1"/>
  <c r="O621" i="16"/>
  <c r="S621" i="16" s="1"/>
  <c r="O622" i="16"/>
  <c r="O623" i="16"/>
  <c r="O624" i="16"/>
  <c r="O625" i="16"/>
  <c r="S625" i="16" s="1"/>
  <c r="O626" i="16"/>
  <c r="S626" i="16" s="1"/>
  <c r="O627" i="16"/>
  <c r="O628" i="16"/>
  <c r="O629" i="16"/>
  <c r="S629" i="16" s="1"/>
  <c r="O630" i="16"/>
  <c r="S630" i="16" s="1"/>
  <c r="O631" i="16"/>
  <c r="O632" i="16"/>
  <c r="O633" i="16"/>
  <c r="S633" i="16" s="1"/>
  <c r="O634" i="16"/>
  <c r="O635" i="16"/>
  <c r="S635" i="16" s="1"/>
  <c r="O636" i="16"/>
  <c r="O637" i="16"/>
  <c r="S637" i="16" s="1"/>
  <c r="O638" i="16"/>
  <c r="O639" i="16"/>
  <c r="S639" i="16" s="1"/>
  <c r="O640" i="16"/>
  <c r="O641" i="16"/>
  <c r="S641" i="16" s="1"/>
  <c r="O642" i="16"/>
  <c r="O643" i="16"/>
  <c r="O644" i="16"/>
  <c r="O645" i="16"/>
  <c r="S645" i="16" s="1"/>
  <c r="O646" i="16"/>
  <c r="S646" i="16" s="1"/>
  <c r="O647" i="16"/>
  <c r="O648" i="16"/>
  <c r="O649" i="16"/>
  <c r="S649" i="16" s="1"/>
  <c r="O650" i="16"/>
  <c r="S650" i="16" s="1"/>
  <c r="O651" i="16"/>
  <c r="S651" i="16" s="1"/>
  <c r="O652" i="16"/>
  <c r="O653" i="16"/>
  <c r="S653" i="16" s="1"/>
  <c r="O654" i="16"/>
  <c r="O655" i="16"/>
  <c r="S655" i="16" s="1"/>
  <c r="O656" i="16"/>
  <c r="O657" i="16"/>
  <c r="S657" i="16" s="1"/>
  <c r="O658" i="16"/>
  <c r="S658" i="16" s="1"/>
  <c r="O659" i="16"/>
  <c r="S659" i="16" s="1"/>
  <c r="O660" i="16"/>
  <c r="S660" i="16" s="1"/>
  <c r="O661" i="16"/>
  <c r="S661" i="16" s="1"/>
  <c r="O662" i="16"/>
  <c r="O663" i="16"/>
  <c r="S663" i="16" s="1"/>
  <c r="O664" i="16"/>
  <c r="O665" i="16"/>
  <c r="S665" i="16" s="1"/>
  <c r="O666" i="16"/>
  <c r="S666" i="16" s="1"/>
  <c r="O667" i="16"/>
  <c r="S667" i="16" s="1"/>
  <c r="O668" i="16"/>
  <c r="O669" i="16"/>
  <c r="S669" i="16" s="1"/>
  <c r="O670" i="16"/>
  <c r="S670" i="16" s="1"/>
  <c r="O671" i="16"/>
  <c r="S671" i="16" s="1"/>
  <c r="O672" i="16"/>
  <c r="O673" i="16"/>
  <c r="S673" i="16" s="1"/>
  <c r="O674" i="16"/>
  <c r="O675" i="16"/>
  <c r="S675" i="16" s="1"/>
  <c r="O676" i="16"/>
  <c r="O677" i="16"/>
  <c r="O678" i="16"/>
  <c r="S678" i="16" s="1"/>
  <c r="O679" i="16"/>
  <c r="O680" i="16"/>
  <c r="O681" i="16"/>
  <c r="S681" i="16" s="1"/>
  <c r="O682" i="16"/>
  <c r="S682" i="16" s="1"/>
  <c r="O683" i="16"/>
  <c r="S683" i="16" s="1"/>
  <c r="O684" i="16"/>
  <c r="S684" i="16" s="1"/>
  <c r="O685" i="16"/>
  <c r="S685" i="16" s="1"/>
  <c r="O686" i="16"/>
  <c r="O687" i="16"/>
  <c r="O688" i="16"/>
  <c r="S688" i="16" s="1"/>
  <c r="O689" i="16"/>
  <c r="O690" i="16"/>
  <c r="S690" i="16" s="1"/>
  <c r="O691" i="16"/>
  <c r="O692" i="16"/>
  <c r="S692" i="16" s="1"/>
  <c r="O693" i="16"/>
  <c r="O694" i="16"/>
  <c r="S694" i="16" s="1"/>
  <c r="O695" i="16"/>
  <c r="O696" i="16"/>
  <c r="S696" i="16" s="1"/>
  <c r="O697" i="16"/>
  <c r="S697" i="16" s="1"/>
  <c r="O698" i="16"/>
  <c r="S698" i="16" s="1"/>
  <c r="O699" i="16"/>
  <c r="O700" i="16"/>
  <c r="S700" i="16" s="1"/>
  <c r="O701" i="16"/>
  <c r="S701" i="16" s="1"/>
  <c r="O702" i="16"/>
  <c r="O703" i="16"/>
  <c r="O704" i="16"/>
  <c r="S704" i="16" s="1"/>
  <c r="O705" i="16"/>
  <c r="S705" i="16" s="1"/>
  <c r="O706" i="16"/>
  <c r="S706" i="16" s="1"/>
  <c r="O707" i="16"/>
  <c r="O708" i="16"/>
  <c r="S708" i="16" s="1"/>
  <c r="O709" i="16"/>
  <c r="O710" i="16"/>
  <c r="S710" i="16" s="1"/>
  <c r="O711" i="16"/>
  <c r="O712" i="16"/>
  <c r="S712" i="16" s="1"/>
  <c r="O713" i="16"/>
  <c r="O714" i="16"/>
  <c r="S714" i="16" s="1"/>
  <c r="O715" i="16"/>
  <c r="S715" i="16" s="1"/>
  <c r="O716" i="16"/>
  <c r="O717" i="16"/>
  <c r="S717" i="16" s="1"/>
  <c r="O718" i="16"/>
  <c r="S718" i="16" s="1"/>
  <c r="O719" i="16"/>
  <c r="O720" i="16"/>
  <c r="S720" i="16" s="1"/>
  <c r="O721" i="16"/>
  <c r="S721" i="16" s="1"/>
  <c r="O722" i="16"/>
  <c r="O723" i="16"/>
  <c r="S723" i="16" s="1"/>
  <c r="O724" i="16"/>
  <c r="S724" i="16" s="1"/>
  <c r="O725" i="16"/>
  <c r="O726" i="16"/>
  <c r="O727" i="16"/>
  <c r="S727" i="16" s="1"/>
  <c r="O728" i="16"/>
  <c r="S728" i="16" s="1"/>
  <c r="O729" i="16"/>
  <c r="S729" i="16" s="1"/>
  <c r="O730" i="16"/>
  <c r="S730" i="16" s="1"/>
  <c r="O731" i="16"/>
  <c r="S731" i="16" s="1"/>
  <c r="O732" i="16"/>
  <c r="S732" i="16" s="1"/>
  <c r="O733" i="16"/>
  <c r="O734" i="16"/>
  <c r="O735" i="16"/>
  <c r="S735" i="16" s="1"/>
  <c r="O736" i="16"/>
  <c r="O737" i="16"/>
  <c r="S737" i="16" s="1"/>
  <c r="O738" i="16"/>
  <c r="S738" i="16" s="1"/>
  <c r="O739" i="16"/>
  <c r="S739" i="16" s="1"/>
  <c r="O740" i="16"/>
  <c r="O741" i="16"/>
  <c r="S741" i="16" s="1"/>
  <c r="O742" i="16"/>
  <c r="O743" i="16"/>
  <c r="S743" i="16" s="1"/>
  <c r="O744" i="16"/>
  <c r="S744" i="16" s="1"/>
  <c r="O745" i="16"/>
  <c r="S745" i="16" s="1"/>
  <c r="O746" i="16"/>
  <c r="S746" i="16" s="1"/>
  <c r="O747" i="16"/>
  <c r="S747" i="16" s="1"/>
  <c r="O748" i="16"/>
  <c r="O749" i="16"/>
  <c r="S749" i="16" s="1"/>
  <c r="O750" i="16"/>
  <c r="O751" i="16"/>
  <c r="S751" i="16" s="1"/>
  <c r="O752" i="16"/>
  <c r="O753" i="16"/>
  <c r="S753" i="16" s="1"/>
  <c r="O754" i="16"/>
  <c r="O755" i="16"/>
  <c r="S755" i="16" s="1"/>
  <c r="O756" i="16"/>
  <c r="O757" i="16"/>
  <c r="O758" i="16"/>
  <c r="S758" i="16" s="1"/>
  <c r="O759" i="16"/>
  <c r="S759" i="16" s="1"/>
  <c r="O760" i="16"/>
  <c r="S760" i="16" s="1"/>
  <c r="O761" i="16"/>
  <c r="O762" i="16"/>
  <c r="N131" i="16"/>
  <c r="P131" i="16"/>
  <c r="N132" i="16"/>
  <c r="P132" i="16"/>
  <c r="N133" i="16"/>
  <c r="P133" i="16"/>
  <c r="N134" i="16"/>
  <c r="P134" i="16"/>
  <c r="N135" i="16"/>
  <c r="P135" i="16"/>
  <c r="N136" i="16"/>
  <c r="P136" i="16"/>
  <c r="N137" i="16"/>
  <c r="P137" i="16"/>
  <c r="N138" i="16"/>
  <c r="P138" i="16"/>
  <c r="N139" i="16"/>
  <c r="P139" i="16"/>
  <c r="N140" i="16"/>
  <c r="P140" i="16"/>
  <c r="N141" i="16"/>
  <c r="P141" i="16"/>
  <c r="N142" i="16"/>
  <c r="P142" i="16"/>
  <c r="N143" i="16"/>
  <c r="P143" i="16"/>
  <c r="N144" i="16"/>
  <c r="P144" i="16"/>
  <c r="N145" i="16"/>
  <c r="P145" i="16"/>
  <c r="N146" i="16"/>
  <c r="P146" i="16"/>
  <c r="N147" i="16"/>
  <c r="P147" i="16"/>
  <c r="N148" i="16"/>
  <c r="P148" i="16"/>
  <c r="N149" i="16"/>
  <c r="P149" i="16"/>
  <c r="N150" i="16"/>
  <c r="P150" i="16"/>
  <c r="N151" i="16"/>
  <c r="P151" i="16"/>
  <c r="N152" i="16"/>
  <c r="P152" i="16"/>
  <c r="N153" i="16"/>
  <c r="P153" i="16"/>
  <c r="N154" i="16"/>
  <c r="P154" i="16"/>
  <c r="N155" i="16"/>
  <c r="P155" i="16"/>
  <c r="N156" i="16"/>
  <c r="P156" i="16"/>
  <c r="N157" i="16"/>
  <c r="P157" i="16"/>
  <c r="N158" i="16"/>
  <c r="P158" i="16"/>
  <c r="N159" i="16"/>
  <c r="P159" i="16"/>
  <c r="N160" i="16"/>
  <c r="P160" i="16"/>
  <c r="N161" i="16"/>
  <c r="P161" i="16"/>
  <c r="N162" i="16"/>
  <c r="P162" i="16"/>
  <c r="N163" i="16"/>
  <c r="P163" i="16"/>
  <c r="N164" i="16"/>
  <c r="P164" i="16"/>
  <c r="N165" i="16"/>
  <c r="P165" i="16"/>
  <c r="N166" i="16"/>
  <c r="P166" i="16"/>
  <c r="N167" i="16"/>
  <c r="P167" i="16"/>
  <c r="N168" i="16"/>
  <c r="P168" i="16"/>
  <c r="N169" i="16"/>
  <c r="P169" i="16"/>
  <c r="N170" i="16"/>
  <c r="P170" i="16"/>
  <c r="N171" i="16"/>
  <c r="P171" i="16"/>
  <c r="N172" i="16"/>
  <c r="P172" i="16"/>
  <c r="N173" i="16"/>
  <c r="P173" i="16"/>
  <c r="N174" i="16"/>
  <c r="P174" i="16"/>
  <c r="N175" i="16"/>
  <c r="P175" i="16"/>
  <c r="N176" i="16"/>
  <c r="P176" i="16"/>
  <c r="N177" i="16"/>
  <c r="P177" i="16"/>
  <c r="N178" i="16"/>
  <c r="P178" i="16"/>
  <c r="N179" i="16"/>
  <c r="P179" i="16"/>
  <c r="N180" i="16"/>
  <c r="P180" i="16"/>
  <c r="N181" i="16"/>
  <c r="P181" i="16"/>
  <c r="N182" i="16"/>
  <c r="P182" i="16"/>
  <c r="N183" i="16"/>
  <c r="P183" i="16"/>
  <c r="N184" i="16"/>
  <c r="P184" i="16"/>
  <c r="N185" i="16"/>
  <c r="P185" i="16"/>
  <c r="N186" i="16"/>
  <c r="P186" i="16"/>
  <c r="N187" i="16"/>
  <c r="P187" i="16"/>
  <c r="N188" i="16"/>
  <c r="P188" i="16"/>
  <c r="N189" i="16"/>
  <c r="P189" i="16"/>
  <c r="N190" i="16"/>
  <c r="P190" i="16"/>
  <c r="N191" i="16"/>
  <c r="P191" i="16"/>
  <c r="N192" i="16"/>
  <c r="P192" i="16"/>
  <c r="N193" i="16"/>
  <c r="P193" i="16"/>
  <c r="N194" i="16"/>
  <c r="P194" i="16"/>
  <c r="N195" i="16"/>
  <c r="P195" i="16"/>
  <c r="N196" i="16"/>
  <c r="P196" i="16"/>
  <c r="N197" i="16"/>
  <c r="P197" i="16"/>
  <c r="N198" i="16"/>
  <c r="P198" i="16"/>
  <c r="N199" i="16"/>
  <c r="P199" i="16"/>
  <c r="N200" i="16"/>
  <c r="P200" i="16"/>
  <c r="N201" i="16"/>
  <c r="P201" i="16"/>
  <c r="N202" i="16"/>
  <c r="P202" i="16"/>
  <c r="N203" i="16"/>
  <c r="P203" i="16"/>
  <c r="N204" i="16"/>
  <c r="P204" i="16"/>
  <c r="N205" i="16"/>
  <c r="P205" i="16"/>
  <c r="N206" i="16"/>
  <c r="P206" i="16"/>
  <c r="N207" i="16"/>
  <c r="P207" i="16"/>
  <c r="N208" i="16"/>
  <c r="P208" i="16"/>
  <c r="N209" i="16"/>
  <c r="P209" i="16"/>
  <c r="N210" i="16"/>
  <c r="P210" i="16"/>
  <c r="N211" i="16"/>
  <c r="P211" i="16"/>
  <c r="N212" i="16"/>
  <c r="P212" i="16"/>
  <c r="N213" i="16"/>
  <c r="P213" i="16"/>
  <c r="N214" i="16"/>
  <c r="P214" i="16"/>
  <c r="N215" i="16"/>
  <c r="P215" i="16"/>
  <c r="N216" i="16"/>
  <c r="P216" i="16"/>
  <c r="N217" i="16"/>
  <c r="P217" i="16"/>
  <c r="N218" i="16"/>
  <c r="P218" i="16"/>
  <c r="N219" i="16"/>
  <c r="P219" i="16"/>
  <c r="N220" i="16"/>
  <c r="P220" i="16"/>
  <c r="N221" i="16"/>
  <c r="P221" i="16"/>
  <c r="N222" i="16"/>
  <c r="P222" i="16"/>
  <c r="N223" i="16"/>
  <c r="P223" i="16"/>
  <c r="N224" i="16"/>
  <c r="P224" i="16"/>
  <c r="N225" i="16"/>
  <c r="P225" i="16"/>
  <c r="N226" i="16"/>
  <c r="P226" i="16"/>
  <c r="N227" i="16"/>
  <c r="P227" i="16"/>
  <c r="N228" i="16"/>
  <c r="P228" i="16"/>
  <c r="N229" i="16"/>
  <c r="P229" i="16"/>
  <c r="N230" i="16"/>
  <c r="P230" i="16"/>
  <c r="N231" i="16"/>
  <c r="P231" i="16"/>
  <c r="N232" i="16"/>
  <c r="P232" i="16"/>
  <c r="N233" i="16"/>
  <c r="P233" i="16"/>
  <c r="N234" i="16"/>
  <c r="P234" i="16"/>
  <c r="N235" i="16"/>
  <c r="P235" i="16"/>
  <c r="N236" i="16"/>
  <c r="P236" i="16"/>
  <c r="N237" i="16"/>
  <c r="P237" i="16"/>
  <c r="N238" i="16"/>
  <c r="P238" i="16"/>
  <c r="N239" i="16"/>
  <c r="P239" i="16"/>
  <c r="N240" i="16"/>
  <c r="P240" i="16"/>
  <c r="N241" i="16"/>
  <c r="P241" i="16"/>
  <c r="N242" i="16"/>
  <c r="P242" i="16"/>
  <c r="N243" i="16"/>
  <c r="P243" i="16"/>
  <c r="N244" i="16"/>
  <c r="P244" i="16"/>
  <c r="N245" i="16"/>
  <c r="P245" i="16"/>
  <c r="N246" i="16"/>
  <c r="P246" i="16"/>
  <c r="N247" i="16"/>
  <c r="P247" i="16"/>
  <c r="N248" i="16"/>
  <c r="P248" i="16"/>
  <c r="N249" i="16"/>
  <c r="P249" i="16"/>
  <c r="N250" i="16"/>
  <c r="P250" i="16"/>
  <c r="N251" i="16"/>
  <c r="P251" i="16"/>
  <c r="N252" i="16"/>
  <c r="P252" i="16"/>
  <c r="N253" i="16"/>
  <c r="P253" i="16"/>
  <c r="N254" i="16"/>
  <c r="P254" i="16"/>
  <c r="N255" i="16"/>
  <c r="P255" i="16"/>
  <c r="N256" i="16"/>
  <c r="P256" i="16"/>
  <c r="N257" i="16"/>
  <c r="P257" i="16"/>
  <c r="N258" i="16"/>
  <c r="P258" i="16"/>
  <c r="N259" i="16"/>
  <c r="P259" i="16"/>
  <c r="N260" i="16"/>
  <c r="P260" i="16"/>
  <c r="N261" i="16"/>
  <c r="P261" i="16"/>
  <c r="N262" i="16"/>
  <c r="P262" i="16"/>
  <c r="N263" i="16"/>
  <c r="P263" i="16"/>
  <c r="N264" i="16"/>
  <c r="P264" i="16"/>
  <c r="N265" i="16"/>
  <c r="P265" i="16"/>
  <c r="N266" i="16"/>
  <c r="P266" i="16"/>
  <c r="N267" i="16"/>
  <c r="P267" i="16"/>
  <c r="N268" i="16"/>
  <c r="P268" i="16"/>
  <c r="N269" i="16"/>
  <c r="P269" i="16"/>
  <c r="N270" i="16"/>
  <c r="P270" i="16"/>
  <c r="N271" i="16"/>
  <c r="P271" i="16"/>
  <c r="N272" i="16"/>
  <c r="P272" i="16"/>
  <c r="N273" i="16"/>
  <c r="P273" i="16"/>
  <c r="N274" i="16"/>
  <c r="P274" i="16"/>
  <c r="N275" i="16"/>
  <c r="P275" i="16"/>
  <c r="N276" i="16"/>
  <c r="P276" i="16"/>
  <c r="N277" i="16"/>
  <c r="P277" i="16"/>
  <c r="N278" i="16"/>
  <c r="P278" i="16"/>
  <c r="N279" i="16"/>
  <c r="P279" i="16"/>
  <c r="N280" i="16"/>
  <c r="P280" i="16"/>
  <c r="N281" i="16"/>
  <c r="P281" i="16"/>
  <c r="N282" i="16"/>
  <c r="P282" i="16"/>
  <c r="N283" i="16"/>
  <c r="P283" i="16"/>
  <c r="N284" i="16"/>
  <c r="P284" i="16"/>
  <c r="N285" i="16"/>
  <c r="P285" i="16"/>
  <c r="N286" i="16"/>
  <c r="P286" i="16"/>
  <c r="N287" i="16"/>
  <c r="P287" i="16"/>
  <c r="N288" i="16"/>
  <c r="P288" i="16"/>
  <c r="N289" i="16"/>
  <c r="P289" i="16"/>
  <c r="N290" i="16"/>
  <c r="P290" i="16"/>
  <c r="N291" i="16"/>
  <c r="P291" i="16"/>
  <c r="N292" i="16"/>
  <c r="P292" i="16"/>
  <c r="N293" i="16"/>
  <c r="P293" i="16"/>
  <c r="N294" i="16"/>
  <c r="P294" i="16"/>
  <c r="N295" i="16"/>
  <c r="P295" i="16"/>
  <c r="N296" i="16"/>
  <c r="P296" i="16"/>
  <c r="N297" i="16"/>
  <c r="P297" i="16"/>
  <c r="N298" i="16"/>
  <c r="P298" i="16"/>
  <c r="N299" i="16"/>
  <c r="P299" i="16"/>
  <c r="N300" i="16"/>
  <c r="P300" i="16"/>
  <c r="N301" i="16"/>
  <c r="P301" i="16"/>
  <c r="N302" i="16"/>
  <c r="P302" i="16"/>
  <c r="N303" i="16"/>
  <c r="P303" i="16"/>
  <c r="N304" i="16"/>
  <c r="P304" i="16"/>
  <c r="N305" i="16"/>
  <c r="P305" i="16"/>
  <c r="N306" i="16"/>
  <c r="P306" i="16"/>
  <c r="N307" i="16"/>
  <c r="P307" i="16"/>
  <c r="N308" i="16"/>
  <c r="P308" i="16"/>
  <c r="N309" i="16"/>
  <c r="P309" i="16"/>
  <c r="N310" i="16"/>
  <c r="P310" i="16"/>
  <c r="N311" i="16"/>
  <c r="P311" i="16"/>
  <c r="N312" i="16"/>
  <c r="P312" i="16"/>
  <c r="N313" i="16"/>
  <c r="P313" i="16"/>
  <c r="N314" i="16"/>
  <c r="P314" i="16"/>
  <c r="N315" i="16"/>
  <c r="P315" i="16"/>
  <c r="N316" i="16"/>
  <c r="P316" i="16"/>
  <c r="N317" i="16"/>
  <c r="P317" i="16"/>
  <c r="N318" i="16"/>
  <c r="P318" i="16"/>
  <c r="N319" i="16"/>
  <c r="P319" i="16"/>
  <c r="N320" i="16"/>
  <c r="P320" i="16"/>
  <c r="N321" i="16"/>
  <c r="P321" i="16"/>
  <c r="N322" i="16"/>
  <c r="P322" i="16"/>
  <c r="N323" i="16"/>
  <c r="P323" i="16"/>
  <c r="N324" i="16"/>
  <c r="P324" i="16"/>
  <c r="N325" i="16"/>
  <c r="P325" i="16"/>
  <c r="N326" i="16"/>
  <c r="P326" i="16"/>
  <c r="N327" i="16"/>
  <c r="P327" i="16"/>
  <c r="N328" i="16"/>
  <c r="P328" i="16"/>
  <c r="N329" i="16"/>
  <c r="P329" i="16"/>
  <c r="N330" i="16"/>
  <c r="P330" i="16"/>
  <c r="N331" i="16"/>
  <c r="P331" i="16"/>
  <c r="N332" i="16"/>
  <c r="P332" i="16"/>
  <c r="N333" i="16"/>
  <c r="P333" i="16"/>
  <c r="N334" i="16"/>
  <c r="P334" i="16"/>
  <c r="N335" i="16"/>
  <c r="P335" i="16"/>
  <c r="N336" i="16"/>
  <c r="P336" i="16"/>
  <c r="N337" i="16"/>
  <c r="P337" i="16"/>
  <c r="N338" i="16"/>
  <c r="P338" i="16"/>
  <c r="N339" i="16"/>
  <c r="P339" i="16"/>
  <c r="N340" i="16"/>
  <c r="P340" i="16"/>
  <c r="N341" i="16"/>
  <c r="P341" i="16"/>
  <c r="N342" i="16"/>
  <c r="P342" i="16"/>
  <c r="N343" i="16"/>
  <c r="P343" i="16"/>
  <c r="N344" i="16"/>
  <c r="P344" i="16"/>
  <c r="N345" i="16"/>
  <c r="P345" i="16"/>
  <c r="N346" i="16"/>
  <c r="P346" i="16"/>
  <c r="N347" i="16"/>
  <c r="P347" i="16"/>
  <c r="N348" i="16"/>
  <c r="P348" i="16"/>
  <c r="N349" i="16"/>
  <c r="P349" i="16"/>
  <c r="N350" i="16"/>
  <c r="P350" i="16"/>
  <c r="N351" i="16"/>
  <c r="P351" i="16"/>
  <c r="N352" i="16"/>
  <c r="P352" i="16"/>
  <c r="N353" i="16"/>
  <c r="P353" i="16"/>
  <c r="N354" i="16"/>
  <c r="P354" i="16"/>
  <c r="N355" i="16"/>
  <c r="P355" i="16"/>
  <c r="N356" i="16"/>
  <c r="P356" i="16"/>
  <c r="N357" i="16"/>
  <c r="P357" i="16"/>
  <c r="N358" i="16"/>
  <c r="P358" i="16"/>
  <c r="N359" i="16"/>
  <c r="P359" i="16"/>
  <c r="N360" i="16"/>
  <c r="P360" i="16"/>
  <c r="N361" i="16"/>
  <c r="P361" i="16"/>
  <c r="N362" i="16"/>
  <c r="P362" i="16"/>
  <c r="N363" i="16"/>
  <c r="P363" i="16"/>
  <c r="N364" i="16"/>
  <c r="P364" i="16"/>
  <c r="N365" i="16"/>
  <c r="P365" i="16"/>
  <c r="N366" i="16"/>
  <c r="P366" i="16"/>
  <c r="N367" i="16"/>
  <c r="P367" i="16"/>
  <c r="N368" i="16"/>
  <c r="P368" i="16"/>
  <c r="N369" i="16"/>
  <c r="P369" i="16"/>
  <c r="N370" i="16"/>
  <c r="P370" i="16"/>
  <c r="N371" i="16"/>
  <c r="P371" i="16"/>
  <c r="N372" i="16"/>
  <c r="P372" i="16"/>
  <c r="N373" i="16"/>
  <c r="P373" i="16"/>
  <c r="N374" i="16"/>
  <c r="P374" i="16"/>
  <c r="N375" i="16"/>
  <c r="P375" i="16"/>
  <c r="N376" i="16"/>
  <c r="P376" i="16"/>
  <c r="N377" i="16"/>
  <c r="P377" i="16"/>
  <c r="N378" i="16"/>
  <c r="P378" i="16"/>
  <c r="N379" i="16"/>
  <c r="P379" i="16"/>
  <c r="N380" i="16"/>
  <c r="P380" i="16"/>
  <c r="N381" i="16"/>
  <c r="P381" i="16"/>
  <c r="N382" i="16"/>
  <c r="P382" i="16"/>
  <c r="N383" i="16"/>
  <c r="P383" i="16"/>
  <c r="N384" i="16"/>
  <c r="P384" i="16"/>
  <c r="N385" i="16"/>
  <c r="P385" i="16"/>
  <c r="N386" i="16"/>
  <c r="P386" i="16"/>
  <c r="N387" i="16"/>
  <c r="P387" i="16"/>
  <c r="N388" i="16"/>
  <c r="P388" i="16"/>
  <c r="N389" i="16"/>
  <c r="P389" i="16"/>
  <c r="N390" i="16"/>
  <c r="P390" i="16"/>
  <c r="N391" i="16"/>
  <c r="P391" i="16"/>
  <c r="N392" i="16"/>
  <c r="P392" i="16"/>
  <c r="N393" i="16"/>
  <c r="P393" i="16"/>
  <c r="N394" i="16"/>
  <c r="P394" i="16"/>
  <c r="N395" i="16"/>
  <c r="P395" i="16"/>
  <c r="N396" i="16"/>
  <c r="P396" i="16"/>
  <c r="N397" i="16"/>
  <c r="P397" i="16"/>
  <c r="N398" i="16"/>
  <c r="P398" i="16"/>
  <c r="N399" i="16"/>
  <c r="P399" i="16"/>
  <c r="N400" i="16"/>
  <c r="P400" i="16"/>
  <c r="N401" i="16"/>
  <c r="P401" i="16"/>
  <c r="N402" i="16"/>
  <c r="P402" i="16"/>
  <c r="N403" i="16"/>
  <c r="P403" i="16"/>
  <c r="N404" i="16"/>
  <c r="P404" i="16"/>
  <c r="N405" i="16"/>
  <c r="P405" i="16"/>
  <c r="N406" i="16"/>
  <c r="P406" i="16"/>
  <c r="N407" i="16"/>
  <c r="P407" i="16"/>
  <c r="N408" i="16"/>
  <c r="P408" i="16"/>
  <c r="N409" i="16"/>
  <c r="P409" i="16"/>
  <c r="N410" i="16"/>
  <c r="P410" i="16"/>
  <c r="N411" i="16"/>
  <c r="P411" i="16"/>
  <c r="N412" i="16"/>
  <c r="P412" i="16"/>
  <c r="N413" i="16"/>
  <c r="P413" i="16"/>
  <c r="N414" i="16"/>
  <c r="P414" i="16"/>
  <c r="N415" i="16"/>
  <c r="P415" i="16"/>
  <c r="N416" i="16"/>
  <c r="P416" i="16"/>
  <c r="N417" i="16"/>
  <c r="P417" i="16"/>
  <c r="N418" i="16"/>
  <c r="P418" i="16"/>
  <c r="N419" i="16"/>
  <c r="P419" i="16"/>
  <c r="N420" i="16"/>
  <c r="P420" i="16"/>
  <c r="N421" i="16"/>
  <c r="P421" i="16"/>
  <c r="N422" i="16"/>
  <c r="P422" i="16"/>
  <c r="N423" i="16"/>
  <c r="P423" i="16"/>
  <c r="N424" i="16"/>
  <c r="P424" i="16"/>
  <c r="N425" i="16"/>
  <c r="P425" i="16"/>
  <c r="N426" i="16"/>
  <c r="P426" i="16"/>
  <c r="N427" i="16"/>
  <c r="P427" i="16"/>
  <c r="N428" i="16"/>
  <c r="P428" i="16"/>
  <c r="N429" i="16"/>
  <c r="P429" i="16"/>
  <c r="N430" i="16"/>
  <c r="P430" i="16"/>
  <c r="N431" i="16"/>
  <c r="P431" i="16"/>
  <c r="N432" i="16"/>
  <c r="P432" i="16"/>
  <c r="N433" i="16"/>
  <c r="P433" i="16"/>
  <c r="N434" i="16"/>
  <c r="P434" i="16"/>
  <c r="N435" i="16"/>
  <c r="P435" i="16"/>
  <c r="N436" i="16"/>
  <c r="P436" i="16"/>
  <c r="N437" i="16"/>
  <c r="P437" i="16"/>
  <c r="N438" i="16"/>
  <c r="P438" i="16"/>
  <c r="N439" i="16"/>
  <c r="P439" i="16"/>
  <c r="N440" i="16"/>
  <c r="P440" i="16"/>
  <c r="N441" i="16"/>
  <c r="P441" i="16"/>
  <c r="N442" i="16"/>
  <c r="P442" i="16"/>
  <c r="N443" i="16"/>
  <c r="P443" i="16"/>
  <c r="N444" i="16"/>
  <c r="P444" i="16"/>
  <c r="N445" i="16"/>
  <c r="P445" i="16"/>
  <c r="N446" i="16"/>
  <c r="P446" i="16"/>
  <c r="N447" i="16"/>
  <c r="P447" i="16"/>
  <c r="N448" i="16"/>
  <c r="P448" i="16"/>
  <c r="N449" i="16"/>
  <c r="P449" i="16"/>
  <c r="N450" i="16"/>
  <c r="P450" i="16"/>
  <c r="N451" i="16"/>
  <c r="P451" i="16"/>
  <c r="N452" i="16"/>
  <c r="P452" i="16"/>
  <c r="N453" i="16"/>
  <c r="P453" i="16"/>
  <c r="N454" i="16"/>
  <c r="P454" i="16"/>
  <c r="N455" i="16"/>
  <c r="P455" i="16"/>
  <c r="N456" i="16"/>
  <c r="P456" i="16"/>
  <c r="N457" i="16"/>
  <c r="P457" i="16"/>
  <c r="N458" i="16"/>
  <c r="P458" i="16"/>
  <c r="N459" i="16"/>
  <c r="P459" i="16"/>
  <c r="N460" i="16"/>
  <c r="P460" i="16"/>
  <c r="N461" i="16"/>
  <c r="P461" i="16"/>
  <c r="N462" i="16"/>
  <c r="P462" i="16"/>
  <c r="N463" i="16"/>
  <c r="P463" i="16"/>
  <c r="N464" i="16"/>
  <c r="P464" i="16"/>
  <c r="N465" i="16"/>
  <c r="P465" i="16"/>
  <c r="N466" i="16"/>
  <c r="P466" i="16"/>
  <c r="N467" i="16"/>
  <c r="P467" i="16"/>
  <c r="N468" i="16"/>
  <c r="P468" i="16"/>
  <c r="N469" i="16"/>
  <c r="P469" i="16"/>
  <c r="N470" i="16"/>
  <c r="P470" i="16"/>
  <c r="N471" i="16"/>
  <c r="P471" i="16"/>
  <c r="N472" i="16"/>
  <c r="P472" i="16"/>
  <c r="N473" i="16"/>
  <c r="P473" i="16"/>
  <c r="N474" i="16"/>
  <c r="P474" i="16"/>
  <c r="N475" i="16"/>
  <c r="P475" i="16"/>
  <c r="N476" i="16"/>
  <c r="P476" i="16"/>
  <c r="N477" i="16"/>
  <c r="P477" i="16"/>
  <c r="N478" i="16"/>
  <c r="P478" i="16"/>
  <c r="N479" i="16"/>
  <c r="P479" i="16"/>
  <c r="N480" i="16"/>
  <c r="P480" i="16"/>
  <c r="N481" i="16"/>
  <c r="P481" i="16"/>
  <c r="N482" i="16"/>
  <c r="P482" i="16"/>
  <c r="N483" i="16"/>
  <c r="P483" i="16"/>
  <c r="N484" i="16"/>
  <c r="P484" i="16"/>
  <c r="N485" i="16"/>
  <c r="P485" i="16"/>
  <c r="N486" i="16"/>
  <c r="P486" i="16"/>
  <c r="N487" i="16"/>
  <c r="P487" i="16"/>
  <c r="N488" i="16"/>
  <c r="P488" i="16"/>
  <c r="N489" i="16"/>
  <c r="P489" i="16"/>
  <c r="N490" i="16"/>
  <c r="P490" i="16"/>
  <c r="N491" i="16"/>
  <c r="P491" i="16"/>
  <c r="N492" i="16"/>
  <c r="P492" i="16"/>
  <c r="N493" i="16"/>
  <c r="P493" i="16"/>
  <c r="N494" i="16"/>
  <c r="P494" i="16"/>
  <c r="N495" i="16"/>
  <c r="P495" i="16"/>
  <c r="N496" i="16"/>
  <c r="P496" i="16"/>
  <c r="N497" i="16"/>
  <c r="P497" i="16"/>
  <c r="N498" i="16"/>
  <c r="P498" i="16"/>
  <c r="N499" i="16"/>
  <c r="P499" i="16"/>
  <c r="N500" i="16"/>
  <c r="P500" i="16"/>
  <c r="N501" i="16"/>
  <c r="P501" i="16"/>
  <c r="N502" i="16"/>
  <c r="P502" i="16"/>
  <c r="N503" i="16"/>
  <c r="P503" i="16"/>
  <c r="N504" i="16"/>
  <c r="P504" i="16"/>
  <c r="N505" i="16"/>
  <c r="P505" i="16"/>
  <c r="N506" i="16"/>
  <c r="P506" i="16"/>
  <c r="N507" i="16"/>
  <c r="P507" i="16"/>
  <c r="N508" i="16"/>
  <c r="P508" i="16"/>
  <c r="N509" i="16"/>
  <c r="P509" i="16"/>
  <c r="N510" i="16"/>
  <c r="P510" i="16"/>
  <c r="N511" i="16"/>
  <c r="P511" i="16"/>
  <c r="N512" i="16"/>
  <c r="P512" i="16"/>
  <c r="N513" i="16"/>
  <c r="P513" i="16"/>
  <c r="N514" i="16"/>
  <c r="P514" i="16"/>
  <c r="N515" i="16"/>
  <c r="P515" i="16"/>
  <c r="N516" i="16"/>
  <c r="P516" i="16"/>
  <c r="N517" i="16"/>
  <c r="P517" i="16"/>
  <c r="N518" i="16"/>
  <c r="P518" i="16"/>
  <c r="N519" i="16"/>
  <c r="P519" i="16"/>
  <c r="N520" i="16"/>
  <c r="P520" i="16"/>
  <c r="N521" i="16"/>
  <c r="P521" i="16"/>
  <c r="N522" i="16"/>
  <c r="P522" i="16"/>
  <c r="N523" i="16"/>
  <c r="P523" i="16"/>
  <c r="N524" i="16"/>
  <c r="P524" i="16"/>
  <c r="N525" i="16"/>
  <c r="P525" i="16"/>
  <c r="N526" i="16"/>
  <c r="P526" i="16"/>
  <c r="N527" i="16"/>
  <c r="P527" i="16"/>
  <c r="N528" i="16"/>
  <c r="P528" i="16"/>
  <c r="N529" i="16"/>
  <c r="P529" i="16"/>
  <c r="N530" i="16"/>
  <c r="P530" i="16"/>
  <c r="N531" i="16"/>
  <c r="P531" i="16"/>
  <c r="N532" i="16"/>
  <c r="P532" i="16"/>
  <c r="N533" i="16"/>
  <c r="P533" i="16"/>
  <c r="N534" i="16"/>
  <c r="P534" i="16"/>
  <c r="N535" i="16"/>
  <c r="P535" i="16"/>
  <c r="N536" i="16"/>
  <c r="P536" i="16"/>
  <c r="N537" i="16"/>
  <c r="P537" i="16"/>
  <c r="N538" i="16"/>
  <c r="P538" i="16"/>
  <c r="N539" i="16"/>
  <c r="P539" i="16"/>
  <c r="N540" i="16"/>
  <c r="P540" i="16"/>
  <c r="N541" i="16"/>
  <c r="P541" i="16"/>
  <c r="N542" i="16"/>
  <c r="P542" i="16"/>
  <c r="N543" i="16"/>
  <c r="P543" i="16"/>
  <c r="N544" i="16"/>
  <c r="P544" i="16"/>
  <c r="N545" i="16"/>
  <c r="P545" i="16"/>
  <c r="N546" i="16"/>
  <c r="P546" i="16"/>
  <c r="N547" i="16"/>
  <c r="P547" i="16"/>
  <c r="N548" i="16"/>
  <c r="P548" i="16"/>
  <c r="N549" i="16"/>
  <c r="P549" i="16"/>
  <c r="N550" i="16"/>
  <c r="P550" i="16"/>
  <c r="N551" i="16"/>
  <c r="P551" i="16"/>
  <c r="N552" i="16"/>
  <c r="P552" i="16"/>
  <c r="N553" i="16"/>
  <c r="P553" i="16"/>
  <c r="N554" i="16"/>
  <c r="P554" i="16"/>
  <c r="N555" i="16"/>
  <c r="P555" i="16"/>
  <c r="N556" i="16"/>
  <c r="P556" i="16"/>
  <c r="N557" i="16"/>
  <c r="P557" i="16"/>
  <c r="N558" i="16"/>
  <c r="P558" i="16"/>
  <c r="N559" i="16"/>
  <c r="P559" i="16"/>
  <c r="N560" i="16"/>
  <c r="P560" i="16"/>
  <c r="N561" i="16"/>
  <c r="P561" i="16"/>
  <c r="N562" i="16"/>
  <c r="P562" i="16"/>
  <c r="N563" i="16"/>
  <c r="P563" i="16"/>
  <c r="N564" i="16"/>
  <c r="P564" i="16"/>
  <c r="N565" i="16"/>
  <c r="P565" i="16"/>
  <c r="N566" i="16"/>
  <c r="P566" i="16"/>
  <c r="N567" i="16"/>
  <c r="P567" i="16"/>
  <c r="N568" i="16"/>
  <c r="P568" i="16"/>
  <c r="N569" i="16"/>
  <c r="P569" i="16"/>
  <c r="N570" i="16"/>
  <c r="P570" i="16"/>
  <c r="N571" i="16"/>
  <c r="P571" i="16"/>
  <c r="N572" i="16"/>
  <c r="P572" i="16"/>
  <c r="N573" i="16"/>
  <c r="P573" i="16"/>
  <c r="N574" i="16"/>
  <c r="P574" i="16"/>
  <c r="N575" i="16"/>
  <c r="P575" i="16"/>
  <c r="N576" i="16"/>
  <c r="P576" i="16"/>
  <c r="N577" i="16"/>
  <c r="P577" i="16"/>
  <c r="N578" i="16"/>
  <c r="P578" i="16"/>
  <c r="N579" i="16"/>
  <c r="P579" i="16"/>
  <c r="N580" i="16"/>
  <c r="P580" i="16"/>
  <c r="N581" i="16"/>
  <c r="P581" i="16"/>
  <c r="N582" i="16"/>
  <c r="P582" i="16"/>
  <c r="N583" i="16"/>
  <c r="P583" i="16"/>
  <c r="N584" i="16"/>
  <c r="P584" i="16"/>
  <c r="N585" i="16"/>
  <c r="P585" i="16"/>
  <c r="N586" i="16"/>
  <c r="P586" i="16"/>
  <c r="N587" i="16"/>
  <c r="P587" i="16"/>
  <c r="N588" i="16"/>
  <c r="P588" i="16"/>
  <c r="N589" i="16"/>
  <c r="P589" i="16"/>
  <c r="N590" i="16"/>
  <c r="P590" i="16"/>
  <c r="N591" i="16"/>
  <c r="P591" i="16"/>
  <c r="N592" i="16"/>
  <c r="P592" i="16"/>
  <c r="N593" i="16"/>
  <c r="P593" i="16"/>
  <c r="N594" i="16"/>
  <c r="P594" i="16"/>
  <c r="N595" i="16"/>
  <c r="P595" i="16"/>
  <c r="N596" i="16"/>
  <c r="P596" i="16"/>
  <c r="N597" i="16"/>
  <c r="P597" i="16"/>
  <c r="N598" i="16"/>
  <c r="P598" i="16"/>
  <c r="N599" i="16"/>
  <c r="P599" i="16"/>
  <c r="N600" i="16"/>
  <c r="P600" i="16"/>
  <c r="N601" i="16"/>
  <c r="P601" i="16"/>
  <c r="N602" i="16"/>
  <c r="P602" i="16"/>
  <c r="N603" i="16"/>
  <c r="P603" i="16"/>
  <c r="N604" i="16"/>
  <c r="P604" i="16"/>
  <c r="N605" i="16"/>
  <c r="P605" i="16"/>
  <c r="N606" i="16"/>
  <c r="P606" i="16"/>
  <c r="N607" i="16"/>
  <c r="P607" i="16"/>
  <c r="N608" i="16"/>
  <c r="P608" i="16"/>
  <c r="N609" i="16"/>
  <c r="P609" i="16"/>
  <c r="N610" i="16"/>
  <c r="P610" i="16"/>
  <c r="N611" i="16"/>
  <c r="P611" i="16"/>
  <c r="N612" i="16"/>
  <c r="P612" i="16"/>
  <c r="N613" i="16"/>
  <c r="P613" i="16"/>
  <c r="N614" i="16"/>
  <c r="P614" i="16"/>
  <c r="N615" i="16"/>
  <c r="P615" i="16"/>
  <c r="N616" i="16"/>
  <c r="P616" i="16"/>
  <c r="N617" i="16"/>
  <c r="P617" i="16"/>
  <c r="N618" i="16"/>
  <c r="P618" i="16"/>
  <c r="N619" i="16"/>
  <c r="P619" i="16"/>
  <c r="N620" i="16"/>
  <c r="P620" i="16"/>
  <c r="N621" i="16"/>
  <c r="P621" i="16"/>
  <c r="N622" i="16"/>
  <c r="P622" i="16"/>
  <c r="N623" i="16"/>
  <c r="P623" i="16"/>
  <c r="N624" i="16"/>
  <c r="P624" i="16"/>
  <c r="N625" i="16"/>
  <c r="P625" i="16"/>
  <c r="N626" i="16"/>
  <c r="P626" i="16"/>
  <c r="N627" i="16"/>
  <c r="P627" i="16"/>
  <c r="N628" i="16"/>
  <c r="P628" i="16"/>
  <c r="N629" i="16"/>
  <c r="P629" i="16"/>
  <c r="N630" i="16"/>
  <c r="P630" i="16"/>
  <c r="N631" i="16"/>
  <c r="P631" i="16"/>
  <c r="N632" i="16"/>
  <c r="P632" i="16"/>
  <c r="N633" i="16"/>
  <c r="P633" i="16"/>
  <c r="N634" i="16"/>
  <c r="P634" i="16"/>
  <c r="N635" i="16"/>
  <c r="P635" i="16"/>
  <c r="N636" i="16"/>
  <c r="P636" i="16"/>
  <c r="N637" i="16"/>
  <c r="P637" i="16"/>
  <c r="N638" i="16"/>
  <c r="P638" i="16"/>
  <c r="N639" i="16"/>
  <c r="P639" i="16"/>
  <c r="N640" i="16"/>
  <c r="P640" i="16"/>
  <c r="N641" i="16"/>
  <c r="P641" i="16"/>
  <c r="N642" i="16"/>
  <c r="P642" i="16"/>
  <c r="N643" i="16"/>
  <c r="P643" i="16"/>
  <c r="N644" i="16"/>
  <c r="P644" i="16"/>
  <c r="N645" i="16"/>
  <c r="P645" i="16"/>
  <c r="N646" i="16"/>
  <c r="P646" i="16"/>
  <c r="N647" i="16"/>
  <c r="P647" i="16"/>
  <c r="N648" i="16"/>
  <c r="P648" i="16"/>
  <c r="N649" i="16"/>
  <c r="P649" i="16"/>
  <c r="N650" i="16"/>
  <c r="P650" i="16"/>
  <c r="N651" i="16"/>
  <c r="P651" i="16"/>
  <c r="N652" i="16"/>
  <c r="P652" i="16"/>
  <c r="N653" i="16"/>
  <c r="P653" i="16"/>
  <c r="N654" i="16"/>
  <c r="P654" i="16"/>
  <c r="N655" i="16"/>
  <c r="P655" i="16"/>
  <c r="N656" i="16"/>
  <c r="P656" i="16"/>
  <c r="N657" i="16"/>
  <c r="P657" i="16"/>
  <c r="N658" i="16"/>
  <c r="P658" i="16"/>
  <c r="N659" i="16"/>
  <c r="P659" i="16"/>
  <c r="N660" i="16"/>
  <c r="P660" i="16"/>
  <c r="N661" i="16"/>
  <c r="P661" i="16"/>
  <c r="N662" i="16"/>
  <c r="P662" i="16"/>
  <c r="N663" i="16"/>
  <c r="P663" i="16"/>
  <c r="N664" i="16"/>
  <c r="P664" i="16"/>
  <c r="N665" i="16"/>
  <c r="P665" i="16"/>
  <c r="N666" i="16"/>
  <c r="P666" i="16"/>
  <c r="N667" i="16"/>
  <c r="P667" i="16"/>
  <c r="N668" i="16"/>
  <c r="P668" i="16"/>
  <c r="N669" i="16"/>
  <c r="P669" i="16"/>
  <c r="N670" i="16"/>
  <c r="P670" i="16"/>
  <c r="N671" i="16"/>
  <c r="P671" i="16"/>
  <c r="N672" i="16"/>
  <c r="P672" i="16"/>
  <c r="N673" i="16"/>
  <c r="P673" i="16"/>
  <c r="N674" i="16"/>
  <c r="P674" i="16"/>
  <c r="N675" i="16"/>
  <c r="P675" i="16"/>
  <c r="N676" i="16"/>
  <c r="P676" i="16"/>
  <c r="N677" i="16"/>
  <c r="P677" i="16"/>
  <c r="N678" i="16"/>
  <c r="P678" i="16"/>
  <c r="N679" i="16"/>
  <c r="P679" i="16"/>
  <c r="N680" i="16"/>
  <c r="P680" i="16"/>
  <c r="N681" i="16"/>
  <c r="P681" i="16"/>
  <c r="N682" i="16"/>
  <c r="P682" i="16"/>
  <c r="N683" i="16"/>
  <c r="P683" i="16"/>
  <c r="N684" i="16"/>
  <c r="P684" i="16"/>
  <c r="N685" i="16"/>
  <c r="P685" i="16"/>
  <c r="N686" i="16"/>
  <c r="P686" i="16"/>
  <c r="N687" i="16"/>
  <c r="P687" i="16"/>
  <c r="N688" i="16"/>
  <c r="P688" i="16"/>
  <c r="N689" i="16"/>
  <c r="P689" i="16"/>
  <c r="N690" i="16"/>
  <c r="P690" i="16"/>
  <c r="N691" i="16"/>
  <c r="P691" i="16"/>
  <c r="N692" i="16"/>
  <c r="P692" i="16"/>
  <c r="N693" i="16"/>
  <c r="P693" i="16"/>
  <c r="N694" i="16"/>
  <c r="P694" i="16"/>
  <c r="N695" i="16"/>
  <c r="P695" i="16"/>
  <c r="N696" i="16"/>
  <c r="P696" i="16"/>
  <c r="N697" i="16"/>
  <c r="P697" i="16"/>
  <c r="N698" i="16"/>
  <c r="P698" i="16"/>
  <c r="N699" i="16"/>
  <c r="P699" i="16"/>
  <c r="N700" i="16"/>
  <c r="P700" i="16"/>
  <c r="N701" i="16"/>
  <c r="P701" i="16"/>
  <c r="N702" i="16"/>
  <c r="P702" i="16"/>
  <c r="N703" i="16"/>
  <c r="P703" i="16"/>
  <c r="N704" i="16"/>
  <c r="P704" i="16"/>
  <c r="N705" i="16"/>
  <c r="P705" i="16"/>
  <c r="N706" i="16"/>
  <c r="P706" i="16"/>
  <c r="N707" i="16"/>
  <c r="P707" i="16"/>
  <c r="N708" i="16"/>
  <c r="P708" i="16"/>
  <c r="N709" i="16"/>
  <c r="P709" i="16"/>
  <c r="N710" i="16"/>
  <c r="P710" i="16"/>
  <c r="N711" i="16"/>
  <c r="P711" i="16"/>
  <c r="N712" i="16"/>
  <c r="P712" i="16"/>
  <c r="N713" i="16"/>
  <c r="P713" i="16"/>
  <c r="N714" i="16"/>
  <c r="P714" i="16"/>
  <c r="N715" i="16"/>
  <c r="P715" i="16"/>
  <c r="N716" i="16"/>
  <c r="P716" i="16"/>
  <c r="N717" i="16"/>
  <c r="P717" i="16"/>
  <c r="N718" i="16"/>
  <c r="P718" i="16"/>
  <c r="N719" i="16"/>
  <c r="P719" i="16"/>
  <c r="N720" i="16"/>
  <c r="P720" i="16"/>
  <c r="N721" i="16"/>
  <c r="P721" i="16"/>
  <c r="N722" i="16"/>
  <c r="P722" i="16"/>
  <c r="N723" i="16"/>
  <c r="P723" i="16"/>
  <c r="N724" i="16"/>
  <c r="P724" i="16"/>
  <c r="N725" i="16"/>
  <c r="P725" i="16"/>
  <c r="N726" i="16"/>
  <c r="P726" i="16"/>
  <c r="N727" i="16"/>
  <c r="P727" i="16"/>
  <c r="N728" i="16"/>
  <c r="P728" i="16"/>
  <c r="N729" i="16"/>
  <c r="P729" i="16"/>
  <c r="N730" i="16"/>
  <c r="P730" i="16"/>
  <c r="N731" i="16"/>
  <c r="P731" i="16"/>
  <c r="N732" i="16"/>
  <c r="P732" i="16"/>
  <c r="N733" i="16"/>
  <c r="P733" i="16"/>
  <c r="N734" i="16"/>
  <c r="P734" i="16"/>
  <c r="N735" i="16"/>
  <c r="P735" i="16"/>
  <c r="N736" i="16"/>
  <c r="P736" i="16"/>
  <c r="N737" i="16"/>
  <c r="P737" i="16"/>
  <c r="N738" i="16"/>
  <c r="P738" i="16"/>
  <c r="N739" i="16"/>
  <c r="P739" i="16"/>
  <c r="N740" i="16"/>
  <c r="P740" i="16"/>
  <c r="N741" i="16"/>
  <c r="P741" i="16"/>
  <c r="N742" i="16"/>
  <c r="P742" i="16"/>
  <c r="N743" i="16"/>
  <c r="P743" i="16"/>
  <c r="N744" i="16"/>
  <c r="P744" i="16"/>
  <c r="N745" i="16"/>
  <c r="P745" i="16"/>
  <c r="N746" i="16"/>
  <c r="P746" i="16"/>
  <c r="N747" i="16"/>
  <c r="P747" i="16"/>
  <c r="N748" i="16"/>
  <c r="P748" i="16"/>
  <c r="N749" i="16"/>
  <c r="P749" i="16"/>
  <c r="N750" i="16"/>
  <c r="P750" i="16"/>
  <c r="N751" i="16"/>
  <c r="P751" i="16"/>
  <c r="N752" i="16"/>
  <c r="P752" i="16"/>
  <c r="N753" i="16"/>
  <c r="P753" i="16"/>
  <c r="N754" i="16"/>
  <c r="P754" i="16"/>
  <c r="N755" i="16"/>
  <c r="P755" i="16"/>
  <c r="N756" i="16"/>
  <c r="P756" i="16"/>
  <c r="N757" i="16"/>
  <c r="P757" i="16"/>
  <c r="N758" i="16"/>
  <c r="P758" i="16"/>
  <c r="N759" i="16"/>
  <c r="P759" i="16"/>
  <c r="N760" i="16"/>
  <c r="P760" i="16"/>
  <c r="N761" i="16"/>
  <c r="P761" i="16"/>
  <c r="N762" i="16"/>
  <c r="P762" i="16"/>
  <c r="W6" i="16"/>
  <c r="X6" i="16" s="1"/>
  <c r="N12" i="2" s="1"/>
  <c r="K14" i="19" s="1"/>
  <c r="B8" i="16"/>
  <c r="B9" i="16"/>
  <c r="B10" i="16"/>
  <c r="B11" i="16"/>
  <c r="B12" i="16"/>
  <c r="B13" i="16"/>
  <c r="B14" i="16"/>
  <c r="B15" i="16"/>
  <c r="B16" i="16"/>
  <c r="B17" i="16"/>
  <c r="B18" i="16"/>
  <c r="B19" i="16"/>
  <c r="B20" i="16"/>
  <c r="B21" i="16"/>
  <c r="B22" i="16"/>
  <c r="F9" i="16"/>
  <c r="F8" i="16"/>
  <c r="F10" i="16"/>
  <c r="G10" i="16" s="1"/>
  <c r="F11" i="16"/>
  <c r="F12" i="16"/>
  <c r="F13" i="16"/>
  <c r="F14" i="16" s="1"/>
  <c r="F17" i="16"/>
  <c r="F20" i="16"/>
  <c r="F21" i="16" s="1"/>
  <c r="G21" i="16" s="1"/>
  <c r="F22" i="16"/>
  <c r="F6" i="16"/>
  <c r="F7" i="16" s="1"/>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C3" i="15"/>
  <c r="C4" i="15"/>
  <c r="C5" i="15"/>
  <c r="C6" i="15"/>
  <c r="C7" i="15"/>
  <c r="C8" i="15"/>
  <c r="C9" i="15"/>
  <c r="C2" i="15"/>
  <c r="B3" i="15"/>
  <c r="B4" i="15"/>
  <c r="B5" i="15"/>
  <c r="B6" i="15"/>
  <c r="B7" i="15"/>
  <c r="B8" i="15"/>
  <c r="B9" i="15"/>
  <c r="B2" i="15"/>
  <c r="A101" i="14"/>
  <c r="B101" i="14"/>
  <c r="C101" i="14"/>
  <c r="A102" i="14"/>
  <c r="B102" i="14"/>
  <c r="C102" i="14"/>
  <c r="A103" i="14"/>
  <c r="B103" i="14"/>
  <c r="C103" i="14"/>
  <c r="A104" i="14"/>
  <c r="B104" i="14"/>
  <c r="C104" i="14"/>
  <c r="A105" i="14"/>
  <c r="B105" i="14"/>
  <c r="C105" i="14"/>
  <c r="A106" i="14"/>
  <c r="B106" i="14"/>
  <c r="C106" i="14"/>
  <c r="A107" i="14"/>
  <c r="B107" i="14"/>
  <c r="C107" i="14"/>
  <c r="A108" i="14"/>
  <c r="B108" i="14"/>
  <c r="C108" i="14"/>
  <c r="A109" i="14"/>
  <c r="B109" i="14"/>
  <c r="C109" i="14"/>
  <c r="A110" i="14"/>
  <c r="B110" i="14"/>
  <c r="C110" i="14"/>
  <c r="A111" i="14"/>
  <c r="B111" i="14"/>
  <c r="C111" i="14"/>
  <c r="A112" i="14"/>
  <c r="B112" i="14"/>
  <c r="C112" i="14"/>
  <c r="A113" i="14"/>
  <c r="B113" i="14"/>
  <c r="C113" i="14"/>
  <c r="A114" i="14"/>
  <c r="B114" i="14"/>
  <c r="C114" i="14"/>
  <c r="A115" i="14"/>
  <c r="B115" i="14"/>
  <c r="C115" i="14"/>
  <c r="A116" i="14"/>
  <c r="B116" i="14"/>
  <c r="C116" i="14"/>
  <c r="A117" i="14"/>
  <c r="B117" i="14"/>
  <c r="C117" i="14"/>
  <c r="A118" i="14"/>
  <c r="B118" i="14"/>
  <c r="C118" i="14"/>
  <c r="A119" i="14"/>
  <c r="B119" i="14"/>
  <c r="C119" i="14"/>
  <c r="A120" i="14"/>
  <c r="B120" i="14"/>
  <c r="C120" i="14"/>
  <c r="A121" i="14"/>
  <c r="B121" i="14"/>
  <c r="C121" i="14"/>
  <c r="A122" i="14"/>
  <c r="B122" i="14"/>
  <c r="C122" i="14"/>
  <c r="A123" i="14"/>
  <c r="B123" i="14"/>
  <c r="C123" i="14"/>
  <c r="A124" i="14"/>
  <c r="B124" i="14"/>
  <c r="C124" i="14"/>
  <c r="A125" i="14"/>
  <c r="B125" i="14"/>
  <c r="C125" i="14"/>
  <c r="A126" i="14"/>
  <c r="B126" i="14"/>
  <c r="C126" i="14"/>
  <c r="A127" i="14"/>
  <c r="B127" i="14"/>
  <c r="C127" i="14"/>
  <c r="A128" i="14"/>
  <c r="B128" i="14"/>
  <c r="C128" i="14"/>
  <c r="A129" i="14"/>
  <c r="B129" i="14"/>
  <c r="C129" i="14"/>
  <c r="A130" i="14"/>
  <c r="B130" i="14"/>
  <c r="C130" i="14"/>
  <c r="A131" i="14"/>
  <c r="B131" i="14"/>
  <c r="C131" i="14"/>
  <c r="A132" i="14"/>
  <c r="B132" i="14"/>
  <c r="C132" i="14"/>
  <c r="A133" i="14"/>
  <c r="B133" i="14"/>
  <c r="C133" i="14"/>
  <c r="A134" i="14"/>
  <c r="B134" i="14"/>
  <c r="C134" i="14"/>
  <c r="A135" i="14"/>
  <c r="B135" i="14"/>
  <c r="C135" i="14"/>
  <c r="A136" i="14"/>
  <c r="B136" i="14"/>
  <c r="C136" i="14"/>
  <c r="A137" i="14"/>
  <c r="B137" i="14"/>
  <c r="C137" i="14"/>
  <c r="A138" i="14"/>
  <c r="B138" i="14"/>
  <c r="C138" i="14"/>
  <c r="A139" i="14"/>
  <c r="B139" i="14"/>
  <c r="C139" i="14"/>
  <c r="A140" i="14"/>
  <c r="B140" i="14"/>
  <c r="C140" i="14"/>
  <c r="A141" i="14"/>
  <c r="B141" i="14"/>
  <c r="C141" i="14"/>
  <c r="A142" i="14"/>
  <c r="B142" i="14"/>
  <c r="C142" i="14"/>
  <c r="A143" i="14"/>
  <c r="B143" i="14"/>
  <c r="C143" i="14"/>
  <c r="A144" i="14"/>
  <c r="B144" i="14"/>
  <c r="C144" i="14"/>
  <c r="A145" i="14"/>
  <c r="B145" i="14"/>
  <c r="C145" i="14"/>
  <c r="A146" i="14"/>
  <c r="B146" i="14"/>
  <c r="C146" i="14"/>
  <c r="A147" i="14"/>
  <c r="B147" i="14"/>
  <c r="C147" i="14"/>
  <c r="M157" i="2"/>
  <c r="A148" i="14"/>
  <c r="B148" i="14"/>
  <c r="C148" i="14"/>
  <c r="M158" i="2"/>
  <c r="A149" i="14"/>
  <c r="B149" i="14"/>
  <c r="C149" i="14"/>
  <c r="M159" i="2"/>
  <c r="A150" i="14"/>
  <c r="B150" i="14"/>
  <c r="C150" i="14"/>
  <c r="M160" i="2"/>
  <c r="A151" i="14"/>
  <c r="B151" i="14"/>
  <c r="C151" i="14"/>
  <c r="M161" i="2"/>
  <c r="A152" i="14"/>
  <c r="B152" i="14"/>
  <c r="C152" i="14"/>
  <c r="M162" i="2"/>
  <c r="A153" i="14"/>
  <c r="B153" i="14"/>
  <c r="C153" i="14"/>
  <c r="M163" i="2"/>
  <c r="A154" i="14"/>
  <c r="B154" i="14"/>
  <c r="C154" i="14"/>
  <c r="M164" i="2"/>
  <c r="A155" i="14"/>
  <c r="B155" i="14"/>
  <c r="C155" i="14"/>
  <c r="M165" i="2"/>
  <c r="A156" i="14"/>
  <c r="B156" i="14"/>
  <c r="C156" i="14"/>
  <c r="M166" i="2"/>
  <c r="A157" i="14"/>
  <c r="B157" i="14"/>
  <c r="C157" i="14"/>
  <c r="M167" i="2"/>
  <c r="A158" i="14"/>
  <c r="B158" i="14"/>
  <c r="C158" i="14"/>
  <c r="M168" i="2"/>
  <c r="A159" i="14"/>
  <c r="B159" i="14"/>
  <c r="C159" i="14"/>
  <c r="M169" i="2"/>
  <c r="A160" i="14"/>
  <c r="B160" i="14"/>
  <c r="C160" i="14"/>
  <c r="M170" i="2"/>
  <c r="A161" i="14"/>
  <c r="B161" i="14"/>
  <c r="C161" i="14"/>
  <c r="M171" i="2"/>
  <c r="A162" i="14"/>
  <c r="B162" i="14"/>
  <c r="C162" i="14"/>
  <c r="M172" i="2"/>
  <c r="A163" i="14"/>
  <c r="B163" i="14"/>
  <c r="C163" i="14"/>
  <c r="M173" i="2"/>
  <c r="A164" i="14"/>
  <c r="B164" i="14"/>
  <c r="C164" i="14"/>
  <c r="M174" i="2"/>
  <c r="A165" i="14"/>
  <c r="B165" i="14"/>
  <c r="C165" i="14"/>
  <c r="M175" i="2"/>
  <c r="A166" i="14"/>
  <c r="B166" i="14"/>
  <c r="C166" i="14"/>
  <c r="M176" i="2"/>
  <c r="A167" i="14"/>
  <c r="B167" i="14"/>
  <c r="C167" i="14"/>
  <c r="M177" i="2"/>
  <c r="A168" i="14"/>
  <c r="B168" i="14"/>
  <c r="C168" i="14"/>
  <c r="M178" i="2"/>
  <c r="A169" i="14"/>
  <c r="B169" i="14"/>
  <c r="C169" i="14"/>
  <c r="M179" i="2"/>
  <c r="A170" i="14"/>
  <c r="B170" i="14"/>
  <c r="C170" i="14"/>
  <c r="M180" i="2"/>
  <c r="A171" i="14"/>
  <c r="B171" i="14"/>
  <c r="C171" i="14"/>
  <c r="M181" i="2"/>
  <c r="A172" i="14"/>
  <c r="B172" i="14"/>
  <c r="C172" i="14"/>
  <c r="M182" i="2"/>
  <c r="A173" i="14"/>
  <c r="B173" i="14"/>
  <c r="C173" i="14"/>
  <c r="M183" i="2"/>
  <c r="A174" i="14"/>
  <c r="B174" i="14"/>
  <c r="C174" i="14"/>
  <c r="M184" i="2"/>
  <c r="A175" i="14"/>
  <c r="B175" i="14"/>
  <c r="C175" i="14"/>
  <c r="M185" i="2"/>
  <c r="A176" i="14"/>
  <c r="B176" i="14"/>
  <c r="C176" i="14"/>
  <c r="M186" i="2"/>
  <c r="A177" i="14"/>
  <c r="B177" i="14"/>
  <c r="C177" i="14"/>
  <c r="M187" i="2"/>
  <c r="A178" i="14"/>
  <c r="B178" i="14"/>
  <c r="C178" i="14"/>
  <c r="M188" i="2"/>
  <c r="A179" i="14"/>
  <c r="B179" i="14"/>
  <c r="C179" i="14"/>
  <c r="M189" i="2"/>
  <c r="A180" i="14"/>
  <c r="B180" i="14"/>
  <c r="C180" i="14"/>
  <c r="M190" i="2"/>
  <c r="A181" i="14"/>
  <c r="B181" i="14"/>
  <c r="C181" i="14"/>
  <c r="M191" i="2"/>
  <c r="A182" i="14"/>
  <c r="B182" i="14"/>
  <c r="C182" i="14"/>
  <c r="M192" i="2"/>
  <c r="A183" i="14"/>
  <c r="B183" i="14"/>
  <c r="C183" i="14"/>
  <c r="M193" i="2"/>
  <c r="A184" i="14"/>
  <c r="B184" i="14"/>
  <c r="C184" i="14"/>
  <c r="M194" i="2"/>
  <c r="A185" i="14"/>
  <c r="B185" i="14"/>
  <c r="C185" i="14"/>
  <c r="M195" i="2"/>
  <c r="A186" i="14"/>
  <c r="B186" i="14"/>
  <c r="C186" i="14"/>
  <c r="M196" i="2"/>
  <c r="A187" i="14"/>
  <c r="B187" i="14"/>
  <c r="C187" i="14"/>
  <c r="M197" i="2"/>
  <c r="A188" i="14"/>
  <c r="B188" i="14"/>
  <c r="C188" i="14"/>
  <c r="M198" i="2"/>
  <c r="A189" i="14"/>
  <c r="B189" i="14"/>
  <c r="C189" i="14"/>
  <c r="M199" i="2"/>
  <c r="A190" i="14"/>
  <c r="B190" i="14"/>
  <c r="C190" i="14"/>
  <c r="M200" i="2"/>
  <c r="A191" i="14"/>
  <c r="B191" i="14"/>
  <c r="C191" i="14"/>
  <c r="M201" i="2"/>
  <c r="A192" i="14"/>
  <c r="B192" i="14"/>
  <c r="C192" i="14"/>
  <c r="M202" i="2"/>
  <c r="A193" i="14"/>
  <c r="B193" i="14"/>
  <c r="C193" i="14"/>
  <c r="M203" i="2"/>
  <c r="A194" i="14"/>
  <c r="B194" i="14"/>
  <c r="C194" i="14"/>
  <c r="M204" i="2"/>
  <c r="A195" i="14"/>
  <c r="B195" i="14"/>
  <c r="C195" i="14"/>
  <c r="M205" i="2"/>
  <c r="A196" i="14"/>
  <c r="B196" i="14"/>
  <c r="C196" i="14"/>
  <c r="M206" i="2"/>
  <c r="A197" i="14"/>
  <c r="B197" i="14"/>
  <c r="C197" i="14"/>
  <c r="M207" i="2"/>
  <c r="A198" i="14"/>
  <c r="B198" i="14"/>
  <c r="C198" i="14"/>
  <c r="M208" i="2"/>
  <c r="A199" i="14"/>
  <c r="B199" i="14"/>
  <c r="C199" i="14"/>
  <c r="M209" i="2"/>
  <c r="A200" i="14"/>
  <c r="B200" i="14"/>
  <c r="C200" i="14"/>
  <c r="M210" i="2"/>
  <c r="A201" i="14"/>
  <c r="B201" i="14"/>
  <c r="C201" i="14"/>
  <c r="M211" i="2"/>
  <c r="A3" i="14"/>
  <c r="B3" i="14"/>
  <c r="C3" i="14"/>
  <c r="A4" i="14"/>
  <c r="B4" i="14"/>
  <c r="C4" i="14"/>
  <c r="A5" i="14"/>
  <c r="B5" i="14"/>
  <c r="C5" i="14"/>
  <c r="A6" i="14"/>
  <c r="B6" i="14"/>
  <c r="C6" i="14"/>
  <c r="A7" i="14"/>
  <c r="B7" i="14"/>
  <c r="C7" i="14"/>
  <c r="A8" i="14"/>
  <c r="B8" i="14"/>
  <c r="C8" i="14"/>
  <c r="A9" i="14"/>
  <c r="B9" i="14"/>
  <c r="C9" i="14"/>
  <c r="A10" i="14"/>
  <c r="B10" i="14"/>
  <c r="C10" i="14"/>
  <c r="A11" i="14"/>
  <c r="B11" i="14"/>
  <c r="C11" i="14"/>
  <c r="A12" i="14"/>
  <c r="B12" i="14"/>
  <c r="C12" i="14"/>
  <c r="A13" i="14"/>
  <c r="B13" i="14"/>
  <c r="C13" i="14"/>
  <c r="A14" i="14"/>
  <c r="B14" i="14"/>
  <c r="C14" i="14"/>
  <c r="A15" i="14"/>
  <c r="B15" i="14"/>
  <c r="C15" i="14"/>
  <c r="A16" i="14"/>
  <c r="B16" i="14"/>
  <c r="C16" i="14"/>
  <c r="A17" i="14"/>
  <c r="B17" i="14"/>
  <c r="C17" i="14"/>
  <c r="A18" i="14"/>
  <c r="B18" i="14"/>
  <c r="C18" i="14"/>
  <c r="A19" i="14"/>
  <c r="B19" i="14"/>
  <c r="C19" i="14"/>
  <c r="A20" i="14"/>
  <c r="B20" i="14"/>
  <c r="C20" i="14"/>
  <c r="A21" i="14"/>
  <c r="B21" i="14"/>
  <c r="C21" i="14"/>
  <c r="A22" i="14"/>
  <c r="B22" i="14"/>
  <c r="C22" i="14"/>
  <c r="A23" i="14"/>
  <c r="B23" i="14"/>
  <c r="C23" i="14"/>
  <c r="A24" i="14"/>
  <c r="B24" i="14"/>
  <c r="C24" i="14"/>
  <c r="A25" i="14"/>
  <c r="B25" i="14"/>
  <c r="C25" i="14"/>
  <c r="A26" i="14"/>
  <c r="B26" i="14"/>
  <c r="C26" i="14"/>
  <c r="A27" i="14"/>
  <c r="B27" i="14"/>
  <c r="C27" i="14"/>
  <c r="A28" i="14"/>
  <c r="B28" i="14"/>
  <c r="C28" i="14"/>
  <c r="A29" i="14"/>
  <c r="B29" i="14"/>
  <c r="C29" i="14"/>
  <c r="A30" i="14"/>
  <c r="B30" i="14"/>
  <c r="C30" i="14"/>
  <c r="A31" i="14"/>
  <c r="B31" i="14"/>
  <c r="C31" i="14"/>
  <c r="A32" i="14"/>
  <c r="B32" i="14"/>
  <c r="C32" i="14"/>
  <c r="A33" i="14"/>
  <c r="B33" i="14"/>
  <c r="C33" i="14"/>
  <c r="A34" i="14"/>
  <c r="B34" i="14"/>
  <c r="C34" i="14"/>
  <c r="A35" i="14"/>
  <c r="B35" i="14"/>
  <c r="C35" i="14"/>
  <c r="A36" i="14"/>
  <c r="B36" i="14"/>
  <c r="C36" i="14"/>
  <c r="A37" i="14"/>
  <c r="B37" i="14"/>
  <c r="C37" i="14"/>
  <c r="A38" i="14"/>
  <c r="B38" i="14"/>
  <c r="C38" i="14"/>
  <c r="A39" i="14"/>
  <c r="B39" i="14"/>
  <c r="C39" i="14"/>
  <c r="A40" i="14"/>
  <c r="B40" i="14"/>
  <c r="C40" i="14"/>
  <c r="A41" i="14"/>
  <c r="B41" i="14"/>
  <c r="C41" i="14"/>
  <c r="A42" i="14"/>
  <c r="B42" i="14"/>
  <c r="C42" i="14"/>
  <c r="A43" i="14"/>
  <c r="B43" i="14"/>
  <c r="C43" i="14"/>
  <c r="A44" i="14"/>
  <c r="B44" i="14"/>
  <c r="C44" i="14"/>
  <c r="A45" i="14"/>
  <c r="B45" i="14"/>
  <c r="C45" i="14"/>
  <c r="A46" i="14"/>
  <c r="B46" i="14"/>
  <c r="C46" i="14"/>
  <c r="A47" i="14"/>
  <c r="B47" i="14"/>
  <c r="C47" i="14"/>
  <c r="A48" i="14"/>
  <c r="B48" i="14"/>
  <c r="C48" i="14"/>
  <c r="A49" i="14"/>
  <c r="B49" i="14"/>
  <c r="C49" i="14"/>
  <c r="A50" i="14"/>
  <c r="B50" i="14"/>
  <c r="C50" i="14"/>
  <c r="A51" i="14"/>
  <c r="B51" i="14"/>
  <c r="C51" i="14"/>
  <c r="A52" i="14"/>
  <c r="B52" i="14"/>
  <c r="C52" i="14"/>
  <c r="A53" i="14"/>
  <c r="B53" i="14"/>
  <c r="C53" i="14"/>
  <c r="A54" i="14"/>
  <c r="B54" i="14"/>
  <c r="C54" i="14"/>
  <c r="A55" i="14"/>
  <c r="B55" i="14"/>
  <c r="C55" i="14"/>
  <c r="A56" i="14"/>
  <c r="B56" i="14"/>
  <c r="C56" i="14"/>
  <c r="A57" i="14"/>
  <c r="B57" i="14"/>
  <c r="C57" i="14"/>
  <c r="A58" i="14"/>
  <c r="B58" i="14"/>
  <c r="C58" i="14"/>
  <c r="A59" i="14"/>
  <c r="B59" i="14"/>
  <c r="C59" i="14"/>
  <c r="A60" i="14"/>
  <c r="B60" i="14"/>
  <c r="C60" i="14"/>
  <c r="A61" i="14"/>
  <c r="B61" i="14"/>
  <c r="C61" i="14"/>
  <c r="A62" i="14"/>
  <c r="B62" i="14"/>
  <c r="C62" i="14"/>
  <c r="A63" i="14"/>
  <c r="B63" i="14"/>
  <c r="C63" i="14"/>
  <c r="A64" i="14"/>
  <c r="B64" i="14"/>
  <c r="C64" i="14"/>
  <c r="A65" i="14"/>
  <c r="B65" i="14"/>
  <c r="C65" i="14"/>
  <c r="A66" i="14"/>
  <c r="B66" i="14"/>
  <c r="C66" i="14"/>
  <c r="A67" i="14"/>
  <c r="B67" i="14"/>
  <c r="C67" i="14"/>
  <c r="A68" i="14"/>
  <c r="B68" i="14"/>
  <c r="C68" i="14"/>
  <c r="A69" i="14"/>
  <c r="B69" i="14"/>
  <c r="C69" i="14"/>
  <c r="A70" i="14"/>
  <c r="B70" i="14"/>
  <c r="C70" i="14"/>
  <c r="A71" i="14"/>
  <c r="B71" i="14"/>
  <c r="C71" i="14"/>
  <c r="A72" i="14"/>
  <c r="B72" i="14"/>
  <c r="C72" i="14"/>
  <c r="A73" i="14"/>
  <c r="B73" i="14"/>
  <c r="C73" i="14"/>
  <c r="A74" i="14"/>
  <c r="B74" i="14"/>
  <c r="C74" i="14"/>
  <c r="A75" i="14"/>
  <c r="B75" i="14"/>
  <c r="C75" i="14"/>
  <c r="A76" i="14"/>
  <c r="B76" i="14"/>
  <c r="C76" i="14"/>
  <c r="A77" i="14"/>
  <c r="B77" i="14"/>
  <c r="C77" i="14"/>
  <c r="A78" i="14"/>
  <c r="B78" i="14"/>
  <c r="C78" i="14"/>
  <c r="A79" i="14"/>
  <c r="B79" i="14"/>
  <c r="C79" i="14"/>
  <c r="A80" i="14"/>
  <c r="B80" i="14"/>
  <c r="C80" i="14"/>
  <c r="A81" i="14"/>
  <c r="B81" i="14"/>
  <c r="C81" i="14"/>
  <c r="A82" i="14"/>
  <c r="B82" i="14"/>
  <c r="C82" i="14"/>
  <c r="A83" i="14"/>
  <c r="B83" i="14"/>
  <c r="C83" i="14"/>
  <c r="A84" i="14"/>
  <c r="B84" i="14"/>
  <c r="C84" i="14"/>
  <c r="A85" i="14"/>
  <c r="B85" i="14"/>
  <c r="C85" i="14"/>
  <c r="A86" i="14"/>
  <c r="B86" i="14"/>
  <c r="C86" i="14"/>
  <c r="A87" i="14"/>
  <c r="B87" i="14"/>
  <c r="C87" i="14"/>
  <c r="A88" i="14"/>
  <c r="B88" i="14"/>
  <c r="C88" i="14"/>
  <c r="A89" i="14"/>
  <c r="B89" i="14"/>
  <c r="C89" i="14"/>
  <c r="A90" i="14"/>
  <c r="B90" i="14"/>
  <c r="C90" i="14"/>
  <c r="A91" i="14"/>
  <c r="B91" i="14"/>
  <c r="C91" i="14"/>
  <c r="A92" i="14"/>
  <c r="B92" i="14"/>
  <c r="C92" i="14"/>
  <c r="A93" i="14"/>
  <c r="B93" i="14"/>
  <c r="C93" i="14"/>
  <c r="A94" i="14"/>
  <c r="B94" i="14"/>
  <c r="C94" i="14"/>
  <c r="A95" i="14"/>
  <c r="B95" i="14"/>
  <c r="C95" i="14"/>
  <c r="A96" i="14"/>
  <c r="B96" i="14"/>
  <c r="C96" i="14"/>
  <c r="A97" i="14"/>
  <c r="B97" i="14"/>
  <c r="C97" i="14"/>
  <c r="A98" i="14"/>
  <c r="B98" i="14"/>
  <c r="C98" i="14"/>
  <c r="A99" i="14"/>
  <c r="B99" i="14"/>
  <c r="C99" i="14"/>
  <c r="A100" i="14"/>
  <c r="B100" i="14"/>
  <c r="C100" i="14"/>
  <c r="M12" i="2"/>
  <c r="C2" i="14"/>
  <c r="B2" i="14"/>
  <c r="A2" i="14"/>
  <c r="O13" i="2"/>
  <c r="Q13" i="2" s="1"/>
  <c r="O12" i="2"/>
  <c r="Q12" i="2" s="1"/>
  <c r="O14" i="2"/>
  <c r="Q14" i="2" s="1"/>
  <c r="O15" i="2"/>
  <c r="P15" i="2" s="1"/>
  <c r="O16" i="2"/>
  <c r="Q16" i="2" s="1"/>
  <c r="O17" i="2"/>
  <c r="P17" i="2" s="1"/>
  <c r="O18" i="2"/>
  <c r="P18" i="2" s="1"/>
  <c r="O19" i="2"/>
  <c r="P19" i="2" s="1"/>
  <c r="O20" i="2"/>
  <c r="Q20" i="2" s="1"/>
  <c r="O21" i="2"/>
  <c r="Q21" i="2" s="1"/>
  <c r="G9" i="12"/>
  <c r="I9" i="12" s="1"/>
  <c r="E7" i="8"/>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F9" i="12"/>
  <c r="E9" i="12"/>
  <c r="D9" i="12"/>
  <c r="C9" i="12"/>
  <c r="B9" i="12"/>
  <c r="B2" i="12"/>
  <c r="E9" i="8"/>
  <c r="E11" i="8"/>
  <c r="O10" i="11"/>
  <c r="N10" i="11"/>
  <c r="G10" i="11"/>
  <c r="C10" i="11"/>
  <c r="F14" i="8"/>
  <c r="F26" i="10"/>
  <c r="E26" i="10"/>
  <c r="D26" i="10"/>
  <c r="C26" i="10"/>
  <c r="F16" i="10"/>
  <c r="C16" i="10"/>
  <c r="E9" i="10"/>
  <c r="G9" i="7"/>
  <c r="F9" i="7"/>
  <c r="E9" i="7"/>
  <c r="D9" i="7"/>
  <c r="C9" i="7"/>
  <c r="B9" i="7"/>
  <c r="B6" i="9"/>
  <c r="C6" i="9"/>
  <c r="D6" i="9"/>
  <c r="E6" i="9"/>
  <c r="F6" i="9"/>
  <c r="G6" i="9"/>
  <c r="B7" i="9"/>
  <c r="C7" i="9"/>
  <c r="D7" i="9"/>
  <c r="E7" i="9"/>
  <c r="F7" i="9"/>
  <c r="G7" i="9"/>
  <c r="B8" i="9"/>
  <c r="C8" i="9"/>
  <c r="D8" i="9"/>
  <c r="E8" i="9"/>
  <c r="F8" i="9"/>
  <c r="G8" i="9"/>
  <c r="B9" i="9"/>
  <c r="C9" i="9"/>
  <c r="D9" i="9"/>
  <c r="E9" i="9"/>
  <c r="F9" i="9"/>
  <c r="G9" i="9"/>
  <c r="B10" i="9"/>
  <c r="C10" i="9"/>
  <c r="D10" i="9"/>
  <c r="E10" i="9"/>
  <c r="F10" i="9"/>
  <c r="G10" i="9"/>
  <c r="B11" i="9"/>
  <c r="C11" i="9"/>
  <c r="D11" i="9"/>
  <c r="E11" i="9"/>
  <c r="F11" i="9"/>
  <c r="G11" i="9"/>
  <c r="B12" i="9"/>
  <c r="C12" i="9"/>
  <c r="D12" i="9"/>
  <c r="E12" i="9"/>
  <c r="F12" i="9"/>
  <c r="G12" i="9"/>
  <c r="G13" i="6"/>
  <c r="E13" i="6"/>
  <c r="D13" i="6"/>
  <c r="H13" i="6"/>
  <c r="B5" i="9"/>
  <c r="C5" i="9"/>
  <c r="D5" i="9"/>
  <c r="E5" i="9"/>
  <c r="F5" i="9"/>
  <c r="G5" i="9"/>
  <c r="B1" i="9"/>
  <c r="B2" i="8"/>
  <c r="B2" i="7"/>
  <c r="C7" i="6"/>
  <c r="F13" i="6"/>
  <c r="C13" i="6"/>
  <c r="B13" i="6"/>
  <c r="B2" i="6"/>
  <c r="H9" i="5"/>
  <c r="M11" i="2"/>
  <c r="B2" i="5"/>
  <c r="B2" i="4"/>
  <c r="B2" i="3"/>
  <c r="B9" i="5"/>
  <c r="C9" i="5"/>
  <c r="D9" i="5"/>
  <c r="E9" i="5"/>
  <c r="F9" i="5"/>
  <c r="F9" i="4"/>
  <c r="C9" i="4"/>
  <c r="B9" i="4"/>
  <c r="H9" i="4"/>
  <c r="I14" i="8"/>
  <c r="L13" i="6"/>
  <c r="A14" i="32" l="1"/>
  <c r="A14" i="31"/>
  <c r="A16" i="30"/>
  <c r="A16" i="8"/>
  <c r="A16" i="32"/>
  <c r="A11" i="4"/>
  <c r="A11" i="3"/>
  <c r="A11" i="5"/>
  <c r="A37" i="28"/>
  <c r="J16" i="32"/>
  <c r="I16" i="30"/>
  <c r="I16" i="8"/>
  <c r="H11" i="5"/>
  <c r="H11" i="3"/>
  <c r="H37" i="28"/>
  <c r="H11" i="4"/>
  <c r="H9" i="3"/>
  <c r="J14" i="32"/>
  <c r="J14" i="31"/>
  <c r="J18" i="32"/>
  <c r="I18" i="30"/>
  <c r="I18" i="8"/>
  <c r="H39" i="28"/>
  <c r="H13" i="3"/>
  <c r="H13" i="5"/>
  <c r="H13" i="4"/>
  <c r="A15" i="30"/>
  <c r="A15" i="32"/>
  <c r="A15" i="8"/>
  <c r="A36" i="28"/>
  <c r="A10" i="4"/>
  <c r="A10" i="3"/>
  <c r="A10" i="5"/>
  <c r="A18" i="32"/>
  <c r="A18" i="8"/>
  <c r="A18" i="30"/>
  <c r="A13" i="5"/>
  <c r="A13" i="4"/>
  <c r="A39" i="28"/>
  <c r="A13" i="3"/>
  <c r="J17" i="32"/>
  <c r="I17" i="30"/>
  <c r="I17" i="8"/>
  <c r="H38" i="28"/>
  <c r="H12" i="5"/>
  <c r="H12" i="3"/>
  <c r="H12" i="4"/>
  <c r="A17" i="8"/>
  <c r="A17" i="30"/>
  <c r="A17" i="32"/>
  <c r="A12" i="4"/>
  <c r="A12" i="5"/>
  <c r="A12" i="3"/>
  <c r="A38" i="28"/>
  <c r="I15" i="8"/>
  <c r="J15" i="32"/>
  <c r="I15" i="30"/>
  <c r="H10" i="3"/>
  <c r="H10" i="5"/>
  <c r="H10" i="4"/>
  <c r="H36" i="28"/>
  <c r="H14" i="5"/>
  <c r="H40" i="28"/>
  <c r="H14" i="3"/>
  <c r="H14" i="4"/>
  <c r="A40" i="28"/>
  <c r="A14" i="3"/>
  <c r="A14" i="5"/>
  <c r="A14" i="4"/>
  <c r="H15" i="3"/>
  <c r="H20" i="3"/>
  <c r="A19" i="3"/>
  <c r="H19" i="3"/>
  <c r="A18" i="3"/>
  <c r="H18" i="3"/>
  <c r="A25" i="3"/>
  <c r="A17" i="3"/>
  <c r="H25" i="3"/>
  <c r="H17" i="3"/>
  <c r="A24" i="3"/>
  <c r="A16" i="3"/>
  <c r="H24" i="3"/>
  <c r="H16" i="3"/>
  <c r="A23" i="3"/>
  <c r="A15" i="3"/>
  <c r="H23" i="3"/>
  <c r="A22" i="3"/>
  <c r="H22" i="3"/>
  <c r="A21" i="3"/>
  <c r="H21" i="3"/>
  <c r="A20" i="3"/>
  <c r="I12" i="3"/>
  <c r="I13" i="3"/>
  <c r="I14" i="3"/>
  <c r="I9" i="3"/>
  <c r="I10" i="3"/>
  <c r="I11" i="3"/>
  <c r="G9" i="16"/>
  <c r="A16" i="19"/>
  <c r="A15" i="19"/>
  <c r="A17" i="19"/>
  <c r="G14" i="16"/>
  <c r="F15" i="16"/>
  <c r="I12" i="25"/>
  <c r="L14" i="6"/>
  <c r="A13" i="25"/>
  <c r="A15" i="6"/>
  <c r="A14" i="25"/>
  <c r="A16" i="6"/>
  <c r="S13" i="2"/>
  <c r="I15" i="25"/>
  <c r="L17" i="6"/>
  <c r="M17" i="6"/>
  <c r="M15" i="6"/>
  <c r="M14" i="6"/>
  <c r="M16" i="6"/>
  <c r="I14" i="25"/>
  <c r="L16" i="6"/>
  <c r="A17" i="6"/>
  <c r="A15" i="25"/>
  <c r="L15" i="6"/>
  <c r="I13" i="25"/>
  <c r="A14" i="6"/>
  <c r="A12" i="25"/>
  <c r="G11" i="16"/>
  <c r="G13" i="16"/>
  <c r="P11" i="25"/>
  <c r="S11" i="25"/>
  <c r="E6" i="8"/>
  <c r="F11" i="8" s="1"/>
  <c r="G22" i="16"/>
  <c r="U9" i="4"/>
  <c r="H10" i="12"/>
  <c r="H9" i="7"/>
  <c r="F18" i="16"/>
  <c r="H14" i="8"/>
  <c r="H16" i="8"/>
  <c r="H18" i="8"/>
  <c r="H15" i="8"/>
  <c r="H17" i="8"/>
  <c r="J10" i="12"/>
  <c r="V6" i="9" s="1"/>
  <c r="J11" i="12"/>
  <c r="V7" i="9" s="1"/>
  <c r="J12" i="12"/>
  <c r="V8" i="9" s="1"/>
  <c r="J13" i="12"/>
  <c r="V9" i="9" s="1"/>
  <c r="Q717" i="16"/>
  <c r="R717" i="16" s="1"/>
  <c r="Q605" i="16"/>
  <c r="R605" i="16" s="1"/>
  <c r="T605" i="16" s="1"/>
  <c r="U605" i="16" s="1"/>
  <c r="K10" i="11"/>
  <c r="L10" i="11" s="1"/>
  <c r="I11" i="25"/>
  <c r="I14" i="30"/>
  <c r="H35" i="28"/>
  <c r="H13" i="12"/>
  <c r="H12" i="12"/>
  <c r="H11" i="12"/>
  <c r="A11" i="25"/>
  <c r="A14" i="30"/>
  <c r="A35" i="28"/>
  <c r="A9" i="3"/>
  <c r="A14" i="8"/>
  <c r="A9" i="12"/>
  <c r="A9" i="4"/>
  <c r="A9" i="5"/>
  <c r="A13" i="6"/>
  <c r="A5" i="9"/>
  <c r="P12" i="2"/>
  <c r="A11" i="12"/>
  <c r="A10" i="12"/>
  <c r="A13" i="12"/>
  <c r="A12" i="12"/>
  <c r="Y9" i="3"/>
  <c r="AC9" i="3" s="1"/>
  <c r="V9" i="3"/>
  <c r="H9" i="12"/>
  <c r="G8" i="16"/>
  <c r="G7" i="16"/>
  <c r="P13" i="2"/>
  <c r="G12" i="16"/>
  <c r="A14" i="19"/>
  <c r="K9" i="5"/>
  <c r="M9" i="5" s="1"/>
  <c r="V14" i="9"/>
  <c r="V10" i="9"/>
  <c r="V15" i="9"/>
  <c r="I9" i="5"/>
  <c r="J9" i="5" s="1"/>
  <c r="O14" i="8"/>
  <c r="Q15" i="2"/>
  <c r="H15" i="9"/>
  <c r="I14" i="9"/>
  <c r="P16" i="2"/>
  <c r="P21" i="2"/>
  <c r="A16" i="9"/>
  <c r="Q19" i="2"/>
  <c r="R18" i="2"/>
  <c r="A15" i="9"/>
  <c r="A14" i="9"/>
  <c r="V17" i="9"/>
  <c r="V16" i="9"/>
  <c r="AG20" i="9"/>
  <c r="V11" i="9"/>
  <c r="V13" i="9"/>
  <c r="V12" i="9"/>
  <c r="U17" i="9"/>
  <c r="I13" i="9"/>
  <c r="A23" i="9"/>
  <c r="U22" i="9"/>
  <c r="A24" i="9"/>
  <c r="V18" i="9"/>
  <c r="I16" i="9"/>
  <c r="I11" i="9"/>
  <c r="AG17" i="9"/>
  <c r="AG21" i="9"/>
  <c r="H18" i="9"/>
  <c r="AG19" i="9"/>
  <c r="AG18" i="9"/>
  <c r="A17" i="9"/>
  <c r="A18" i="9"/>
  <c r="A20" i="9"/>
  <c r="A12" i="9"/>
  <c r="A8" i="9"/>
  <c r="A11" i="9"/>
  <c r="A19" i="9"/>
  <c r="A9" i="9"/>
  <c r="A22" i="9"/>
  <c r="A21" i="9"/>
  <c r="I17" i="9"/>
  <c r="U20" i="9"/>
  <c r="H21" i="9"/>
  <c r="V22" i="9"/>
  <c r="H20" i="9"/>
  <c r="V21" i="9"/>
  <c r="V20" i="9"/>
  <c r="V19" i="9"/>
  <c r="AG22" i="9"/>
  <c r="H22" i="9"/>
  <c r="I12" i="9"/>
  <c r="H19" i="9"/>
  <c r="H17" i="9"/>
  <c r="Q327" i="16"/>
  <c r="R327" i="16" s="1"/>
  <c r="T327" i="16" s="1"/>
  <c r="U327" i="16" s="1"/>
  <c r="Q721" i="16"/>
  <c r="R721" i="16" s="1"/>
  <c r="T721" i="16" s="1"/>
  <c r="U721" i="16" s="1"/>
  <c r="Q585" i="16"/>
  <c r="R585" i="16" s="1"/>
  <c r="T585" i="16" s="1"/>
  <c r="U585" i="16" s="1"/>
  <c r="Q569" i="16"/>
  <c r="R569" i="16" s="1"/>
  <c r="T569" i="16" s="1"/>
  <c r="U569" i="16" s="1"/>
  <c r="Q146" i="16"/>
  <c r="R146" i="16" s="1"/>
  <c r="T146" i="16" s="1"/>
  <c r="U146" i="16" s="1"/>
  <c r="Q74" i="16"/>
  <c r="R74" i="16" s="1"/>
  <c r="T74" i="16" s="1"/>
  <c r="U74" i="16" s="1"/>
  <c r="Q729" i="16"/>
  <c r="R729" i="16" s="1"/>
  <c r="T729" i="16" s="1"/>
  <c r="U729" i="16" s="1"/>
  <c r="Q312" i="16"/>
  <c r="R312" i="16" s="1"/>
  <c r="T312" i="16" s="1"/>
  <c r="U312" i="16" s="1"/>
  <c r="Q736" i="16"/>
  <c r="R736" i="16" s="1"/>
  <c r="T736" i="16" s="1"/>
  <c r="U736" i="16" s="1"/>
  <c r="Q424" i="16"/>
  <c r="R424" i="16" s="1"/>
  <c r="T424" i="16" s="1"/>
  <c r="U424" i="16" s="1"/>
  <c r="Q46" i="16"/>
  <c r="R46" i="16" s="1"/>
  <c r="T46" i="16" s="1"/>
  <c r="U46" i="16" s="1"/>
  <c r="Q713" i="16"/>
  <c r="R713" i="16" s="1"/>
  <c r="T713" i="16" s="1"/>
  <c r="U713" i="16" s="1"/>
  <c r="Q72" i="16"/>
  <c r="R72" i="16" s="1"/>
  <c r="T72" i="16" s="1"/>
  <c r="U72" i="16" s="1"/>
  <c r="Q90" i="16"/>
  <c r="R90" i="16" s="1"/>
  <c r="T90" i="16" s="1"/>
  <c r="U90" i="16" s="1"/>
  <c r="Q384" i="16"/>
  <c r="R384" i="16" s="1"/>
  <c r="T384" i="16" s="1"/>
  <c r="U384" i="16" s="1"/>
  <c r="S736" i="16"/>
  <c r="Q515" i="16"/>
  <c r="R515" i="16" s="1"/>
  <c r="T515" i="16" s="1"/>
  <c r="U515" i="16" s="1"/>
  <c r="Q441" i="16"/>
  <c r="R441" i="16" s="1"/>
  <c r="T441" i="16" s="1"/>
  <c r="U441" i="16" s="1"/>
  <c r="Q639" i="16"/>
  <c r="R639" i="16" s="1"/>
  <c r="T639" i="16" s="1"/>
  <c r="U639" i="16" s="1"/>
  <c r="Q575" i="16"/>
  <c r="R575" i="16" s="1"/>
  <c r="T575" i="16" s="1"/>
  <c r="U575" i="16" s="1"/>
  <c r="Q543" i="16"/>
  <c r="R543" i="16" s="1"/>
  <c r="T543" i="16" s="1"/>
  <c r="U543" i="16" s="1"/>
  <c r="Q439" i="16"/>
  <c r="R439" i="16" s="1"/>
  <c r="T439" i="16" s="1"/>
  <c r="U439" i="16" s="1"/>
  <c r="Q383" i="16"/>
  <c r="R383" i="16" s="1"/>
  <c r="T383" i="16" s="1"/>
  <c r="U383" i="16" s="1"/>
  <c r="Q159" i="16"/>
  <c r="R159" i="16" s="1"/>
  <c r="T159" i="16" s="1"/>
  <c r="U159" i="16" s="1"/>
  <c r="Q76" i="16"/>
  <c r="R76" i="16" s="1"/>
  <c r="T76" i="16" s="1"/>
  <c r="U76" i="16" s="1"/>
  <c r="Q722" i="16"/>
  <c r="R722" i="16" s="1"/>
  <c r="T722" i="16" s="1"/>
  <c r="U722" i="16" s="1"/>
  <c r="Q674" i="16"/>
  <c r="R674" i="16" s="1"/>
  <c r="T674" i="16" s="1"/>
  <c r="U674" i="16" s="1"/>
  <c r="Q642" i="16"/>
  <c r="R642" i="16" s="1"/>
  <c r="T642" i="16" s="1"/>
  <c r="U642" i="16" s="1"/>
  <c r="Q448" i="16"/>
  <c r="R448" i="16" s="1"/>
  <c r="T448" i="16" s="1"/>
  <c r="U448" i="16" s="1"/>
  <c r="Q699" i="16"/>
  <c r="R699" i="16" s="1"/>
  <c r="T699" i="16" s="1"/>
  <c r="U699" i="16" s="1"/>
  <c r="Q643" i="16"/>
  <c r="R643" i="16" s="1"/>
  <c r="T643" i="16" s="1"/>
  <c r="U643" i="16" s="1"/>
  <c r="Q627" i="16"/>
  <c r="R627" i="16" s="1"/>
  <c r="T627" i="16" s="1"/>
  <c r="U627" i="16" s="1"/>
  <c r="Q619" i="16"/>
  <c r="R619" i="16" s="1"/>
  <c r="T619" i="16" s="1"/>
  <c r="U619" i="16" s="1"/>
  <c r="Q347" i="16"/>
  <c r="R347" i="16" s="1"/>
  <c r="T347" i="16" s="1"/>
  <c r="U347" i="16" s="1"/>
  <c r="Q472" i="16"/>
  <c r="R472" i="16" s="1"/>
  <c r="T472" i="16" s="1"/>
  <c r="U472" i="16" s="1"/>
  <c r="Q26" i="16"/>
  <c r="R26" i="16" s="1"/>
  <c r="T26" i="16" s="1"/>
  <c r="U26" i="16" s="1"/>
  <c r="J9" i="12"/>
  <c r="V5" i="9" s="1"/>
  <c r="S713" i="16"/>
  <c r="Q456" i="16"/>
  <c r="R456" i="16" s="1"/>
  <c r="T456" i="16" s="1"/>
  <c r="U456" i="16" s="1"/>
  <c r="Q416" i="16"/>
  <c r="R416" i="16" s="1"/>
  <c r="T416" i="16" s="1"/>
  <c r="U416" i="16" s="1"/>
  <c r="Q352" i="16"/>
  <c r="R352" i="16" s="1"/>
  <c r="T352" i="16" s="1"/>
  <c r="U352" i="16" s="1"/>
  <c r="Q216" i="16"/>
  <c r="R216" i="16" s="1"/>
  <c r="T216" i="16" s="1"/>
  <c r="U216" i="16" s="1"/>
  <c r="Q192" i="16"/>
  <c r="R192" i="16" s="1"/>
  <c r="T192" i="16" s="1"/>
  <c r="U192" i="16" s="1"/>
  <c r="S542" i="16"/>
  <c r="Q463" i="16"/>
  <c r="R463" i="16" s="1"/>
  <c r="T463" i="16" s="1"/>
  <c r="U463" i="16" s="1"/>
  <c r="Q335" i="16"/>
  <c r="R335" i="16" s="1"/>
  <c r="T335" i="16" s="1"/>
  <c r="U335" i="16" s="1"/>
  <c r="S574" i="16"/>
  <c r="Q534" i="16"/>
  <c r="R534" i="16" s="1"/>
  <c r="T534" i="16" s="1"/>
  <c r="U534" i="16" s="1"/>
  <c r="Q668" i="16"/>
  <c r="R668" i="16" s="1"/>
  <c r="T668" i="16" s="1"/>
  <c r="U668" i="16" s="1"/>
  <c r="Q292" i="16"/>
  <c r="R292" i="16" s="1"/>
  <c r="T292" i="16" s="1"/>
  <c r="U292" i="16" s="1"/>
  <c r="Q172" i="16"/>
  <c r="R172" i="16" s="1"/>
  <c r="T172" i="16" s="1"/>
  <c r="U172" i="16" s="1"/>
  <c r="Q25" i="16"/>
  <c r="R25" i="16" s="1"/>
  <c r="T25" i="16" s="1"/>
  <c r="U25" i="16" s="1"/>
  <c r="S619" i="16"/>
  <c r="S415" i="16"/>
  <c r="Q759" i="16"/>
  <c r="R759" i="16" s="1"/>
  <c r="T759" i="16" s="1"/>
  <c r="U759" i="16" s="1"/>
  <c r="Q697" i="16"/>
  <c r="R697" i="16" s="1"/>
  <c r="T697" i="16" s="1"/>
  <c r="U697" i="16" s="1"/>
  <c r="Q399" i="16"/>
  <c r="R399" i="16" s="1"/>
  <c r="T399" i="16" s="1"/>
  <c r="U399" i="16" s="1"/>
  <c r="Q694" i="16"/>
  <c r="R694" i="16" s="1"/>
  <c r="T694" i="16" s="1"/>
  <c r="U694" i="16" s="1"/>
  <c r="Q566" i="16"/>
  <c r="R566" i="16" s="1"/>
  <c r="T566" i="16" s="1"/>
  <c r="U566" i="16" s="1"/>
  <c r="Q526" i="16"/>
  <c r="R526" i="16" s="1"/>
  <c r="T526" i="16" s="1"/>
  <c r="U526" i="16" s="1"/>
  <c r="Q438" i="16"/>
  <c r="R438" i="16" s="1"/>
  <c r="T438" i="16" s="1"/>
  <c r="U438" i="16" s="1"/>
  <c r="Q190" i="16"/>
  <c r="R190" i="16" s="1"/>
  <c r="T190" i="16" s="1"/>
  <c r="U190" i="16" s="1"/>
  <c r="Q182" i="16"/>
  <c r="R182" i="16" s="1"/>
  <c r="T182" i="16" s="1"/>
  <c r="U182" i="16" s="1"/>
  <c r="Q166" i="16"/>
  <c r="R166" i="16" s="1"/>
  <c r="T166" i="16" s="1"/>
  <c r="U166" i="16" s="1"/>
  <c r="S76" i="16"/>
  <c r="S292" i="16"/>
  <c r="Q572" i="16"/>
  <c r="R572" i="16" s="1"/>
  <c r="T572" i="16" s="1"/>
  <c r="U572" i="16" s="1"/>
  <c r="Q497" i="16"/>
  <c r="R497" i="16" s="1"/>
  <c r="T497" i="16" s="1"/>
  <c r="U497" i="16" s="1"/>
  <c r="Q272" i="16"/>
  <c r="R272" i="16" s="1"/>
  <c r="T272" i="16" s="1"/>
  <c r="U272" i="16" s="1"/>
  <c r="Q45" i="16"/>
  <c r="R45" i="16" s="1"/>
  <c r="T45" i="16" s="1"/>
  <c r="U45" i="16" s="1"/>
  <c r="S351" i="16"/>
  <c r="Q760" i="16"/>
  <c r="R760" i="16" s="1"/>
  <c r="T760" i="16" s="1"/>
  <c r="U760" i="16" s="1"/>
  <c r="S327" i="16"/>
  <c r="Q576" i="16"/>
  <c r="R576" i="16" s="1"/>
  <c r="T576" i="16" s="1"/>
  <c r="U576" i="16" s="1"/>
  <c r="Q296" i="16"/>
  <c r="R296" i="16" s="1"/>
  <c r="T296" i="16" s="1"/>
  <c r="U296" i="16" s="1"/>
  <c r="Q73" i="16"/>
  <c r="R73" i="16" s="1"/>
  <c r="T73" i="16" s="1"/>
  <c r="U73" i="16" s="1"/>
  <c r="Q29" i="16"/>
  <c r="R29" i="16" s="1"/>
  <c r="T29" i="16" s="1"/>
  <c r="U29" i="16" s="1"/>
  <c r="Q620" i="16"/>
  <c r="R620" i="16" s="1"/>
  <c r="T620" i="16" s="1"/>
  <c r="U620" i="16" s="1"/>
  <c r="Q22" i="16"/>
  <c r="R22" i="16" s="1"/>
  <c r="T22" i="16" s="1"/>
  <c r="U22" i="16" s="1"/>
  <c r="S438" i="16"/>
  <c r="Q356" i="16"/>
  <c r="R356" i="16" s="1"/>
  <c r="T356" i="16" s="1"/>
  <c r="U356" i="16" s="1"/>
  <c r="S604" i="16"/>
  <c r="S181" i="16"/>
  <c r="Q635" i="16"/>
  <c r="R635" i="16" s="1"/>
  <c r="T635" i="16" s="1"/>
  <c r="U635" i="16" s="1"/>
  <c r="Q359" i="16"/>
  <c r="R359" i="16" s="1"/>
  <c r="T359" i="16" s="1"/>
  <c r="U359" i="16" s="1"/>
  <c r="Q567" i="16"/>
  <c r="R567" i="16" s="1"/>
  <c r="T567" i="16" s="1"/>
  <c r="U567" i="16" s="1"/>
  <c r="Q551" i="16"/>
  <c r="R551" i="16" s="1"/>
  <c r="Q527" i="16"/>
  <c r="R527" i="16" s="1"/>
  <c r="T527" i="16" s="1"/>
  <c r="U527" i="16" s="1"/>
  <c r="Q503" i="16"/>
  <c r="R503" i="16" s="1"/>
  <c r="T503" i="16" s="1"/>
  <c r="U503" i="16" s="1"/>
  <c r="Q415" i="16"/>
  <c r="R415" i="16" s="1"/>
  <c r="T415" i="16" s="1"/>
  <c r="U415" i="16" s="1"/>
  <c r="Q408" i="16"/>
  <c r="R408" i="16" s="1"/>
  <c r="T408" i="16" s="1"/>
  <c r="U408" i="16" s="1"/>
  <c r="Q367" i="16"/>
  <c r="R367" i="16" s="1"/>
  <c r="T367" i="16" s="1"/>
  <c r="U367" i="16" s="1"/>
  <c r="Q319" i="16"/>
  <c r="R319" i="16" s="1"/>
  <c r="T319" i="16" s="1"/>
  <c r="U319" i="16" s="1"/>
  <c r="Q304" i="16"/>
  <c r="R304" i="16" s="1"/>
  <c r="T304" i="16" s="1"/>
  <c r="U304" i="16" s="1"/>
  <c r="Q183" i="16"/>
  <c r="R183" i="16" s="1"/>
  <c r="T183" i="16" s="1"/>
  <c r="U183" i="16" s="1"/>
  <c r="Q175" i="16"/>
  <c r="R175" i="16" s="1"/>
  <c r="T175" i="16" s="1"/>
  <c r="U175" i="16" s="1"/>
  <c r="Q167" i="16"/>
  <c r="R167" i="16" s="1"/>
  <c r="T167" i="16" s="1"/>
  <c r="U167" i="16" s="1"/>
  <c r="Q65" i="16"/>
  <c r="R65" i="16" s="1"/>
  <c r="T65" i="16" s="1"/>
  <c r="U65" i="16" s="1"/>
  <c r="S347" i="16"/>
  <c r="Q316" i="16"/>
  <c r="R316" i="16" s="1"/>
  <c r="T316" i="16" s="1"/>
  <c r="U316" i="16" s="1"/>
  <c r="Q56" i="16"/>
  <c r="R56" i="16" s="1"/>
  <c r="T56" i="16" s="1"/>
  <c r="U56" i="16" s="1"/>
  <c r="Q604" i="16"/>
  <c r="R604" i="16" s="1"/>
  <c r="T604" i="16" s="1"/>
  <c r="U604" i="16" s="1"/>
  <c r="Q412" i="16"/>
  <c r="R412" i="16" s="1"/>
  <c r="T412" i="16" s="1"/>
  <c r="U412" i="16" s="1"/>
  <c r="Q61" i="16"/>
  <c r="R61" i="16" s="1"/>
  <c r="T61" i="16" s="1"/>
  <c r="U61" i="16" s="1"/>
  <c r="S643" i="16"/>
  <c r="S525" i="16"/>
  <c r="Q375" i="16"/>
  <c r="R375" i="16" s="1"/>
  <c r="T375" i="16" s="1"/>
  <c r="U375" i="16" s="1"/>
  <c r="Q127" i="16"/>
  <c r="R127" i="16" s="1"/>
  <c r="T127" i="16" s="1"/>
  <c r="U127" i="16" s="1"/>
  <c r="Q28" i="16"/>
  <c r="R28" i="16" s="1"/>
  <c r="T28" i="16" s="1"/>
  <c r="U28" i="16" s="1"/>
  <c r="S316" i="16"/>
  <c r="S165" i="16"/>
  <c r="Q590" i="16"/>
  <c r="R590" i="16" s="1"/>
  <c r="T590" i="16" s="1"/>
  <c r="U590" i="16" s="1"/>
  <c r="Q761" i="16"/>
  <c r="R761" i="16" s="1"/>
  <c r="T761" i="16" s="1"/>
  <c r="U761" i="16" s="1"/>
  <c r="Q452" i="16"/>
  <c r="R452" i="16" s="1"/>
  <c r="T452" i="16" s="1"/>
  <c r="U452" i="16" s="1"/>
  <c r="Q323" i="16"/>
  <c r="R323" i="16" s="1"/>
  <c r="T323" i="16" s="1"/>
  <c r="U323" i="16" s="1"/>
  <c r="Q684" i="16"/>
  <c r="R684" i="16" s="1"/>
  <c r="T684" i="16" s="1"/>
  <c r="U684" i="16" s="1"/>
  <c r="Q652" i="16"/>
  <c r="R652" i="16" s="1"/>
  <c r="T652" i="16" s="1"/>
  <c r="U652" i="16" s="1"/>
  <c r="Q612" i="16"/>
  <c r="R612" i="16" s="1"/>
  <c r="T612" i="16" s="1"/>
  <c r="U612" i="16" s="1"/>
  <c r="Q102" i="16"/>
  <c r="R102" i="16" s="1"/>
  <c r="T102" i="16" s="1"/>
  <c r="U102" i="16" s="1"/>
  <c r="Q611" i="16"/>
  <c r="R611" i="16" s="1"/>
  <c r="T611" i="16" s="1"/>
  <c r="U611" i="16" s="1"/>
  <c r="Q573" i="16"/>
  <c r="R573" i="16" s="1"/>
  <c r="T573" i="16" s="1"/>
  <c r="U573" i="16" s="1"/>
  <c r="Q621" i="16"/>
  <c r="R621" i="16" s="1"/>
  <c r="T621" i="16" s="1"/>
  <c r="U621" i="16" s="1"/>
  <c r="Q539" i="16"/>
  <c r="R539" i="16" s="1"/>
  <c r="T539" i="16" s="1"/>
  <c r="U539" i="16" s="1"/>
  <c r="Q483" i="16"/>
  <c r="R483" i="16" s="1"/>
  <c r="T483" i="16" s="1"/>
  <c r="U483" i="16" s="1"/>
  <c r="Q475" i="16"/>
  <c r="R475" i="16" s="1"/>
  <c r="T475" i="16" s="1"/>
  <c r="U475" i="16" s="1"/>
  <c r="Q451" i="16"/>
  <c r="R451" i="16" s="1"/>
  <c r="T451" i="16" s="1"/>
  <c r="U451" i="16" s="1"/>
  <c r="Q339" i="16"/>
  <c r="R339" i="16" s="1"/>
  <c r="T339" i="16" s="1"/>
  <c r="U339" i="16" s="1"/>
  <c r="Q117" i="16"/>
  <c r="R117" i="16" s="1"/>
  <c r="T117" i="16" s="1"/>
  <c r="U117" i="16" s="1"/>
  <c r="Q109" i="16"/>
  <c r="R109" i="16" s="1"/>
  <c r="T109" i="16" s="1"/>
  <c r="U109" i="16" s="1"/>
  <c r="Q93" i="16"/>
  <c r="R93" i="16" s="1"/>
  <c r="T93" i="16" s="1"/>
  <c r="U93" i="16" s="1"/>
  <c r="Q85" i="16"/>
  <c r="R85" i="16" s="1"/>
  <c r="T85" i="16" s="1"/>
  <c r="U85" i="16" s="1"/>
  <c r="H16" i="9"/>
  <c r="H14" i="9"/>
  <c r="Q17" i="2"/>
  <c r="P20" i="2"/>
  <c r="Q18" i="2"/>
  <c r="Q730" i="16"/>
  <c r="R730" i="16" s="1"/>
  <c r="T730" i="16" s="1"/>
  <c r="U730" i="16" s="1"/>
  <c r="S722" i="16"/>
  <c r="Q707" i="16"/>
  <c r="R707" i="16" s="1"/>
  <c r="T707" i="16" s="1"/>
  <c r="U707" i="16" s="1"/>
  <c r="Q676" i="16"/>
  <c r="R676" i="16" s="1"/>
  <c r="T676" i="16" s="1"/>
  <c r="U676" i="16" s="1"/>
  <c r="Q324" i="16"/>
  <c r="R324" i="16" s="1"/>
  <c r="T324" i="16" s="1"/>
  <c r="U324" i="16" s="1"/>
  <c r="Q276" i="16"/>
  <c r="R276" i="16" s="1"/>
  <c r="T276" i="16" s="1"/>
  <c r="U276" i="16" s="1"/>
  <c r="Q204" i="16"/>
  <c r="R204" i="16" s="1"/>
  <c r="T204" i="16" s="1"/>
  <c r="U204" i="16" s="1"/>
  <c r="Q111" i="16"/>
  <c r="R111" i="16" s="1"/>
  <c r="T111" i="16" s="1"/>
  <c r="U111" i="16" s="1"/>
  <c r="S627" i="16"/>
  <c r="S474" i="16"/>
  <c r="Q589" i="16"/>
  <c r="R589" i="16" s="1"/>
  <c r="T589" i="16" s="1"/>
  <c r="U589" i="16" s="1"/>
  <c r="Q706" i="16"/>
  <c r="R706" i="16" s="1"/>
  <c r="T706" i="16" s="1"/>
  <c r="U706" i="16" s="1"/>
  <c r="N14" i="19"/>
  <c r="S652" i="16"/>
  <c r="S102" i="16"/>
  <c r="Q714" i="16"/>
  <c r="R714" i="16" s="1"/>
  <c r="T714" i="16" s="1"/>
  <c r="U714" i="16" s="1"/>
  <c r="Q651" i="16"/>
  <c r="R651" i="16" s="1"/>
  <c r="T651" i="16" s="1"/>
  <c r="U651" i="16" s="1"/>
  <c r="Q580" i="16"/>
  <c r="R580" i="16" s="1"/>
  <c r="T580" i="16" s="1"/>
  <c r="U580" i="16" s="1"/>
  <c r="Q555" i="16"/>
  <c r="R555" i="16" s="1"/>
  <c r="T555" i="16" s="1"/>
  <c r="U555" i="16" s="1"/>
  <c r="Q428" i="16"/>
  <c r="R428" i="16" s="1"/>
  <c r="T428" i="16" s="1"/>
  <c r="U428" i="16" s="1"/>
  <c r="Q299" i="16"/>
  <c r="R299" i="16" s="1"/>
  <c r="T299" i="16" s="1"/>
  <c r="U299" i="16" s="1"/>
  <c r="Q606" i="16"/>
  <c r="R606" i="16" s="1"/>
  <c r="T606" i="16" s="1"/>
  <c r="U606" i="16" s="1"/>
  <c r="Q599" i="16"/>
  <c r="R599" i="16" s="1"/>
  <c r="T599" i="16" s="1"/>
  <c r="U599" i="16" s="1"/>
  <c r="Q91" i="16"/>
  <c r="R91" i="16" s="1"/>
  <c r="T91" i="16" s="1"/>
  <c r="U91" i="16" s="1"/>
  <c r="Q53" i="16"/>
  <c r="R53" i="16" s="1"/>
  <c r="T53" i="16" s="1"/>
  <c r="U53" i="16" s="1"/>
  <c r="K14" i="8"/>
  <c r="Q523" i="16"/>
  <c r="R523" i="16" s="1"/>
  <c r="T523" i="16" s="1"/>
  <c r="U523" i="16" s="1"/>
  <c r="Q315" i="16"/>
  <c r="R315" i="16" s="1"/>
  <c r="T315" i="16" s="1"/>
  <c r="U315" i="16" s="1"/>
  <c r="Q723" i="16"/>
  <c r="R723" i="16" s="1"/>
  <c r="T723" i="16" s="1"/>
  <c r="U723" i="16" s="1"/>
  <c r="Q690" i="16"/>
  <c r="R690" i="16" s="1"/>
  <c r="T690" i="16" s="1"/>
  <c r="U690" i="16" s="1"/>
  <c r="Q372" i="16"/>
  <c r="R372" i="16" s="1"/>
  <c r="T372" i="16" s="1"/>
  <c r="U372" i="16" s="1"/>
  <c r="Q731" i="16"/>
  <c r="R731" i="16" s="1"/>
  <c r="T731" i="16" s="1"/>
  <c r="U731" i="16" s="1"/>
  <c r="Q460" i="16"/>
  <c r="R460" i="16" s="1"/>
  <c r="T460" i="16" s="1"/>
  <c r="U460" i="16" s="1"/>
  <c r="Q420" i="16"/>
  <c r="R420" i="16" s="1"/>
  <c r="T420" i="16" s="1"/>
  <c r="U420" i="16" s="1"/>
  <c r="Q388" i="16"/>
  <c r="R388" i="16" s="1"/>
  <c r="T388" i="16" s="1"/>
  <c r="U388" i="16" s="1"/>
  <c r="Q66" i="16"/>
  <c r="R66" i="16" s="1"/>
  <c r="T66" i="16" s="1"/>
  <c r="U66" i="16" s="1"/>
  <c r="Q380" i="16"/>
  <c r="R380" i="16" s="1"/>
  <c r="T380" i="16" s="1"/>
  <c r="U380" i="16" s="1"/>
  <c r="S674" i="16"/>
  <c r="S388" i="16"/>
  <c r="Q630" i="16"/>
  <c r="R630" i="16" s="1"/>
  <c r="T630" i="16" s="1"/>
  <c r="U630" i="16" s="1"/>
  <c r="Q563" i="16"/>
  <c r="R563" i="16" s="1"/>
  <c r="T563" i="16" s="1"/>
  <c r="U563" i="16" s="1"/>
  <c r="Q476" i="16"/>
  <c r="R476" i="16" s="1"/>
  <c r="Q340" i="16"/>
  <c r="R340" i="16" s="1"/>
  <c r="T340" i="16" s="1"/>
  <c r="U340" i="16" s="1"/>
  <c r="Q174" i="16"/>
  <c r="R174" i="16" s="1"/>
  <c r="T174" i="16" s="1"/>
  <c r="U174" i="16" s="1"/>
  <c r="Q126" i="16"/>
  <c r="R126" i="16" s="1"/>
  <c r="T126" i="16" s="1"/>
  <c r="U126" i="16" s="1"/>
  <c r="S761" i="16"/>
  <c r="Q698" i="16"/>
  <c r="R698" i="16" s="1"/>
  <c r="T698" i="16" s="1"/>
  <c r="U698" i="16" s="1"/>
  <c r="Q650" i="16"/>
  <c r="R650" i="16" s="1"/>
  <c r="T650" i="16" s="1"/>
  <c r="U650" i="16" s="1"/>
  <c r="Q307" i="16"/>
  <c r="R307" i="16" s="1"/>
  <c r="T307" i="16" s="1"/>
  <c r="U307" i="16" s="1"/>
  <c r="Q283" i="16"/>
  <c r="R283" i="16" s="1"/>
  <c r="T283" i="16" s="1"/>
  <c r="U283" i="16" s="1"/>
  <c r="Q119" i="16"/>
  <c r="R119" i="16" s="1"/>
  <c r="T119" i="16" s="1"/>
  <c r="U119" i="16" s="1"/>
  <c r="Q468" i="16"/>
  <c r="R468" i="16" s="1"/>
  <c r="T468" i="16" s="1"/>
  <c r="U468" i="16" s="1"/>
  <c r="Q444" i="16"/>
  <c r="R444" i="16" s="1"/>
  <c r="T444" i="16" s="1"/>
  <c r="U444" i="16" s="1"/>
  <c r="Q332" i="16"/>
  <c r="R332" i="16" s="1"/>
  <c r="T332" i="16" s="1"/>
  <c r="U332" i="16" s="1"/>
  <c r="Q308" i="16"/>
  <c r="R308" i="16" s="1"/>
  <c r="T308" i="16" s="1"/>
  <c r="U308" i="16" s="1"/>
  <c r="Q81" i="16"/>
  <c r="R81" i="16" s="1"/>
  <c r="T81" i="16" s="1"/>
  <c r="U81" i="16" s="1"/>
  <c r="S283" i="16"/>
  <c r="S204" i="16"/>
  <c r="S65" i="16"/>
  <c r="Q626" i="16"/>
  <c r="R626" i="16" s="1"/>
  <c r="T626" i="16" s="1"/>
  <c r="U626" i="16" s="1"/>
  <c r="Q565" i="16"/>
  <c r="R565" i="16" s="1"/>
  <c r="T565" i="16" s="1"/>
  <c r="U565" i="16" s="1"/>
  <c r="Q715" i="16"/>
  <c r="R715" i="16" s="1"/>
  <c r="T715" i="16" s="1"/>
  <c r="U715" i="16" s="1"/>
  <c r="Q666" i="16"/>
  <c r="R666" i="16" s="1"/>
  <c r="T666" i="16" s="1"/>
  <c r="U666" i="16" s="1"/>
  <c r="S22" i="16"/>
  <c r="S482" i="16"/>
  <c r="S460" i="16"/>
  <c r="S307" i="16"/>
  <c r="S119" i="16"/>
  <c r="S73" i="16"/>
  <c r="Q682" i="16"/>
  <c r="R682" i="16" s="1"/>
  <c r="T682" i="16" s="1"/>
  <c r="U682" i="16" s="1"/>
  <c r="Q507" i="16"/>
  <c r="R507" i="16" s="1"/>
  <c r="T507" i="16" s="1"/>
  <c r="U507" i="16" s="1"/>
  <c r="Q520" i="16"/>
  <c r="R520" i="16" s="1"/>
  <c r="T520" i="16" s="1"/>
  <c r="U520" i="16" s="1"/>
  <c r="Q480" i="16"/>
  <c r="R480" i="16" s="1"/>
  <c r="T480" i="16" s="1"/>
  <c r="U480" i="16" s="1"/>
  <c r="Q440" i="16"/>
  <c r="R440" i="16" s="1"/>
  <c r="T440" i="16" s="1"/>
  <c r="U440" i="16" s="1"/>
  <c r="Q400" i="16"/>
  <c r="R400" i="16" s="1"/>
  <c r="T400" i="16" s="1"/>
  <c r="U400" i="16" s="1"/>
  <c r="Q531" i="16"/>
  <c r="R531" i="16" s="1"/>
  <c r="T531" i="16" s="1"/>
  <c r="U531" i="16" s="1"/>
  <c r="Q754" i="16"/>
  <c r="R754" i="16" s="1"/>
  <c r="T754" i="16" s="1"/>
  <c r="U754" i="16" s="1"/>
  <c r="Q691" i="16"/>
  <c r="R691" i="16" s="1"/>
  <c r="T691" i="16" s="1"/>
  <c r="U691" i="16" s="1"/>
  <c r="Q547" i="16"/>
  <c r="R547" i="16" s="1"/>
  <c r="T547" i="16" s="1"/>
  <c r="U547" i="16" s="1"/>
  <c r="Q403" i="16"/>
  <c r="R403" i="16" s="1"/>
  <c r="T403" i="16" s="1"/>
  <c r="U403" i="16" s="1"/>
  <c r="Q291" i="16"/>
  <c r="R291" i="16" s="1"/>
  <c r="T291" i="16" s="1"/>
  <c r="U291" i="16" s="1"/>
  <c r="Q484" i="16"/>
  <c r="R484" i="16" s="1"/>
  <c r="T484" i="16" s="1"/>
  <c r="U484" i="16" s="1"/>
  <c r="Q404" i="16"/>
  <c r="R404" i="16" s="1"/>
  <c r="T404" i="16" s="1"/>
  <c r="U404" i="16" s="1"/>
  <c r="S707" i="16"/>
  <c r="S404" i="16"/>
  <c r="Q693" i="16"/>
  <c r="R693" i="16" s="1"/>
  <c r="T693" i="16" s="1"/>
  <c r="U693" i="16" s="1"/>
  <c r="S315" i="16"/>
  <c r="Q48" i="16"/>
  <c r="R48" i="16" s="1"/>
  <c r="T48" i="16" s="1"/>
  <c r="U48" i="16" s="1"/>
  <c r="S716" i="16"/>
  <c r="S676" i="16"/>
  <c r="S642" i="16"/>
  <c r="S515" i="16"/>
  <c r="S444" i="16"/>
  <c r="S308" i="16"/>
  <c r="Q596" i="16"/>
  <c r="R596" i="16" s="1"/>
  <c r="T596" i="16" s="1"/>
  <c r="U596" i="16" s="1"/>
  <c r="Q504" i="16"/>
  <c r="R504" i="16" s="1"/>
  <c r="T504" i="16" s="1"/>
  <c r="U504" i="16" s="1"/>
  <c r="Q140" i="16"/>
  <c r="R140" i="16" s="1"/>
  <c r="T140" i="16" s="1"/>
  <c r="U140" i="16" s="1"/>
  <c r="Q521" i="16"/>
  <c r="R521" i="16" s="1"/>
  <c r="T521" i="16" s="1"/>
  <c r="U521" i="16" s="1"/>
  <c r="Q457" i="16"/>
  <c r="R457" i="16" s="1"/>
  <c r="T457" i="16" s="1"/>
  <c r="U457" i="16" s="1"/>
  <c r="Q274" i="16"/>
  <c r="R274" i="16" s="1"/>
  <c r="T274" i="16" s="1"/>
  <c r="U274" i="16" s="1"/>
  <c r="Q242" i="16"/>
  <c r="R242" i="16" s="1"/>
  <c r="T242" i="16" s="1"/>
  <c r="U242" i="16" s="1"/>
  <c r="Q202" i="16"/>
  <c r="R202" i="16" s="1"/>
  <c r="T202" i="16" s="1"/>
  <c r="U202" i="16" s="1"/>
  <c r="Q162" i="16"/>
  <c r="R162" i="16" s="1"/>
  <c r="T162" i="16" s="1"/>
  <c r="U162" i="16" s="1"/>
  <c r="Q118" i="16"/>
  <c r="R118" i="16" s="1"/>
  <c r="T118" i="16" s="1"/>
  <c r="U118" i="16" s="1"/>
  <c r="Q110" i="16"/>
  <c r="R110" i="16" s="1"/>
  <c r="T110" i="16" s="1"/>
  <c r="U110" i="16" s="1"/>
  <c r="Q86" i="16"/>
  <c r="R86" i="16" s="1"/>
  <c r="T86" i="16" s="1"/>
  <c r="U86" i="16" s="1"/>
  <c r="Q68" i="16"/>
  <c r="R68" i="16" s="1"/>
  <c r="T68" i="16" s="1"/>
  <c r="U68" i="16" s="1"/>
  <c r="Q71" i="16"/>
  <c r="R71" i="16" s="1"/>
  <c r="T71" i="16" s="1"/>
  <c r="U71" i="16" s="1"/>
  <c r="Q39" i="16"/>
  <c r="R39" i="16" s="1"/>
  <c r="T39" i="16" s="1"/>
  <c r="U39" i="16" s="1"/>
  <c r="Q762" i="16"/>
  <c r="R762" i="16" s="1"/>
  <c r="T762" i="16" s="1"/>
  <c r="U762" i="16" s="1"/>
  <c r="S762" i="16"/>
  <c r="S748" i="16"/>
  <c r="Q748" i="16"/>
  <c r="R748" i="16" s="1"/>
  <c r="T748" i="16" s="1"/>
  <c r="U748" i="16" s="1"/>
  <c r="S725" i="16"/>
  <c r="Q725" i="16"/>
  <c r="R725" i="16" s="1"/>
  <c r="T725" i="16" s="1"/>
  <c r="U725" i="16" s="1"/>
  <c r="Q709" i="16"/>
  <c r="R709" i="16" s="1"/>
  <c r="T709" i="16" s="1"/>
  <c r="U709" i="16" s="1"/>
  <c r="S709" i="16"/>
  <c r="Q677" i="16"/>
  <c r="R677" i="16" s="1"/>
  <c r="T677" i="16" s="1"/>
  <c r="U677" i="16" s="1"/>
  <c r="S677" i="16"/>
  <c r="Q686" i="16"/>
  <c r="R686" i="16" s="1"/>
  <c r="T686" i="16" s="1"/>
  <c r="U686" i="16" s="1"/>
  <c r="S686" i="16"/>
  <c r="Q662" i="16"/>
  <c r="R662" i="16" s="1"/>
  <c r="T662" i="16" s="1"/>
  <c r="U662" i="16" s="1"/>
  <c r="S662" i="16"/>
  <c r="S654" i="16"/>
  <c r="Q654" i="16"/>
  <c r="R654" i="16" s="1"/>
  <c r="T654" i="16" s="1"/>
  <c r="U654" i="16" s="1"/>
  <c r="S638" i="16"/>
  <c r="Q638" i="16"/>
  <c r="R638" i="16" s="1"/>
  <c r="T638" i="16" s="1"/>
  <c r="U638" i="16" s="1"/>
  <c r="Q622" i="16"/>
  <c r="R622" i="16" s="1"/>
  <c r="T622" i="16" s="1"/>
  <c r="U622" i="16" s="1"/>
  <c r="S622" i="16"/>
  <c r="Q614" i="16"/>
  <c r="R614" i="16" s="1"/>
  <c r="T614" i="16" s="1"/>
  <c r="U614" i="16" s="1"/>
  <c r="S614" i="16"/>
  <c r="Q591" i="16"/>
  <c r="R591" i="16" s="1"/>
  <c r="T591" i="16" s="1"/>
  <c r="U591" i="16" s="1"/>
  <c r="S591" i="16"/>
  <c r="Q692" i="16"/>
  <c r="R692" i="16" s="1"/>
  <c r="T692" i="16" s="1"/>
  <c r="U692" i="16" s="1"/>
  <c r="Q739" i="16"/>
  <c r="R739" i="16" s="1"/>
  <c r="T739" i="16" s="1"/>
  <c r="U739" i="16" s="1"/>
  <c r="Q732" i="16"/>
  <c r="R732" i="16" s="1"/>
  <c r="T732" i="16" s="1"/>
  <c r="U732" i="16" s="1"/>
  <c r="Q528" i="16"/>
  <c r="R528" i="16" s="1"/>
  <c r="T528" i="16" s="1"/>
  <c r="U528" i="16" s="1"/>
  <c r="T476" i="16"/>
  <c r="U476" i="16" s="1"/>
  <c r="Q465" i="16"/>
  <c r="R465" i="16" s="1"/>
  <c r="T465" i="16" s="1"/>
  <c r="U465" i="16" s="1"/>
  <c r="Q740" i="16"/>
  <c r="R740" i="16" s="1"/>
  <c r="T740" i="16" s="1"/>
  <c r="U740" i="16" s="1"/>
  <c r="Q701" i="16"/>
  <c r="R701" i="16" s="1"/>
  <c r="T701" i="16" s="1"/>
  <c r="U701" i="16" s="1"/>
  <c r="Q31" i="16"/>
  <c r="R31" i="16" s="1"/>
  <c r="T31" i="16" s="1"/>
  <c r="U31" i="16" s="1"/>
  <c r="Q123" i="16"/>
  <c r="R123" i="16" s="1"/>
  <c r="T123" i="16" s="1"/>
  <c r="U123" i="16" s="1"/>
  <c r="S584" i="16"/>
  <c r="Q670" i="16"/>
  <c r="R670" i="16" s="1"/>
  <c r="T670" i="16" s="1"/>
  <c r="U670" i="16" s="1"/>
  <c r="Q646" i="16"/>
  <c r="R646" i="16" s="1"/>
  <c r="T646" i="16" s="1"/>
  <c r="U646" i="16" s="1"/>
  <c r="S606" i="16"/>
  <c r="Q584" i="16"/>
  <c r="R584" i="16" s="1"/>
  <c r="T584" i="16" s="1"/>
  <c r="U584" i="16" s="1"/>
  <c r="Q433" i="16"/>
  <c r="R433" i="16" s="1"/>
  <c r="T433" i="16" s="1"/>
  <c r="U433" i="16" s="1"/>
  <c r="S433" i="16"/>
  <c r="S289" i="16"/>
  <c r="Q289" i="16"/>
  <c r="R289" i="16" s="1"/>
  <c r="T289" i="16" s="1"/>
  <c r="U289" i="16" s="1"/>
  <c r="Q250" i="16"/>
  <c r="R250" i="16" s="1"/>
  <c r="T250" i="16" s="1"/>
  <c r="U250" i="16" s="1"/>
  <c r="S249" i="16"/>
  <c r="S144" i="16"/>
  <c r="Q144" i="16"/>
  <c r="R144" i="16" s="1"/>
  <c r="T144" i="16" s="1"/>
  <c r="U144" i="16" s="1"/>
  <c r="Q491" i="16"/>
  <c r="R491" i="16" s="1"/>
  <c r="T491" i="16" s="1"/>
  <c r="U491" i="16" s="1"/>
  <c r="S490" i="16"/>
  <c r="Q434" i="16"/>
  <c r="R434" i="16" s="1"/>
  <c r="T434" i="16" s="1"/>
  <c r="U434" i="16" s="1"/>
  <c r="S434" i="16"/>
  <c r="Q426" i="16"/>
  <c r="R426" i="16" s="1"/>
  <c r="T426" i="16" s="1"/>
  <c r="U426" i="16" s="1"/>
  <c r="S426" i="16"/>
  <c r="S266" i="16"/>
  <c r="Q266" i="16"/>
  <c r="R266" i="16" s="1"/>
  <c r="T266" i="16" s="1"/>
  <c r="U266" i="16" s="1"/>
  <c r="Q234" i="16"/>
  <c r="R234" i="16" s="1"/>
  <c r="T234" i="16" s="1"/>
  <c r="U234" i="16" s="1"/>
  <c r="S234" i="16"/>
  <c r="Q218" i="16"/>
  <c r="R218" i="16" s="1"/>
  <c r="T218" i="16" s="1"/>
  <c r="U218" i="16" s="1"/>
  <c r="S218" i="16"/>
  <c r="Q210" i="16"/>
  <c r="R210" i="16" s="1"/>
  <c r="T210" i="16" s="1"/>
  <c r="U210" i="16" s="1"/>
  <c r="S210" i="16"/>
  <c r="Q170" i="16"/>
  <c r="R170" i="16" s="1"/>
  <c r="T170" i="16" s="1"/>
  <c r="U170" i="16" s="1"/>
  <c r="S170" i="16"/>
  <c r="S154" i="16"/>
  <c r="Q154" i="16"/>
  <c r="R154" i="16" s="1"/>
  <c r="T154" i="16" s="1"/>
  <c r="U154" i="16" s="1"/>
  <c r="Q99" i="16"/>
  <c r="R99" i="16" s="1"/>
  <c r="T99" i="16" s="1"/>
  <c r="U99" i="16" s="1"/>
  <c r="S99" i="16"/>
  <c r="Q545" i="16"/>
  <c r="R545" i="16" s="1"/>
  <c r="T545" i="16" s="1"/>
  <c r="U545" i="16" s="1"/>
  <c r="S693" i="16"/>
  <c r="S740" i="16"/>
  <c r="S161" i="16"/>
  <c r="Q562" i="16"/>
  <c r="R562" i="16" s="1"/>
  <c r="T562" i="16" s="1"/>
  <c r="U562" i="16" s="1"/>
  <c r="Q498" i="16"/>
  <c r="R498" i="16" s="1"/>
  <c r="T498" i="16" s="1"/>
  <c r="U498" i="16" s="1"/>
  <c r="Q178" i="16"/>
  <c r="R178" i="16" s="1"/>
  <c r="T178" i="16" s="1"/>
  <c r="U178" i="16" s="1"/>
  <c r="Q568" i="16"/>
  <c r="R568" i="16" s="1"/>
  <c r="T568" i="16" s="1"/>
  <c r="U568" i="16" s="1"/>
  <c r="S568" i="16"/>
  <c r="Q194" i="16"/>
  <c r="R194" i="16" s="1"/>
  <c r="T194" i="16" s="1"/>
  <c r="U194" i="16" s="1"/>
  <c r="S193" i="16"/>
  <c r="Q136" i="16"/>
  <c r="R136" i="16" s="1"/>
  <c r="T136" i="16" s="1"/>
  <c r="U136" i="16" s="1"/>
  <c r="S136" i="16"/>
  <c r="Q62" i="16"/>
  <c r="R62" i="16" s="1"/>
  <c r="T62" i="16" s="1"/>
  <c r="U62" i="16" s="1"/>
  <c r="S62" i="16"/>
  <c r="Q40" i="16"/>
  <c r="R40" i="16" s="1"/>
  <c r="T40" i="16" s="1"/>
  <c r="U40" i="16" s="1"/>
  <c r="S40" i="16"/>
  <c r="Q577" i="16"/>
  <c r="R577" i="16" s="1"/>
  <c r="T577" i="16" s="1"/>
  <c r="U577" i="16" s="1"/>
  <c r="Q661" i="16"/>
  <c r="R661" i="16" s="1"/>
  <c r="T661" i="16" s="1"/>
  <c r="U661" i="16" s="1"/>
  <c r="Q186" i="16"/>
  <c r="R186" i="16" s="1"/>
  <c r="T186" i="16" s="1"/>
  <c r="U186" i="16" s="1"/>
  <c r="S473" i="16"/>
  <c r="Q473" i="16"/>
  <c r="R473" i="16" s="1"/>
  <c r="T473" i="16" s="1"/>
  <c r="U473" i="16" s="1"/>
  <c r="Q282" i="16"/>
  <c r="R282" i="16" s="1"/>
  <c r="T282" i="16" s="1"/>
  <c r="U282" i="16" s="1"/>
  <c r="S281" i="16"/>
  <c r="Q98" i="16"/>
  <c r="R98" i="16" s="1"/>
  <c r="T98" i="16" s="1"/>
  <c r="U98" i="16" s="1"/>
  <c r="S98" i="16"/>
  <c r="Q14" i="19"/>
  <c r="M14" i="19"/>
  <c r="Q537" i="16"/>
  <c r="R537" i="16" s="1"/>
  <c r="T537" i="16" s="1"/>
  <c r="U537" i="16" s="1"/>
  <c r="Q114" i="16"/>
  <c r="R114" i="16" s="1"/>
  <c r="T114" i="16" s="1"/>
  <c r="U114" i="16" s="1"/>
  <c r="S457" i="16"/>
  <c r="Q678" i="16"/>
  <c r="R678" i="16" s="1"/>
  <c r="T678" i="16" s="1"/>
  <c r="U678" i="16" s="1"/>
  <c r="Q733" i="16"/>
  <c r="R733" i="16" s="1"/>
  <c r="T733" i="16" s="1"/>
  <c r="U733" i="16" s="1"/>
  <c r="Q655" i="16"/>
  <c r="R655" i="16" s="1"/>
  <c r="T655" i="16" s="1"/>
  <c r="U655" i="16" s="1"/>
  <c r="Q593" i="16"/>
  <c r="R593" i="16" s="1"/>
  <c r="T593" i="16" s="1"/>
  <c r="U593" i="16" s="1"/>
  <c r="Q179" i="16"/>
  <c r="R179" i="16" s="1"/>
  <c r="T179" i="16" s="1"/>
  <c r="U179" i="16" s="1"/>
  <c r="Q17" i="16"/>
  <c r="R17" i="16" s="1"/>
  <c r="T17" i="16" s="1"/>
  <c r="U17" i="16" s="1"/>
  <c r="Q24" i="16"/>
  <c r="R24" i="16" s="1"/>
  <c r="T24" i="16" s="1"/>
  <c r="U24" i="16" s="1"/>
  <c r="S291" i="16"/>
  <c r="Q32" i="16"/>
  <c r="R32" i="16" s="1"/>
  <c r="T32" i="16" s="1"/>
  <c r="U32" i="16" s="1"/>
  <c r="Q671" i="16"/>
  <c r="R671" i="16" s="1"/>
  <c r="T671" i="16" s="1"/>
  <c r="U671" i="16" s="1"/>
  <c r="S733" i="16"/>
  <c r="S577" i="16"/>
  <c r="S523" i="16"/>
  <c r="S420" i="16"/>
  <c r="S324" i="16"/>
  <c r="S276" i="16"/>
  <c r="S72" i="16"/>
  <c r="Q300" i="16"/>
  <c r="R300" i="16" s="1"/>
  <c r="T300" i="16" s="1"/>
  <c r="U300" i="16" s="1"/>
  <c r="Q564" i="16"/>
  <c r="R564" i="16" s="1"/>
  <c r="T564" i="16" s="1"/>
  <c r="U564" i="16" s="1"/>
  <c r="Q516" i="16"/>
  <c r="R516" i="16" s="1"/>
  <c r="T516" i="16" s="1"/>
  <c r="U516" i="16" s="1"/>
  <c r="Q493" i="16"/>
  <c r="R493" i="16" s="1"/>
  <c r="T493" i="16" s="1"/>
  <c r="U493" i="16" s="1"/>
  <c r="Q485" i="16"/>
  <c r="R485" i="16" s="1"/>
  <c r="T485" i="16" s="1"/>
  <c r="U485" i="16" s="1"/>
  <c r="Q477" i="16"/>
  <c r="R477" i="16" s="1"/>
  <c r="T477" i="16" s="1"/>
  <c r="U477" i="16" s="1"/>
  <c r="Q469" i="16"/>
  <c r="R469" i="16" s="1"/>
  <c r="T469" i="16" s="1"/>
  <c r="U469" i="16" s="1"/>
  <c r="Q445" i="16"/>
  <c r="R445" i="16" s="1"/>
  <c r="T445" i="16" s="1"/>
  <c r="U445" i="16" s="1"/>
  <c r="Q429" i="16"/>
  <c r="R429" i="16" s="1"/>
  <c r="T429" i="16" s="1"/>
  <c r="U429" i="16" s="1"/>
  <c r="Q373" i="16"/>
  <c r="R373" i="16" s="1"/>
  <c r="T373" i="16" s="1"/>
  <c r="U373" i="16" s="1"/>
  <c r="Q301" i="16"/>
  <c r="R301" i="16" s="1"/>
  <c r="T301" i="16" s="1"/>
  <c r="U301" i="16" s="1"/>
  <c r="Q92" i="16"/>
  <c r="R92" i="16" s="1"/>
  <c r="T92" i="16" s="1"/>
  <c r="U92" i="16" s="1"/>
  <c r="Q33" i="16"/>
  <c r="R33" i="16" s="1"/>
  <c r="T33" i="16" s="1"/>
  <c r="U33" i="16" s="1"/>
  <c r="Q718" i="16"/>
  <c r="R718" i="16" s="1"/>
  <c r="T718" i="16" s="1"/>
  <c r="U718" i="16" s="1"/>
  <c r="Q267" i="16"/>
  <c r="R267" i="16" s="1"/>
  <c r="T267" i="16" s="1"/>
  <c r="U267" i="16" s="1"/>
  <c r="Q155" i="16"/>
  <c r="R155" i="16" s="1"/>
  <c r="T155" i="16" s="1"/>
  <c r="U155" i="16" s="1"/>
  <c r="Q50" i="16"/>
  <c r="R50" i="16" s="1"/>
  <c r="T50" i="16" s="1"/>
  <c r="U50" i="16" s="1"/>
  <c r="Q275" i="16"/>
  <c r="R275" i="16" s="1"/>
  <c r="T275" i="16" s="1"/>
  <c r="U275" i="16" s="1"/>
  <c r="S84" i="16"/>
  <c r="Q554" i="16"/>
  <c r="R554" i="16" s="1"/>
  <c r="T554" i="16" s="1"/>
  <c r="U554" i="16" s="1"/>
  <c r="Q492" i="16"/>
  <c r="R492" i="16" s="1"/>
  <c r="T492" i="16" s="1"/>
  <c r="U492" i="16" s="1"/>
  <c r="Q381" i="16"/>
  <c r="R381" i="16" s="1"/>
  <c r="T381" i="16" s="1"/>
  <c r="U381" i="16" s="1"/>
  <c r="Q364" i="16"/>
  <c r="R364" i="16" s="1"/>
  <c r="T364" i="16" s="1"/>
  <c r="U364" i="16" s="1"/>
  <c r="Q752" i="16"/>
  <c r="R752" i="16" s="1"/>
  <c r="T752" i="16" s="1"/>
  <c r="U752" i="16" s="1"/>
  <c r="Q745" i="16"/>
  <c r="R745" i="16" s="1"/>
  <c r="T745" i="16" s="1"/>
  <c r="U745" i="16" s="1"/>
  <c r="Q737" i="16"/>
  <c r="R737" i="16" s="1"/>
  <c r="T737" i="16" s="1"/>
  <c r="U737" i="16" s="1"/>
  <c r="Q689" i="16"/>
  <c r="R689" i="16" s="1"/>
  <c r="T689" i="16" s="1"/>
  <c r="U689" i="16" s="1"/>
  <c r="Q675" i="16"/>
  <c r="R675" i="16" s="1"/>
  <c r="T675" i="16" s="1"/>
  <c r="U675" i="16" s="1"/>
  <c r="Q659" i="16"/>
  <c r="R659" i="16" s="1"/>
  <c r="T659" i="16" s="1"/>
  <c r="U659" i="16" s="1"/>
  <c r="Q634" i="16"/>
  <c r="R634" i="16" s="1"/>
  <c r="T634" i="16" s="1"/>
  <c r="U634" i="16" s="1"/>
  <c r="Q610" i="16"/>
  <c r="R610" i="16" s="1"/>
  <c r="T610" i="16" s="1"/>
  <c r="U610" i="16" s="1"/>
  <c r="Q603" i="16"/>
  <c r="R603" i="16" s="1"/>
  <c r="T603" i="16" s="1"/>
  <c r="U603" i="16" s="1"/>
  <c r="Q518" i="16"/>
  <c r="R518" i="16" s="1"/>
  <c r="T518" i="16" s="1"/>
  <c r="U518" i="16" s="1"/>
  <c r="Q510" i="16"/>
  <c r="R510" i="16" s="1"/>
  <c r="T510" i="16" s="1"/>
  <c r="U510" i="16" s="1"/>
  <c r="Q471" i="16"/>
  <c r="R471" i="16" s="1"/>
  <c r="T471" i="16" s="1"/>
  <c r="U471" i="16" s="1"/>
  <c r="Q455" i="16"/>
  <c r="R455" i="16" s="1"/>
  <c r="T455" i="16" s="1"/>
  <c r="U455" i="16" s="1"/>
  <c r="Q407" i="16"/>
  <c r="R407" i="16" s="1"/>
  <c r="T407" i="16" s="1"/>
  <c r="U407" i="16" s="1"/>
  <c r="Q391" i="16"/>
  <c r="R391" i="16" s="1"/>
  <c r="T391" i="16" s="1"/>
  <c r="U391" i="16" s="1"/>
  <c r="Q287" i="16"/>
  <c r="R287" i="16" s="1"/>
  <c r="T287" i="16" s="1"/>
  <c r="U287" i="16" s="1"/>
  <c r="Q263" i="16"/>
  <c r="R263" i="16" s="1"/>
  <c r="T263" i="16" s="1"/>
  <c r="U263" i="16" s="1"/>
  <c r="Q230" i="16"/>
  <c r="R230" i="16" s="1"/>
  <c r="T230" i="16" s="1"/>
  <c r="U230" i="16" s="1"/>
  <c r="Q222" i="16"/>
  <c r="R222" i="16" s="1"/>
  <c r="T222" i="16" s="1"/>
  <c r="U222" i="16" s="1"/>
  <c r="Q148" i="16"/>
  <c r="R148" i="16" s="1"/>
  <c r="T148" i="16" s="1"/>
  <c r="U148" i="16" s="1"/>
  <c r="Q75" i="16"/>
  <c r="R75" i="16" s="1"/>
  <c r="T75" i="16" s="1"/>
  <c r="U75" i="16" s="1"/>
  <c r="Q27" i="16"/>
  <c r="R27" i="16" s="1"/>
  <c r="T27" i="16" s="1"/>
  <c r="U27" i="16" s="1"/>
  <c r="Q749" i="16"/>
  <c r="R749" i="16" s="1"/>
  <c r="T749" i="16" s="1"/>
  <c r="U749" i="16" s="1"/>
  <c r="Q663" i="16"/>
  <c r="R663" i="16" s="1"/>
  <c r="T663" i="16" s="1"/>
  <c r="U663" i="16" s="1"/>
  <c r="Q631" i="16"/>
  <c r="R631" i="16" s="1"/>
  <c r="T631" i="16" s="1"/>
  <c r="U631" i="16" s="1"/>
  <c r="Q600" i="16"/>
  <c r="R600" i="16" s="1"/>
  <c r="T600" i="16" s="1"/>
  <c r="U600" i="16" s="1"/>
  <c r="Q187" i="16"/>
  <c r="R187" i="16" s="1"/>
  <c r="T187" i="16" s="1"/>
  <c r="U187" i="16" s="1"/>
  <c r="Q171" i="16"/>
  <c r="R171" i="16" s="1"/>
  <c r="T171" i="16" s="1"/>
  <c r="U171" i="16" s="1"/>
  <c r="Q107" i="16"/>
  <c r="R107" i="16" s="1"/>
  <c r="T107" i="16" s="1"/>
  <c r="U107" i="16" s="1"/>
  <c r="Q42" i="16"/>
  <c r="R42" i="16" s="1"/>
  <c r="T42" i="16" s="1"/>
  <c r="U42" i="16" s="1"/>
  <c r="S600" i="16"/>
  <c r="Q284" i="16"/>
  <c r="R284" i="16" s="1"/>
  <c r="T284" i="16" s="1"/>
  <c r="U284" i="16" s="1"/>
  <c r="Q436" i="16"/>
  <c r="R436" i="16" s="1"/>
  <c r="T436" i="16" s="1"/>
  <c r="U436" i="16" s="1"/>
  <c r="S562" i="16"/>
  <c r="Q11" i="16"/>
  <c r="R11" i="16" s="1"/>
  <c r="T11" i="16" s="1"/>
  <c r="U11" i="16" s="1"/>
  <c r="Q84" i="16"/>
  <c r="R84" i="16" s="1"/>
  <c r="T84" i="16" s="1"/>
  <c r="U84" i="16" s="1"/>
  <c r="Q115" i="16"/>
  <c r="R115" i="16" s="1"/>
  <c r="T115" i="16" s="1"/>
  <c r="U115" i="16" s="1"/>
  <c r="S538" i="16"/>
  <c r="S593" i="16"/>
  <c r="Q188" i="16"/>
  <c r="R188" i="16" s="1"/>
  <c r="T188" i="16" s="1"/>
  <c r="U188" i="16" s="1"/>
  <c r="S171" i="16"/>
  <c r="Q594" i="16"/>
  <c r="R594" i="16" s="1"/>
  <c r="T594" i="16" s="1"/>
  <c r="U594" i="16" s="1"/>
  <c r="Q396" i="16"/>
  <c r="R396" i="16" s="1"/>
  <c r="T396" i="16" s="1"/>
  <c r="U396" i="16" s="1"/>
  <c r="Q574" i="16"/>
  <c r="R574" i="16" s="1"/>
  <c r="T574" i="16" s="1"/>
  <c r="U574" i="16" s="1"/>
  <c r="Q741" i="16"/>
  <c r="R741" i="16" s="1"/>
  <c r="T741" i="16" s="1"/>
  <c r="U741" i="16" s="1"/>
  <c r="Q710" i="16"/>
  <c r="R710" i="16" s="1"/>
  <c r="T710" i="16" s="1"/>
  <c r="U710" i="16" s="1"/>
  <c r="Q195" i="16"/>
  <c r="R195" i="16" s="1"/>
  <c r="T195" i="16" s="1"/>
  <c r="U195" i="16" s="1"/>
  <c r="Q163" i="16"/>
  <c r="R163" i="16" s="1"/>
  <c r="T163" i="16" s="1"/>
  <c r="U163" i="16" s="1"/>
  <c r="S631" i="16"/>
  <c r="S71" i="16"/>
  <c r="Q348" i="16"/>
  <c r="R348" i="16" s="1"/>
  <c r="T348" i="16" s="1"/>
  <c r="U348" i="16" s="1"/>
  <c r="S187" i="16"/>
  <c r="S50" i="16"/>
  <c r="Q747" i="16"/>
  <c r="R747" i="16" s="1"/>
  <c r="T747" i="16" s="1"/>
  <c r="U747" i="16" s="1"/>
  <c r="Q700" i="16"/>
  <c r="R700" i="16" s="1"/>
  <c r="T700" i="16" s="1"/>
  <c r="U700" i="16" s="1"/>
  <c r="Q685" i="16"/>
  <c r="R685" i="16" s="1"/>
  <c r="T685" i="16" s="1"/>
  <c r="U685" i="16" s="1"/>
  <c r="Q669" i="16"/>
  <c r="R669" i="16" s="1"/>
  <c r="T669" i="16" s="1"/>
  <c r="U669" i="16" s="1"/>
  <c r="Q653" i="16"/>
  <c r="R653" i="16" s="1"/>
  <c r="T653" i="16" s="1"/>
  <c r="U653" i="16" s="1"/>
  <c r="Q645" i="16"/>
  <c r="R645" i="16" s="1"/>
  <c r="T645" i="16" s="1"/>
  <c r="U645" i="16" s="1"/>
  <c r="Q637" i="16"/>
  <c r="R637" i="16" s="1"/>
  <c r="T637" i="16" s="1"/>
  <c r="U637" i="16" s="1"/>
  <c r="Q629" i="16"/>
  <c r="R629" i="16" s="1"/>
  <c r="T629" i="16" s="1"/>
  <c r="U629" i="16" s="1"/>
  <c r="Q613" i="16"/>
  <c r="R613" i="16" s="1"/>
  <c r="T613" i="16" s="1"/>
  <c r="U613" i="16" s="1"/>
  <c r="Q598" i="16"/>
  <c r="R598" i="16" s="1"/>
  <c r="T598" i="16" s="1"/>
  <c r="U598" i="16" s="1"/>
  <c r="Q560" i="16"/>
  <c r="R560" i="16" s="1"/>
  <c r="T560" i="16" s="1"/>
  <c r="U560" i="16" s="1"/>
  <c r="Q536" i="16"/>
  <c r="R536" i="16" s="1"/>
  <c r="T536" i="16" s="1"/>
  <c r="U536" i="16" s="1"/>
  <c r="Q449" i="16"/>
  <c r="R449" i="16" s="1"/>
  <c r="T449" i="16" s="1"/>
  <c r="U449" i="16" s="1"/>
  <c r="Q425" i="16"/>
  <c r="R425" i="16" s="1"/>
  <c r="T425" i="16" s="1"/>
  <c r="U425" i="16" s="1"/>
  <c r="Q368" i="16"/>
  <c r="R368" i="16" s="1"/>
  <c r="T368" i="16" s="1"/>
  <c r="U368" i="16" s="1"/>
  <c r="Q360" i="16"/>
  <c r="R360" i="16" s="1"/>
  <c r="T360" i="16" s="1"/>
  <c r="U360" i="16" s="1"/>
  <c r="Q344" i="16"/>
  <c r="R344" i="16" s="1"/>
  <c r="T344" i="16" s="1"/>
  <c r="U344" i="16" s="1"/>
  <c r="Q336" i="16"/>
  <c r="R336" i="16" s="1"/>
  <c r="T336" i="16" s="1"/>
  <c r="U336" i="16" s="1"/>
  <c r="Q328" i="16"/>
  <c r="R328" i="16" s="1"/>
  <c r="T328" i="16" s="1"/>
  <c r="U328" i="16" s="1"/>
  <c r="Q320" i="16"/>
  <c r="R320" i="16" s="1"/>
  <c r="T320" i="16" s="1"/>
  <c r="U320" i="16" s="1"/>
  <c r="Q83" i="16"/>
  <c r="R83" i="16" s="1"/>
  <c r="T83" i="16" s="1"/>
  <c r="U83" i="16" s="1"/>
  <c r="J9" i="4"/>
  <c r="I7" i="9"/>
  <c r="T14" i="19"/>
  <c r="X9" i="3"/>
  <c r="P9" i="3" s="1"/>
  <c r="L14" i="8"/>
  <c r="M14" i="8" s="1"/>
  <c r="N9" i="3"/>
  <c r="H5" i="9" s="1"/>
  <c r="U9" i="3"/>
  <c r="A13" i="9"/>
  <c r="H12" i="9"/>
  <c r="H11" i="9"/>
  <c r="A10" i="9"/>
  <c r="F4" i="14"/>
  <c r="A7" i="9"/>
  <c r="F5" i="14"/>
  <c r="F6" i="14"/>
  <c r="P14" i="2"/>
  <c r="S14" i="2"/>
  <c r="S103" i="16"/>
  <c r="Q103" i="16"/>
  <c r="R103" i="16" s="1"/>
  <c r="T103" i="16" s="1"/>
  <c r="U103" i="16" s="1"/>
  <c r="Q532" i="16"/>
  <c r="R532" i="16" s="1"/>
  <c r="T532" i="16" s="1"/>
  <c r="U532" i="16" s="1"/>
  <c r="S532" i="16"/>
  <c r="Q533" i="16"/>
  <c r="R533" i="16" s="1"/>
  <c r="T533" i="16" s="1"/>
  <c r="U533" i="16" s="1"/>
  <c r="S421" i="16"/>
  <c r="Q421" i="16"/>
  <c r="R421" i="16" s="1"/>
  <c r="T421" i="16" s="1"/>
  <c r="U421" i="16" s="1"/>
  <c r="S365" i="16"/>
  <c r="Q365" i="16"/>
  <c r="R365" i="16" s="1"/>
  <c r="T365" i="16" s="1"/>
  <c r="U365" i="16" s="1"/>
  <c r="Q350" i="16"/>
  <c r="R350" i="16" s="1"/>
  <c r="T350" i="16" s="1"/>
  <c r="U350" i="16" s="1"/>
  <c r="S349" i="16"/>
  <c r="Q349" i="16"/>
  <c r="R349" i="16" s="1"/>
  <c r="T349" i="16" s="1"/>
  <c r="U349" i="16" s="1"/>
  <c r="S333" i="16"/>
  <c r="Q333" i="16"/>
  <c r="R333" i="16" s="1"/>
  <c r="T333" i="16" s="1"/>
  <c r="U333" i="16" s="1"/>
  <c r="Q317" i="16"/>
  <c r="R317" i="16" s="1"/>
  <c r="T317" i="16" s="1"/>
  <c r="U317" i="16" s="1"/>
  <c r="S317" i="16"/>
  <c r="Q293" i="16"/>
  <c r="R293" i="16" s="1"/>
  <c r="T293" i="16" s="1"/>
  <c r="U293" i="16" s="1"/>
  <c r="S293" i="16"/>
  <c r="Q13" i="16"/>
  <c r="R13" i="16" s="1"/>
  <c r="T13" i="16" s="1"/>
  <c r="U13" i="16" s="1"/>
  <c r="S13" i="16"/>
  <c r="S238" i="16"/>
  <c r="Q238" i="16"/>
  <c r="R238" i="16" s="1"/>
  <c r="T238" i="16" s="1"/>
  <c r="U238" i="16" s="1"/>
  <c r="Q214" i="16"/>
  <c r="R214" i="16" s="1"/>
  <c r="T214" i="16" s="1"/>
  <c r="U214" i="16" s="1"/>
  <c r="S214" i="16"/>
  <c r="Q121" i="16"/>
  <c r="R121" i="16" s="1"/>
  <c r="T121" i="16" s="1"/>
  <c r="U121" i="16" s="1"/>
  <c r="S120" i="16"/>
  <c r="Q152" i="16"/>
  <c r="R152" i="16" s="1"/>
  <c r="T152" i="16" s="1"/>
  <c r="U152" i="16" s="1"/>
  <c r="S152" i="16"/>
  <c r="Q57" i="16"/>
  <c r="R57" i="16" s="1"/>
  <c r="T57" i="16" s="1"/>
  <c r="U57" i="16" s="1"/>
  <c r="S57" i="16"/>
  <c r="Q58" i="16"/>
  <c r="R58" i="16" s="1"/>
  <c r="T58" i="16" s="1"/>
  <c r="U58" i="16" s="1"/>
  <c r="Q49" i="16"/>
  <c r="R49" i="16" s="1"/>
  <c r="T49" i="16" s="1"/>
  <c r="U49" i="16" s="1"/>
  <c r="S49" i="16"/>
  <c r="S41" i="16"/>
  <c r="Q41" i="16"/>
  <c r="R41" i="16" s="1"/>
  <c r="T41" i="16" s="1"/>
  <c r="U41" i="16" s="1"/>
  <c r="Q34" i="16"/>
  <c r="R34" i="16" s="1"/>
  <c r="T34" i="16" s="1"/>
  <c r="U34" i="16" s="1"/>
  <c r="Q35" i="16"/>
  <c r="R35" i="16" s="1"/>
  <c r="T35" i="16" s="1"/>
  <c r="U35" i="16" s="1"/>
  <c r="S34" i="16"/>
  <c r="Q571" i="16"/>
  <c r="R571" i="16" s="1"/>
  <c r="T571" i="16" s="1"/>
  <c r="U571" i="16" s="1"/>
  <c r="S301" i="16"/>
  <c r="S230" i="16"/>
  <c r="Q279" i="16"/>
  <c r="R279" i="16" s="1"/>
  <c r="T279" i="16" s="1"/>
  <c r="U279" i="16" s="1"/>
  <c r="Q271" i="16"/>
  <c r="R271" i="16" s="1"/>
  <c r="T271" i="16" s="1"/>
  <c r="U271" i="16" s="1"/>
  <c r="Q129" i="16"/>
  <c r="R129" i="16" s="1"/>
  <c r="T129" i="16" s="1"/>
  <c r="U129" i="16" s="1"/>
  <c r="Q113" i="16"/>
  <c r="R113" i="16" s="1"/>
  <c r="T113" i="16" s="1"/>
  <c r="U113" i="16" s="1"/>
  <c r="Q153" i="16"/>
  <c r="R153" i="16" s="1"/>
  <c r="T153" i="16" s="1"/>
  <c r="U153" i="16" s="1"/>
  <c r="Q586" i="16"/>
  <c r="R586" i="16" s="1"/>
  <c r="T586" i="16" s="1"/>
  <c r="U586" i="16" s="1"/>
  <c r="S586" i="16"/>
  <c r="Q587" i="16"/>
  <c r="R587" i="16" s="1"/>
  <c r="T587" i="16" s="1"/>
  <c r="U587" i="16" s="1"/>
  <c r="Q570" i="16"/>
  <c r="R570" i="16" s="1"/>
  <c r="T570" i="16" s="1"/>
  <c r="U570" i="16" s="1"/>
  <c r="S570" i="16"/>
  <c r="Q517" i="16"/>
  <c r="R517" i="16" s="1"/>
  <c r="T517" i="16" s="1"/>
  <c r="U517" i="16" s="1"/>
  <c r="S516" i="16"/>
  <c r="S461" i="16"/>
  <c r="Q461" i="16"/>
  <c r="R461" i="16" s="1"/>
  <c r="T461" i="16" s="1"/>
  <c r="U461" i="16" s="1"/>
  <c r="S453" i="16"/>
  <c r="Q453" i="16"/>
  <c r="R453" i="16" s="1"/>
  <c r="T453" i="16" s="1"/>
  <c r="U453" i="16" s="1"/>
  <c r="Q437" i="16"/>
  <c r="R437" i="16" s="1"/>
  <c r="T437" i="16" s="1"/>
  <c r="U437" i="16" s="1"/>
  <c r="S437" i="16"/>
  <c r="Q405" i="16"/>
  <c r="R405" i="16" s="1"/>
  <c r="T405" i="16" s="1"/>
  <c r="U405" i="16" s="1"/>
  <c r="S405" i="16"/>
  <c r="S325" i="16"/>
  <c r="Q325" i="16"/>
  <c r="R325" i="16" s="1"/>
  <c r="T325" i="16" s="1"/>
  <c r="U325" i="16" s="1"/>
  <c r="Q309" i="16"/>
  <c r="R309" i="16" s="1"/>
  <c r="T309" i="16" s="1"/>
  <c r="U309" i="16" s="1"/>
  <c r="S309" i="16"/>
  <c r="Q278" i="16"/>
  <c r="R278" i="16" s="1"/>
  <c r="T278" i="16" s="1"/>
  <c r="U278" i="16" s="1"/>
  <c r="S278" i="16"/>
  <c r="Q206" i="16"/>
  <c r="R206" i="16" s="1"/>
  <c r="T206" i="16" s="1"/>
  <c r="U206" i="16" s="1"/>
  <c r="S206" i="16"/>
  <c r="K9" i="3"/>
  <c r="W9" i="3"/>
  <c r="Q104" i="16"/>
  <c r="R104" i="16" s="1"/>
  <c r="T104" i="16" s="1"/>
  <c r="U104" i="16" s="1"/>
  <c r="Q318" i="16"/>
  <c r="R318" i="16" s="1"/>
  <c r="T318" i="16" s="1"/>
  <c r="U318" i="16" s="1"/>
  <c r="Q500" i="16"/>
  <c r="R500" i="16" s="1"/>
  <c r="T500" i="16" s="1"/>
  <c r="U500" i="16" s="1"/>
  <c r="Q120" i="16"/>
  <c r="R120" i="16" s="1"/>
  <c r="T120" i="16" s="1"/>
  <c r="U120" i="16" s="1"/>
  <c r="S469" i="16"/>
  <c r="S429" i="16"/>
  <c r="Q80" i="16"/>
  <c r="R80" i="16" s="1"/>
  <c r="T80" i="16" s="1"/>
  <c r="U80" i="16" s="1"/>
  <c r="S578" i="16"/>
  <c r="Q578" i="16"/>
  <c r="R578" i="16" s="1"/>
  <c r="T578" i="16" s="1"/>
  <c r="U578" i="16" s="1"/>
  <c r="Q87" i="16"/>
  <c r="R87" i="16" s="1"/>
  <c r="T87" i="16" s="1"/>
  <c r="U87" i="16" s="1"/>
  <c r="S87" i="16"/>
  <c r="Q525" i="16"/>
  <c r="R525" i="16" s="1"/>
  <c r="T525" i="16" s="1"/>
  <c r="U525" i="16" s="1"/>
  <c r="Q524" i="16"/>
  <c r="R524" i="16" s="1"/>
  <c r="T524" i="16" s="1"/>
  <c r="U524" i="16" s="1"/>
  <c r="S413" i="16"/>
  <c r="Q413" i="16"/>
  <c r="R413" i="16" s="1"/>
  <c r="T413" i="16" s="1"/>
  <c r="U413" i="16" s="1"/>
  <c r="S357" i="16"/>
  <c r="Q357" i="16"/>
  <c r="R357" i="16" s="1"/>
  <c r="T357" i="16" s="1"/>
  <c r="U357" i="16" s="1"/>
  <c r="S270" i="16"/>
  <c r="Q270" i="16"/>
  <c r="R270" i="16" s="1"/>
  <c r="T270" i="16" s="1"/>
  <c r="U270" i="16" s="1"/>
  <c r="Q254" i="16"/>
  <c r="R254" i="16" s="1"/>
  <c r="T254" i="16" s="1"/>
  <c r="U254" i="16" s="1"/>
  <c r="S254" i="16"/>
  <c r="Q246" i="16"/>
  <c r="R246" i="16" s="1"/>
  <c r="T246" i="16" s="1"/>
  <c r="U246" i="16" s="1"/>
  <c r="S246" i="16"/>
  <c r="Q198" i="16"/>
  <c r="R198" i="16" s="1"/>
  <c r="T198" i="16" s="1"/>
  <c r="U198" i="16" s="1"/>
  <c r="S198" i="16"/>
  <c r="Q128" i="16"/>
  <c r="R128" i="16" s="1"/>
  <c r="T128" i="16" s="1"/>
  <c r="U128" i="16" s="1"/>
  <c r="S128" i="16"/>
  <c r="S79" i="16"/>
  <c r="Q79" i="16"/>
  <c r="R79" i="16" s="1"/>
  <c r="T79" i="16" s="1"/>
  <c r="U79" i="16" s="1"/>
  <c r="Q64" i="16"/>
  <c r="R64" i="16" s="1"/>
  <c r="T64" i="16" s="1"/>
  <c r="U64" i="16" s="1"/>
  <c r="Q63" i="16"/>
  <c r="R63" i="16" s="1"/>
  <c r="T63" i="16" s="1"/>
  <c r="U63" i="16" s="1"/>
  <c r="S63" i="16"/>
  <c r="S756" i="16"/>
  <c r="Q756" i="16"/>
  <c r="R756" i="16" s="1"/>
  <c r="T756" i="16" s="1"/>
  <c r="U756" i="16" s="1"/>
  <c r="S726" i="16"/>
  <c r="Q726" i="16"/>
  <c r="R726" i="16" s="1"/>
  <c r="T726" i="16" s="1"/>
  <c r="U726" i="16" s="1"/>
  <c r="S702" i="16"/>
  <c r="Q702" i="16"/>
  <c r="R702" i="16" s="1"/>
  <c r="T702" i="16" s="1"/>
  <c r="U702" i="16" s="1"/>
  <c r="S679" i="16"/>
  <c r="Q679" i="16"/>
  <c r="R679" i="16" s="1"/>
  <c r="T679" i="16" s="1"/>
  <c r="U679" i="16" s="1"/>
  <c r="Q647" i="16"/>
  <c r="R647" i="16" s="1"/>
  <c r="T647" i="16" s="1"/>
  <c r="U647" i="16" s="1"/>
  <c r="S647" i="16"/>
  <c r="Q623" i="16"/>
  <c r="R623" i="16" s="1"/>
  <c r="T623" i="16" s="1"/>
  <c r="U623" i="16" s="1"/>
  <c r="S623" i="16"/>
  <c r="S615" i="16"/>
  <c r="Q615" i="16"/>
  <c r="R615" i="16" s="1"/>
  <c r="T615" i="16" s="1"/>
  <c r="U615" i="16" s="1"/>
  <c r="Q607" i="16"/>
  <c r="R607" i="16" s="1"/>
  <c r="T607" i="16" s="1"/>
  <c r="U607" i="16" s="1"/>
  <c r="S607" i="16"/>
  <c r="Q96" i="16"/>
  <c r="R96" i="16" s="1"/>
  <c r="T96" i="16" s="1"/>
  <c r="U96" i="16" s="1"/>
  <c r="Q579" i="16"/>
  <c r="R579" i="16" s="1"/>
  <c r="T579" i="16" s="1"/>
  <c r="U579" i="16" s="1"/>
  <c r="Q21" i="16"/>
  <c r="R21" i="16" s="1"/>
  <c r="T21" i="16" s="1"/>
  <c r="U21" i="16" s="1"/>
  <c r="Q95" i="16"/>
  <c r="R95" i="16" s="1"/>
  <c r="T95" i="16" s="1"/>
  <c r="U95" i="16" s="1"/>
  <c r="Q382" i="16"/>
  <c r="R382" i="16" s="1"/>
  <c r="T382" i="16" s="1"/>
  <c r="U382" i="16" s="1"/>
  <c r="Q112" i="16"/>
  <c r="R112" i="16" s="1"/>
  <c r="T112" i="16" s="1"/>
  <c r="U112" i="16" s="1"/>
  <c r="S445" i="16"/>
  <c r="Q341" i="16"/>
  <c r="R341" i="16" s="1"/>
  <c r="T341" i="16" s="1"/>
  <c r="U341" i="16" s="1"/>
  <c r="Q262" i="16"/>
  <c r="R262" i="16" s="1"/>
  <c r="T262" i="16" s="1"/>
  <c r="U262" i="16" s="1"/>
  <c r="Q501" i="16"/>
  <c r="R501" i="16" s="1"/>
  <c r="T501" i="16" s="1"/>
  <c r="U501" i="16" s="1"/>
  <c r="Q462" i="16"/>
  <c r="R462" i="16" s="1"/>
  <c r="T462" i="16" s="1"/>
  <c r="U462" i="16" s="1"/>
  <c r="Q446" i="16"/>
  <c r="R446" i="16" s="1"/>
  <c r="T446" i="16" s="1"/>
  <c r="U446" i="16" s="1"/>
  <c r="Q430" i="16"/>
  <c r="R430" i="16" s="1"/>
  <c r="T430" i="16" s="1"/>
  <c r="U430" i="16" s="1"/>
  <c r="Q422" i="16"/>
  <c r="R422" i="16" s="1"/>
  <c r="T422" i="16" s="1"/>
  <c r="U422" i="16" s="1"/>
  <c r="Q342" i="16"/>
  <c r="R342" i="16" s="1"/>
  <c r="T342" i="16" s="1"/>
  <c r="U342" i="16" s="1"/>
  <c r="Q334" i="16"/>
  <c r="R334" i="16" s="1"/>
  <c r="T334" i="16" s="1"/>
  <c r="U334" i="16" s="1"/>
  <c r="Q326" i="16"/>
  <c r="R326" i="16" s="1"/>
  <c r="T326" i="16" s="1"/>
  <c r="U326" i="16" s="1"/>
  <c r="Q255" i="16"/>
  <c r="R255" i="16" s="1"/>
  <c r="T255" i="16" s="1"/>
  <c r="U255" i="16" s="1"/>
  <c r="Q247" i="16"/>
  <c r="R247" i="16" s="1"/>
  <c r="T247" i="16" s="1"/>
  <c r="U247" i="16" s="1"/>
  <c r="Q239" i="16"/>
  <c r="R239" i="16" s="1"/>
  <c r="T239" i="16" s="1"/>
  <c r="U239" i="16" s="1"/>
  <c r="Q231" i="16"/>
  <c r="R231" i="16" s="1"/>
  <c r="T231" i="16" s="1"/>
  <c r="U231" i="16" s="1"/>
  <c r="Q223" i="16"/>
  <c r="R223" i="16" s="1"/>
  <c r="T223" i="16" s="1"/>
  <c r="U223" i="16" s="1"/>
  <c r="Q215" i="16"/>
  <c r="R215" i="16" s="1"/>
  <c r="T215" i="16" s="1"/>
  <c r="U215" i="16" s="1"/>
  <c r="Q207" i="16"/>
  <c r="R207" i="16" s="1"/>
  <c r="T207" i="16" s="1"/>
  <c r="U207" i="16" s="1"/>
  <c r="Q199" i="16"/>
  <c r="R199" i="16" s="1"/>
  <c r="T199" i="16" s="1"/>
  <c r="U199" i="16" s="1"/>
  <c r="Q88" i="16"/>
  <c r="R88" i="16" s="1"/>
  <c r="T88" i="16" s="1"/>
  <c r="U88" i="16" s="1"/>
  <c r="I9" i="4"/>
  <c r="Q122" i="16"/>
  <c r="R122" i="16" s="1"/>
  <c r="T122" i="16" s="1"/>
  <c r="U122" i="16" s="1"/>
  <c r="Q67" i="16"/>
  <c r="R67" i="16" s="1"/>
  <c r="T67" i="16" s="1"/>
  <c r="U67" i="16" s="1"/>
  <c r="Q196" i="16"/>
  <c r="R196" i="16" s="1"/>
  <c r="T196" i="16" s="1"/>
  <c r="U196" i="16" s="1"/>
  <c r="S501" i="16"/>
  <c r="Q406" i="16"/>
  <c r="R406" i="16" s="1"/>
  <c r="T406" i="16" s="1"/>
  <c r="U406" i="16" s="1"/>
  <c r="S406" i="16"/>
  <c r="S517" i="16"/>
  <c r="Q286" i="16"/>
  <c r="R286" i="16" s="1"/>
  <c r="T286" i="16" s="1"/>
  <c r="U286" i="16" s="1"/>
  <c r="S752" i="16"/>
  <c r="S699" i="16"/>
  <c r="S644" i="16"/>
  <c r="S634" i="16"/>
  <c r="S612" i="16"/>
  <c r="S573" i="16"/>
  <c r="S360" i="16"/>
  <c r="S279" i="16"/>
  <c r="S241" i="16"/>
  <c r="S201" i="16"/>
  <c r="S92" i="16"/>
  <c r="Q753" i="16"/>
  <c r="R753" i="16" s="1"/>
  <c r="T753" i="16" s="1"/>
  <c r="U753" i="16" s="1"/>
  <c r="Q738" i="16"/>
  <c r="R738" i="16" s="1"/>
  <c r="T738" i="16" s="1"/>
  <c r="U738" i="16" s="1"/>
  <c r="Q724" i="16"/>
  <c r="R724" i="16" s="1"/>
  <c r="T724" i="16" s="1"/>
  <c r="U724" i="16" s="1"/>
  <c r="Q708" i="16"/>
  <c r="R708" i="16" s="1"/>
  <c r="T708" i="16" s="1"/>
  <c r="U708" i="16" s="1"/>
  <c r="Q660" i="16"/>
  <c r="R660" i="16" s="1"/>
  <c r="T660" i="16" s="1"/>
  <c r="U660" i="16" s="1"/>
  <c r="Q583" i="16"/>
  <c r="R583" i="16" s="1"/>
  <c r="T583" i="16" s="1"/>
  <c r="U583" i="16" s="1"/>
  <c r="Q552" i="16"/>
  <c r="R552" i="16" s="1"/>
  <c r="T552" i="16" s="1"/>
  <c r="U552" i="16" s="1"/>
  <c r="Q546" i="16"/>
  <c r="R546" i="16" s="1"/>
  <c r="T546" i="16" s="1"/>
  <c r="U546" i="16" s="1"/>
  <c r="Q535" i="16"/>
  <c r="R535" i="16" s="1"/>
  <c r="T535" i="16" s="1"/>
  <c r="U535" i="16" s="1"/>
  <c r="Q519" i="16"/>
  <c r="R519" i="16" s="1"/>
  <c r="T519" i="16" s="1"/>
  <c r="U519" i="16" s="1"/>
  <c r="Q511" i="16"/>
  <c r="R511" i="16" s="1"/>
  <c r="T511" i="16" s="1"/>
  <c r="U511" i="16" s="1"/>
  <c r="Q496" i="16"/>
  <c r="R496" i="16" s="1"/>
  <c r="T496" i="16" s="1"/>
  <c r="U496" i="16" s="1"/>
  <c r="Q226" i="16"/>
  <c r="R226" i="16" s="1"/>
  <c r="T226" i="16" s="1"/>
  <c r="U226" i="16" s="1"/>
  <c r="Q217" i="16"/>
  <c r="R217" i="16" s="1"/>
  <c r="T217" i="16" s="1"/>
  <c r="U217" i="16" s="1"/>
  <c r="Q209" i="16"/>
  <c r="R209" i="16" s="1"/>
  <c r="T209" i="16" s="1"/>
  <c r="U209" i="16" s="1"/>
  <c r="Q201" i="16"/>
  <c r="R201" i="16" s="1"/>
  <c r="T201" i="16" s="1"/>
  <c r="U201" i="16" s="1"/>
  <c r="Q193" i="16"/>
  <c r="R193" i="16" s="1"/>
  <c r="T193" i="16" s="1"/>
  <c r="U193" i="16" s="1"/>
  <c r="Q89" i="16"/>
  <c r="R89" i="16" s="1"/>
  <c r="T89" i="16" s="1"/>
  <c r="U89" i="16" s="1"/>
  <c r="Q51" i="16"/>
  <c r="R51" i="16" s="1"/>
  <c r="T51" i="16" s="1"/>
  <c r="U51" i="16" s="1"/>
  <c r="Q14" i="16"/>
  <c r="R14" i="16" s="1"/>
  <c r="T14" i="16" s="1"/>
  <c r="U14" i="16" s="1"/>
  <c r="J14" i="8"/>
  <c r="Q15" i="16"/>
  <c r="R15" i="16" s="1"/>
  <c r="T15" i="16" s="1"/>
  <c r="U15" i="16" s="1"/>
  <c r="Q23" i="16"/>
  <c r="R23" i="16" s="1"/>
  <c r="T23" i="16" s="1"/>
  <c r="U23" i="16" s="1"/>
  <c r="Q191" i="16"/>
  <c r="R191" i="16" s="1"/>
  <c r="T191" i="16" s="1"/>
  <c r="U191" i="16" s="1"/>
  <c r="Q158" i="16"/>
  <c r="R158" i="16" s="1"/>
  <c r="T158" i="16" s="1"/>
  <c r="U158" i="16" s="1"/>
  <c r="Q164" i="16"/>
  <c r="R164" i="16" s="1"/>
  <c r="T164" i="16" s="1"/>
  <c r="U164" i="16" s="1"/>
  <c r="Q597" i="16"/>
  <c r="R597" i="16" s="1"/>
  <c r="T597" i="16" s="1"/>
  <c r="U597" i="16" s="1"/>
  <c r="S754" i="16"/>
  <c r="S689" i="16"/>
  <c r="S668" i="16"/>
  <c r="S636" i="16"/>
  <c r="S567" i="16"/>
  <c r="S440" i="16"/>
  <c r="S430" i="16"/>
  <c r="S422" i="16"/>
  <c r="S338" i="16"/>
  <c r="S273" i="16"/>
  <c r="Q746" i="16"/>
  <c r="R746" i="16" s="1"/>
  <c r="T746" i="16" s="1"/>
  <c r="U746" i="16" s="1"/>
  <c r="Q744" i="16"/>
  <c r="R744" i="16" s="1"/>
  <c r="T744" i="16" s="1"/>
  <c r="U744" i="16" s="1"/>
  <c r="Q658" i="16"/>
  <c r="R658" i="16" s="1"/>
  <c r="T658" i="16" s="1"/>
  <c r="U658" i="16" s="1"/>
  <c r="Q644" i="16"/>
  <c r="R644" i="16" s="1"/>
  <c r="T644" i="16" s="1"/>
  <c r="U644" i="16" s="1"/>
  <c r="Q636" i="16"/>
  <c r="R636" i="16" s="1"/>
  <c r="T636" i="16" s="1"/>
  <c r="U636" i="16" s="1"/>
  <c r="Q628" i="16"/>
  <c r="R628" i="16" s="1"/>
  <c r="T628" i="16" s="1"/>
  <c r="U628" i="16" s="1"/>
  <c r="Q618" i="16"/>
  <c r="R618" i="16" s="1"/>
  <c r="T618" i="16" s="1"/>
  <c r="U618" i="16" s="1"/>
  <c r="Q595" i="16"/>
  <c r="R595" i="16" s="1"/>
  <c r="T595" i="16" s="1"/>
  <c r="U595" i="16" s="1"/>
  <c r="Q592" i="16"/>
  <c r="R592" i="16" s="1"/>
  <c r="T592" i="16" s="1"/>
  <c r="U592" i="16" s="1"/>
  <c r="Q559" i="16"/>
  <c r="R559" i="16" s="1"/>
  <c r="T559" i="16" s="1"/>
  <c r="U559" i="16" s="1"/>
  <c r="Q499" i="16"/>
  <c r="R499" i="16" s="1"/>
  <c r="T499" i="16" s="1"/>
  <c r="U499" i="16" s="1"/>
  <c r="Q488" i="16"/>
  <c r="R488" i="16" s="1"/>
  <c r="T488" i="16" s="1"/>
  <c r="U488" i="16" s="1"/>
  <c r="Q464" i="16"/>
  <c r="R464" i="16" s="1"/>
  <c r="T464" i="16" s="1"/>
  <c r="U464" i="16" s="1"/>
  <c r="Q447" i="16"/>
  <c r="R447" i="16" s="1"/>
  <c r="T447" i="16" s="1"/>
  <c r="U447" i="16" s="1"/>
  <c r="Q376" i="16"/>
  <c r="R376" i="16" s="1"/>
  <c r="T376" i="16" s="1"/>
  <c r="U376" i="16" s="1"/>
  <c r="Q331" i="16"/>
  <c r="R331" i="16" s="1"/>
  <c r="T331" i="16" s="1"/>
  <c r="U331" i="16" s="1"/>
  <c r="Q268" i="16"/>
  <c r="R268" i="16" s="1"/>
  <c r="T268" i="16" s="1"/>
  <c r="U268" i="16" s="1"/>
  <c r="Q132" i="16"/>
  <c r="R132" i="16" s="1"/>
  <c r="T132" i="16" s="1"/>
  <c r="U132" i="16" s="1"/>
  <c r="Q561" i="16"/>
  <c r="R561" i="16" s="1"/>
  <c r="T561" i="16" s="1"/>
  <c r="U561" i="16" s="1"/>
  <c r="Q553" i="16"/>
  <c r="R553" i="16" s="1"/>
  <c r="T553" i="16" s="1"/>
  <c r="U553" i="16" s="1"/>
  <c r="Q544" i="16"/>
  <c r="R544" i="16" s="1"/>
  <c r="T544" i="16" s="1"/>
  <c r="U544" i="16" s="1"/>
  <c r="Q481" i="16"/>
  <c r="R481" i="16" s="1"/>
  <c r="T481" i="16" s="1"/>
  <c r="U481" i="16" s="1"/>
  <c r="Q313" i="16"/>
  <c r="R313" i="16" s="1"/>
  <c r="T313" i="16" s="1"/>
  <c r="U313" i="16" s="1"/>
  <c r="Q305" i="16"/>
  <c r="R305" i="16" s="1"/>
  <c r="T305" i="16" s="1"/>
  <c r="U305" i="16" s="1"/>
  <c r="Q189" i="16"/>
  <c r="R189" i="16" s="1"/>
  <c r="T189" i="16" s="1"/>
  <c r="U189" i="16" s="1"/>
  <c r="Q125" i="16"/>
  <c r="R125" i="16" s="1"/>
  <c r="T125" i="16" s="1"/>
  <c r="U125" i="16" s="1"/>
  <c r="Q97" i="16"/>
  <c r="R97" i="16" s="1"/>
  <c r="T97" i="16" s="1"/>
  <c r="U97" i="16" s="1"/>
  <c r="Q18" i="16"/>
  <c r="R18" i="16" s="1"/>
  <c r="T18" i="16" s="1"/>
  <c r="U18" i="16" s="1"/>
  <c r="Q16" i="16"/>
  <c r="R16" i="16" s="1"/>
  <c r="T16" i="16" s="1"/>
  <c r="U16" i="16" s="1"/>
  <c r="Q667" i="16"/>
  <c r="R667" i="16" s="1"/>
  <c r="T667" i="16" s="1"/>
  <c r="U667" i="16" s="1"/>
  <c r="Q755" i="16"/>
  <c r="R755" i="16" s="1"/>
  <c r="T755" i="16" s="1"/>
  <c r="U755" i="16" s="1"/>
  <c r="S565" i="16"/>
  <c r="Q432" i="16"/>
  <c r="R432" i="16" s="1"/>
  <c r="T432" i="16" s="1"/>
  <c r="U432" i="16" s="1"/>
  <c r="S195" i="16"/>
  <c r="S691" i="16"/>
  <c r="Q588" i="16"/>
  <c r="R588" i="16" s="1"/>
  <c r="T588" i="16" s="1"/>
  <c r="U588" i="16" s="1"/>
  <c r="Q454" i="16"/>
  <c r="R454" i="16" s="1"/>
  <c r="T454" i="16" s="1"/>
  <c r="U454" i="16" s="1"/>
  <c r="Q716" i="16"/>
  <c r="R716" i="16" s="1"/>
  <c r="T716" i="16" s="1"/>
  <c r="U716" i="16" s="1"/>
  <c r="S628" i="16"/>
  <c r="S498" i="16"/>
  <c r="S424" i="16"/>
  <c r="S318" i="16"/>
  <c r="S215" i="16"/>
  <c r="S88" i="16"/>
  <c r="Q683" i="16"/>
  <c r="R683" i="16" s="1"/>
  <c r="T683" i="16" s="1"/>
  <c r="U683" i="16" s="1"/>
  <c r="Q431" i="16"/>
  <c r="R431" i="16" s="1"/>
  <c r="T431" i="16" s="1"/>
  <c r="U431" i="16" s="1"/>
  <c r="Q427" i="16"/>
  <c r="R427" i="16" s="1"/>
  <c r="T427" i="16" s="1"/>
  <c r="U427" i="16" s="1"/>
  <c r="Q392" i="16"/>
  <c r="R392" i="16" s="1"/>
  <c r="T392" i="16" s="1"/>
  <c r="U392" i="16" s="1"/>
  <c r="Q288" i="16"/>
  <c r="R288" i="16" s="1"/>
  <c r="T288" i="16" s="1"/>
  <c r="U288" i="16" s="1"/>
  <c r="Q258" i="16"/>
  <c r="R258" i="16" s="1"/>
  <c r="T258" i="16" s="1"/>
  <c r="U258" i="16" s="1"/>
  <c r="Q208" i="16"/>
  <c r="R208" i="16" s="1"/>
  <c r="T208" i="16" s="1"/>
  <c r="U208" i="16" s="1"/>
  <c r="Q514" i="16"/>
  <c r="R514" i="16" s="1"/>
  <c r="T514" i="16" s="1"/>
  <c r="U514" i="16" s="1"/>
  <c r="Q229" i="16"/>
  <c r="R229" i="16" s="1"/>
  <c r="T229" i="16" s="1"/>
  <c r="U229" i="16" s="1"/>
  <c r="Q213" i="16"/>
  <c r="R213" i="16" s="1"/>
  <c r="T213" i="16" s="1"/>
  <c r="U213" i="16" s="1"/>
  <c r="Q205" i="16"/>
  <c r="R205" i="16" s="1"/>
  <c r="T205" i="16" s="1"/>
  <c r="U205" i="16" s="1"/>
  <c r="Q197" i="16"/>
  <c r="R197" i="16" s="1"/>
  <c r="T197" i="16" s="1"/>
  <c r="U197" i="16" s="1"/>
  <c r="Q7" i="16"/>
  <c r="R7" i="16" s="1"/>
  <c r="T7" i="16" s="1"/>
  <c r="U7" i="16" s="1"/>
  <c r="V7" i="16" s="1"/>
  <c r="W7" i="16" s="1"/>
  <c r="X7" i="16" s="1"/>
  <c r="N13" i="2" s="1"/>
  <c r="K15" i="19" s="1"/>
  <c r="Q200" i="16"/>
  <c r="R200" i="16" s="1"/>
  <c r="T200" i="16" s="1"/>
  <c r="U200" i="16" s="1"/>
  <c r="Q106" i="16"/>
  <c r="R106" i="16" s="1"/>
  <c r="T106" i="16" s="1"/>
  <c r="U106" i="16" s="1"/>
  <c r="Q124" i="16"/>
  <c r="R124" i="16" s="1"/>
  <c r="T124" i="16" s="1"/>
  <c r="U124" i="16" s="1"/>
  <c r="Q705" i="16"/>
  <c r="R705" i="16" s="1"/>
  <c r="T705" i="16" s="1"/>
  <c r="U705" i="16" s="1"/>
  <c r="S163" i="16"/>
  <c r="Q180" i="16"/>
  <c r="R180" i="16" s="1"/>
  <c r="T180" i="16" s="1"/>
  <c r="U180" i="16" s="1"/>
  <c r="S559" i="16"/>
  <c r="S342" i="16"/>
  <c r="S267" i="16"/>
  <c r="S247" i="16"/>
  <c r="S207" i="16"/>
  <c r="S189" i="16"/>
  <c r="Q513" i="16"/>
  <c r="R513" i="16" s="1"/>
  <c r="T513" i="16" s="1"/>
  <c r="U513" i="16" s="1"/>
  <c r="Q423" i="16"/>
  <c r="R423" i="16" s="1"/>
  <c r="T423" i="16" s="1"/>
  <c r="U423" i="16" s="1"/>
  <c r="Q343" i="16"/>
  <c r="R343" i="16" s="1"/>
  <c r="T343" i="16" s="1"/>
  <c r="U343" i="16" s="1"/>
  <c r="Q147" i="16"/>
  <c r="R147" i="16" s="1"/>
  <c r="T147" i="16" s="1"/>
  <c r="U147" i="16" s="1"/>
  <c r="Q139" i="16"/>
  <c r="R139" i="16" s="1"/>
  <c r="T139" i="16" s="1"/>
  <c r="U139" i="16" s="1"/>
  <c r="A9" i="7"/>
  <c r="A6" i="9"/>
  <c r="F3" i="14"/>
  <c r="S7" i="16"/>
  <c r="Q259" i="16"/>
  <c r="R259" i="16" s="1"/>
  <c r="T259" i="16" s="1"/>
  <c r="U259" i="16" s="1"/>
  <c r="Q260" i="16"/>
  <c r="R260" i="16" s="1"/>
  <c r="T260" i="16" s="1"/>
  <c r="U260" i="16" s="1"/>
  <c r="S259" i="16"/>
  <c r="Q251" i="16"/>
  <c r="R251" i="16" s="1"/>
  <c r="T251" i="16" s="1"/>
  <c r="U251" i="16" s="1"/>
  <c r="Q252" i="16"/>
  <c r="R252" i="16" s="1"/>
  <c r="T252" i="16" s="1"/>
  <c r="U252" i="16" s="1"/>
  <c r="Q243" i="16"/>
  <c r="R243" i="16" s="1"/>
  <c r="T243" i="16" s="1"/>
  <c r="U243" i="16" s="1"/>
  <c r="S243" i="16"/>
  <c r="Q235" i="16"/>
  <c r="R235" i="16" s="1"/>
  <c r="T235" i="16" s="1"/>
  <c r="U235" i="16" s="1"/>
  <c r="S235" i="16"/>
  <c r="S227" i="16"/>
  <c r="Q227" i="16"/>
  <c r="R227" i="16" s="1"/>
  <c r="T227" i="16" s="1"/>
  <c r="U227" i="16" s="1"/>
  <c r="Q228" i="16"/>
  <c r="R228" i="16" s="1"/>
  <c r="T228" i="16" s="1"/>
  <c r="U228" i="16" s="1"/>
  <c r="S150" i="16"/>
  <c r="Q150" i="16"/>
  <c r="R150" i="16" s="1"/>
  <c r="T150" i="16" s="1"/>
  <c r="U150" i="16" s="1"/>
  <c r="Q143" i="16"/>
  <c r="R143" i="16" s="1"/>
  <c r="T143" i="16" s="1"/>
  <c r="U143" i="16" s="1"/>
  <c r="Q142" i="16"/>
  <c r="R142" i="16" s="1"/>
  <c r="T142" i="16" s="1"/>
  <c r="U142" i="16" s="1"/>
  <c r="S142" i="16"/>
  <c r="Q135" i="16"/>
  <c r="R135" i="16" s="1"/>
  <c r="T135" i="16" s="1"/>
  <c r="U135" i="16" s="1"/>
  <c r="Q134" i="16"/>
  <c r="R134" i="16" s="1"/>
  <c r="T134" i="16" s="1"/>
  <c r="U134" i="16" s="1"/>
  <c r="S134" i="16"/>
  <c r="Q750" i="16"/>
  <c r="R750" i="16" s="1"/>
  <c r="T750" i="16" s="1"/>
  <c r="U750" i="16" s="1"/>
  <c r="S750" i="16"/>
  <c r="Q751" i="16"/>
  <c r="R751" i="16" s="1"/>
  <c r="T751" i="16" s="1"/>
  <c r="U751" i="16" s="1"/>
  <c r="Q734" i="16"/>
  <c r="R734" i="16" s="1"/>
  <c r="T734" i="16" s="1"/>
  <c r="U734" i="16" s="1"/>
  <c r="Q735" i="16"/>
  <c r="R735" i="16" s="1"/>
  <c r="T735" i="16" s="1"/>
  <c r="U735" i="16" s="1"/>
  <c r="S734" i="16"/>
  <c r="Q719" i="16"/>
  <c r="R719" i="16" s="1"/>
  <c r="T719" i="16" s="1"/>
  <c r="U719" i="16" s="1"/>
  <c r="Q720" i="16"/>
  <c r="R720" i="16" s="1"/>
  <c r="T720" i="16" s="1"/>
  <c r="U720" i="16" s="1"/>
  <c r="S719" i="16"/>
  <c r="Q695" i="16"/>
  <c r="R695" i="16" s="1"/>
  <c r="T695" i="16" s="1"/>
  <c r="U695" i="16" s="1"/>
  <c r="Q696" i="16"/>
  <c r="R696" i="16" s="1"/>
  <c r="T696" i="16" s="1"/>
  <c r="U696" i="16" s="1"/>
  <c r="S695" i="16"/>
  <c r="Q673" i="16"/>
  <c r="R673" i="16" s="1"/>
  <c r="T673" i="16" s="1"/>
  <c r="U673" i="16" s="1"/>
  <c r="Q672" i="16"/>
  <c r="R672" i="16" s="1"/>
  <c r="T672" i="16" s="1"/>
  <c r="U672" i="16" s="1"/>
  <c r="S672" i="16"/>
  <c r="Q640" i="16"/>
  <c r="R640" i="16" s="1"/>
  <c r="T640" i="16" s="1"/>
  <c r="U640" i="16" s="1"/>
  <c r="S640" i="16"/>
  <c r="Q641" i="16"/>
  <c r="R641" i="16" s="1"/>
  <c r="T641" i="16" s="1"/>
  <c r="U641" i="16" s="1"/>
  <c r="Q557" i="16"/>
  <c r="R557" i="16" s="1"/>
  <c r="T557" i="16" s="1"/>
  <c r="U557" i="16" s="1"/>
  <c r="Q558" i="16"/>
  <c r="R558" i="16" s="1"/>
  <c r="T558" i="16" s="1"/>
  <c r="U558" i="16" s="1"/>
  <c r="S557" i="16"/>
  <c r="Q541" i="16"/>
  <c r="R541" i="16" s="1"/>
  <c r="T541" i="16" s="1"/>
  <c r="U541" i="16" s="1"/>
  <c r="S541" i="16"/>
  <c r="Q542" i="16"/>
  <c r="R542" i="16" s="1"/>
  <c r="T542" i="16" s="1"/>
  <c r="U542" i="16" s="1"/>
  <c r="Q757" i="16"/>
  <c r="R757" i="16" s="1"/>
  <c r="T757" i="16" s="1"/>
  <c r="U757" i="16" s="1"/>
  <c r="Q758" i="16"/>
  <c r="R758" i="16" s="1"/>
  <c r="T758" i="16" s="1"/>
  <c r="U758" i="16" s="1"/>
  <c r="S757" i="16"/>
  <c r="Q742" i="16"/>
  <c r="R742" i="16" s="1"/>
  <c r="T742" i="16" s="1"/>
  <c r="U742" i="16" s="1"/>
  <c r="Q743" i="16"/>
  <c r="R743" i="16" s="1"/>
  <c r="T743" i="16" s="1"/>
  <c r="U743" i="16" s="1"/>
  <c r="S742" i="16"/>
  <c r="Q728" i="16"/>
  <c r="R728" i="16" s="1"/>
  <c r="T728" i="16" s="1"/>
  <c r="U728" i="16" s="1"/>
  <c r="Q727" i="16"/>
  <c r="R727" i="16" s="1"/>
  <c r="T727" i="16" s="1"/>
  <c r="U727" i="16" s="1"/>
  <c r="Q711" i="16"/>
  <c r="R711" i="16" s="1"/>
  <c r="T711" i="16" s="1"/>
  <c r="U711" i="16" s="1"/>
  <c r="Q712" i="16"/>
  <c r="R712" i="16" s="1"/>
  <c r="T712" i="16" s="1"/>
  <c r="U712" i="16" s="1"/>
  <c r="S711" i="16"/>
  <c r="Q703" i="16"/>
  <c r="R703" i="16" s="1"/>
  <c r="T703" i="16" s="1"/>
  <c r="U703" i="16" s="1"/>
  <c r="Q704" i="16"/>
  <c r="R704" i="16" s="1"/>
  <c r="T704" i="16" s="1"/>
  <c r="U704" i="16" s="1"/>
  <c r="S703" i="16"/>
  <c r="S687" i="16"/>
  <c r="Q687" i="16"/>
  <c r="R687" i="16" s="1"/>
  <c r="T687" i="16" s="1"/>
  <c r="U687" i="16" s="1"/>
  <c r="Q688" i="16"/>
  <c r="R688" i="16" s="1"/>
  <c r="T688" i="16" s="1"/>
  <c r="U688" i="16" s="1"/>
  <c r="Q681" i="16"/>
  <c r="R681" i="16" s="1"/>
  <c r="T681" i="16" s="1"/>
  <c r="U681" i="16" s="1"/>
  <c r="S680" i="16"/>
  <c r="Q680" i="16"/>
  <c r="R680" i="16" s="1"/>
  <c r="T680" i="16" s="1"/>
  <c r="U680" i="16" s="1"/>
  <c r="Q665" i="16"/>
  <c r="R665" i="16" s="1"/>
  <c r="T665" i="16" s="1"/>
  <c r="U665" i="16" s="1"/>
  <c r="S664" i="16"/>
  <c r="Q664" i="16"/>
  <c r="R664" i="16" s="1"/>
  <c r="T664" i="16" s="1"/>
  <c r="U664" i="16" s="1"/>
  <c r="Q657" i="16"/>
  <c r="R657" i="16" s="1"/>
  <c r="T657" i="16" s="1"/>
  <c r="U657" i="16" s="1"/>
  <c r="Q656" i="16"/>
  <c r="R656" i="16" s="1"/>
  <c r="T656" i="16" s="1"/>
  <c r="U656" i="16" s="1"/>
  <c r="S656" i="16"/>
  <c r="Q649" i="16"/>
  <c r="R649" i="16" s="1"/>
  <c r="T649" i="16" s="1"/>
  <c r="U649" i="16" s="1"/>
  <c r="S648" i="16"/>
  <c r="Q648" i="16"/>
  <c r="R648" i="16" s="1"/>
  <c r="T648" i="16" s="1"/>
  <c r="U648" i="16" s="1"/>
  <c r="Q633" i="16"/>
  <c r="R633" i="16" s="1"/>
  <c r="T633" i="16" s="1"/>
  <c r="U633" i="16" s="1"/>
  <c r="S632" i="16"/>
  <c r="Q632" i="16"/>
  <c r="R632" i="16" s="1"/>
  <c r="T632" i="16" s="1"/>
  <c r="U632" i="16" s="1"/>
  <c r="Q625" i="16"/>
  <c r="R625" i="16" s="1"/>
  <c r="T625" i="16" s="1"/>
  <c r="U625" i="16" s="1"/>
  <c r="S624" i="16"/>
  <c r="Q624" i="16"/>
  <c r="R624" i="16" s="1"/>
  <c r="T624" i="16" s="1"/>
  <c r="U624" i="16" s="1"/>
  <c r="Q616" i="16"/>
  <c r="R616" i="16" s="1"/>
  <c r="T616" i="16" s="1"/>
  <c r="U616" i="16" s="1"/>
  <c r="S616" i="16"/>
  <c r="Q617" i="16"/>
  <c r="R617" i="16" s="1"/>
  <c r="T617" i="16" s="1"/>
  <c r="U617" i="16" s="1"/>
  <c r="Q608" i="16"/>
  <c r="R608" i="16" s="1"/>
  <c r="T608" i="16" s="1"/>
  <c r="U608" i="16" s="1"/>
  <c r="Q609" i="16"/>
  <c r="R609" i="16" s="1"/>
  <c r="T609" i="16" s="1"/>
  <c r="U609" i="16" s="1"/>
  <c r="S608" i="16"/>
  <c r="Q601" i="16"/>
  <c r="R601" i="16" s="1"/>
  <c r="T601" i="16" s="1"/>
  <c r="U601" i="16" s="1"/>
  <c r="Q602" i="16"/>
  <c r="R602" i="16" s="1"/>
  <c r="T602" i="16" s="1"/>
  <c r="U602" i="16" s="1"/>
  <c r="S601" i="16"/>
  <c r="Q550" i="16"/>
  <c r="R550" i="16" s="1"/>
  <c r="T550" i="16" s="1"/>
  <c r="U550" i="16" s="1"/>
  <c r="Q549" i="16"/>
  <c r="R549" i="16" s="1"/>
  <c r="T549" i="16" s="1"/>
  <c r="U549" i="16" s="1"/>
  <c r="S549" i="16"/>
  <c r="Q417" i="16"/>
  <c r="R417" i="16" s="1"/>
  <c r="T417" i="16" s="1"/>
  <c r="U417" i="16" s="1"/>
  <c r="S417" i="16"/>
  <c r="Q409" i="16"/>
  <c r="R409" i="16" s="1"/>
  <c r="T409" i="16" s="1"/>
  <c r="U409" i="16" s="1"/>
  <c r="S409" i="16"/>
  <c r="S401" i="16"/>
  <c r="Q401" i="16"/>
  <c r="R401" i="16" s="1"/>
  <c r="T401" i="16" s="1"/>
  <c r="U401" i="16" s="1"/>
  <c r="Q393" i="16"/>
  <c r="R393" i="16" s="1"/>
  <c r="T393" i="16" s="1"/>
  <c r="U393" i="16" s="1"/>
  <c r="S385" i="16"/>
  <c r="Q385" i="16"/>
  <c r="R385" i="16" s="1"/>
  <c r="T385" i="16" s="1"/>
  <c r="U385" i="16" s="1"/>
  <c r="Q377" i="16"/>
  <c r="R377" i="16" s="1"/>
  <c r="T377" i="16" s="1"/>
  <c r="U377" i="16" s="1"/>
  <c r="S377" i="16"/>
  <c r="Q369" i="16"/>
  <c r="R369" i="16" s="1"/>
  <c r="T369" i="16" s="1"/>
  <c r="U369" i="16" s="1"/>
  <c r="S369" i="16"/>
  <c r="Q361" i="16"/>
  <c r="R361" i="16" s="1"/>
  <c r="T361" i="16" s="1"/>
  <c r="U361" i="16" s="1"/>
  <c r="S361" i="16"/>
  <c r="Q353" i="16"/>
  <c r="R353" i="16" s="1"/>
  <c r="T353" i="16" s="1"/>
  <c r="U353" i="16" s="1"/>
  <c r="S353" i="16"/>
  <c r="Q77" i="16"/>
  <c r="R77" i="16" s="1"/>
  <c r="T77" i="16" s="1"/>
  <c r="U77" i="16" s="1"/>
  <c r="S77" i="16"/>
  <c r="Q69" i="16"/>
  <c r="R69" i="16" s="1"/>
  <c r="T69" i="16" s="1"/>
  <c r="U69" i="16" s="1"/>
  <c r="S69" i="16"/>
  <c r="Q8" i="16"/>
  <c r="R8" i="16" s="1"/>
  <c r="T8" i="16" s="1"/>
  <c r="U8" i="16" s="1"/>
  <c r="Q529" i="16"/>
  <c r="R529" i="16" s="1"/>
  <c r="T529" i="16" s="1"/>
  <c r="U529" i="16" s="1"/>
  <c r="S529" i="16"/>
  <c r="Q530" i="16"/>
  <c r="R530" i="16" s="1"/>
  <c r="T530" i="16" s="1"/>
  <c r="U530" i="16" s="1"/>
  <c r="S485" i="16"/>
  <c r="Q43" i="16"/>
  <c r="R43" i="16" s="1"/>
  <c r="T43" i="16" s="1"/>
  <c r="U43" i="16" s="1"/>
  <c r="Q44" i="16"/>
  <c r="R44" i="16" s="1"/>
  <c r="T44" i="16" s="1"/>
  <c r="U44" i="16" s="1"/>
  <c r="T717" i="16"/>
  <c r="U717" i="16" s="1"/>
  <c r="Q36" i="16"/>
  <c r="R36" i="16" s="1"/>
  <c r="T36" i="16" s="1"/>
  <c r="U36" i="16" s="1"/>
  <c r="S36" i="16"/>
  <c r="Q538" i="16"/>
  <c r="R538" i="16" s="1"/>
  <c r="T538" i="16" s="1"/>
  <c r="U538" i="16" s="1"/>
  <c r="S537" i="16"/>
  <c r="Q522" i="16"/>
  <c r="R522" i="16" s="1"/>
  <c r="T522" i="16" s="1"/>
  <c r="U522" i="16" s="1"/>
  <c r="S521" i="16"/>
  <c r="S493" i="16"/>
  <c r="S477" i="16"/>
  <c r="Q52" i="16"/>
  <c r="R52" i="16" s="1"/>
  <c r="T52" i="16" s="1"/>
  <c r="U52" i="16" s="1"/>
  <c r="S51" i="16"/>
  <c r="Q556" i="16"/>
  <c r="R556" i="16" s="1"/>
  <c r="T556" i="16" s="1"/>
  <c r="U556" i="16" s="1"/>
  <c r="S556" i="16"/>
  <c r="Q548" i="16"/>
  <c r="R548" i="16" s="1"/>
  <c r="T548" i="16" s="1"/>
  <c r="U548" i="16" s="1"/>
  <c r="S548" i="16"/>
  <c r="S540" i="16"/>
  <c r="Q540" i="16"/>
  <c r="R540" i="16" s="1"/>
  <c r="T540" i="16" s="1"/>
  <c r="U540" i="16" s="1"/>
  <c r="Q54" i="16"/>
  <c r="R54" i="16" s="1"/>
  <c r="T54" i="16" s="1"/>
  <c r="U54" i="16" s="1"/>
  <c r="S54" i="16"/>
  <c r="Q55" i="16"/>
  <c r="R55" i="16" s="1"/>
  <c r="T55" i="16" s="1"/>
  <c r="U55" i="16" s="1"/>
  <c r="S46" i="16"/>
  <c r="Q47" i="16"/>
  <c r="R47" i="16" s="1"/>
  <c r="T47" i="16" s="1"/>
  <c r="U47" i="16" s="1"/>
  <c r="Q19" i="16"/>
  <c r="R19" i="16" s="1"/>
  <c r="T19" i="16" s="1"/>
  <c r="U19" i="16" s="1"/>
  <c r="S12" i="16"/>
  <c r="Q12" i="16"/>
  <c r="R12" i="16" s="1"/>
  <c r="T12" i="16" s="1"/>
  <c r="U12" i="16" s="1"/>
  <c r="Q100" i="16"/>
  <c r="R100" i="16" s="1"/>
  <c r="T100" i="16" s="1"/>
  <c r="U100" i="16" s="1"/>
  <c r="S100" i="16"/>
  <c r="Q494" i="16"/>
  <c r="R494" i="16" s="1"/>
  <c r="T494" i="16" s="1"/>
  <c r="U494" i="16" s="1"/>
  <c r="S494" i="16"/>
  <c r="Q495" i="16"/>
  <c r="R495" i="16" s="1"/>
  <c r="T495" i="16" s="1"/>
  <c r="U495" i="16" s="1"/>
  <c r="Q487" i="16"/>
  <c r="R487" i="16" s="1"/>
  <c r="T487" i="16" s="1"/>
  <c r="U487" i="16" s="1"/>
  <c r="S486" i="16"/>
  <c r="Q486" i="16"/>
  <c r="R486" i="16" s="1"/>
  <c r="T486" i="16" s="1"/>
  <c r="U486" i="16" s="1"/>
  <c r="Q478" i="16"/>
  <c r="R478" i="16" s="1"/>
  <c r="T478" i="16" s="1"/>
  <c r="U478" i="16" s="1"/>
  <c r="S478" i="16"/>
  <c r="Q479" i="16"/>
  <c r="R479" i="16" s="1"/>
  <c r="T479" i="16" s="1"/>
  <c r="U479" i="16" s="1"/>
  <c r="Q470" i="16"/>
  <c r="R470" i="16" s="1"/>
  <c r="T470" i="16" s="1"/>
  <c r="U470" i="16" s="1"/>
  <c r="S470" i="16"/>
  <c r="Q345" i="16"/>
  <c r="R345" i="16" s="1"/>
  <c r="T345" i="16" s="1"/>
  <c r="U345" i="16" s="1"/>
  <c r="S345" i="16"/>
  <c r="S337" i="16"/>
  <c r="Q337" i="16"/>
  <c r="R337" i="16" s="1"/>
  <c r="T337" i="16" s="1"/>
  <c r="U337" i="16" s="1"/>
  <c r="Q329" i="16"/>
  <c r="R329" i="16" s="1"/>
  <c r="T329" i="16" s="1"/>
  <c r="U329" i="16" s="1"/>
  <c r="S329" i="16"/>
  <c r="S321" i="16"/>
  <c r="Q321" i="16"/>
  <c r="R321" i="16" s="1"/>
  <c r="T321" i="16" s="1"/>
  <c r="U321" i="16" s="1"/>
  <c r="Q297" i="16"/>
  <c r="R297" i="16" s="1"/>
  <c r="T297" i="16" s="1"/>
  <c r="U297" i="16" s="1"/>
  <c r="S297" i="16"/>
  <c r="S219" i="16"/>
  <c r="Q219" i="16"/>
  <c r="R219" i="16" s="1"/>
  <c r="T219" i="16" s="1"/>
  <c r="U219" i="16" s="1"/>
  <c r="Q211" i="16"/>
  <c r="R211" i="16" s="1"/>
  <c r="T211" i="16" s="1"/>
  <c r="U211" i="16" s="1"/>
  <c r="S211" i="16"/>
  <c r="Q212" i="16"/>
  <c r="R212" i="16" s="1"/>
  <c r="T212" i="16" s="1"/>
  <c r="U212" i="16" s="1"/>
  <c r="Q203" i="16"/>
  <c r="R203" i="16" s="1"/>
  <c r="T203" i="16" s="1"/>
  <c r="U203" i="16" s="1"/>
  <c r="S203" i="16"/>
  <c r="Q149" i="16"/>
  <c r="R149" i="16" s="1"/>
  <c r="T149" i="16" s="1"/>
  <c r="U149" i="16" s="1"/>
  <c r="Q141" i="16"/>
  <c r="R141" i="16" s="1"/>
  <c r="T141" i="16" s="1"/>
  <c r="U141" i="16" s="1"/>
  <c r="S141" i="16"/>
  <c r="Q133" i="16"/>
  <c r="R133" i="16" s="1"/>
  <c r="T133" i="16" s="1"/>
  <c r="U133" i="16" s="1"/>
  <c r="Q38" i="16"/>
  <c r="R38" i="16" s="1"/>
  <c r="T38" i="16" s="1"/>
  <c r="U38" i="16" s="1"/>
  <c r="S37" i="16"/>
  <c r="Q37" i="16"/>
  <c r="R37" i="16" s="1"/>
  <c r="T37" i="16" s="1"/>
  <c r="U37" i="16" s="1"/>
  <c r="Q490" i="16"/>
  <c r="R490" i="16" s="1"/>
  <c r="T490" i="16" s="1"/>
  <c r="U490" i="16" s="1"/>
  <c r="Q489" i="16"/>
  <c r="R489" i="16" s="1"/>
  <c r="T489" i="16" s="1"/>
  <c r="U489" i="16" s="1"/>
  <c r="S489" i="16"/>
  <c r="Q466" i="16"/>
  <c r="R466" i="16" s="1"/>
  <c r="T466" i="16" s="1"/>
  <c r="U466" i="16" s="1"/>
  <c r="Q467" i="16"/>
  <c r="R467" i="16" s="1"/>
  <c r="T467" i="16" s="1"/>
  <c r="U467" i="16" s="1"/>
  <c r="S466" i="16"/>
  <c r="Q459" i="16"/>
  <c r="R459" i="16" s="1"/>
  <c r="T459" i="16" s="1"/>
  <c r="U459" i="16" s="1"/>
  <c r="S458" i="16"/>
  <c r="Q458" i="16"/>
  <c r="R458" i="16" s="1"/>
  <c r="T458" i="16" s="1"/>
  <c r="U458" i="16" s="1"/>
  <c r="Q450" i="16"/>
  <c r="R450" i="16" s="1"/>
  <c r="T450" i="16" s="1"/>
  <c r="U450" i="16" s="1"/>
  <c r="S450" i="16"/>
  <c r="Q442" i="16"/>
  <c r="R442" i="16" s="1"/>
  <c r="T442" i="16" s="1"/>
  <c r="U442" i="16" s="1"/>
  <c r="S442" i="16"/>
  <c r="Q443" i="16"/>
  <c r="R443" i="16" s="1"/>
  <c r="T443" i="16" s="1"/>
  <c r="U443" i="16" s="1"/>
  <c r="Q418" i="16"/>
  <c r="R418" i="16" s="1"/>
  <c r="T418" i="16" s="1"/>
  <c r="U418" i="16" s="1"/>
  <c r="Q419" i="16"/>
  <c r="R419" i="16" s="1"/>
  <c r="T419" i="16" s="1"/>
  <c r="U419" i="16" s="1"/>
  <c r="Q410" i="16"/>
  <c r="R410" i="16" s="1"/>
  <c r="T410" i="16" s="1"/>
  <c r="U410" i="16" s="1"/>
  <c r="Q411" i="16"/>
  <c r="R411" i="16" s="1"/>
  <c r="T411" i="16" s="1"/>
  <c r="U411" i="16" s="1"/>
  <c r="Q402" i="16"/>
  <c r="R402" i="16" s="1"/>
  <c r="T402" i="16" s="1"/>
  <c r="U402" i="16" s="1"/>
  <c r="S402" i="16"/>
  <c r="Q394" i="16"/>
  <c r="R394" i="16" s="1"/>
  <c r="T394" i="16" s="1"/>
  <c r="U394" i="16" s="1"/>
  <c r="S394" i="16"/>
  <c r="Q395" i="16"/>
  <c r="R395" i="16" s="1"/>
  <c r="T395" i="16" s="1"/>
  <c r="U395" i="16" s="1"/>
  <c r="Q386" i="16"/>
  <c r="R386" i="16" s="1"/>
  <c r="T386" i="16" s="1"/>
  <c r="U386" i="16" s="1"/>
  <c r="Q387" i="16"/>
  <c r="R387" i="16" s="1"/>
  <c r="T387" i="16" s="1"/>
  <c r="U387" i="16" s="1"/>
  <c r="Q378" i="16"/>
  <c r="R378" i="16" s="1"/>
  <c r="T378" i="16" s="1"/>
  <c r="U378" i="16" s="1"/>
  <c r="Q379" i="16"/>
  <c r="R379" i="16" s="1"/>
  <c r="T379" i="16" s="1"/>
  <c r="U379" i="16" s="1"/>
  <c r="S378" i="16"/>
  <c r="Q370" i="16"/>
  <c r="R370" i="16" s="1"/>
  <c r="T370" i="16" s="1"/>
  <c r="U370" i="16" s="1"/>
  <c r="Q371" i="16"/>
  <c r="R371" i="16" s="1"/>
  <c r="T371" i="16" s="1"/>
  <c r="U371" i="16" s="1"/>
  <c r="S370" i="16"/>
  <c r="Q362" i="16"/>
  <c r="R362" i="16" s="1"/>
  <c r="T362" i="16" s="1"/>
  <c r="U362" i="16" s="1"/>
  <c r="Q363" i="16"/>
  <c r="R363" i="16" s="1"/>
  <c r="T363" i="16" s="1"/>
  <c r="U363" i="16" s="1"/>
  <c r="S362" i="16"/>
  <c r="Q354" i="16"/>
  <c r="R354" i="16" s="1"/>
  <c r="T354" i="16" s="1"/>
  <c r="U354" i="16" s="1"/>
  <c r="S354" i="16"/>
  <c r="Q355" i="16"/>
  <c r="R355" i="16" s="1"/>
  <c r="T355" i="16" s="1"/>
  <c r="U355" i="16" s="1"/>
  <c r="Q185" i="16"/>
  <c r="R185" i="16" s="1"/>
  <c r="T185" i="16" s="1"/>
  <c r="U185" i="16" s="1"/>
  <c r="Q184" i="16"/>
  <c r="R184" i="16" s="1"/>
  <c r="T184" i="16" s="1"/>
  <c r="U184" i="16" s="1"/>
  <c r="S184" i="16"/>
  <c r="Q177" i="16"/>
  <c r="R177" i="16" s="1"/>
  <c r="T177" i="16" s="1"/>
  <c r="U177" i="16" s="1"/>
  <c r="Q168" i="16"/>
  <c r="R168" i="16" s="1"/>
  <c r="T168" i="16" s="1"/>
  <c r="U168" i="16" s="1"/>
  <c r="Q169" i="16"/>
  <c r="R169" i="16" s="1"/>
  <c r="T169" i="16" s="1"/>
  <c r="U169" i="16" s="1"/>
  <c r="Q161" i="16"/>
  <c r="R161" i="16" s="1"/>
  <c r="T161" i="16" s="1"/>
  <c r="U161" i="16" s="1"/>
  <c r="Q160" i="16"/>
  <c r="R160" i="16" s="1"/>
  <c r="T160" i="16" s="1"/>
  <c r="U160" i="16" s="1"/>
  <c r="S160" i="16"/>
  <c r="S55" i="16"/>
  <c r="S47" i="16"/>
  <c r="S39" i="16"/>
  <c r="T9" i="3"/>
  <c r="F2" i="14"/>
  <c r="J13" i="6"/>
  <c r="K13" i="6" s="1"/>
  <c r="Q145" i="16"/>
  <c r="R145" i="16" s="1"/>
  <c r="T145" i="16" s="1"/>
  <c r="U145" i="16" s="1"/>
  <c r="S145" i="16"/>
  <c r="Q137" i="16"/>
  <c r="R137" i="16" s="1"/>
  <c r="T137" i="16" s="1"/>
  <c r="U137" i="16" s="1"/>
  <c r="Q138" i="16"/>
  <c r="R138" i="16" s="1"/>
  <c r="T138" i="16" s="1"/>
  <c r="U138" i="16" s="1"/>
  <c r="S137" i="16"/>
  <c r="Q435" i="16"/>
  <c r="R435" i="16" s="1"/>
  <c r="T435" i="16" s="1"/>
  <c r="U435" i="16" s="1"/>
  <c r="Q176" i="16"/>
  <c r="R176" i="16" s="1"/>
  <c r="T176" i="16" s="1"/>
  <c r="U176" i="16" s="1"/>
  <c r="Q508" i="16"/>
  <c r="R508" i="16" s="1"/>
  <c r="T508" i="16" s="1"/>
  <c r="U508" i="16" s="1"/>
  <c r="Q509" i="16"/>
  <c r="R509" i="16" s="1"/>
  <c r="T509" i="16" s="1"/>
  <c r="U509" i="16" s="1"/>
  <c r="Q253" i="16"/>
  <c r="R253" i="16" s="1"/>
  <c r="T253" i="16" s="1"/>
  <c r="U253" i="16" s="1"/>
  <c r="S252" i="16"/>
  <c r="Q245" i="16"/>
  <c r="R245" i="16" s="1"/>
  <c r="T245" i="16" s="1"/>
  <c r="U245" i="16" s="1"/>
  <c r="Q244" i="16"/>
  <c r="R244" i="16" s="1"/>
  <c r="T244" i="16" s="1"/>
  <c r="U244" i="16" s="1"/>
  <c r="Q237" i="16"/>
  <c r="R237" i="16" s="1"/>
  <c r="T237" i="16" s="1"/>
  <c r="U237" i="16" s="1"/>
  <c r="Q236" i="16"/>
  <c r="R236" i="16" s="1"/>
  <c r="T236" i="16" s="1"/>
  <c r="U236" i="16" s="1"/>
  <c r="Q221" i="16"/>
  <c r="R221" i="16" s="1"/>
  <c r="T221" i="16" s="1"/>
  <c r="U221" i="16" s="1"/>
  <c r="Q220" i="16"/>
  <c r="R220" i="16" s="1"/>
  <c r="T220" i="16" s="1"/>
  <c r="U220" i="16" s="1"/>
  <c r="S220" i="16"/>
  <c r="Q151" i="16"/>
  <c r="R151" i="16" s="1"/>
  <c r="T151" i="16" s="1"/>
  <c r="U151" i="16" s="1"/>
  <c r="Q101" i="16"/>
  <c r="R101" i="16" s="1"/>
  <c r="T101" i="16" s="1"/>
  <c r="U101" i="16" s="1"/>
  <c r="Q9" i="16"/>
  <c r="R9" i="16" s="1"/>
  <c r="T9" i="16" s="1"/>
  <c r="U9" i="16" s="1"/>
  <c r="S285" i="16"/>
  <c r="Q285" i="16"/>
  <c r="R285" i="16" s="1"/>
  <c r="T285" i="16" s="1"/>
  <c r="U285" i="16" s="1"/>
  <c r="S107" i="16"/>
  <c r="Q108" i="16"/>
  <c r="R108" i="16" s="1"/>
  <c r="T108" i="16" s="1"/>
  <c r="U108" i="16" s="1"/>
  <c r="T551" i="16"/>
  <c r="U551" i="16" s="1"/>
  <c r="Q581" i="16"/>
  <c r="R581" i="16" s="1"/>
  <c r="T581" i="16" s="1"/>
  <c r="U581" i="16" s="1"/>
  <c r="Q582" i="16"/>
  <c r="R582" i="16" s="1"/>
  <c r="T582" i="16" s="1"/>
  <c r="U582" i="16" s="1"/>
  <c r="Q512" i="16"/>
  <c r="R512" i="16" s="1"/>
  <c r="T512" i="16" s="1"/>
  <c r="U512" i="16" s="1"/>
  <c r="S512" i="16"/>
  <c r="Q310" i="16"/>
  <c r="R310" i="16" s="1"/>
  <c r="T310" i="16" s="1"/>
  <c r="U310" i="16" s="1"/>
  <c r="Q311" i="16"/>
  <c r="R311" i="16" s="1"/>
  <c r="T311" i="16" s="1"/>
  <c r="U311" i="16" s="1"/>
  <c r="S310" i="16"/>
  <c r="Q302" i="16"/>
  <c r="R302" i="16" s="1"/>
  <c r="T302" i="16" s="1"/>
  <c r="U302" i="16" s="1"/>
  <c r="S302" i="16"/>
  <c r="Q303" i="16"/>
  <c r="R303" i="16" s="1"/>
  <c r="T303" i="16" s="1"/>
  <c r="U303" i="16" s="1"/>
  <c r="Q294" i="16"/>
  <c r="R294" i="16" s="1"/>
  <c r="T294" i="16" s="1"/>
  <c r="U294" i="16" s="1"/>
  <c r="Q295" i="16"/>
  <c r="R295" i="16" s="1"/>
  <c r="T295" i="16" s="1"/>
  <c r="U295" i="16" s="1"/>
  <c r="S294" i="16"/>
  <c r="Q257" i="16"/>
  <c r="R257" i="16" s="1"/>
  <c r="T257" i="16" s="1"/>
  <c r="U257" i="16" s="1"/>
  <c r="Q256" i="16"/>
  <c r="R256" i="16" s="1"/>
  <c r="T256" i="16" s="1"/>
  <c r="U256" i="16" s="1"/>
  <c r="Q249" i="16"/>
  <c r="R249" i="16" s="1"/>
  <c r="T249" i="16" s="1"/>
  <c r="U249" i="16" s="1"/>
  <c r="Q248" i="16"/>
  <c r="R248" i="16" s="1"/>
  <c r="T248" i="16" s="1"/>
  <c r="U248" i="16" s="1"/>
  <c r="Q241" i="16"/>
  <c r="R241" i="16" s="1"/>
  <c r="T241" i="16" s="1"/>
  <c r="U241" i="16" s="1"/>
  <c r="Q240" i="16"/>
  <c r="R240" i="16" s="1"/>
  <c r="T240" i="16" s="1"/>
  <c r="U240" i="16" s="1"/>
  <c r="Q233" i="16"/>
  <c r="R233" i="16" s="1"/>
  <c r="T233" i="16" s="1"/>
  <c r="U233" i="16" s="1"/>
  <c r="Q232" i="16"/>
  <c r="R232" i="16" s="1"/>
  <c r="T232" i="16" s="1"/>
  <c r="U232" i="16" s="1"/>
  <c r="Q225" i="16"/>
  <c r="R225" i="16" s="1"/>
  <c r="T225" i="16" s="1"/>
  <c r="U225" i="16" s="1"/>
  <c r="S224" i="16"/>
  <c r="Q224" i="16"/>
  <c r="R224" i="16" s="1"/>
  <c r="T224" i="16" s="1"/>
  <c r="U224" i="16" s="1"/>
  <c r="Q82" i="16"/>
  <c r="R82" i="16" s="1"/>
  <c r="T82" i="16" s="1"/>
  <c r="U82" i="16" s="1"/>
  <c r="S82" i="16"/>
  <c r="Q506" i="16"/>
  <c r="R506" i="16" s="1"/>
  <c r="T506" i="16" s="1"/>
  <c r="U506" i="16" s="1"/>
  <c r="Q505" i="16"/>
  <c r="R505" i="16" s="1"/>
  <c r="T505" i="16" s="1"/>
  <c r="U505" i="16" s="1"/>
  <c r="S505" i="16"/>
  <c r="S397" i="16"/>
  <c r="Q397" i="16"/>
  <c r="R397" i="16" s="1"/>
  <c r="T397" i="16" s="1"/>
  <c r="U397" i="16" s="1"/>
  <c r="Q389" i="16"/>
  <c r="R389" i="16" s="1"/>
  <c r="T389" i="16" s="1"/>
  <c r="U389" i="16" s="1"/>
  <c r="S389" i="16"/>
  <c r="Q280" i="16"/>
  <c r="R280" i="16" s="1"/>
  <c r="T280" i="16" s="1"/>
  <c r="U280" i="16" s="1"/>
  <c r="S280" i="16"/>
  <c r="Q264" i="16"/>
  <c r="R264" i="16" s="1"/>
  <c r="T264" i="16" s="1"/>
  <c r="U264" i="16" s="1"/>
  <c r="S264" i="16"/>
  <c r="Q181" i="16"/>
  <c r="R181" i="16" s="1"/>
  <c r="T181" i="16" s="1"/>
  <c r="U181" i="16" s="1"/>
  <c r="S180" i="16"/>
  <c r="Q173" i="16"/>
  <c r="R173" i="16" s="1"/>
  <c r="T173" i="16" s="1"/>
  <c r="U173" i="16" s="1"/>
  <c r="S172" i="16"/>
  <c r="Q165" i="16"/>
  <c r="R165" i="16" s="1"/>
  <c r="T165" i="16" s="1"/>
  <c r="U165" i="16" s="1"/>
  <c r="S164" i="16"/>
  <c r="Q157" i="16"/>
  <c r="R157" i="16" s="1"/>
  <c r="T157" i="16" s="1"/>
  <c r="U157" i="16" s="1"/>
  <c r="S156" i="16"/>
  <c r="Q156" i="16"/>
  <c r="R156" i="16" s="1"/>
  <c r="T156" i="16" s="1"/>
  <c r="U156" i="16" s="1"/>
  <c r="Q30" i="16"/>
  <c r="R30" i="16" s="1"/>
  <c r="T30" i="16" s="1"/>
  <c r="U30" i="16" s="1"/>
  <c r="Q130" i="16"/>
  <c r="R130" i="16" s="1"/>
  <c r="T130" i="16" s="1"/>
  <c r="U130" i="16" s="1"/>
  <c r="Q131" i="16"/>
  <c r="R131" i="16" s="1"/>
  <c r="T131" i="16" s="1"/>
  <c r="U131" i="16" s="1"/>
  <c r="Q281" i="16"/>
  <c r="R281" i="16" s="1"/>
  <c r="T281" i="16" s="1"/>
  <c r="U281" i="16" s="1"/>
  <c r="Q273" i="16"/>
  <c r="R273" i="16" s="1"/>
  <c r="T273" i="16" s="1"/>
  <c r="U273" i="16" s="1"/>
  <c r="Q265" i="16"/>
  <c r="R265" i="16" s="1"/>
  <c r="T265" i="16" s="1"/>
  <c r="U265" i="16" s="1"/>
  <c r="Q116" i="16"/>
  <c r="R116" i="16" s="1"/>
  <c r="T116" i="16" s="1"/>
  <c r="U116" i="16" s="1"/>
  <c r="Q94" i="16"/>
  <c r="R94" i="16" s="1"/>
  <c r="T94" i="16" s="1"/>
  <c r="U94" i="16" s="1"/>
  <c r="Q78" i="16"/>
  <c r="R78" i="16" s="1"/>
  <c r="T78" i="16" s="1"/>
  <c r="U78" i="16" s="1"/>
  <c r="Q70" i="16"/>
  <c r="R70" i="16" s="1"/>
  <c r="T70" i="16" s="1"/>
  <c r="U70" i="16" s="1"/>
  <c r="Q482" i="16"/>
  <c r="R482" i="16" s="1"/>
  <c r="T482" i="16" s="1"/>
  <c r="U482" i="16" s="1"/>
  <c r="Q474" i="16"/>
  <c r="R474" i="16" s="1"/>
  <c r="T474" i="16" s="1"/>
  <c r="U474" i="16" s="1"/>
  <c r="Q414" i="16"/>
  <c r="R414" i="16" s="1"/>
  <c r="T414" i="16" s="1"/>
  <c r="U414" i="16" s="1"/>
  <c r="Q398" i="16"/>
  <c r="R398" i="16" s="1"/>
  <c r="T398" i="16" s="1"/>
  <c r="U398" i="16" s="1"/>
  <c r="Q390" i="16"/>
  <c r="R390" i="16" s="1"/>
  <c r="T390" i="16" s="1"/>
  <c r="U390" i="16" s="1"/>
  <c r="Q374" i="16"/>
  <c r="R374" i="16" s="1"/>
  <c r="T374" i="16" s="1"/>
  <c r="U374" i="16" s="1"/>
  <c r="Q366" i="16"/>
  <c r="R366" i="16" s="1"/>
  <c r="T366" i="16" s="1"/>
  <c r="U366" i="16" s="1"/>
  <c r="Q358" i="16"/>
  <c r="R358" i="16" s="1"/>
  <c r="T358" i="16" s="1"/>
  <c r="U358" i="16" s="1"/>
  <c r="Q346" i="16"/>
  <c r="R346" i="16" s="1"/>
  <c r="T346" i="16" s="1"/>
  <c r="U346" i="16" s="1"/>
  <c r="Q338" i="16"/>
  <c r="R338" i="16" s="1"/>
  <c r="T338" i="16" s="1"/>
  <c r="U338" i="16" s="1"/>
  <c r="Q330" i="16"/>
  <c r="R330" i="16" s="1"/>
  <c r="T330" i="16" s="1"/>
  <c r="U330" i="16" s="1"/>
  <c r="Q322" i="16"/>
  <c r="R322" i="16" s="1"/>
  <c r="T322" i="16" s="1"/>
  <c r="U322" i="16" s="1"/>
  <c r="Q314" i="16"/>
  <c r="R314" i="16" s="1"/>
  <c r="T314" i="16" s="1"/>
  <c r="U314" i="16" s="1"/>
  <c r="Q306" i="16"/>
  <c r="R306" i="16" s="1"/>
  <c r="T306" i="16" s="1"/>
  <c r="U306" i="16" s="1"/>
  <c r="Q298" i="16"/>
  <c r="R298" i="16" s="1"/>
  <c r="T298" i="16" s="1"/>
  <c r="U298" i="16" s="1"/>
  <c r="Q290" i="16"/>
  <c r="R290" i="16" s="1"/>
  <c r="T290" i="16" s="1"/>
  <c r="U290" i="16" s="1"/>
  <c r="Q105" i="16"/>
  <c r="R105" i="16" s="1"/>
  <c r="T105" i="16" s="1"/>
  <c r="U105" i="16" s="1"/>
  <c r="Q20" i="16"/>
  <c r="R20" i="16" s="1"/>
  <c r="T20" i="16" s="1"/>
  <c r="U20" i="16" s="1"/>
  <c r="Q60" i="16"/>
  <c r="R60" i="16" s="1"/>
  <c r="T60" i="16" s="1"/>
  <c r="U60" i="16" s="1"/>
  <c r="Q59" i="16"/>
  <c r="R59" i="16" s="1"/>
  <c r="T59" i="16" s="1"/>
  <c r="U59" i="16" s="1"/>
  <c r="Q502" i="16"/>
  <c r="R502" i="16" s="1"/>
  <c r="T502" i="16" s="1"/>
  <c r="U502" i="16" s="1"/>
  <c r="Q351" i="16"/>
  <c r="R351" i="16" s="1"/>
  <c r="T351" i="16" s="1"/>
  <c r="U351" i="16" s="1"/>
  <c r="Q277" i="16"/>
  <c r="R277" i="16" s="1"/>
  <c r="T277" i="16" s="1"/>
  <c r="U277" i="16" s="1"/>
  <c r="Q269" i="16"/>
  <c r="R269" i="16" s="1"/>
  <c r="T269" i="16" s="1"/>
  <c r="U269" i="16" s="1"/>
  <c r="Q261" i="16"/>
  <c r="R261" i="16" s="1"/>
  <c r="T261" i="16" s="1"/>
  <c r="U261" i="16" s="1"/>
  <c r="Q10" i="16"/>
  <c r="R10" i="16" s="1"/>
  <c r="T10" i="16" s="1"/>
  <c r="U10" i="16" s="1"/>
  <c r="S15" i="2" l="1"/>
  <c r="T11" i="25"/>
  <c r="U11" i="25" s="1"/>
  <c r="V11" i="25" s="1"/>
  <c r="N16" i="6"/>
  <c r="S16" i="6"/>
  <c r="Q16" i="6"/>
  <c r="O16" i="6"/>
  <c r="N14" i="6"/>
  <c r="O14" i="6"/>
  <c r="Q14" i="6"/>
  <c r="S14" i="6"/>
  <c r="Q15" i="6"/>
  <c r="O15" i="6"/>
  <c r="S15" i="6"/>
  <c r="N15" i="6"/>
  <c r="Q17" i="6"/>
  <c r="O17" i="6"/>
  <c r="N17" i="6"/>
  <c r="S17" i="6"/>
  <c r="G15" i="16"/>
  <c r="F16" i="16"/>
  <c r="F19" i="16"/>
  <c r="G18" i="16"/>
  <c r="S7" i="9"/>
  <c r="R14" i="2"/>
  <c r="T14" i="2" s="1"/>
  <c r="AA9" i="3"/>
  <c r="R13" i="2"/>
  <c r="T13" i="2" s="1"/>
  <c r="R15" i="2"/>
  <c r="T15" i="2" s="1"/>
  <c r="L9" i="5"/>
  <c r="T5" i="9" s="1"/>
  <c r="R21" i="2"/>
  <c r="AH16" i="9"/>
  <c r="X15" i="9"/>
  <c r="X14" i="9"/>
  <c r="Y15" i="9"/>
  <c r="S12" i="9"/>
  <c r="AE14" i="9"/>
  <c r="AN14" i="9"/>
  <c r="AC14" i="9"/>
  <c r="AL14" i="9"/>
  <c r="AN11" i="9"/>
  <c r="L10" i="9"/>
  <c r="AG16" i="9"/>
  <c r="X16" i="9"/>
  <c r="AG15" i="9"/>
  <c r="R20" i="2"/>
  <c r="R16" i="2"/>
  <c r="R17" i="2"/>
  <c r="AG12" i="9"/>
  <c r="AG14" i="9"/>
  <c r="S15" i="9"/>
  <c r="Q13" i="9"/>
  <c r="S13" i="9"/>
  <c r="R19" i="2"/>
  <c r="U15" i="9"/>
  <c r="Y17" i="9"/>
  <c r="AE17" i="9"/>
  <c r="AC18" i="9"/>
  <c r="AL18" i="9"/>
  <c r="U12" i="9"/>
  <c r="M9" i="4"/>
  <c r="L9" i="4"/>
  <c r="L22" i="9"/>
  <c r="AP19" i="9"/>
  <c r="AH18" i="9"/>
  <c r="U14" i="9"/>
  <c r="U18" i="9"/>
  <c r="AC17" i="9"/>
  <c r="AL19" i="9"/>
  <c r="AC21" i="9"/>
  <c r="AC22" i="9"/>
  <c r="Q20" i="9"/>
  <c r="W19" i="9"/>
  <c r="AO19" i="9"/>
  <c r="AF20" i="9"/>
  <c r="J21" i="9"/>
  <c r="X20" i="9"/>
  <c r="X17" i="9"/>
  <c r="N14" i="8"/>
  <c r="Q14" i="8" s="1"/>
  <c r="K11" i="25"/>
  <c r="AF21" i="9"/>
  <c r="X18" i="9"/>
  <c r="AG9" i="3"/>
  <c r="J11" i="25"/>
  <c r="U13" i="9"/>
  <c r="AP18" i="9"/>
  <c r="J20" i="9"/>
  <c r="W20" i="9"/>
  <c r="AO20" i="9"/>
  <c r="U16" i="9"/>
  <c r="W21" i="9"/>
  <c r="J7" i="9"/>
  <c r="J19" i="9"/>
  <c r="AO21" i="9"/>
  <c r="W18" i="9"/>
  <c r="J18" i="9"/>
  <c r="U19" i="9"/>
  <c r="U21" i="9"/>
  <c r="AE19" i="9"/>
  <c r="AN19" i="9"/>
  <c r="AN20" i="9"/>
  <c r="AE20" i="9"/>
  <c r="AL21" i="9"/>
  <c r="AE22" i="9"/>
  <c r="AN22" i="9"/>
  <c r="AL17" i="9"/>
  <c r="AH19" i="9"/>
  <c r="Y21" i="9"/>
  <c r="AP21" i="9"/>
  <c r="AH21" i="9"/>
  <c r="AP20" i="9"/>
  <c r="AH20" i="9"/>
  <c r="Y20" i="9"/>
  <c r="L20" i="9"/>
  <c r="AP17" i="9"/>
  <c r="L21" i="9"/>
  <c r="S14" i="9"/>
  <c r="S20" i="9"/>
  <c r="Q14" i="9"/>
  <c r="Q17" i="9"/>
  <c r="Q16" i="9"/>
  <c r="S19" i="9"/>
  <c r="S22" i="9"/>
  <c r="S17" i="9"/>
  <c r="AE21" i="9"/>
  <c r="AN21" i="9"/>
  <c r="S21" i="9"/>
  <c r="S18" i="9"/>
  <c r="X21" i="9"/>
  <c r="K21" i="9"/>
  <c r="K19" i="9"/>
  <c r="X19" i="9"/>
  <c r="K22" i="9"/>
  <c r="X22" i="9"/>
  <c r="V8" i="16"/>
  <c r="W8" i="16" s="1"/>
  <c r="X8" i="16" s="1"/>
  <c r="N14" i="2" s="1"/>
  <c r="K16" i="19" s="1"/>
  <c r="O14" i="19"/>
  <c r="J16" i="9"/>
  <c r="K9" i="4"/>
  <c r="U10" i="9"/>
  <c r="O13" i="19"/>
  <c r="U14" i="19" s="1"/>
  <c r="V14" i="19" s="1"/>
  <c r="S14" i="19"/>
  <c r="AC15" i="19" s="1"/>
  <c r="AD15" i="19" s="1"/>
  <c r="S13" i="19"/>
  <c r="AC14" i="19" s="1"/>
  <c r="AD14" i="19" s="1"/>
  <c r="H13" i="9"/>
  <c r="H10" i="9"/>
  <c r="H8" i="9"/>
  <c r="I8" i="9"/>
  <c r="I9" i="9"/>
  <c r="H9" i="9"/>
  <c r="H7" i="9"/>
  <c r="I5" i="9"/>
  <c r="H6" i="9"/>
  <c r="S16" i="2"/>
  <c r="I6" i="9"/>
  <c r="T13" i="6"/>
  <c r="M13" i="6"/>
  <c r="N13" i="6" s="1"/>
  <c r="J11" i="9"/>
  <c r="U7" i="9"/>
  <c r="O9" i="3"/>
  <c r="R9" i="3" s="1"/>
  <c r="X10" i="9" l="1"/>
  <c r="AG8" i="9"/>
  <c r="AE9" i="9"/>
  <c r="AL10" i="9"/>
  <c r="AC6" i="9"/>
  <c r="AL7" i="9"/>
  <c r="AE8" i="9"/>
  <c r="AL9" i="9"/>
  <c r="AC9" i="9"/>
  <c r="AG7" i="9"/>
  <c r="X7" i="9"/>
  <c r="AN7" i="9"/>
  <c r="W7" i="9"/>
  <c r="U15" i="19"/>
  <c r="V15" i="19" s="1"/>
  <c r="O15" i="19"/>
  <c r="AO11" i="9"/>
  <c r="AG10" i="9"/>
  <c r="G16" i="16"/>
  <c r="G17" i="16"/>
  <c r="P15" i="6"/>
  <c r="R15" i="6"/>
  <c r="R16" i="6"/>
  <c r="P16" i="6"/>
  <c r="W10" i="9"/>
  <c r="R14" i="6"/>
  <c r="P14" i="6"/>
  <c r="P17" i="6"/>
  <c r="R17" i="6"/>
  <c r="AN6" i="9"/>
  <c r="AE6" i="9"/>
  <c r="G19" i="16"/>
  <c r="G20" i="16"/>
  <c r="AL6" i="9"/>
  <c r="AN8" i="9"/>
  <c r="AL8" i="9"/>
  <c r="AC8" i="9"/>
  <c r="AC7" i="9"/>
  <c r="AE7" i="9"/>
  <c r="AN9" i="9"/>
  <c r="N9" i="4"/>
  <c r="AH9" i="4" s="1"/>
  <c r="AB9" i="3"/>
  <c r="AF9" i="3" s="1"/>
  <c r="X5" i="9" s="1"/>
  <c r="AE9" i="3"/>
  <c r="AP16" i="9"/>
  <c r="Y16" i="9"/>
  <c r="L16" i="9"/>
  <c r="W14" i="9"/>
  <c r="W11" i="9"/>
  <c r="W6" i="9"/>
  <c r="AF6" i="9"/>
  <c r="W16" i="9"/>
  <c r="AO16" i="9"/>
  <c r="AF16" i="9"/>
  <c r="AH12" i="9"/>
  <c r="AF12" i="9"/>
  <c r="AF15" i="9"/>
  <c r="AO15" i="9"/>
  <c r="AH6" i="9"/>
  <c r="AP6" i="9"/>
  <c r="P14" i="8"/>
  <c r="W9" i="9"/>
  <c r="AH13" i="9"/>
  <c r="AP13" i="9"/>
  <c r="Y13" i="9"/>
  <c r="AH14" i="9"/>
  <c r="Y14" i="9"/>
  <c r="AH9" i="9"/>
  <c r="AE12" i="9"/>
  <c r="AN12" i="9"/>
  <c r="AC12" i="9"/>
  <c r="AL12" i="9"/>
  <c r="AM11" i="9"/>
  <c r="AD11" i="9"/>
  <c r="AD14" i="9"/>
  <c r="AM14" i="9"/>
  <c r="Q12" i="9"/>
  <c r="Y10" i="9"/>
  <c r="AP10" i="9"/>
  <c r="AH10" i="9"/>
  <c r="AE16" i="9"/>
  <c r="AN16" i="9"/>
  <c r="AL16" i="9"/>
  <c r="AC16" i="9"/>
  <c r="AD6" i="9"/>
  <c r="S16" i="9"/>
  <c r="AC10" i="9"/>
  <c r="AC15" i="9"/>
  <c r="AN15" i="9"/>
  <c r="AE15" i="9"/>
  <c r="R15" i="9"/>
  <c r="Y7" i="9"/>
  <c r="AH7" i="9"/>
  <c r="AP7" i="9"/>
  <c r="R13" i="9"/>
  <c r="AE11" i="9"/>
  <c r="AL13" i="9"/>
  <c r="AC13" i="9"/>
  <c r="J12" i="9"/>
  <c r="S11" i="9"/>
  <c r="J14" i="9"/>
  <c r="AE13" i="9"/>
  <c r="AN13" i="9"/>
  <c r="AH17" i="9"/>
  <c r="AH15" i="9"/>
  <c r="L17" i="9"/>
  <c r="Y8" i="9"/>
  <c r="L12" i="9"/>
  <c r="AP8" i="9"/>
  <c r="AM18" i="9"/>
  <c r="AD18" i="9"/>
  <c r="AD17" i="9"/>
  <c r="AM17" i="9"/>
  <c r="Y18" i="9"/>
  <c r="Y12" i="9"/>
  <c r="Q18" i="9"/>
  <c r="AF8" i="9"/>
  <c r="W8" i="9"/>
  <c r="AN17" i="9"/>
  <c r="Q8" i="9"/>
  <c r="L14" i="9"/>
  <c r="AP15" i="9"/>
  <c r="AP12" i="9"/>
  <c r="AP14" i="9"/>
  <c r="K17" i="9"/>
  <c r="AN18" i="9"/>
  <c r="AE18" i="9"/>
  <c r="L19" i="9"/>
  <c r="Y22" i="9"/>
  <c r="L18" i="9"/>
  <c r="AP22" i="9"/>
  <c r="AH22" i="9"/>
  <c r="L13" i="9"/>
  <c r="Y19" i="9"/>
  <c r="K20" i="9"/>
  <c r="L15" i="9"/>
  <c r="K18" i="9"/>
  <c r="AL22" i="9"/>
  <c r="Q22" i="9"/>
  <c r="AE10" i="9"/>
  <c r="J6" i="9"/>
  <c r="AF19" i="9"/>
  <c r="AC20" i="9"/>
  <c r="AL20" i="9"/>
  <c r="AC19" i="9"/>
  <c r="Q19" i="9"/>
  <c r="Q21" i="9"/>
  <c r="Q10" i="9"/>
  <c r="AO12" i="9"/>
  <c r="W12" i="9"/>
  <c r="W22" i="9"/>
  <c r="AO22" i="9"/>
  <c r="AF22" i="9"/>
  <c r="J22" i="9"/>
  <c r="AO6" i="9"/>
  <c r="Y9" i="9"/>
  <c r="AF18" i="9"/>
  <c r="W15" i="9"/>
  <c r="AO18" i="9"/>
  <c r="W17" i="9"/>
  <c r="J17" i="9"/>
  <c r="J15" i="9"/>
  <c r="AD20" i="9"/>
  <c r="AM20" i="9"/>
  <c r="AM22" i="9"/>
  <c r="AD22" i="9"/>
  <c r="AD19" i="9"/>
  <c r="AM19" i="9"/>
  <c r="AN10" i="9"/>
  <c r="S10" i="9"/>
  <c r="R19" i="9"/>
  <c r="AM21" i="9"/>
  <c r="AD21" i="9"/>
  <c r="R21" i="9"/>
  <c r="R20" i="9"/>
  <c r="R14" i="9"/>
  <c r="R17" i="9"/>
  <c r="R18" i="9"/>
  <c r="R22" i="9"/>
  <c r="V9" i="16"/>
  <c r="V10" i="16" s="1"/>
  <c r="V11" i="16" s="1"/>
  <c r="K14" i="9"/>
  <c r="K16" i="9"/>
  <c r="K15" i="9"/>
  <c r="J8" i="9"/>
  <c r="X9" i="4"/>
  <c r="U9" i="9"/>
  <c r="U11" i="9"/>
  <c r="P14" i="19"/>
  <c r="S15" i="19" s="1"/>
  <c r="AG9" i="9"/>
  <c r="AG6" i="9"/>
  <c r="Y6" i="9"/>
  <c r="S8" i="9"/>
  <c r="AG13" i="9"/>
  <c r="K12" i="9"/>
  <c r="X12" i="9"/>
  <c r="J13" i="9"/>
  <c r="W13" i="9"/>
  <c r="S9" i="9"/>
  <c r="AH8" i="9"/>
  <c r="L8" i="9"/>
  <c r="J9" i="9"/>
  <c r="L7" i="9"/>
  <c r="X9" i="16"/>
  <c r="U8" i="9"/>
  <c r="L6" i="9"/>
  <c r="U6" i="9"/>
  <c r="T16" i="2"/>
  <c r="S17" i="2"/>
  <c r="Q6" i="9"/>
  <c r="S6" i="9"/>
  <c r="AE14" i="19"/>
  <c r="W14" i="19"/>
  <c r="N15" i="19" s="1"/>
  <c r="AG14" i="19"/>
  <c r="AH14" i="19" s="1"/>
  <c r="AF14" i="19" s="1"/>
  <c r="Z14" i="19"/>
  <c r="Y14" i="19"/>
  <c r="R13" i="6"/>
  <c r="P13" i="6"/>
  <c r="Y11" i="9"/>
  <c r="AP11" i="9"/>
  <c r="AH11" i="9"/>
  <c r="L11" i="9"/>
  <c r="AC11" i="9"/>
  <c r="Q11" i="9"/>
  <c r="AL11" i="9"/>
  <c r="J10" i="9"/>
  <c r="Q9" i="9"/>
  <c r="X8" i="9"/>
  <c r="Q7" i="9"/>
  <c r="Q9" i="3"/>
  <c r="S9" i="3"/>
  <c r="W5" i="9" s="1"/>
  <c r="J5" i="9"/>
  <c r="AG11" i="9"/>
  <c r="AO8" i="9"/>
  <c r="R11" i="9"/>
  <c r="L9" i="9"/>
  <c r="AP9" i="9"/>
  <c r="R7" i="9"/>
  <c r="K10" i="9"/>
  <c r="O13" i="6"/>
  <c r="U5" i="9"/>
  <c r="Q13" i="6"/>
  <c r="S13" i="6"/>
  <c r="W15" i="19" l="1"/>
  <c r="AE15" i="19"/>
  <c r="Y15" i="19"/>
  <c r="AG15" i="19"/>
  <c r="AH15" i="19" s="1"/>
  <c r="AF15" i="19" s="1"/>
  <c r="Z15" i="19"/>
  <c r="O16" i="19"/>
  <c r="U16" i="19"/>
  <c r="V16" i="19" s="1"/>
  <c r="AC16" i="19"/>
  <c r="AD16" i="19" s="1"/>
  <c r="P15" i="19"/>
  <c r="S16" i="19" s="1"/>
  <c r="T9" i="4"/>
  <c r="AF9" i="4" s="1"/>
  <c r="AG9" i="4" s="1"/>
  <c r="S5" i="9" s="1"/>
  <c r="AM9" i="4"/>
  <c r="AR9" i="4"/>
  <c r="S9" i="4"/>
  <c r="AA9" i="4" s="1"/>
  <c r="P9" i="4"/>
  <c r="Q9" i="4"/>
  <c r="V9" i="4" s="1"/>
  <c r="W9" i="4" s="1"/>
  <c r="Y9" i="4" s="1"/>
  <c r="AL5" i="9" s="1"/>
  <c r="R9" i="4"/>
  <c r="G23" i="16"/>
  <c r="AC9" i="4"/>
  <c r="T14" i="8"/>
  <c r="Y5" i="9" s="1"/>
  <c r="S14" i="8"/>
  <c r="AP5" i="9" s="1"/>
  <c r="K5" i="9"/>
  <c r="AD9" i="3"/>
  <c r="AG5" i="9" s="1"/>
  <c r="AF11" i="9"/>
  <c r="R14" i="8"/>
  <c r="AH5" i="9" s="1"/>
  <c r="L5" i="9"/>
  <c r="AO9" i="9"/>
  <c r="R12" i="9"/>
  <c r="AD8" i="9"/>
  <c r="AM8" i="9"/>
  <c r="AD12" i="9"/>
  <c r="AM12" i="9"/>
  <c r="AD16" i="9"/>
  <c r="AM16" i="9"/>
  <c r="R16" i="9"/>
  <c r="Q15" i="9"/>
  <c r="AL15" i="9"/>
  <c r="AD15" i="9"/>
  <c r="AM9" i="9"/>
  <c r="AD9" i="9"/>
  <c r="AM15" i="9"/>
  <c r="AM10" i="9"/>
  <c r="AM13" i="9"/>
  <c r="AD13" i="9"/>
  <c r="AO14" i="9"/>
  <c r="AF14" i="9"/>
  <c r="AD7" i="9"/>
  <c r="AM7" i="9"/>
  <c r="AF7" i="9"/>
  <c r="AO17" i="9"/>
  <c r="AF17" i="9"/>
  <c r="W9" i="16"/>
  <c r="W10" i="16" s="1"/>
  <c r="W11" i="16" s="1"/>
  <c r="AD10" i="9"/>
  <c r="R10" i="9"/>
  <c r="AK9" i="4"/>
  <c r="R9" i="9"/>
  <c r="R8" i="9"/>
  <c r="R6" i="9"/>
  <c r="AM6" i="9"/>
  <c r="AI14" i="19"/>
  <c r="AJ14" i="19" s="1"/>
  <c r="K13" i="9"/>
  <c r="X13" i="9"/>
  <c r="AF13" i="9"/>
  <c r="AO13" i="9"/>
  <c r="K8" i="9"/>
  <c r="X9" i="9"/>
  <c r="K9" i="9"/>
  <c r="AF9" i="9"/>
  <c r="K7" i="9"/>
  <c r="AO7" i="9"/>
  <c r="N15" i="2"/>
  <c r="K17" i="19" s="1"/>
  <c r="S18" i="2"/>
  <c r="T17" i="2"/>
  <c r="L14" i="19"/>
  <c r="X14" i="19"/>
  <c r="AF5" i="9"/>
  <c r="AA14" i="19"/>
  <c r="X6" i="9"/>
  <c r="K6" i="9"/>
  <c r="K11" i="9"/>
  <c r="X11" i="9"/>
  <c r="AO10" i="9"/>
  <c r="V12" i="16"/>
  <c r="AF10" i="9"/>
  <c r="AO5" i="9"/>
  <c r="X10" i="16" l="1"/>
  <c r="N16" i="2" s="1"/>
  <c r="AA15" i="19"/>
  <c r="AB15" i="19" s="1"/>
  <c r="AP9" i="4"/>
  <c r="W16" i="19"/>
  <c r="AE16" i="19"/>
  <c r="AG16" i="19"/>
  <c r="AH16" i="19" s="1"/>
  <c r="AF16" i="19" s="1"/>
  <c r="Y16" i="19"/>
  <c r="Z16" i="19"/>
  <c r="U17" i="19"/>
  <c r="V17" i="19" s="1"/>
  <c r="O17" i="19"/>
  <c r="AI15" i="19"/>
  <c r="AJ15" i="19" s="1"/>
  <c r="AC17" i="19"/>
  <c r="AD17" i="19" s="1"/>
  <c r="P16" i="19"/>
  <c r="S17" i="19" s="1"/>
  <c r="P17" i="19" s="1"/>
  <c r="L15" i="19"/>
  <c r="X15" i="19"/>
  <c r="N16" i="19"/>
  <c r="Q5" i="9"/>
  <c r="Z9" i="4"/>
  <c r="AC5" i="9" s="1"/>
  <c r="AJ9" i="4"/>
  <c r="AE5" i="9" s="1"/>
  <c r="AB9" i="4"/>
  <c r="R5" i="9" s="1"/>
  <c r="AQ9" i="4"/>
  <c r="AS9" i="4" s="1"/>
  <c r="AI9" i="4"/>
  <c r="AN5" i="9" s="1"/>
  <c r="AL9" i="4"/>
  <c r="AN9" i="4" s="1"/>
  <c r="S19" i="2"/>
  <c r="T18" i="2"/>
  <c r="W12" i="16"/>
  <c r="V13" i="16"/>
  <c r="P5" i="9"/>
  <c r="AB14" i="19"/>
  <c r="X11" i="16" l="1"/>
  <c r="AA16" i="19"/>
  <c r="AB16" i="19" s="1"/>
  <c r="AI16" i="19"/>
  <c r="AJ16" i="19" s="1"/>
  <c r="AG17" i="19"/>
  <c r="AH17" i="19" s="1"/>
  <c r="AF17" i="19" s="1"/>
  <c r="L16" i="19"/>
  <c r="X16" i="19"/>
  <c r="Y17" i="19"/>
  <c r="AE17" i="19"/>
  <c r="W17" i="19"/>
  <c r="Z17" i="19"/>
  <c r="AA17" i="19" s="1"/>
  <c r="AB17" i="19" s="1"/>
  <c r="N17" i="19"/>
  <c r="AT9" i="4"/>
  <c r="AO9" i="4"/>
  <c r="AE9" i="4"/>
  <c r="AD5" i="9" s="1"/>
  <c r="AD9" i="4"/>
  <c r="AM5" i="9" s="1"/>
  <c r="P6" i="9"/>
  <c r="T19" i="2"/>
  <c r="S20" i="2"/>
  <c r="V14" i="16"/>
  <c r="W13" i="16"/>
  <c r="X12" i="16" l="1"/>
  <c r="N18" i="2" s="1"/>
  <c r="N17" i="2"/>
  <c r="L17" i="19"/>
  <c r="X17" i="19"/>
  <c r="AI17" i="19"/>
  <c r="AJ17" i="19" s="1"/>
  <c r="P7" i="9"/>
  <c r="S21" i="2"/>
  <c r="T21" i="2" s="1"/>
  <c r="T20" i="2"/>
  <c r="W14" i="16"/>
  <c r="V15" i="16"/>
  <c r="X13" i="16" l="1"/>
  <c r="W15" i="16"/>
  <c r="V16" i="16"/>
  <c r="N19" i="2" l="1"/>
  <c r="X14" i="16"/>
  <c r="P8" i="9"/>
  <c r="W16" i="16"/>
  <c r="V17" i="16"/>
  <c r="X15" i="16" l="1"/>
  <c r="N20" i="2"/>
  <c r="P9" i="9"/>
  <c r="P10" i="9"/>
  <c r="W17" i="16"/>
  <c r="V18" i="16"/>
  <c r="N21" i="2" l="1"/>
  <c r="X16" i="16"/>
  <c r="P11" i="9"/>
  <c r="W18" i="16"/>
  <c r="V19" i="16"/>
  <c r="X17" i="16" l="1"/>
  <c r="N22" i="2"/>
  <c r="P12" i="9"/>
  <c r="W19" i="16"/>
  <c r="V20" i="16"/>
  <c r="N23" i="2" l="1"/>
  <c r="X18" i="16"/>
  <c r="P13" i="9"/>
  <c r="W20" i="16"/>
  <c r="V21" i="16"/>
  <c r="X19" i="16" l="1"/>
  <c r="N24" i="2"/>
  <c r="P14" i="9"/>
  <c r="W21" i="16"/>
  <c r="V22" i="16"/>
  <c r="N25" i="2" l="1"/>
  <c r="X20" i="16"/>
  <c r="P15" i="9"/>
  <c r="V23" i="16"/>
  <c r="W22" i="16"/>
  <c r="N26" i="2" l="1"/>
  <c r="X21" i="16"/>
  <c r="P16" i="9"/>
  <c r="W23" i="16"/>
  <c r="V24" i="16"/>
  <c r="N27" i="2" l="1"/>
  <c r="X22" i="16"/>
  <c r="P17" i="9"/>
  <c r="W24" i="16"/>
  <c r="V25" i="16"/>
  <c r="X23" i="16" l="1"/>
  <c r="N28" i="2"/>
  <c r="P18" i="9"/>
  <c r="W25" i="16"/>
  <c r="V26" i="16"/>
  <c r="N29" i="2" l="1"/>
  <c r="X24" i="16"/>
  <c r="P19" i="9"/>
  <c r="W26" i="16"/>
  <c r="V27" i="16"/>
  <c r="N30" i="2" l="1"/>
  <c r="X25" i="16"/>
  <c r="P20" i="9"/>
  <c r="W27" i="16"/>
  <c r="V28" i="16"/>
  <c r="X26" i="16" l="1"/>
  <c r="N31" i="2"/>
  <c r="P21" i="9"/>
  <c r="W28" i="16"/>
  <c r="V29" i="16"/>
  <c r="N32" i="2" l="1"/>
  <c r="X27" i="16"/>
  <c r="P22" i="9"/>
  <c r="W29" i="16"/>
  <c r="V30" i="16"/>
  <c r="X28" i="16" l="1"/>
  <c r="N33" i="2"/>
  <c r="V31" i="16"/>
  <c r="W30" i="16"/>
  <c r="X29" i="16" l="1"/>
  <c r="N34" i="2"/>
  <c r="W31" i="16"/>
  <c r="V32" i="16"/>
  <c r="X30" i="16" l="1"/>
  <c r="N35" i="2"/>
  <c r="W32" i="16"/>
  <c r="V33" i="16"/>
  <c r="X31" i="16" l="1"/>
  <c r="N36" i="2"/>
  <c r="W33" i="16"/>
  <c r="V34" i="16"/>
  <c r="X32" i="16" l="1"/>
  <c r="N37" i="2"/>
  <c r="W34" i="16"/>
  <c r="X34" i="16" s="1"/>
  <c r="V35" i="16"/>
  <c r="N38" i="2" l="1"/>
  <c r="X33" i="16"/>
  <c r="N39" i="2" s="1"/>
  <c r="X35" i="16"/>
  <c r="N40" i="2"/>
  <c r="W35" i="16"/>
  <c r="V36" i="16"/>
  <c r="N41" i="2" l="1"/>
  <c r="X36" i="16"/>
  <c r="W36" i="16"/>
  <c r="V37" i="16"/>
  <c r="N42" i="2" l="1"/>
  <c r="X37" i="16"/>
  <c r="W37" i="16"/>
  <c r="V38" i="16"/>
  <c r="X38" i="16" l="1"/>
  <c r="N43" i="2"/>
  <c r="W38" i="16"/>
  <c r="V39" i="16"/>
  <c r="N44" i="2" l="1"/>
  <c r="X39" i="16"/>
  <c r="W39" i="16"/>
  <c r="V40" i="16"/>
  <c r="X40" i="16" l="1"/>
  <c r="N45" i="2"/>
  <c r="V41" i="16"/>
  <c r="W40" i="16"/>
  <c r="W41" i="16" l="1"/>
  <c r="V42" i="16"/>
  <c r="N46" i="2"/>
  <c r="X41" i="16"/>
  <c r="W42" i="16" l="1"/>
  <c r="V43" i="16"/>
  <c r="X42" i="16"/>
  <c r="N47" i="2"/>
  <c r="N48" i="2" l="1"/>
  <c r="X43" i="16"/>
  <c r="V44" i="16"/>
  <c r="W43" i="16"/>
  <c r="N49" i="2" l="1"/>
  <c r="X44" i="16"/>
  <c r="W44" i="16"/>
  <c r="V45" i="16"/>
  <c r="X45" i="16" l="1"/>
  <c r="N50" i="2"/>
  <c r="W45" i="16"/>
  <c r="V46" i="16"/>
  <c r="N51" i="2" l="1"/>
  <c r="X46" i="16"/>
  <c r="W46" i="16"/>
  <c r="V47" i="16"/>
  <c r="N52" i="2" l="1"/>
  <c r="X47" i="16"/>
  <c r="W47" i="16"/>
  <c r="V48" i="16"/>
  <c r="X48" i="16" l="1"/>
  <c r="N53" i="2"/>
  <c r="W48" i="16"/>
  <c r="V49" i="16"/>
  <c r="N54" i="2" l="1"/>
  <c r="X49" i="16"/>
  <c r="W49" i="16"/>
  <c r="V50" i="16"/>
  <c r="X50" i="16" l="1"/>
  <c r="N55" i="2"/>
  <c r="W50" i="16"/>
  <c r="V51" i="16"/>
  <c r="N56" i="2" l="1"/>
  <c r="X51" i="16"/>
  <c r="W51" i="16"/>
  <c r="V52" i="16"/>
  <c r="N57" i="2" l="1"/>
  <c r="X52" i="16"/>
  <c r="W52" i="16"/>
  <c r="V53" i="16"/>
  <c r="N58" i="2" l="1"/>
  <c r="X53" i="16"/>
  <c r="W53" i="16"/>
  <c r="V54" i="16"/>
  <c r="N59" i="2" l="1"/>
  <c r="X54" i="16"/>
  <c r="W54" i="16"/>
  <c r="V55" i="16"/>
  <c r="N60" i="2" l="1"/>
  <c r="X55" i="16"/>
  <c r="W55" i="16"/>
  <c r="V56" i="16"/>
  <c r="X56" i="16" l="1"/>
  <c r="N61" i="2"/>
  <c r="V57" i="16"/>
  <c r="W56" i="16"/>
  <c r="N62" i="2" l="1"/>
  <c r="X57" i="16"/>
  <c r="W57" i="16"/>
  <c r="V58" i="16"/>
  <c r="N63" i="2" l="1"/>
  <c r="W58" i="16"/>
  <c r="X58" i="16" s="1"/>
  <c r="V59" i="16"/>
  <c r="N64" i="2" l="1"/>
  <c r="X59" i="16"/>
  <c r="W59" i="16"/>
  <c r="V60" i="16"/>
  <c r="X60" i="16" l="1"/>
  <c r="N65" i="2"/>
  <c r="W60" i="16"/>
  <c r="V61" i="16"/>
  <c r="X61" i="16" l="1"/>
  <c r="N66" i="2"/>
  <c r="W61" i="16"/>
  <c r="V62" i="16"/>
  <c r="X62" i="16" l="1"/>
  <c r="N67" i="2"/>
  <c r="W62" i="16"/>
  <c r="V63" i="16"/>
  <c r="N68" i="2" l="1"/>
  <c r="X63" i="16"/>
  <c r="W63" i="16"/>
  <c r="V64" i="16"/>
  <c r="X64" i="16" l="1"/>
  <c r="N69" i="2"/>
  <c r="W64" i="16"/>
  <c r="V65" i="16"/>
  <c r="N70" i="2" l="1"/>
  <c r="X65" i="16"/>
  <c r="W65" i="16"/>
  <c r="V66" i="16"/>
  <c r="N71" i="2" l="1"/>
  <c r="X66" i="16"/>
  <c r="W66" i="16"/>
  <c r="V67" i="16"/>
  <c r="X67" i="16" l="1"/>
  <c r="N72" i="2"/>
  <c r="W67" i="16"/>
  <c r="V68" i="16"/>
  <c r="X68" i="16" l="1"/>
  <c r="N73" i="2"/>
  <c r="W68" i="16"/>
  <c r="V69" i="16"/>
  <c r="N74" i="2" l="1"/>
  <c r="X69" i="16"/>
  <c r="W69" i="16"/>
  <c r="V70" i="16"/>
  <c r="N75" i="2" l="1"/>
  <c r="X70" i="16"/>
  <c r="W70" i="16"/>
  <c r="V71" i="16"/>
  <c r="N76" i="2" l="1"/>
  <c r="X71" i="16"/>
  <c r="W71" i="16"/>
  <c r="V72" i="16"/>
  <c r="X72" i="16" l="1"/>
  <c r="N77" i="2"/>
  <c r="W72" i="16"/>
  <c r="V73" i="16"/>
  <c r="X73" i="16" l="1"/>
  <c r="N78" i="2"/>
  <c r="W73" i="16"/>
  <c r="V74" i="16"/>
  <c r="N79" i="2" l="1"/>
  <c r="X74" i="16"/>
  <c r="V75" i="16"/>
  <c r="W74" i="16"/>
  <c r="W75" i="16" l="1"/>
  <c r="V76" i="16"/>
  <c r="N80" i="2"/>
  <c r="X75" i="16"/>
  <c r="W76" i="16" l="1"/>
  <c r="V77" i="16"/>
  <c r="N81" i="2"/>
  <c r="X76" i="16"/>
  <c r="W77" i="16" l="1"/>
  <c r="V78" i="16"/>
  <c r="N82" i="2"/>
  <c r="X77" i="16"/>
  <c r="W78" i="16" l="1"/>
  <c r="V79" i="16"/>
  <c r="N83" i="2"/>
  <c r="X78" i="16"/>
  <c r="W79" i="16" l="1"/>
  <c r="V80" i="16"/>
  <c r="X79" i="16"/>
  <c r="N84" i="2"/>
  <c r="X80" i="16" l="1"/>
  <c r="N85" i="2"/>
  <c r="W80" i="16"/>
  <c r="V81" i="16"/>
  <c r="X81" i="16" l="1"/>
  <c r="N86" i="2"/>
  <c r="W81" i="16"/>
  <c r="V82" i="16"/>
  <c r="N87" i="2" l="1"/>
  <c r="W82" i="16"/>
  <c r="X82" i="16" s="1"/>
  <c r="V83" i="16"/>
  <c r="N88" i="2" l="1"/>
  <c r="X83" i="16"/>
  <c r="W83" i="16"/>
  <c r="V84" i="16"/>
  <c r="N89" i="2" l="1"/>
  <c r="X84" i="16"/>
  <c r="W84" i="16"/>
  <c r="V85" i="16"/>
  <c r="N90" i="2" l="1"/>
  <c r="X85" i="16"/>
  <c r="W85" i="16"/>
  <c r="V86" i="16"/>
  <c r="X86" i="16" l="1"/>
  <c r="N91" i="2"/>
  <c r="V87" i="16"/>
  <c r="W86" i="16"/>
  <c r="N92" i="2" l="1"/>
  <c r="X87" i="16"/>
  <c r="W87" i="16"/>
  <c r="V88" i="16"/>
  <c r="X88" i="16" l="1"/>
  <c r="N93" i="2"/>
  <c r="V89" i="16"/>
  <c r="W88" i="16"/>
  <c r="X89" i="16" l="1"/>
  <c r="N94" i="2"/>
  <c r="W89" i="16"/>
  <c r="V90" i="16"/>
  <c r="N95" i="2" l="1"/>
  <c r="X90" i="16"/>
  <c r="W90" i="16"/>
  <c r="V91" i="16"/>
  <c r="N96" i="2" l="1"/>
  <c r="X91" i="16"/>
  <c r="W91" i="16"/>
  <c r="V92" i="16"/>
  <c r="X92" i="16" l="1"/>
  <c r="N97" i="2"/>
  <c r="V93" i="16"/>
  <c r="W92" i="16"/>
  <c r="W93" i="16" l="1"/>
  <c r="V94" i="16"/>
  <c r="N98" i="2"/>
  <c r="X93" i="16"/>
  <c r="W94" i="16" l="1"/>
  <c r="V95" i="16"/>
  <c r="X94" i="16"/>
  <c r="N99" i="2"/>
  <c r="W95" i="16" l="1"/>
  <c r="V96" i="16"/>
  <c r="N100" i="2"/>
  <c r="X95" i="16"/>
  <c r="W96" i="16" l="1"/>
  <c r="V97" i="16"/>
  <c r="N101" i="2"/>
  <c r="X96" i="16"/>
  <c r="W97" i="16" l="1"/>
  <c r="V98" i="16"/>
  <c r="N102" i="2"/>
  <c r="X97" i="16"/>
  <c r="V99" i="16" l="1"/>
  <c r="W98" i="16"/>
  <c r="X98" i="16"/>
  <c r="N103" i="2"/>
  <c r="W99" i="16" l="1"/>
  <c r="V100" i="16"/>
  <c r="N104" i="2"/>
  <c r="X99" i="16"/>
  <c r="W100" i="16" l="1"/>
  <c r="V101" i="16"/>
  <c r="N105" i="2"/>
  <c r="X100" i="16"/>
  <c r="W101" i="16" l="1"/>
  <c r="V102" i="16"/>
  <c r="N106" i="2"/>
  <c r="X101" i="16"/>
  <c r="W102" i="16" l="1"/>
  <c r="V103" i="16"/>
  <c r="N107" i="2"/>
  <c r="X102" i="16"/>
  <c r="W103" i="16" l="1"/>
  <c r="V104" i="16"/>
  <c r="N108" i="2"/>
  <c r="X103" i="16"/>
  <c r="W104" i="16" l="1"/>
  <c r="V105" i="16"/>
  <c r="N109" i="2"/>
  <c r="X104" i="16"/>
  <c r="W105" i="16" l="1"/>
  <c r="V106" i="16"/>
  <c r="N110" i="2"/>
  <c r="X105" i="16"/>
  <c r="W106" i="16" l="1"/>
  <c r="V107" i="16"/>
  <c r="X106" i="16"/>
  <c r="N111" i="2"/>
  <c r="W107" i="16" l="1"/>
  <c r="V108" i="16"/>
  <c r="X107" i="16"/>
  <c r="N112" i="2"/>
  <c r="X108" i="16" l="1"/>
  <c r="N113" i="2"/>
  <c r="W108" i="16"/>
  <c r="V109" i="16"/>
  <c r="X109" i="16" l="1"/>
  <c r="N114" i="2"/>
  <c r="W109" i="16"/>
  <c r="V110" i="16"/>
  <c r="X110" i="16" l="1"/>
  <c r="N115" i="2"/>
  <c r="W110" i="16"/>
  <c r="V111" i="16"/>
  <c r="N116" i="2" l="1"/>
  <c r="X111" i="16"/>
  <c r="W111" i="16"/>
  <c r="V112" i="16"/>
  <c r="X112" i="16" l="1"/>
  <c r="N117" i="2"/>
  <c r="W112" i="16"/>
  <c r="V113" i="16"/>
  <c r="N118" i="2" l="1"/>
  <c r="X113" i="16"/>
  <c r="W113" i="16"/>
  <c r="V114" i="16"/>
  <c r="X114" i="16" l="1"/>
  <c r="N119" i="2"/>
  <c r="W114" i="16"/>
  <c r="V115" i="16"/>
  <c r="N120" i="2" l="1"/>
  <c r="X115" i="16"/>
  <c r="W115" i="16"/>
  <c r="V116" i="16"/>
  <c r="N121" i="2" l="1"/>
  <c r="X116" i="16"/>
  <c r="W116" i="16"/>
  <c r="V117" i="16"/>
  <c r="X117" i="16" l="1"/>
  <c r="N122" i="2"/>
  <c r="W117" i="16"/>
  <c r="V118" i="16"/>
  <c r="X118" i="16" l="1"/>
  <c r="N123" i="2"/>
  <c r="W118" i="16"/>
  <c r="V119" i="16"/>
  <c r="N124" i="2" l="1"/>
  <c r="X119" i="16"/>
  <c r="W119" i="16"/>
  <c r="V120" i="16"/>
  <c r="X120" i="16" l="1"/>
  <c r="N125" i="2"/>
  <c r="W120" i="16"/>
  <c r="V121" i="16"/>
  <c r="X121" i="16" l="1"/>
  <c r="N126" i="2"/>
  <c r="W121" i="16"/>
  <c r="V122" i="16"/>
  <c r="X122" i="16" l="1"/>
  <c r="N127" i="2"/>
  <c r="W122" i="16"/>
  <c r="V123" i="16"/>
  <c r="X123" i="16" l="1"/>
  <c r="N128" i="2"/>
  <c r="W123" i="16"/>
  <c r="V124" i="16"/>
  <c r="X124" i="16" l="1"/>
  <c r="N129" i="2"/>
  <c r="W124" i="16"/>
  <c r="V125" i="16"/>
  <c r="X125" i="16" l="1"/>
  <c r="N130" i="2"/>
  <c r="W125" i="16"/>
  <c r="V126" i="16"/>
  <c r="X126" i="16" l="1"/>
  <c r="N131" i="2"/>
  <c r="W126" i="16"/>
  <c r="V127" i="16"/>
  <c r="N132" i="2" l="1"/>
  <c r="X127" i="16"/>
  <c r="W127" i="16"/>
  <c r="V128" i="16"/>
  <c r="N133" i="2" l="1"/>
  <c r="X128" i="16"/>
  <c r="W128" i="16"/>
  <c r="V129" i="16"/>
  <c r="X129" i="16" l="1"/>
  <c r="N134" i="2"/>
  <c r="W129" i="16"/>
  <c r="V130" i="16"/>
  <c r="N135" i="2" l="1"/>
  <c r="W130" i="16"/>
  <c r="X130" i="16" s="1"/>
  <c r="V131" i="16"/>
  <c r="X131" i="16" l="1"/>
  <c r="N136" i="2"/>
  <c r="W131" i="16"/>
  <c r="V132" i="16"/>
  <c r="X132" i="16" l="1"/>
  <c r="N137" i="2"/>
  <c r="W132" i="16"/>
  <c r="V133" i="16"/>
  <c r="X133" i="16" l="1"/>
  <c r="N138" i="2"/>
  <c r="W133" i="16"/>
  <c r="V134" i="16"/>
  <c r="N139" i="2" l="1"/>
  <c r="X134" i="16"/>
  <c r="W134" i="16"/>
  <c r="V135" i="16"/>
  <c r="N140" i="2" l="1"/>
  <c r="X135" i="16"/>
  <c r="W135" i="16"/>
  <c r="V136" i="16"/>
  <c r="N141" i="2" l="1"/>
  <c r="X136" i="16"/>
  <c r="W136" i="16"/>
  <c r="V137" i="16"/>
  <c r="X137" i="16" l="1"/>
  <c r="N142" i="2"/>
  <c r="W137" i="16"/>
  <c r="V138" i="16"/>
  <c r="N143" i="2" l="1"/>
  <c r="X138" i="16"/>
  <c r="W138" i="16"/>
  <c r="V139" i="16"/>
  <c r="X139" i="16" l="1"/>
  <c r="N144" i="2"/>
  <c r="W139" i="16"/>
  <c r="V140" i="16"/>
  <c r="N145" i="2" l="1"/>
  <c r="X140" i="16"/>
  <c r="W140" i="16"/>
  <c r="V141" i="16"/>
  <c r="N146" i="2" l="1"/>
  <c r="X141" i="16"/>
  <c r="W141" i="16"/>
  <c r="V142" i="16"/>
  <c r="N147" i="2" l="1"/>
  <c r="X142" i="16"/>
  <c r="W142" i="16"/>
  <c r="V143" i="16"/>
  <c r="N148" i="2" l="1"/>
  <c r="X143" i="16"/>
  <c r="W143" i="16"/>
  <c r="V144" i="16"/>
  <c r="N149" i="2" l="1"/>
  <c r="X144" i="16"/>
  <c r="W144" i="16"/>
  <c r="V145" i="16"/>
  <c r="N150" i="2" l="1"/>
  <c r="X145" i="16"/>
  <c r="W145" i="16"/>
  <c r="V146" i="16"/>
  <c r="N151" i="2" l="1"/>
  <c r="X146" i="16"/>
  <c r="W146" i="16"/>
  <c r="V147" i="16"/>
  <c r="N152" i="2" l="1"/>
  <c r="X147" i="16"/>
  <c r="W147" i="16"/>
  <c r="V148" i="16"/>
  <c r="N153" i="2" l="1"/>
  <c r="X148" i="16"/>
  <c r="W148" i="16"/>
  <c r="V149" i="16"/>
  <c r="X149" i="16" l="1"/>
  <c r="N154" i="2"/>
  <c r="W149" i="16"/>
  <c r="V150" i="16"/>
  <c r="N155" i="2" l="1"/>
  <c r="X150" i="16"/>
  <c r="W150" i="16"/>
  <c r="V151" i="16"/>
  <c r="N156" i="2" l="1"/>
  <c r="X151" i="16"/>
  <c r="W151" i="16"/>
  <c r="V152" i="16"/>
  <c r="X152" i="16" l="1"/>
  <c r="N157" i="2"/>
  <c r="W152" i="16"/>
  <c r="V153" i="16"/>
  <c r="X153" i="16" l="1"/>
  <c r="N158" i="2"/>
  <c r="W153" i="16"/>
  <c r="V154" i="16"/>
  <c r="N159" i="2" l="1"/>
  <c r="W154" i="16"/>
  <c r="X154" i="16" s="1"/>
  <c r="V155" i="16"/>
  <c r="X155" i="16" l="1"/>
  <c r="N160" i="2"/>
  <c r="W155" i="16"/>
  <c r="V156" i="16"/>
  <c r="X156" i="16" l="1"/>
  <c r="N161" i="2"/>
  <c r="W156" i="16"/>
  <c r="V157" i="16"/>
  <c r="X157" i="16" l="1"/>
  <c r="N162" i="2"/>
  <c r="W157" i="16"/>
  <c r="V158" i="16"/>
  <c r="X158" i="16" l="1"/>
  <c r="N163" i="2"/>
  <c r="V159" i="16"/>
  <c r="W158" i="16"/>
  <c r="N164" i="2" l="1"/>
  <c r="X159" i="16"/>
  <c r="W159" i="16"/>
  <c r="V160" i="16"/>
  <c r="N165" i="2" l="1"/>
  <c r="X160" i="16"/>
  <c r="W160" i="16"/>
  <c r="V161" i="16"/>
  <c r="X161" i="16" l="1"/>
  <c r="N166" i="2"/>
  <c r="W161" i="16"/>
  <c r="V162" i="16"/>
  <c r="X162" i="16" l="1"/>
  <c r="N167" i="2"/>
  <c r="W162" i="16"/>
  <c r="V163" i="16"/>
  <c r="X163" i="16" l="1"/>
  <c r="N168" i="2"/>
  <c r="W163" i="16"/>
  <c r="V164" i="16"/>
  <c r="X164" i="16" l="1"/>
  <c r="N169" i="2"/>
  <c r="W164" i="16"/>
  <c r="V165" i="16"/>
  <c r="X165" i="16" l="1"/>
  <c r="N170" i="2"/>
  <c r="W165" i="16"/>
  <c r="V166" i="16"/>
  <c r="X166" i="16" l="1"/>
  <c r="N171" i="2"/>
  <c r="W166" i="16"/>
  <c r="V167" i="16"/>
  <c r="N172" i="2" l="1"/>
  <c r="X167" i="16"/>
  <c r="W167" i="16"/>
  <c r="V168" i="16"/>
  <c r="X168" i="16" l="1"/>
  <c r="N173" i="2"/>
  <c r="W168" i="16"/>
  <c r="V169" i="16"/>
  <c r="N174" i="2" l="1"/>
  <c r="X169" i="16"/>
  <c r="W169" i="16"/>
  <c r="V170" i="16"/>
  <c r="N175" i="2" l="1"/>
  <c r="X170" i="16"/>
  <c r="W170" i="16"/>
  <c r="V171" i="16"/>
  <c r="X171" i="16" l="1"/>
  <c r="N176" i="2"/>
  <c r="W171" i="16"/>
  <c r="V172" i="16"/>
  <c r="X172" i="16" l="1"/>
  <c r="N177" i="2"/>
  <c r="W172" i="16"/>
  <c r="V173" i="16"/>
  <c r="N178" i="2" l="1"/>
  <c r="X173" i="16"/>
  <c r="W173" i="16"/>
  <c r="V174" i="16"/>
  <c r="X174" i="16" l="1"/>
  <c r="N179" i="2"/>
  <c r="W174" i="16"/>
  <c r="V175" i="16"/>
  <c r="N180" i="2" l="1"/>
  <c r="X175" i="16"/>
  <c r="W175" i="16"/>
  <c r="V176" i="16"/>
  <c r="X176" i="16" l="1"/>
  <c r="N181" i="2"/>
  <c r="W176" i="16"/>
  <c r="V177" i="16"/>
  <c r="X177" i="16" l="1"/>
  <c r="N182" i="2"/>
  <c r="W177" i="16"/>
  <c r="V178" i="16"/>
  <c r="X178" i="16" l="1"/>
  <c r="N183" i="2"/>
  <c r="W178" i="16"/>
  <c r="V179" i="16"/>
  <c r="X179" i="16" l="1"/>
  <c r="N184" i="2"/>
  <c r="W179" i="16"/>
  <c r="V180" i="16"/>
  <c r="N185" i="2" l="1"/>
  <c r="X180" i="16"/>
  <c r="W180" i="16"/>
  <c r="V181" i="16"/>
  <c r="N186" i="2" l="1"/>
  <c r="X181" i="16"/>
  <c r="W181" i="16"/>
  <c r="V182" i="16"/>
  <c r="N187" i="2" l="1"/>
  <c r="X182" i="16"/>
  <c r="W182" i="16"/>
  <c r="V183" i="16"/>
  <c r="X183" i="16" l="1"/>
  <c r="N188" i="2"/>
  <c r="W183" i="16"/>
  <c r="V184" i="16"/>
  <c r="X184" i="16" l="1"/>
  <c r="N189" i="2"/>
  <c r="W184" i="16"/>
  <c r="V185" i="16"/>
  <c r="X185" i="16" l="1"/>
  <c r="N190" i="2"/>
  <c r="W185" i="16"/>
  <c r="V186" i="16"/>
  <c r="N191" i="2" l="1"/>
  <c r="X186" i="16"/>
  <c r="W186" i="16"/>
  <c r="V187" i="16"/>
  <c r="N192" i="2" l="1"/>
  <c r="X187" i="16"/>
  <c r="W187" i="16"/>
  <c r="V188" i="16"/>
  <c r="N193" i="2" l="1"/>
  <c r="X188" i="16"/>
  <c r="W188" i="16"/>
  <c r="V189" i="16"/>
  <c r="X189" i="16" l="1"/>
  <c r="N194" i="2"/>
  <c r="W189" i="16"/>
  <c r="V190" i="16"/>
  <c r="N195" i="2" l="1"/>
  <c r="X190" i="16"/>
  <c r="W190" i="16"/>
  <c r="V191" i="16"/>
  <c r="N196" i="2" l="1"/>
  <c r="X191" i="16"/>
  <c r="W191" i="16"/>
  <c r="V192" i="16"/>
  <c r="N197" i="2" l="1"/>
  <c r="X192" i="16"/>
  <c r="W192" i="16"/>
  <c r="V193" i="16"/>
  <c r="X193" i="16" l="1"/>
  <c r="N198" i="2"/>
  <c r="W193" i="16"/>
  <c r="V194" i="16"/>
  <c r="N199" i="2" l="1"/>
  <c r="X194" i="16"/>
  <c r="W194" i="16"/>
  <c r="V195" i="16"/>
  <c r="N200" i="2" l="1"/>
  <c r="X195" i="16"/>
  <c r="W195" i="16"/>
  <c r="V196" i="16"/>
  <c r="N201" i="2" l="1"/>
  <c r="X196" i="16"/>
  <c r="V197" i="16"/>
  <c r="W196" i="16"/>
  <c r="W197" i="16" l="1"/>
  <c r="V198" i="16"/>
  <c r="X197" i="16"/>
  <c r="N202" i="2"/>
  <c r="W198" i="16" l="1"/>
  <c r="V199" i="16"/>
  <c r="X198" i="16"/>
  <c r="N203" i="2"/>
  <c r="N204" i="2" l="1"/>
  <c r="X199" i="16"/>
  <c r="W199" i="16"/>
  <c r="V200" i="16"/>
  <c r="X200" i="16" l="1"/>
  <c r="N205" i="2"/>
  <c r="W200" i="16"/>
  <c r="V201" i="16"/>
  <c r="N206" i="2" l="1"/>
  <c r="X201" i="16"/>
  <c r="W201" i="16"/>
  <c r="V202" i="16"/>
  <c r="X202" i="16" l="1"/>
  <c r="N207" i="2"/>
  <c r="W202" i="16"/>
  <c r="V203" i="16"/>
  <c r="X203" i="16" l="1"/>
  <c r="N208" i="2"/>
  <c r="W203" i="16"/>
  <c r="V204" i="16"/>
  <c r="N209" i="2" l="1"/>
  <c r="X204" i="16"/>
  <c r="W204" i="16"/>
  <c r="V205" i="16"/>
  <c r="N210" i="2" l="1"/>
  <c r="X205" i="16"/>
  <c r="W205" i="16"/>
  <c r="V206" i="16"/>
  <c r="N211" i="2" l="1"/>
  <c r="X206" i="16"/>
  <c r="V207" i="16"/>
  <c r="W206" i="16"/>
  <c r="N212" i="2" l="1"/>
  <c r="X207" i="16"/>
  <c r="W207" i="16"/>
  <c r="V208" i="16"/>
  <c r="X208" i="16" l="1"/>
  <c r="N213" i="2"/>
  <c r="V209" i="16"/>
  <c r="W208" i="16"/>
  <c r="X209" i="16" l="1"/>
  <c r="N214" i="2"/>
  <c r="W209" i="16"/>
  <c r="V210" i="16"/>
  <c r="X210" i="16" l="1"/>
  <c r="N215" i="2"/>
  <c r="W210" i="16"/>
  <c r="V211" i="16"/>
  <c r="X211" i="16" l="1"/>
  <c r="N216" i="2"/>
  <c r="W211" i="16"/>
  <c r="V212" i="16"/>
  <c r="X212" i="16" l="1"/>
  <c r="N217" i="2"/>
  <c r="W212" i="16"/>
  <c r="V213" i="16"/>
  <c r="X213" i="16" l="1"/>
  <c r="N218" i="2"/>
  <c r="W213" i="16"/>
  <c r="V214" i="16"/>
  <c r="X214" i="16" l="1"/>
  <c r="N219" i="2"/>
  <c r="W214" i="16"/>
  <c r="V215" i="16"/>
  <c r="X215" i="16" l="1"/>
  <c r="N220" i="2"/>
  <c r="W215" i="16"/>
  <c r="V216" i="16"/>
  <c r="N221" i="2" l="1"/>
  <c r="X216" i="16"/>
  <c r="W216" i="16"/>
  <c r="V217" i="16"/>
  <c r="X217" i="16" l="1"/>
  <c r="N222" i="2"/>
  <c r="W217" i="16"/>
  <c r="V218" i="16"/>
  <c r="X218" i="16" l="1"/>
  <c r="N223" i="2"/>
  <c r="W218" i="16"/>
  <c r="V219" i="16"/>
  <c r="X219" i="16" l="1"/>
  <c r="N224" i="2"/>
  <c r="W219" i="16"/>
  <c r="V220" i="16"/>
  <c r="N225" i="2" l="1"/>
  <c r="X220" i="16"/>
  <c r="W220" i="16"/>
  <c r="V221" i="16"/>
  <c r="N226" i="2" l="1"/>
  <c r="X221" i="16"/>
  <c r="W221" i="16"/>
  <c r="V222" i="16"/>
  <c r="X222" i="16" l="1"/>
  <c r="N227" i="2"/>
  <c r="V223" i="16"/>
  <c r="W222" i="16"/>
  <c r="W223" i="16" l="1"/>
  <c r="V224" i="16"/>
  <c r="X223" i="16"/>
  <c r="N228" i="2"/>
  <c r="W224" i="16" l="1"/>
  <c r="V225" i="16"/>
  <c r="N229" i="2"/>
  <c r="X224" i="16"/>
  <c r="W225" i="16" l="1"/>
  <c r="V226" i="16"/>
  <c r="X225" i="16"/>
  <c r="N230" i="2"/>
  <c r="X226" i="16" l="1"/>
  <c r="N231" i="2"/>
  <c r="W226" i="16"/>
  <c r="V227" i="16"/>
  <c r="N232" i="2" l="1"/>
  <c r="X227" i="16"/>
  <c r="W227" i="16"/>
  <c r="V228" i="16"/>
  <c r="N233" i="2" l="1"/>
  <c r="X228" i="16"/>
  <c r="W228" i="16"/>
  <c r="V229" i="16"/>
  <c r="N234" i="2" l="1"/>
  <c r="X229" i="16"/>
  <c r="W229" i="16"/>
  <c r="V230" i="16"/>
  <c r="X230" i="16" l="1"/>
  <c r="N235" i="2"/>
  <c r="W230" i="16"/>
  <c r="V231" i="16"/>
  <c r="X231" i="16" l="1"/>
  <c r="N236" i="2"/>
  <c r="W231" i="16"/>
  <c r="V232" i="16"/>
  <c r="X232" i="16" l="1"/>
  <c r="N237" i="2"/>
  <c r="W232" i="16"/>
  <c r="V233" i="16"/>
  <c r="N238" i="2" l="1"/>
  <c r="X233" i="16"/>
  <c r="W233" i="16"/>
  <c r="V234" i="16"/>
  <c r="X234" i="16" l="1"/>
  <c r="N239" i="2"/>
  <c r="W234" i="16"/>
  <c r="V235" i="16"/>
  <c r="N240" i="2" l="1"/>
  <c r="X235" i="16"/>
  <c r="W235" i="16"/>
  <c r="V236" i="16"/>
  <c r="N241" i="2" l="1"/>
  <c r="X236" i="16"/>
  <c r="W236" i="16"/>
  <c r="V237" i="16"/>
  <c r="N242" i="2" l="1"/>
  <c r="X237" i="16"/>
  <c r="W237" i="16"/>
  <c r="V238" i="16"/>
  <c r="N243" i="2" l="1"/>
  <c r="X238" i="16"/>
  <c r="V239" i="16"/>
  <c r="W238" i="16"/>
  <c r="X239" i="16" l="1"/>
  <c r="N244" i="2"/>
  <c r="W239" i="16"/>
  <c r="V240" i="16"/>
  <c r="X240" i="16" l="1"/>
  <c r="N245" i="2"/>
  <c r="W240" i="16"/>
  <c r="V241" i="16"/>
  <c r="N246" i="2" l="1"/>
  <c r="X241" i="16"/>
  <c r="W241" i="16"/>
  <c r="V242" i="16"/>
  <c r="X242" i="16" l="1"/>
  <c r="N247" i="2"/>
  <c r="W242" i="16"/>
  <c r="V243" i="16"/>
  <c r="N248" i="2" l="1"/>
  <c r="X243" i="16"/>
  <c r="W243" i="16"/>
  <c r="V244" i="16"/>
  <c r="N249" i="2" l="1"/>
  <c r="X244" i="16"/>
  <c r="W244" i="16"/>
  <c r="V245" i="16"/>
  <c r="N250" i="2" l="1"/>
  <c r="X245" i="16"/>
  <c r="W245" i="16"/>
  <c r="V246" i="16"/>
  <c r="N251" i="2" l="1"/>
  <c r="X246" i="16"/>
  <c r="W246" i="16"/>
  <c r="V247" i="16"/>
  <c r="X247" i="16" l="1"/>
  <c r="N252" i="2"/>
  <c r="W247" i="16"/>
  <c r="V248" i="16"/>
  <c r="N253" i="2" l="1"/>
  <c r="X248" i="16"/>
  <c r="W248" i="16"/>
  <c r="V249" i="16"/>
  <c r="N254" i="2" l="1"/>
  <c r="X249" i="16"/>
  <c r="W249" i="16"/>
  <c r="V250" i="16"/>
  <c r="X250" i="16" l="1"/>
  <c r="N255" i="2"/>
  <c r="W250" i="16"/>
  <c r="V251" i="16"/>
  <c r="N256" i="2" l="1"/>
  <c r="X251" i="16"/>
  <c r="W251" i="16"/>
  <c r="V252" i="16"/>
  <c r="N257" i="2" l="1"/>
  <c r="X252" i="16"/>
  <c r="W252" i="16"/>
  <c r="V253" i="16"/>
  <c r="X253" i="16" l="1"/>
  <c r="N258" i="2"/>
  <c r="W253" i="16"/>
  <c r="V254" i="16"/>
  <c r="X254" i="16" l="1"/>
  <c r="N259" i="2"/>
  <c r="W254" i="16"/>
  <c r="V255" i="16"/>
  <c r="N260" i="2" l="1"/>
  <c r="X255" i="16"/>
  <c r="W255" i="16"/>
  <c r="V256" i="16"/>
  <c r="X256" i="16" l="1"/>
  <c r="N261" i="2"/>
  <c r="W256" i="16"/>
  <c r="V257" i="16"/>
  <c r="N262" i="2" l="1"/>
  <c r="X257" i="16"/>
  <c r="W257" i="16"/>
  <c r="V258" i="16"/>
  <c r="X258" i="16" l="1"/>
  <c r="N263" i="2"/>
  <c r="W258" i="16"/>
  <c r="V259" i="16"/>
  <c r="N264" i="2" l="1"/>
  <c r="X259" i="16"/>
  <c r="W259" i="16"/>
  <c r="V260" i="16"/>
  <c r="N265" i="2" l="1"/>
  <c r="X260" i="16"/>
  <c r="W260" i="16"/>
  <c r="V261" i="16"/>
  <c r="N266" i="2" l="1"/>
  <c r="X261" i="16"/>
  <c r="W261" i="16"/>
  <c r="V262" i="16"/>
  <c r="N267" i="2" l="1"/>
  <c r="X262" i="16"/>
  <c r="W262" i="16"/>
  <c r="V263" i="16"/>
  <c r="N268" i="2" l="1"/>
  <c r="X263" i="16"/>
  <c r="W263" i="16"/>
  <c r="V264" i="16"/>
  <c r="X264" i="16" l="1"/>
  <c r="N269" i="2"/>
  <c r="W264" i="16"/>
  <c r="V265" i="16"/>
  <c r="X265" i="16" l="1"/>
  <c r="N270" i="2"/>
  <c r="W265" i="16"/>
  <c r="V266" i="16"/>
  <c r="N271" i="2" l="1"/>
  <c r="X266" i="16"/>
  <c r="W266" i="16"/>
  <c r="V267" i="16"/>
  <c r="N272" i="2" l="1"/>
  <c r="X267" i="16"/>
  <c r="W267" i="16"/>
  <c r="V268" i="16"/>
  <c r="N273" i="2" l="1"/>
  <c r="X268" i="16"/>
  <c r="W268" i="16"/>
  <c r="V269" i="16"/>
  <c r="N274" i="2" l="1"/>
  <c r="X269" i="16"/>
  <c r="W269" i="16"/>
  <c r="V270" i="16"/>
  <c r="X270" i="16" l="1"/>
  <c r="N275" i="2"/>
  <c r="W270" i="16"/>
  <c r="V271" i="16"/>
  <c r="N276" i="2" l="1"/>
  <c r="X271" i="16"/>
  <c r="W271" i="16"/>
  <c r="V272" i="16"/>
  <c r="X272" i="16" l="1"/>
  <c r="N277" i="2"/>
  <c r="W272" i="16"/>
  <c r="V273" i="16"/>
  <c r="X273" i="16" l="1"/>
  <c r="N278" i="2"/>
  <c r="W273" i="16"/>
  <c r="V274" i="16"/>
  <c r="X274" i="16" l="1"/>
  <c r="N279" i="2"/>
  <c r="W274" i="16"/>
  <c r="V275" i="16"/>
  <c r="N280" i="2" l="1"/>
  <c r="X275" i="16"/>
  <c r="W275" i="16"/>
  <c r="V276" i="16"/>
  <c r="N281" i="2" l="1"/>
  <c r="X276" i="16"/>
  <c r="W276" i="16"/>
  <c r="V277" i="16"/>
  <c r="X277" i="16" l="1"/>
  <c r="N282" i="2"/>
  <c r="W277" i="16"/>
  <c r="V278" i="16"/>
  <c r="X278" i="16" l="1"/>
  <c r="N283" i="2"/>
  <c r="W278" i="16"/>
  <c r="V279" i="16"/>
  <c r="X279" i="16" l="1"/>
  <c r="N284" i="2"/>
  <c r="W279" i="16"/>
  <c r="V280" i="16"/>
  <c r="X280" i="16" l="1"/>
  <c r="N285" i="2"/>
  <c r="W280" i="16"/>
  <c r="V281" i="16"/>
  <c r="N286" i="2" l="1"/>
  <c r="X281" i="16"/>
  <c r="W281" i="16"/>
  <c r="V282" i="16"/>
  <c r="N287" i="2" l="1"/>
  <c r="X282" i="16"/>
  <c r="W282" i="16"/>
  <c r="V283" i="16"/>
  <c r="X283" i="16" l="1"/>
  <c r="N288" i="2"/>
  <c r="W283" i="16"/>
  <c r="V284" i="16"/>
  <c r="N289" i="2" l="1"/>
  <c r="X284" i="16"/>
  <c r="W284" i="16"/>
  <c r="V285" i="16"/>
  <c r="N290" i="2" l="1"/>
  <c r="X285" i="16"/>
  <c r="W285" i="16"/>
  <c r="V286" i="16"/>
  <c r="N291" i="2" l="1"/>
  <c r="X286" i="16"/>
  <c r="W286" i="16"/>
  <c r="V287" i="16"/>
  <c r="X287" i="16" l="1"/>
  <c r="N292" i="2"/>
  <c r="W287" i="16"/>
  <c r="V288" i="16"/>
  <c r="X288" i="16" l="1"/>
  <c r="N293" i="2"/>
  <c r="W288" i="16"/>
  <c r="V289" i="16"/>
  <c r="N294" i="2" l="1"/>
  <c r="X289" i="16"/>
  <c r="W289" i="16"/>
  <c r="V290" i="16"/>
  <c r="X290" i="16" l="1"/>
  <c r="N295" i="2"/>
  <c r="W290" i="16"/>
  <c r="V291" i="16"/>
  <c r="N296" i="2" l="1"/>
  <c r="X291" i="16"/>
  <c r="V292" i="16"/>
  <c r="W291" i="16"/>
  <c r="N297" i="2" l="1"/>
  <c r="X292" i="16"/>
  <c r="W292" i="16"/>
  <c r="V293" i="16"/>
  <c r="N298" i="2" l="1"/>
  <c r="X293" i="16"/>
  <c r="W293" i="16"/>
  <c r="V294" i="16"/>
  <c r="N299" i="2" l="1"/>
  <c r="X294" i="16"/>
  <c r="W294" i="16"/>
  <c r="V295" i="16"/>
  <c r="N300" i="2" l="1"/>
  <c r="X295" i="16"/>
  <c r="W295" i="16"/>
  <c r="V296" i="16"/>
  <c r="X296" i="16" l="1"/>
  <c r="N301" i="2"/>
  <c r="W296" i="16"/>
  <c r="V297" i="16"/>
  <c r="X297" i="16" l="1"/>
  <c r="N302" i="2"/>
  <c r="W297" i="16"/>
  <c r="V298" i="16"/>
  <c r="N303" i="2" l="1"/>
  <c r="X298" i="16"/>
  <c r="W298" i="16"/>
  <c r="V299" i="16"/>
  <c r="N304" i="2" l="1"/>
  <c r="X299" i="16"/>
  <c r="V300" i="16"/>
  <c r="W299" i="16"/>
  <c r="N305" i="2" l="1"/>
  <c r="X300" i="16"/>
  <c r="W300" i="16"/>
  <c r="V301" i="16"/>
  <c r="N306" i="2" l="1"/>
  <c r="X301" i="16"/>
  <c r="W301" i="16"/>
  <c r="V302" i="16"/>
  <c r="N307" i="2" l="1"/>
  <c r="X302" i="16"/>
  <c r="W302" i="16"/>
  <c r="V303" i="16"/>
  <c r="N308" i="2" l="1"/>
  <c r="X303" i="16"/>
  <c r="W303" i="16"/>
  <c r="V304" i="16"/>
  <c r="X304" i="16" l="1"/>
  <c r="N309" i="2"/>
  <c r="W304" i="16"/>
  <c r="V305" i="16"/>
  <c r="N310" i="2" l="1"/>
  <c r="X305" i="16"/>
  <c r="W305" i="16"/>
  <c r="V306" i="16"/>
  <c r="X306" i="16" l="1"/>
  <c r="N311" i="2"/>
  <c r="W306" i="16"/>
  <c r="V307" i="16"/>
  <c r="N312" i="2" l="1"/>
  <c r="X307" i="16"/>
  <c r="V308" i="16"/>
  <c r="W307" i="16"/>
  <c r="N313" i="2" l="1"/>
  <c r="X308" i="16"/>
  <c r="W308" i="16"/>
  <c r="V309" i="16"/>
  <c r="X309" i="16" l="1"/>
  <c r="N314" i="2"/>
  <c r="W309" i="16"/>
  <c r="V310" i="16"/>
  <c r="N315" i="2" l="1"/>
  <c r="X310" i="16"/>
  <c r="W310" i="16"/>
  <c r="V311" i="16"/>
  <c r="N316" i="2" l="1"/>
  <c r="X311" i="16"/>
  <c r="W311" i="16"/>
  <c r="V312" i="16"/>
  <c r="X312" i="16" l="1"/>
  <c r="N317" i="2"/>
  <c r="W312" i="16"/>
  <c r="V313" i="16"/>
  <c r="N318" i="2" l="1"/>
  <c r="X313" i="16"/>
  <c r="W313" i="16"/>
  <c r="V314" i="16"/>
  <c r="X314" i="16" l="1"/>
  <c r="N319" i="2"/>
  <c r="W314" i="16"/>
  <c r="V315" i="16"/>
  <c r="X315" i="16" l="1"/>
  <c r="N320" i="2"/>
  <c r="W315" i="16"/>
  <c r="V316" i="16"/>
  <c r="N321" i="2" l="1"/>
  <c r="X316" i="16"/>
  <c r="W316" i="16"/>
  <c r="V317" i="16"/>
  <c r="N322" i="2" l="1"/>
  <c r="X317" i="16"/>
  <c r="W317" i="16"/>
  <c r="V318" i="16"/>
  <c r="N323" i="2" l="1"/>
  <c r="X318" i="16"/>
  <c r="W318" i="16"/>
  <c r="V319" i="16"/>
  <c r="X319" i="16" l="1"/>
  <c r="N324" i="2"/>
  <c r="V320" i="16"/>
  <c r="W319" i="16"/>
  <c r="X320" i="16" l="1"/>
  <c r="N325" i="2"/>
  <c r="W320" i="16"/>
  <c r="V321" i="16"/>
  <c r="N326" i="2" l="1"/>
  <c r="X321" i="16"/>
  <c r="W321" i="16"/>
  <c r="V322" i="16"/>
  <c r="X322" i="16" l="1"/>
  <c r="N327" i="2"/>
  <c r="W322" i="16"/>
  <c r="V323" i="16"/>
  <c r="N328" i="2" l="1"/>
  <c r="X323" i="16"/>
  <c r="W323" i="16"/>
  <c r="V324" i="16"/>
  <c r="N329" i="2" l="1"/>
  <c r="X324" i="16"/>
  <c r="V325" i="16"/>
  <c r="W324" i="16"/>
  <c r="V326" i="16" l="1"/>
  <c r="W325" i="16"/>
  <c r="N330" i="2"/>
  <c r="X325" i="16"/>
  <c r="W326" i="16" l="1"/>
  <c r="V327" i="16"/>
  <c r="N331" i="2"/>
  <c r="X326" i="16"/>
  <c r="V328" i="16" l="1"/>
  <c r="W327" i="16"/>
  <c r="X327" i="16"/>
  <c r="N332" i="2"/>
  <c r="W328" i="16" l="1"/>
  <c r="V329" i="16"/>
  <c r="X328" i="16"/>
  <c r="N333" i="2"/>
  <c r="W329" i="16" l="1"/>
  <c r="V330" i="16"/>
  <c r="N334" i="2"/>
  <c r="X329" i="16"/>
  <c r="W330" i="16" l="1"/>
  <c r="V331" i="16"/>
  <c r="X330" i="16"/>
  <c r="N335" i="2"/>
  <c r="W331" i="16" l="1"/>
  <c r="V332" i="16"/>
  <c r="X331" i="16"/>
  <c r="N336" i="2"/>
  <c r="W332" i="16" l="1"/>
  <c r="V333" i="16"/>
  <c r="N337" i="2"/>
  <c r="X332" i="16"/>
  <c r="W333" i="16" l="1"/>
  <c r="V334" i="16"/>
  <c r="X333" i="16"/>
  <c r="N338" i="2"/>
  <c r="X334" i="16" l="1"/>
  <c r="N339" i="2"/>
  <c r="W334" i="16"/>
  <c r="V335" i="16"/>
  <c r="N340" i="2" l="1"/>
  <c r="X335" i="16"/>
  <c r="W335" i="16"/>
  <c r="V336" i="16"/>
  <c r="X336" i="16" l="1"/>
  <c r="N341" i="2"/>
  <c r="W336" i="16"/>
  <c r="V337" i="16"/>
  <c r="X337" i="16" l="1"/>
  <c r="N342" i="2"/>
  <c r="W337" i="16"/>
  <c r="V338" i="16"/>
  <c r="X338" i="16" l="1"/>
  <c r="N343" i="2"/>
  <c r="W338" i="16"/>
  <c r="V339" i="16"/>
  <c r="N344" i="2" l="1"/>
  <c r="X339" i="16"/>
  <c r="W339" i="16"/>
  <c r="V340" i="16"/>
  <c r="N345" i="2" l="1"/>
  <c r="X340" i="16"/>
  <c r="W340" i="16"/>
  <c r="V341" i="16"/>
  <c r="N346" i="2" l="1"/>
  <c r="X341" i="16"/>
  <c r="V342" i="16"/>
  <c r="W341" i="16"/>
  <c r="W342" i="16" l="1"/>
  <c r="V343" i="16"/>
  <c r="N347" i="2"/>
  <c r="X342" i="16"/>
  <c r="V344" i="16" l="1"/>
  <c r="W343" i="16"/>
  <c r="N348" i="2"/>
  <c r="X343" i="16"/>
  <c r="W344" i="16" l="1"/>
  <c r="V345" i="16"/>
  <c r="N349" i="2"/>
  <c r="X344" i="16"/>
  <c r="W345" i="16" l="1"/>
  <c r="V346" i="16"/>
  <c r="X345" i="16"/>
  <c r="N350" i="2"/>
  <c r="W346" i="16" l="1"/>
  <c r="V347" i="16"/>
  <c r="N351" i="2"/>
  <c r="X346" i="16"/>
  <c r="W347" i="16" l="1"/>
  <c r="V348" i="16"/>
  <c r="N352" i="2"/>
  <c r="X347" i="16"/>
  <c r="W348" i="16" l="1"/>
  <c r="V349" i="16"/>
  <c r="N353" i="2"/>
  <c r="X348" i="16"/>
  <c r="W349" i="16" l="1"/>
  <c r="V350" i="16"/>
  <c r="N354" i="2"/>
  <c r="X349" i="16"/>
  <c r="W350" i="16" l="1"/>
  <c r="V351" i="16"/>
  <c r="N355" i="2"/>
  <c r="X350" i="16"/>
  <c r="V352" i="16" l="1"/>
  <c r="W351" i="16"/>
  <c r="X351" i="16"/>
  <c r="N356" i="2"/>
  <c r="W352" i="16" l="1"/>
  <c r="V353" i="16"/>
  <c r="N357" i="2"/>
  <c r="X352" i="16"/>
  <c r="W353" i="16" l="1"/>
  <c r="V354" i="16"/>
  <c r="N358" i="2"/>
  <c r="X353" i="16"/>
  <c r="W354" i="16" l="1"/>
  <c r="V355" i="16"/>
  <c r="N359" i="2"/>
  <c r="X354" i="16"/>
  <c r="W355" i="16" l="1"/>
  <c r="V356" i="16"/>
  <c r="N360" i="2"/>
  <c r="X355" i="16"/>
  <c r="W356" i="16" l="1"/>
  <c r="V357" i="16"/>
  <c r="X356" i="16"/>
  <c r="N361" i="2"/>
  <c r="X357" i="16" l="1"/>
  <c r="N362" i="2"/>
  <c r="W357" i="16"/>
  <c r="V358" i="16"/>
  <c r="X358" i="16" l="1"/>
  <c r="N363" i="2"/>
  <c r="W358" i="16"/>
  <c r="V359" i="16"/>
  <c r="X359" i="16" l="1"/>
  <c r="N364" i="2"/>
  <c r="W359" i="16"/>
  <c r="V360" i="16"/>
  <c r="X360" i="16" l="1"/>
  <c r="N365" i="2"/>
  <c r="W360" i="16"/>
  <c r="V361" i="16"/>
  <c r="N366" i="2" l="1"/>
  <c r="X361" i="16"/>
  <c r="W361" i="16"/>
  <c r="V362" i="16"/>
  <c r="N367" i="2" l="1"/>
  <c r="X362" i="16"/>
  <c r="W362" i="16"/>
  <c r="V363" i="16"/>
  <c r="X363" i="16" l="1"/>
  <c r="N368" i="2"/>
  <c r="W363" i="16"/>
  <c r="V364" i="16"/>
  <c r="N369" i="2" l="1"/>
  <c r="X364" i="16"/>
  <c r="W364" i="16"/>
  <c r="V365" i="16"/>
  <c r="N370" i="2" l="1"/>
  <c r="X365" i="16"/>
  <c r="W365" i="16"/>
  <c r="V366" i="16"/>
  <c r="N371" i="2" l="1"/>
  <c r="X366" i="16"/>
  <c r="W366" i="16"/>
  <c r="V367" i="16"/>
  <c r="X367" i="16" l="1"/>
  <c r="N372" i="2"/>
  <c r="W367" i="16"/>
  <c r="V368" i="16"/>
  <c r="N373" i="2" l="1"/>
  <c r="X368" i="16"/>
  <c r="W368" i="16"/>
  <c r="V369" i="16"/>
  <c r="N374" i="2" l="1"/>
  <c r="X369" i="16"/>
  <c r="W369" i="16"/>
  <c r="V370" i="16"/>
  <c r="N375" i="2" l="1"/>
  <c r="X370" i="16"/>
  <c r="W370" i="16"/>
  <c r="V371" i="16"/>
  <c r="X371" i="16" l="1"/>
  <c r="N376" i="2"/>
  <c r="W371" i="16"/>
  <c r="V372" i="16"/>
  <c r="X372" i="16" l="1"/>
  <c r="N377" i="2"/>
  <c r="W372" i="16"/>
  <c r="V373" i="16"/>
  <c r="X373" i="16" l="1"/>
  <c r="N378" i="2"/>
  <c r="W373" i="16"/>
  <c r="V374" i="16"/>
  <c r="N379" i="2" l="1"/>
  <c r="X374" i="16"/>
  <c r="W374" i="16"/>
  <c r="V375" i="16"/>
  <c r="N380" i="2" l="1"/>
  <c r="X375" i="16"/>
  <c r="W375" i="16"/>
  <c r="V376" i="16"/>
  <c r="N381" i="2" l="1"/>
  <c r="X376" i="16"/>
  <c r="W376" i="16"/>
  <c r="V377" i="16"/>
  <c r="N382" i="2" l="1"/>
  <c r="X377" i="16"/>
  <c r="W377" i="16"/>
  <c r="V378" i="16"/>
  <c r="N383" i="2" l="1"/>
  <c r="X378" i="16"/>
  <c r="W378" i="16"/>
  <c r="V379" i="16"/>
  <c r="X379" i="16" l="1"/>
  <c r="N384" i="2"/>
  <c r="W379" i="16"/>
  <c r="V380" i="16"/>
  <c r="X380" i="16" l="1"/>
  <c r="N385" i="2"/>
  <c r="W380" i="16"/>
  <c r="V381" i="16"/>
  <c r="X381" i="16" l="1"/>
  <c r="N386" i="2"/>
  <c r="W381" i="16"/>
  <c r="V382" i="16"/>
  <c r="X382" i="16" l="1"/>
  <c r="N387" i="2"/>
  <c r="W382" i="16"/>
  <c r="V383" i="16"/>
  <c r="X383" i="16" l="1"/>
  <c r="N388" i="2"/>
  <c r="V384" i="16"/>
  <c r="W383" i="16"/>
  <c r="N389" i="2" l="1"/>
  <c r="X384" i="16"/>
  <c r="W384" i="16"/>
  <c r="V385" i="16"/>
  <c r="N390" i="2" l="1"/>
  <c r="X385" i="16"/>
  <c r="W385" i="16"/>
  <c r="V386" i="16"/>
  <c r="N391" i="2" l="1"/>
  <c r="X386" i="16"/>
  <c r="W386" i="16"/>
  <c r="V387" i="16"/>
  <c r="X387" i="16" l="1"/>
  <c r="N392" i="2"/>
  <c r="W387" i="16"/>
  <c r="V388" i="16"/>
  <c r="X388" i="16" l="1"/>
  <c r="N393" i="2"/>
  <c r="W388" i="16"/>
  <c r="V389" i="16"/>
  <c r="N394" i="2" l="1"/>
  <c r="X389" i="16"/>
  <c r="W389" i="16"/>
  <c r="V390" i="16"/>
  <c r="X390" i="16" l="1"/>
  <c r="N395" i="2"/>
  <c r="W390" i="16"/>
  <c r="V391" i="16"/>
  <c r="N396" i="2" l="1"/>
  <c r="X391" i="16"/>
  <c r="V392" i="16"/>
  <c r="W391" i="16"/>
  <c r="W392" i="16" l="1"/>
  <c r="V393" i="16"/>
  <c r="N397" i="2"/>
  <c r="X392" i="16"/>
  <c r="W393" i="16" l="1"/>
  <c r="V394" i="16"/>
  <c r="N398" i="2"/>
  <c r="X393" i="16"/>
  <c r="W394" i="16" l="1"/>
  <c r="V395" i="16"/>
  <c r="N399" i="2"/>
  <c r="X394" i="16"/>
  <c r="W395" i="16" l="1"/>
  <c r="V396" i="16"/>
  <c r="N400" i="2"/>
  <c r="X395" i="16"/>
  <c r="W396" i="16" l="1"/>
  <c r="V397" i="16"/>
  <c r="X396" i="16"/>
  <c r="N401" i="2"/>
  <c r="W397" i="16" l="1"/>
  <c r="V398" i="16"/>
  <c r="X397" i="16"/>
  <c r="N402" i="2"/>
  <c r="N403" i="2" l="1"/>
  <c r="X398" i="16"/>
  <c r="W398" i="16"/>
  <c r="V399" i="16"/>
  <c r="X399" i="16" l="1"/>
  <c r="N404" i="2"/>
  <c r="W399" i="16"/>
  <c r="V400" i="16"/>
  <c r="X400" i="16" l="1"/>
  <c r="N405" i="2"/>
  <c r="W400" i="16"/>
  <c r="V401" i="16"/>
  <c r="N406" i="2" l="1"/>
  <c r="X401" i="16"/>
  <c r="W401" i="16"/>
  <c r="V402" i="16"/>
  <c r="N407" i="2" l="1"/>
  <c r="X402" i="16"/>
  <c r="W402" i="16"/>
  <c r="V403" i="16"/>
  <c r="X403" i="16" l="1"/>
  <c r="N408" i="2"/>
  <c r="W403" i="16"/>
  <c r="V404" i="16"/>
  <c r="X404" i="16" l="1"/>
  <c r="N409" i="2"/>
  <c r="W404" i="16"/>
  <c r="V405" i="16"/>
  <c r="N410" i="2" l="1"/>
  <c r="X405" i="16"/>
  <c r="W405" i="16"/>
  <c r="V406" i="16"/>
  <c r="N411" i="2" l="1"/>
  <c r="X406" i="16"/>
  <c r="W406" i="16"/>
  <c r="V407" i="16"/>
  <c r="X407" i="16" l="1"/>
  <c r="N412" i="2"/>
  <c r="W407" i="16"/>
  <c r="V408" i="16"/>
  <c r="N413" i="2" l="1"/>
  <c r="X408" i="16"/>
  <c r="W408" i="16"/>
  <c r="V409" i="16"/>
  <c r="N414" i="2" l="1"/>
  <c r="X409" i="16"/>
  <c r="W409" i="16"/>
  <c r="V410" i="16"/>
  <c r="N415" i="2" l="1"/>
  <c r="X410" i="16"/>
  <c r="W410" i="16"/>
  <c r="V411" i="16"/>
  <c r="X411" i="16" l="1"/>
  <c r="N416" i="2"/>
  <c r="W411" i="16"/>
  <c r="V412" i="16"/>
  <c r="X412" i="16" l="1"/>
  <c r="N417" i="2"/>
  <c r="W412" i="16"/>
  <c r="V413" i="16"/>
  <c r="X413" i="16" l="1"/>
  <c r="N418" i="2"/>
  <c r="W413" i="16"/>
  <c r="V414" i="16"/>
  <c r="N419" i="2" l="1"/>
  <c r="X414" i="16"/>
  <c r="V415" i="16"/>
  <c r="W414" i="16"/>
  <c r="W415" i="16" l="1"/>
  <c r="V416" i="16"/>
  <c r="N420" i="2"/>
  <c r="X415" i="16"/>
  <c r="W416" i="16" l="1"/>
  <c r="V417" i="16"/>
  <c r="N421" i="2"/>
  <c r="X416" i="16"/>
  <c r="W417" i="16" l="1"/>
  <c r="V418" i="16"/>
  <c r="N422" i="2"/>
  <c r="X417" i="16"/>
  <c r="W418" i="16" l="1"/>
  <c r="V419" i="16"/>
  <c r="N423" i="2"/>
  <c r="X418" i="16"/>
  <c r="W419" i="16" l="1"/>
  <c r="V420" i="16"/>
  <c r="N424" i="2"/>
  <c r="X419" i="16"/>
  <c r="W420" i="16" l="1"/>
  <c r="V421" i="16"/>
  <c r="X420" i="16"/>
  <c r="N425" i="2"/>
  <c r="N426" i="2" l="1"/>
  <c r="X421" i="16"/>
  <c r="W421" i="16"/>
  <c r="V422" i="16"/>
  <c r="X422" i="16" l="1"/>
  <c r="N427" i="2"/>
  <c r="W422" i="16"/>
  <c r="V423" i="16"/>
  <c r="N428" i="2" l="1"/>
  <c r="X423" i="16"/>
  <c r="V424" i="16"/>
  <c r="W423" i="16"/>
  <c r="W424" i="16" l="1"/>
  <c r="V425" i="16"/>
  <c r="X424" i="16"/>
  <c r="N429" i="2"/>
  <c r="W425" i="16" l="1"/>
  <c r="V426" i="16"/>
  <c r="N430" i="2"/>
  <c r="X425" i="16"/>
  <c r="W426" i="16" l="1"/>
  <c r="V427" i="16"/>
  <c r="X426" i="16"/>
  <c r="N431" i="2"/>
  <c r="W427" i="16" l="1"/>
  <c r="V428" i="16"/>
  <c r="N432" i="2"/>
  <c r="X427" i="16"/>
  <c r="W428" i="16" l="1"/>
  <c r="V429" i="16"/>
  <c r="X428" i="16"/>
  <c r="N433" i="2"/>
  <c r="W429" i="16" l="1"/>
  <c r="V430" i="16"/>
  <c r="X429" i="16"/>
  <c r="N434" i="2"/>
  <c r="X430" i="16" l="1"/>
  <c r="N435" i="2"/>
  <c r="W430" i="16"/>
  <c r="V431" i="16"/>
  <c r="X431" i="16" l="1"/>
  <c r="N436" i="2"/>
  <c r="W431" i="16"/>
  <c r="V432" i="16"/>
  <c r="X432" i="16" l="1"/>
  <c r="N437" i="2"/>
  <c r="W432" i="16"/>
  <c r="V433" i="16"/>
  <c r="X433" i="16" l="1"/>
  <c r="N438" i="2"/>
  <c r="V434" i="16"/>
  <c r="W433" i="16"/>
  <c r="X434" i="16" l="1"/>
  <c r="N439" i="2"/>
  <c r="W434" i="16"/>
  <c r="V435" i="16"/>
  <c r="X435" i="16" l="1"/>
  <c r="N440" i="2"/>
  <c r="W435" i="16"/>
  <c r="V436" i="16"/>
  <c r="X436" i="16" l="1"/>
  <c r="N441" i="2"/>
  <c r="W436" i="16"/>
  <c r="V437" i="16"/>
  <c r="X437" i="16" l="1"/>
  <c r="N442" i="2"/>
  <c r="W437" i="16"/>
  <c r="V438" i="16"/>
  <c r="X438" i="16" l="1"/>
  <c r="N443" i="2"/>
  <c r="W438" i="16"/>
  <c r="V439" i="16"/>
  <c r="X439" i="16" l="1"/>
  <c r="N444" i="2"/>
  <c r="W439" i="16"/>
  <c r="V440" i="16"/>
  <c r="X440" i="16" l="1"/>
  <c r="N445" i="2"/>
  <c r="W440" i="16"/>
  <c r="V441" i="16"/>
  <c r="X441" i="16" l="1"/>
  <c r="N446" i="2"/>
  <c r="W441" i="16"/>
  <c r="V442" i="16"/>
  <c r="N447" i="2" l="1"/>
  <c r="X442" i="16"/>
  <c r="W442" i="16"/>
  <c r="V443" i="16"/>
  <c r="X443" i="16" l="1"/>
  <c r="N448" i="2"/>
  <c r="W443" i="16"/>
  <c r="V444" i="16"/>
  <c r="X444" i="16" l="1"/>
  <c r="N449" i="2"/>
  <c r="W444" i="16"/>
  <c r="V445" i="16"/>
  <c r="X445" i="16" l="1"/>
  <c r="N450" i="2"/>
  <c r="V446" i="16"/>
  <c r="W445" i="16"/>
  <c r="N451" i="2" l="1"/>
  <c r="X446" i="16"/>
  <c r="W446" i="16"/>
  <c r="V447" i="16"/>
  <c r="N452" i="2" l="1"/>
  <c r="X447" i="16"/>
  <c r="W447" i="16"/>
  <c r="V448" i="16"/>
  <c r="X448" i="16" l="1"/>
  <c r="N453" i="2"/>
  <c r="W448" i="16"/>
  <c r="V449" i="16"/>
  <c r="N454" i="2" l="1"/>
  <c r="X449" i="16"/>
  <c r="W449" i="16"/>
  <c r="V450" i="16"/>
  <c r="N455" i="2" l="1"/>
  <c r="X450" i="16"/>
  <c r="W450" i="16"/>
  <c r="V451" i="16"/>
  <c r="N456" i="2" l="1"/>
  <c r="X451" i="16"/>
  <c r="W451" i="16"/>
  <c r="V452" i="16"/>
  <c r="X452" i="16" l="1"/>
  <c r="N457" i="2"/>
  <c r="W452" i="16"/>
  <c r="V453" i="16"/>
  <c r="X453" i="16" l="1"/>
  <c r="N458" i="2"/>
  <c r="W453" i="16"/>
  <c r="V454" i="16"/>
  <c r="N459" i="2" l="1"/>
  <c r="X454" i="16"/>
  <c r="W454" i="16"/>
  <c r="V455" i="16"/>
  <c r="X455" i="16" l="1"/>
  <c r="N460" i="2"/>
  <c r="W455" i="16"/>
  <c r="V456" i="16"/>
  <c r="N461" i="2" l="1"/>
  <c r="X456" i="16"/>
  <c r="W456" i="16"/>
  <c r="V457" i="16"/>
  <c r="X457" i="16" l="1"/>
  <c r="N462" i="2"/>
  <c r="W457" i="16"/>
  <c r="V458" i="16"/>
  <c r="N463" i="2" l="1"/>
  <c r="X458" i="16"/>
  <c r="W458" i="16"/>
  <c r="V459" i="16"/>
  <c r="N464" i="2" l="1"/>
  <c r="X459" i="16"/>
  <c r="W459" i="16"/>
  <c r="V460" i="16"/>
  <c r="X460" i="16" l="1"/>
  <c r="N465" i="2"/>
  <c r="W460" i="16"/>
  <c r="V461" i="16"/>
  <c r="X461" i="16" l="1"/>
  <c r="N466" i="2"/>
  <c r="W461" i="16"/>
  <c r="V462" i="16"/>
  <c r="X462" i="16" l="1"/>
  <c r="N467" i="2"/>
  <c r="W462" i="16"/>
  <c r="V463" i="16"/>
  <c r="X463" i="16" l="1"/>
  <c r="N468" i="2"/>
  <c r="W463" i="16"/>
  <c r="V464" i="16"/>
  <c r="X464" i="16" l="1"/>
  <c r="N469" i="2"/>
  <c r="W464" i="16"/>
  <c r="V465" i="16"/>
  <c r="X465" i="16" l="1"/>
  <c r="N470" i="2"/>
  <c r="W465" i="16"/>
  <c r="V466" i="16"/>
  <c r="N471" i="2" l="1"/>
  <c r="X466" i="16"/>
  <c r="W466" i="16"/>
  <c r="V467" i="16"/>
  <c r="X467" i="16" l="1"/>
  <c r="N472" i="2"/>
  <c r="V468" i="16"/>
  <c r="W467" i="16"/>
  <c r="W468" i="16" l="1"/>
  <c r="V469" i="16"/>
  <c r="X468" i="16"/>
  <c r="N473" i="2"/>
  <c r="N474" i="2" l="1"/>
  <c r="X469" i="16"/>
  <c r="W469" i="16"/>
  <c r="V470" i="16"/>
  <c r="X470" i="16" l="1"/>
  <c r="N475" i="2"/>
  <c r="W470" i="16"/>
  <c r="V471" i="16"/>
  <c r="N476" i="2" l="1"/>
  <c r="X471" i="16"/>
  <c r="W471" i="16"/>
  <c r="V472" i="16"/>
  <c r="X472" i="16" l="1"/>
  <c r="N477" i="2"/>
  <c r="W472" i="16"/>
  <c r="V473" i="16"/>
  <c r="N478" i="2" l="1"/>
  <c r="X473" i="16"/>
  <c r="W473" i="16"/>
  <c r="V474" i="16"/>
  <c r="X474" i="16" l="1"/>
  <c r="N479" i="2"/>
  <c r="W474" i="16"/>
  <c r="V475" i="16"/>
  <c r="N480" i="2" l="1"/>
  <c r="X475" i="16"/>
  <c r="V476" i="16"/>
  <c r="W475" i="16"/>
  <c r="W476" i="16" l="1"/>
  <c r="V477" i="16"/>
  <c r="X476" i="16"/>
  <c r="N481" i="2"/>
  <c r="W477" i="16" l="1"/>
  <c r="V478" i="16"/>
  <c r="N482" i="2"/>
  <c r="X477" i="16"/>
  <c r="W478" i="16" l="1"/>
  <c r="V479" i="16"/>
  <c r="N483" i="2"/>
  <c r="X478" i="16"/>
  <c r="W479" i="16" l="1"/>
  <c r="V480" i="16"/>
  <c r="N484" i="2"/>
  <c r="X479" i="16"/>
  <c r="W480" i="16" l="1"/>
  <c r="V481" i="16"/>
  <c r="N485" i="2"/>
  <c r="X480" i="16"/>
  <c r="W481" i="16" l="1"/>
  <c r="V482" i="16"/>
  <c r="N486" i="2"/>
  <c r="X481" i="16"/>
  <c r="W482" i="16" l="1"/>
  <c r="V483" i="16"/>
  <c r="N487" i="2"/>
  <c r="X482" i="16"/>
  <c r="W483" i="16" l="1"/>
  <c r="V484" i="16"/>
  <c r="X483" i="16"/>
  <c r="N488" i="2"/>
  <c r="X484" i="16" l="1"/>
  <c r="N489" i="2"/>
  <c r="W484" i="16"/>
  <c r="V485" i="16"/>
  <c r="N490" i="2" l="1"/>
  <c r="X485" i="16"/>
  <c r="W485" i="16"/>
  <c r="V486" i="16"/>
  <c r="N491" i="2" l="1"/>
  <c r="X486" i="16"/>
  <c r="W486" i="16"/>
  <c r="V487" i="16"/>
  <c r="X487" i="16" l="1"/>
  <c r="N492" i="2"/>
  <c r="W487" i="16"/>
  <c r="V488" i="16"/>
  <c r="X488" i="16" l="1"/>
  <c r="N493" i="2"/>
  <c r="W488" i="16"/>
  <c r="V489" i="16"/>
  <c r="X489" i="16" l="1"/>
  <c r="N494" i="2"/>
  <c r="W489" i="16"/>
  <c r="V490" i="16"/>
  <c r="X490" i="16" l="1"/>
  <c r="N495" i="2"/>
  <c r="W490" i="16"/>
  <c r="V491" i="16"/>
  <c r="N496" i="2" l="1"/>
  <c r="X491" i="16"/>
  <c r="W491" i="16"/>
  <c r="V492" i="16"/>
  <c r="X492" i="16" l="1"/>
  <c r="N497" i="2"/>
  <c r="W492" i="16"/>
  <c r="V493" i="16"/>
  <c r="N498" i="2" l="1"/>
  <c r="X493" i="16"/>
  <c r="W493" i="16"/>
  <c r="V494" i="16"/>
  <c r="N499" i="2" l="1"/>
  <c r="X494" i="16"/>
  <c r="W494" i="16"/>
  <c r="V495" i="16"/>
  <c r="N500" i="2" l="1"/>
  <c r="X495" i="16"/>
  <c r="W495" i="16"/>
  <c r="V496" i="16"/>
  <c r="N501" i="2" l="1"/>
  <c r="X496" i="16"/>
  <c r="W496" i="16"/>
  <c r="V497" i="16"/>
  <c r="X497" i="16" l="1"/>
  <c r="N502" i="2"/>
  <c r="W497" i="16"/>
  <c r="V498" i="16"/>
  <c r="X498" i="16" l="1"/>
  <c r="N503" i="2"/>
  <c r="W498" i="16"/>
  <c r="V499" i="16"/>
  <c r="X499" i="16" l="1"/>
  <c r="N504" i="2"/>
  <c r="W499" i="16"/>
  <c r="V500" i="16"/>
  <c r="N505" i="2" l="1"/>
  <c r="X500" i="16"/>
  <c r="V501" i="16"/>
  <c r="W500" i="16"/>
  <c r="X501" i="16" l="1"/>
  <c r="N506" i="2"/>
  <c r="W501" i="16"/>
  <c r="V502" i="16"/>
  <c r="N507" i="2" l="1"/>
  <c r="X502" i="16"/>
  <c r="W502" i="16"/>
  <c r="V503" i="16"/>
  <c r="X503" i="16" l="1"/>
  <c r="N508" i="2"/>
  <c r="W503" i="16"/>
  <c r="V504" i="16"/>
  <c r="N509" i="2" l="1"/>
  <c r="X504" i="16"/>
  <c r="W504" i="16"/>
  <c r="V505" i="16"/>
  <c r="N510" i="2" l="1"/>
  <c r="X505" i="16"/>
  <c r="W505" i="16"/>
  <c r="V506" i="16"/>
  <c r="N511" i="2" l="1"/>
  <c r="X506" i="16"/>
  <c r="W506" i="16"/>
  <c r="V507" i="16"/>
  <c r="N512" i="2" l="1"/>
  <c r="X507" i="16"/>
  <c r="W507" i="16"/>
  <c r="V508" i="16"/>
  <c r="X508" i="16" l="1"/>
  <c r="N513" i="2"/>
  <c r="W508" i="16"/>
  <c r="V509" i="16"/>
  <c r="N514" i="2" l="1"/>
  <c r="X509" i="16"/>
  <c r="W509" i="16"/>
  <c r="V510" i="16"/>
  <c r="X510" i="16" l="1"/>
  <c r="N515" i="2"/>
  <c r="W510" i="16"/>
  <c r="V511" i="16"/>
  <c r="X511" i="16" l="1"/>
  <c r="N516" i="2"/>
  <c r="W511" i="16"/>
  <c r="V512" i="16"/>
  <c r="N517" i="2" l="1"/>
  <c r="X512" i="16"/>
  <c r="W512" i="16"/>
  <c r="V513" i="16"/>
  <c r="X513" i="16" l="1"/>
  <c r="N518" i="2"/>
  <c r="W513" i="16"/>
  <c r="V514" i="16"/>
  <c r="X514" i="16" l="1"/>
  <c r="N519" i="2"/>
  <c r="W514" i="16"/>
  <c r="V515" i="16"/>
  <c r="X515" i="16" l="1"/>
  <c r="N520" i="2"/>
  <c r="W515" i="16"/>
  <c r="V516" i="16"/>
  <c r="N521" i="2" l="1"/>
  <c r="X516" i="16"/>
  <c r="W516" i="16"/>
  <c r="V517" i="16"/>
  <c r="N522" i="2" l="1"/>
  <c r="X517" i="16"/>
  <c r="W517" i="16"/>
  <c r="V518" i="16"/>
  <c r="N523" i="2" l="1"/>
  <c r="X518" i="16"/>
  <c r="W518" i="16"/>
  <c r="V519" i="16"/>
  <c r="N524" i="2" l="1"/>
  <c r="X519" i="16"/>
  <c r="W519" i="16"/>
  <c r="V520" i="16"/>
  <c r="X520" i="16" l="1"/>
  <c r="N525" i="2"/>
  <c r="W520" i="16"/>
  <c r="V521" i="16"/>
  <c r="N526" i="2" l="1"/>
  <c r="X521" i="16"/>
  <c r="W521" i="16"/>
  <c r="V522" i="16"/>
  <c r="N527" i="2" l="1"/>
  <c r="X522" i="16"/>
  <c r="W522" i="16"/>
  <c r="V523" i="16"/>
  <c r="N528" i="2" l="1"/>
  <c r="X523" i="16"/>
  <c r="W523" i="16"/>
  <c r="V524" i="16"/>
  <c r="X524" i="16" l="1"/>
  <c r="N529" i="2"/>
  <c r="W524" i="16"/>
  <c r="V525" i="16"/>
  <c r="X525" i="16" l="1"/>
  <c r="N530" i="2"/>
  <c r="W525" i="16"/>
  <c r="V526" i="16"/>
  <c r="N531" i="2" l="1"/>
  <c r="X526" i="16"/>
  <c r="W526" i="16"/>
  <c r="V527" i="16"/>
  <c r="N532" i="2" l="1"/>
  <c r="X527" i="16"/>
  <c r="V528" i="16"/>
  <c r="W527" i="16"/>
  <c r="N533" i="2" l="1"/>
  <c r="X528" i="16"/>
  <c r="W528" i="16"/>
  <c r="V529" i="16"/>
  <c r="N534" i="2" l="1"/>
  <c r="X529" i="16"/>
  <c r="W529" i="16"/>
  <c r="V530" i="16"/>
  <c r="N535" i="2" l="1"/>
  <c r="X530" i="16"/>
  <c r="V531" i="16"/>
  <c r="W530" i="16"/>
  <c r="N536" i="2" l="1"/>
  <c r="X531" i="16"/>
  <c r="W531" i="16"/>
  <c r="V532" i="16"/>
  <c r="X532" i="16" l="1"/>
  <c r="N537" i="2"/>
  <c r="W532" i="16"/>
  <c r="V533" i="16"/>
  <c r="N538" i="2" l="1"/>
  <c r="X533" i="16"/>
  <c r="V534" i="16"/>
  <c r="W533" i="16"/>
  <c r="V535" i="16" l="1"/>
  <c r="W534" i="16"/>
  <c r="N539" i="2"/>
  <c r="X534" i="16"/>
  <c r="W535" i="16" l="1"/>
  <c r="V536" i="16"/>
  <c r="N540" i="2"/>
  <c r="X535" i="16"/>
  <c r="W536" i="16" l="1"/>
  <c r="V537" i="16"/>
  <c r="X536" i="16"/>
  <c r="N541" i="2"/>
  <c r="N542" i="2" l="1"/>
  <c r="X537" i="16"/>
  <c r="W537" i="16"/>
  <c r="V538" i="16"/>
  <c r="N543" i="2" l="1"/>
  <c r="X538" i="16"/>
  <c r="W538" i="16"/>
  <c r="V539" i="16"/>
  <c r="X539" i="16" l="1"/>
  <c r="N544" i="2"/>
  <c r="W539" i="16"/>
  <c r="V540" i="16"/>
  <c r="N545" i="2" l="1"/>
  <c r="X540" i="16"/>
  <c r="W540" i="16"/>
  <c r="V541" i="16"/>
  <c r="N546" i="2" l="1"/>
  <c r="X541" i="16"/>
  <c r="V542" i="16"/>
  <c r="W541" i="16"/>
  <c r="N547" i="2" l="1"/>
  <c r="X542" i="16"/>
  <c r="W542" i="16"/>
  <c r="V543" i="16"/>
  <c r="X543" i="16" l="1"/>
  <c r="N548" i="2"/>
  <c r="W543" i="16"/>
  <c r="V544" i="16"/>
  <c r="X544" i="16" l="1"/>
  <c r="N549" i="2"/>
  <c r="W544" i="16"/>
  <c r="V545" i="16"/>
  <c r="N550" i="2" l="1"/>
  <c r="X545" i="16"/>
  <c r="W545" i="16"/>
  <c r="V546" i="16"/>
  <c r="N551" i="2" l="1"/>
  <c r="X546" i="16"/>
  <c r="W546" i="16"/>
  <c r="V547" i="16"/>
  <c r="N552" i="2" l="1"/>
  <c r="X547" i="16"/>
  <c r="W547" i="16"/>
  <c r="V548" i="16"/>
  <c r="N553" i="2" l="1"/>
  <c r="X548" i="16"/>
  <c r="W548" i="16"/>
  <c r="V549" i="16"/>
  <c r="N554" i="2" l="1"/>
  <c r="X549" i="16"/>
  <c r="W549" i="16"/>
  <c r="V550" i="16"/>
  <c r="N555" i="2" l="1"/>
  <c r="X550" i="16"/>
  <c r="W550" i="16"/>
  <c r="V551" i="16"/>
  <c r="X551" i="16" l="1"/>
  <c r="N556" i="2"/>
  <c r="W551" i="16"/>
  <c r="V552" i="16"/>
  <c r="N557" i="2" l="1"/>
  <c r="X552" i="16"/>
  <c r="W552" i="16"/>
  <c r="V553" i="16"/>
  <c r="X553" i="16" l="1"/>
  <c r="N558" i="2"/>
  <c r="W553" i="16"/>
  <c r="V554" i="16"/>
  <c r="N559" i="2" l="1"/>
  <c r="X554" i="16"/>
  <c r="W554" i="16"/>
  <c r="V555" i="16"/>
  <c r="N560" i="2" l="1"/>
  <c r="X555" i="16"/>
  <c r="W555" i="16"/>
  <c r="V556" i="16"/>
  <c r="N561" i="2" l="1"/>
  <c r="X556" i="16"/>
  <c r="W556" i="16"/>
  <c r="V557" i="16"/>
  <c r="N562" i="2" l="1"/>
  <c r="X557" i="16"/>
  <c r="V558" i="16"/>
  <c r="W557" i="16"/>
  <c r="N563" i="2" l="1"/>
  <c r="X558" i="16"/>
  <c r="W558" i="16"/>
  <c r="V559" i="16"/>
  <c r="X559" i="16" l="1"/>
  <c r="N564" i="2"/>
  <c r="W559" i="16"/>
  <c r="V560" i="16"/>
  <c r="X560" i="16" l="1"/>
  <c r="N565" i="2"/>
  <c r="W560" i="16"/>
  <c r="V561" i="16"/>
  <c r="X561" i="16" l="1"/>
  <c r="N566" i="2"/>
  <c r="W561" i="16"/>
  <c r="V562" i="16"/>
  <c r="X562" i="16" l="1"/>
  <c r="N567" i="2"/>
  <c r="W562" i="16"/>
  <c r="V563" i="16"/>
  <c r="N568" i="2" l="1"/>
  <c r="X563" i="16"/>
  <c r="W563" i="16"/>
  <c r="V564" i="16"/>
  <c r="X564" i="16" l="1"/>
  <c r="N569" i="2"/>
  <c r="W564" i="16"/>
  <c r="V565" i="16"/>
  <c r="X565" i="16" l="1"/>
  <c r="N570" i="2"/>
  <c r="W565" i="16"/>
  <c r="V566" i="16"/>
  <c r="N571" i="2" l="1"/>
  <c r="X566" i="16"/>
  <c r="W566" i="16"/>
  <c r="V567" i="16"/>
  <c r="N572" i="2" l="1"/>
  <c r="X567" i="16"/>
  <c r="W567" i="16"/>
  <c r="V568" i="16"/>
  <c r="X568" i="16" l="1"/>
  <c r="N573" i="2"/>
  <c r="W568" i="16"/>
  <c r="V569" i="16"/>
  <c r="X569" i="16" l="1"/>
  <c r="N574" i="2"/>
  <c r="W569" i="16"/>
  <c r="V570" i="16"/>
  <c r="N575" i="2" l="1"/>
  <c r="X570" i="16"/>
  <c r="W570" i="16"/>
  <c r="V571" i="16"/>
  <c r="N576" i="2" l="1"/>
  <c r="X571" i="16"/>
  <c r="W571" i="16"/>
  <c r="V572" i="16"/>
  <c r="N577" i="2" l="1"/>
  <c r="X572" i="16"/>
  <c r="W572" i="16"/>
  <c r="V573" i="16"/>
  <c r="X573" i="16" l="1"/>
  <c r="N578" i="2"/>
  <c r="V574" i="16"/>
  <c r="W573" i="16"/>
  <c r="N579" i="2" l="1"/>
  <c r="X574" i="16"/>
  <c r="W574" i="16"/>
  <c r="V575" i="16"/>
  <c r="X575" i="16" l="1"/>
  <c r="N580" i="2"/>
  <c r="W575" i="16"/>
  <c r="V576" i="16"/>
  <c r="X576" i="16" l="1"/>
  <c r="N581" i="2"/>
  <c r="V577" i="16"/>
  <c r="W576" i="16"/>
  <c r="N582" i="2" l="1"/>
  <c r="X577" i="16"/>
  <c r="W577" i="16"/>
  <c r="V578" i="16"/>
  <c r="N583" i="2" l="1"/>
  <c r="X578" i="16"/>
  <c r="W578" i="16"/>
  <c r="V579" i="16"/>
  <c r="X579" i="16" l="1"/>
  <c r="N584" i="2"/>
  <c r="W579" i="16"/>
  <c r="V580" i="16"/>
  <c r="N585" i="2" l="1"/>
  <c r="X580" i="16"/>
  <c r="W580" i="16"/>
  <c r="V581" i="16"/>
  <c r="N586" i="2" l="1"/>
  <c r="X581" i="16"/>
  <c r="W581" i="16"/>
  <c r="V582" i="16"/>
  <c r="N587" i="2" l="1"/>
  <c r="X582" i="16"/>
  <c r="W582" i="16"/>
  <c r="V583" i="16"/>
  <c r="N588" i="2" l="1"/>
  <c r="X583" i="16"/>
  <c r="W583" i="16"/>
  <c r="V584" i="16"/>
  <c r="X584" i="16" l="1"/>
  <c r="N589" i="2"/>
  <c r="W584" i="16"/>
  <c r="V585" i="16"/>
  <c r="X585" i="16" l="1"/>
  <c r="N590" i="2"/>
  <c r="W585" i="16"/>
  <c r="V586" i="16"/>
  <c r="N591" i="2" l="1"/>
  <c r="X586" i="16"/>
  <c r="W586" i="16"/>
  <c r="V587" i="16"/>
  <c r="N592" i="2" l="1"/>
  <c r="X587" i="16"/>
  <c r="W587" i="16"/>
  <c r="V588" i="16"/>
  <c r="N593" i="2" l="1"/>
  <c r="X588" i="16"/>
  <c r="W588" i="16"/>
  <c r="V589" i="16"/>
  <c r="X589" i="16" l="1"/>
  <c r="N594" i="2"/>
  <c r="V590" i="16"/>
  <c r="W589" i="16"/>
  <c r="N595" i="2" l="1"/>
  <c r="X590" i="16"/>
  <c r="W590" i="16"/>
  <c r="V591" i="16"/>
  <c r="X591" i="16" l="1"/>
  <c r="N596" i="2"/>
  <c r="W591" i="16"/>
  <c r="V592" i="16"/>
  <c r="X592" i="16" l="1"/>
  <c r="N597" i="2"/>
  <c r="W592" i="16"/>
  <c r="V593" i="16"/>
  <c r="N598" i="2" l="1"/>
  <c r="X593" i="16"/>
  <c r="W593" i="16"/>
  <c r="V594" i="16"/>
  <c r="N599" i="2" l="1"/>
  <c r="X594" i="16"/>
  <c r="W594" i="16"/>
  <c r="V595" i="16"/>
  <c r="N600" i="2" l="1"/>
  <c r="X595" i="16"/>
  <c r="W595" i="16"/>
  <c r="V596" i="16"/>
  <c r="N601" i="2" l="1"/>
  <c r="X596" i="16"/>
  <c r="W596" i="16"/>
  <c r="V597" i="16"/>
  <c r="N602" i="2" l="1"/>
  <c r="X597" i="16"/>
  <c r="W597" i="16"/>
  <c r="V598" i="16"/>
  <c r="N603" i="2" l="1"/>
  <c r="X598" i="16"/>
  <c r="W598" i="16"/>
  <c r="V599" i="16"/>
  <c r="X599" i="16" l="1"/>
  <c r="N604" i="2"/>
  <c r="V600" i="16"/>
  <c r="W599" i="16"/>
  <c r="W600" i="16" l="1"/>
  <c r="V601" i="16"/>
  <c r="X600" i="16"/>
  <c r="N605" i="2"/>
  <c r="W601" i="16" l="1"/>
  <c r="V602" i="16"/>
  <c r="N606" i="2"/>
  <c r="X601" i="16"/>
  <c r="W602" i="16" l="1"/>
  <c r="V603" i="16"/>
  <c r="N607" i="2"/>
  <c r="X602" i="16"/>
  <c r="W603" i="16" l="1"/>
  <c r="V604" i="16"/>
  <c r="N608" i="2"/>
  <c r="X603" i="16"/>
  <c r="W604" i="16" l="1"/>
  <c r="V605" i="16"/>
  <c r="N609" i="2"/>
  <c r="X604" i="16"/>
  <c r="W605" i="16" l="1"/>
  <c r="V606" i="16"/>
  <c r="N610" i="2"/>
  <c r="X605" i="16"/>
  <c r="W606" i="16" l="1"/>
  <c r="V607" i="16"/>
  <c r="N611" i="2"/>
  <c r="X606" i="16"/>
  <c r="W607" i="16" l="1"/>
  <c r="V608" i="16"/>
  <c r="N612" i="2"/>
  <c r="X607" i="16"/>
  <c r="W608" i="16" l="1"/>
  <c r="V609" i="16"/>
  <c r="N613" i="2"/>
  <c r="X608" i="16"/>
  <c r="V610" i="16" l="1"/>
  <c r="W609" i="16"/>
  <c r="N614" i="2"/>
  <c r="X609" i="16"/>
  <c r="V611" i="16" l="1"/>
  <c r="W610" i="16"/>
  <c r="N615" i="2"/>
  <c r="X610" i="16"/>
  <c r="W611" i="16" l="1"/>
  <c r="V612" i="16"/>
  <c r="N616" i="2"/>
  <c r="X611" i="16"/>
  <c r="W612" i="16" l="1"/>
  <c r="V613" i="16"/>
  <c r="N617" i="2"/>
  <c r="X612" i="16"/>
  <c r="W613" i="16" l="1"/>
  <c r="V614" i="16"/>
  <c r="N618" i="2"/>
  <c r="X613" i="16"/>
  <c r="W614" i="16" l="1"/>
  <c r="V615" i="16"/>
  <c r="X614" i="16"/>
  <c r="N619" i="2"/>
  <c r="N620" i="2" l="1"/>
  <c r="X615" i="16"/>
  <c r="W615" i="16"/>
  <c r="V616" i="16"/>
  <c r="N621" i="2" l="1"/>
  <c r="X616" i="16"/>
  <c r="W616" i="16"/>
  <c r="V617" i="16"/>
  <c r="N622" i="2" l="1"/>
  <c r="X617" i="16"/>
  <c r="W617" i="16"/>
  <c r="V618" i="16"/>
  <c r="N623" i="2" l="1"/>
  <c r="X618" i="16"/>
  <c r="V619" i="16"/>
  <c r="W618" i="16"/>
  <c r="N624" i="2" l="1"/>
  <c r="X619" i="16"/>
  <c r="W619" i="16"/>
  <c r="V620" i="16"/>
  <c r="N625" i="2" l="1"/>
  <c r="X620" i="16"/>
  <c r="W620" i="16"/>
  <c r="V621" i="16"/>
  <c r="N626" i="2" l="1"/>
  <c r="X621" i="16"/>
  <c r="W621" i="16"/>
  <c r="V622" i="16"/>
  <c r="N627" i="2" l="1"/>
  <c r="X622" i="16"/>
  <c r="W622" i="16"/>
  <c r="V623" i="16"/>
  <c r="N628" i="2" l="1"/>
  <c r="X623" i="16"/>
  <c r="W623" i="16"/>
  <c r="V624" i="16"/>
  <c r="N629" i="2" l="1"/>
  <c r="X624" i="16"/>
  <c r="W624" i="16"/>
  <c r="V625" i="16"/>
  <c r="N630" i="2" l="1"/>
  <c r="X625" i="16"/>
  <c r="W625" i="16"/>
  <c r="V626" i="16"/>
  <c r="N631" i="2" l="1"/>
  <c r="X626" i="16"/>
  <c r="W626" i="16"/>
  <c r="V627" i="16"/>
  <c r="X627" i="16" l="1"/>
  <c r="N632" i="2"/>
  <c r="W627" i="16"/>
  <c r="V628" i="16"/>
  <c r="N633" i="2" l="1"/>
  <c r="X628" i="16"/>
  <c r="W628" i="16"/>
  <c r="V629" i="16"/>
  <c r="N634" i="2" l="1"/>
  <c r="X629" i="16"/>
  <c r="W629" i="16"/>
  <c r="V630" i="16"/>
  <c r="X630" i="16" l="1"/>
  <c r="N635" i="2"/>
  <c r="W630" i="16"/>
  <c r="V631" i="16"/>
  <c r="N636" i="2" l="1"/>
  <c r="X631" i="16"/>
  <c r="W631" i="16"/>
  <c r="V632" i="16"/>
  <c r="N637" i="2" l="1"/>
  <c r="X632" i="16"/>
  <c r="W632" i="16"/>
  <c r="V633" i="16"/>
  <c r="N638" i="2" l="1"/>
  <c r="X633" i="16"/>
  <c r="W633" i="16"/>
  <c r="V634" i="16"/>
  <c r="N639" i="2" l="1"/>
  <c r="X634" i="16"/>
  <c r="W634" i="16"/>
  <c r="V635" i="16"/>
  <c r="N640" i="2" l="1"/>
  <c r="X635" i="16"/>
  <c r="W635" i="16"/>
  <c r="V636" i="16"/>
  <c r="N641" i="2" l="1"/>
  <c r="X636" i="16"/>
  <c r="W636" i="16"/>
  <c r="V637" i="16"/>
  <c r="X637" i="16" l="1"/>
  <c r="N642" i="2"/>
  <c r="W637" i="16"/>
  <c r="V638" i="16"/>
  <c r="X638" i="16" l="1"/>
  <c r="N643" i="2"/>
  <c r="W638" i="16"/>
  <c r="V639" i="16"/>
  <c r="N644" i="2" l="1"/>
  <c r="X639" i="16"/>
  <c r="W639" i="16"/>
  <c r="V640" i="16"/>
  <c r="N645" i="2" l="1"/>
  <c r="X640" i="16"/>
  <c r="W640" i="16"/>
  <c r="V641" i="16"/>
  <c r="N646" i="2" l="1"/>
  <c r="X641" i="16"/>
  <c r="W641" i="16"/>
  <c r="V642" i="16"/>
  <c r="X642" i="16" l="1"/>
  <c r="N647" i="2"/>
  <c r="W642" i="16"/>
  <c r="V643" i="16"/>
  <c r="X643" i="16" l="1"/>
  <c r="N648" i="2"/>
  <c r="W643" i="16"/>
  <c r="V644" i="16"/>
  <c r="X644" i="16" l="1"/>
  <c r="N649" i="2"/>
  <c r="W644" i="16"/>
  <c r="V645" i="16"/>
  <c r="N650" i="2" l="1"/>
  <c r="X645" i="16"/>
  <c r="W645" i="16"/>
  <c r="V646" i="16"/>
  <c r="X646" i="16" l="1"/>
  <c r="N651" i="2"/>
  <c r="W646" i="16"/>
  <c r="V647" i="16"/>
  <c r="N652" i="2" l="1"/>
  <c r="X647" i="16"/>
  <c r="W647" i="16"/>
  <c r="V648" i="16"/>
  <c r="N653" i="2" l="1"/>
  <c r="X648" i="16"/>
  <c r="W648" i="16"/>
  <c r="V649" i="16"/>
  <c r="N654" i="2" l="1"/>
  <c r="X649" i="16"/>
  <c r="W649" i="16"/>
  <c r="V650" i="16"/>
  <c r="N655" i="2" l="1"/>
  <c r="X650" i="16"/>
  <c r="W650" i="16"/>
  <c r="V651" i="16"/>
  <c r="N656" i="2" l="1"/>
  <c r="X651" i="16"/>
  <c r="W651" i="16"/>
  <c r="V652" i="16"/>
  <c r="X652" i="16" l="1"/>
  <c r="N657" i="2"/>
  <c r="W652" i="16"/>
  <c r="V653" i="16"/>
  <c r="X653" i="16" l="1"/>
  <c r="N658" i="2"/>
  <c r="W653" i="16"/>
  <c r="V654" i="16"/>
  <c r="X654" i="16" l="1"/>
  <c r="N659" i="2"/>
  <c r="W654" i="16"/>
  <c r="V655" i="16"/>
  <c r="X655" i="16" l="1"/>
  <c r="N660" i="2"/>
  <c r="W655" i="16"/>
  <c r="V656" i="16"/>
  <c r="N661" i="2" l="1"/>
  <c r="X656" i="16"/>
  <c r="W656" i="16"/>
  <c r="V657" i="16"/>
  <c r="N662" i="2" l="1"/>
  <c r="X657" i="16"/>
  <c r="W657" i="16"/>
  <c r="V658" i="16"/>
  <c r="X658" i="16" l="1"/>
  <c r="N663" i="2"/>
  <c r="W658" i="16"/>
  <c r="V659" i="16"/>
  <c r="N664" i="2" l="1"/>
  <c r="X659" i="16"/>
  <c r="W659" i="16"/>
  <c r="V660" i="16"/>
  <c r="X660" i="16" l="1"/>
  <c r="N665" i="2"/>
  <c r="V661" i="16"/>
  <c r="W660" i="16"/>
  <c r="X661" i="16" l="1"/>
  <c r="N666" i="2"/>
  <c r="W661" i="16"/>
  <c r="V662" i="16"/>
  <c r="X662" i="16" l="1"/>
  <c r="N667" i="2"/>
  <c r="W662" i="16"/>
  <c r="V663" i="16"/>
  <c r="N668" i="2" l="1"/>
  <c r="X663" i="16"/>
  <c r="W663" i="16"/>
  <c r="V664" i="16"/>
  <c r="N669" i="2" l="1"/>
  <c r="X664" i="16"/>
  <c r="V665" i="16"/>
  <c r="W664" i="16"/>
  <c r="W665" i="16" l="1"/>
  <c r="V666" i="16"/>
  <c r="N670" i="2"/>
  <c r="X665" i="16"/>
  <c r="W666" i="16" l="1"/>
  <c r="V667" i="16"/>
  <c r="N671" i="2"/>
  <c r="X666" i="16"/>
  <c r="W667" i="16" l="1"/>
  <c r="V668" i="16"/>
  <c r="N672" i="2"/>
  <c r="X667" i="16"/>
  <c r="V669" i="16" l="1"/>
  <c r="W668" i="16"/>
  <c r="X668" i="16"/>
  <c r="N673" i="2"/>
  <c r="W669" i="16" l="1"/>
  <c r="V670" i="16"/>
  <c r="N674" i="2"/>
  <c r="X669" i="16"/>
  <c r="W670" i="16" l="1"/>
  <c r="V671" i="16"/>
  <c r="N675" i="2"/>
  <c r="X670" i="16"/>
  <c r="W671" i="16" l="1"/>
  <c r="V672" i="16"/>
  <c r="X671" i="16"/>
  <c r="N676" i="2"/>
  <c r="N677" i="2" l="1"/>
  <c r="X672" i="16"/>
  <c r="W672" i="16"/>
  <c r="V673" i="16"/>
  <c r="N678" i="2" l="1"/>
  <c r="X673" i="16"/>
  <c r="W673" i="16"/>
  <c r="V674" i="16"/>
  <c r="X674" i="16" l="1"/>
  <c r="N679" i="2"/>
  <c r="W674" i="16"/>
  <c r="V675" i="16"/>
  <c r="N680" i="2" l="1"/>
  <c r="X675" i="16"/>
  <c r="W675" i="16"/>
  <c r="V676" i="16"/>
  <c r="X676" i="16" l="1"/>
  <c r="N681" i="2"/>
  <c r="W676" i="16"/>
  <c r="V677" i="16"/>
  <c r="N682" i="2" l="1"/>
  <c r="X677" i="16"/>
  <c r="W677" i="16"/>
  <c r="V678" i="16"/>
  <c r="X678" i="16" l="1"/>
  <c r="N683" i="2"/>
  <c r="W678" i="16"/>
  <c r="V679" i="16"/>
  <c r="N684" i="2" l="1"/>
  <c r="X679" i="16"/>
  <c r="W679" i="16"/>
  <c r="V680" i="16"/>
  <c r="N685" i="2" l="1"/>
  <c r="X680" i="16"/>
  <c r="W680" i="16"/>
  <c r="V681" i="16"/>
  <c r="N686" i="2" l="1"/>
  <c r="X681" i="16"/>
  <c r="W681" i="16"/>
  <c r="V682" i="16"/>
  <c r="N687" i="2" l="1"/>
  <c r="X682" i="16"/>
  <c r="W682" i="16"/>
  <c r="V683" i="16"/>
  <c r="N688" i="2" l="1"/>
  <c r="X683" i="16"/>
  <c r="W683" i="16"/>
  <c r="V684" i="16"/>
  <c r="X684" i="16" l="1"/>
  <c r="N689" i="2"/>
  <c r="W684" i="16"/>
  <c r="V685" i="16"/>
  <c r="X685" i="16" l="1"/>
  <c r="N690" i="2"/>
  <c r="W685" i="16"/>
  <c r="V686" i="16"/>
  <c r="X686" i="16" l="1"/>
  <c r="N691" i="2"/>
  <c r="W686" i="16"/>
  <c r="V687" i="16"/>
  <c r="N692" i="2" l="1"/>
  <c r="X687" i="16"/>
  <c r="W687" i="16"/>
  <c r="V688" i="16"/>
  <c r="N693" i="2" l="1"/>
  <c r="X688" i="16"/>
  <c r="W688" i="16"/>
  <c r="V689" i="16"/>
  <c r="X689" i="16" l="1"/>
  <c r="N694" i="2"/>
  <c r="W689" i="16"/>
  <c r="V690" i="16"/>
  <c r="X690" i="16" l="1"/>
  <c r="N695" i="2"/>
  <c r="W690" i="16"/>
  <c r="V691" i="16"/>
  <c r="N696" i="2" l="1"/>
  <c r="X691" i="16"/>
  <c r="W691" i="16"/>
  <c r="V692" i="16"/>
  <c r="X692" i="16" l="1"/>
  <c r="N697" i="2"/>
  <c r="V693" i="16"/>
  <c r="W692" i="16"/>
  <c r="N698" i="2" l="1"/>
  <c r="X693" i="16"/>
  <c r="V694" i="16"/>
  <c r="W693" i="16"/>
  <c r="X694" i="16" l="1"/>
  <c r="N699" i="2"/>
  <c r="W694" i="16"/>
  <c r="V695" i="16"/>
  <c r="N700" i="2" l="1"/>
  <c r="X695" i="16"/>
  <c r="W695" i="16"/>
  <c r="V696" i="16"/>
  <c r="N701" i="2" l="1"/>
  <c r="X696" i="16"/>
  <c r="W696" i="16"/>
  <c r="V697" i="16"/>
  <c r="X697" i="16" l="1"/>
  <c r="N702" i="2"/>
  <c r="W697" i="16"/>
  <c r="V698" i="16"/>
  <c r="X698" i="16" l="1"/>
  <c r="N703" i="2"/>
  <c r="W698" i="16"/>
  <c r="V699" i="16"/>
  <c r="N704" i="2" l="1"/>
  <c r="X699" i="16"/>
  <c r="W699" i="16"/>
  <c r="V700" i="16"/>
  <c r="X700" i="16" l="1"/>
  <c r="N705" i="2"/>
  <c r="W700" i="16"/>
  <c r="V701" i="16"/>
  <c r="X701" i="16" l="1"/>
  <c r="N706" i="2"/>
  <c r="V702" i="16"/>
  <c r="W701" i="16"/>
  <c r="W702" i="16" l="1"/>
  <c r="V703" i="16"/>
  <c r="X702" i="16"/>
  <c r="N707" i="2"/>
  <c r="N708" i="2" l="1"/>
  <c r="X703" i="16"/>
  <c r="W703" i="16"/>
  <c r="V704" i="16"/>
  <c r="N709" i="2" l="1"/>
  <c r="X704" i="16"/>
  <c r="W704" i="16"/>
  <c r="V705" i="16"/>
  <c r="X705" i="16" l="1"/>
  <c r="N710" i="2"/>
  <c r="W705" i="16"/>
  <c r="V706" i="16"/>
  <c r="N711" i="2" l="1"/>
  <c r="X706" i="16"/>
  <c r="W706" i="16"/>
  <c r="V707" i="16"/>
  <c r="N712" i="2" l="1"/>
  <c r="X707" i="16"/>
  <c r="W707" i="16"/>
  <c r="V708" i="16"/>
  <c r="X708" i="16" l="1"/>
  <c r="N713" i="2"/>
  <c r="V709" i="16"/>
  <c r="W708" i="16"/>
  <c r="X709" i="16" l="1"/>
  <c r="N714" i="2"/>
  <c r="W709" i="16"/>
  <c r="V710" i="16"/>
  <c r="X710" i="16" l="1"/>
  <c r="N715" i="2"/>
  <c r="W710" i="16"/>
  <c r="V711" i="16"/>
  <c r="N716" i="2" l="1"/>
  <c r="X711" i="16"/>
  <c r="V712" i="16"/>
  <c r="W711" i="16"/>
  <c r="W712" i="16" l="1"/>
  <c r="V713" i="16"/>
  <c r="N717" i="2"/>
  <c r="X712" i="16"/>
  <c r="W713" i="16" l="1"/>
  <c r="V714" i="16"/>
  <c r="N718" i="2"/>
  <c r="X713" i="16"/>
  <c r="W714" i="16" l="1"/>
  <c r="V715" i="16"/>
  <c r="N719" i="2"/>
  <c r="X714" i="16"/>
  <c r="W715" i="16" l="1"/>
  <c r="V716" i="16"/>
  <c r="N720" i="2"/>
  <c r="X715" i="16"/>
  <c r="W716" i="16" l="1"/>
  <c r="V717" i="16"/>
  <c r="X716" i="16"/>
  <c r="N721" i="2"/>
  <c r="X717" i="16" l="1"/>
  <c r="N722" i="2"/>
  <c r="W717" i="16"/>
  <c r="V718" i="16"/>
  <c r="X718" i="16" l="1"/>
  <c r="N723" i="2"/>
  <c r="W718" i="16"/>
  <c r="V719" i="16"/>
  <c r="N724" i="2" l="1"/>
  <c r="X719" i="16"/>
  <c r="W719" i="16"/>
  <c r="V720" i="16"/>
  <c r="N725" i="2" l="1"/>
  <c r="X720" i="16"/>
  <c r="W720" i="16"/>
  <c r="V721" i="16"/>
  <c r="X721" i="16" l="1"/>
  <c r="N726" i="2"/>
  <c r="V722" i="16"/>
  <c r="W721" i="16"/>
  <c r="N727" i="2" l="1"/>
  <c r="X722" i="16"/>
  <c r="W722" i="16"/>
  <c r="V723" i="16"/>
  <c r="N728" i="2" l="1"/>
  <c r="X723" i="16"/>
  <c r="W723" i="16"/>
  <c r="V724" i="16"/>
  <c r="N729" i="2" l="1"/>
  <c r="X724" i="16"/>
  <c r="W724" i="16"/>
  <c r="V725" i="16"/>
  <c r="N730" i="2" l="1"/>
  <c r="X725" i="16"/>
  <c r="W725" i="16"/>
  <c r="V726" i="16"/>
  <c r="N731" i="2" l="1"/>
  <c r="X726" i="16"/>
  <c r="W726" i="16"/>
  <c r="V727" i="16"/>
  <c r="N732" i="2" l="1"/>
  <c r="X727" i="16"/>
  <c r="W727" i="16"/>
  <c r="V728" i="16"/>
  <c r="N733" i="2" l="1"/>
  <c r="X728" i="16"/>
  <c r="W728" i="16"/>
  <c r="V729" i="16"/>
  <c r="N734" i="2" l="1"/>
  <c r="X729" i="16"/>
  <c r="W729" i="16"/>
  <c r="V730" i="16"/>
  <c r="N735" i="2" l="1"/>
  <c r="X730" i="16"/>
  <c r="W730" i="16"/>
  <c r="V731" i="16"/>
  <c r="N736" i="2" l="1"/>
  <c r="X731" i="16"/>
  <c r="W731" i="16"/>
  <c r="V732" i="16"/>
  <c r="N737" i="2" l="1"/>
  <c r="X732" i="16"/>
  <c r="W732" i="16"/>
  <c r="V733" i="16"/>
  <c r="N738" i="2" l="1"/>
  <c r="X733" i="16"/>
  <c r="W733" i="16"/>
  <c r="V734" i="16"/>
  <c r="N739" i="2" l="1"/>
  <c r="X734" i="16"/>
  <c r="W734" i="16"/>
  <c r="V735" i="16"/>
  <c r="N740" i="2" l="1"/>
  <c r="X735" i="16"/>
  <c r="W735" i="16"/>
  <c r="V736" i="16"/>
  <c r="X736" i="16" l="1"/>
  <c r="N741" i="2"/>
  <c r="W736" i="16"/>
  <c r="V737" i="16"/>
  <c r="N742" i="2" l="1"/>
  <c r="X737" i="16"/>
  <c r="W737" i="16"/>
  <c r="V738" i="16"/>
  <c r="N743" i="2" l="1"/>
  <c r="X738" i="16"/>
  <c r="W738" i="16"/>
  <c r="V739" i="16"/>
  <c r="N744" i="2" l="1"/>
  <c r="X739" i="16"/>
  <c r="W739" i="16"/>
  <c r="V740" i="16"/>
  <c r="N745" i="2" l="1"/>
  <c r="X740" i="16"/>
  <c r="W740" i="16"/>
  <c r="V741" i="16"/>
  <c r="N746" i="2" l="1"/>
  <c r="X741" i="16"/>
  <c r="W741" i="16"/>
  <c r="V742" i="16"/>
  <c r="N747" i="2" l="1"/>
  <c r="X742" i="16"/>
  <c r="W742" i="16"/>
  <c r="V743" i="16"/>
  <c r="N748" i="2" l="1"/>
  <c r="X743" i="16"/>
  <c r="W743" i="16"/>
  <c r="V744" i="16"/>
  <c r="N749" i="2" l="1"/>
  <c r="X744" i="16"/>
  <c r="W744" i="16"/>
  <c r="V745" i="16"/>
  <c r="N750" i="2" l="1"/>
  <c r="X745" i="16"/>
  <c r="W745" i="16"/>
  <c r="V746" i="16"/>
  <c r="N751" i="2" l="1"/>
  <c r="X746" i="16"/>
  <c r="W746" i="16"/>
  <c r="V747" i="16"/>
  <c r="N752" i="2" l="1"/>
  <c r="X747" i="16"/>
  <c r="W747" i="16"/>
  <c r="V748" i="16"/>
  <c r="N753" i="2" l="1"/>
  <c r="X748" i="16"/>
  <c r="W748" i="16"/>
  <c r="V749" i="16"/>
  <c r="N754" i="2" l="1"/>
  <c r="X749" i="16"/>
  <c r="W749" i="16"/>
  <c r="V750" i="16"/>
  <c r="N755" i="2" l="1"/>
  <c r="X750" i="16"/>
  <c r="W750" i="16"/>
  <c r="V751" i="16"/>
  <c r="N756" i="2" l="1"/>
  <c r="X751" i="16"/>
  <c r="W751" i="16"/>
  <c r="V752" i="16"/>
  <c r="X752" i="16" l="1"/>
  <c r="N757" i="2"/>
  <c r="W752" i="16"/>
  <c r="V753" i="16"/>
  <c r="N758" i="2" l="1"/>
  <c r="X753" i="16"/>
  <c r="W753" i="16"/>
  <c r="V754" i="16"/>
  <c r="X754" i="16" l="1"/>
  <c r="N759" i="2"/>
  <c r="W754" i="16"/>
  <c r="V755" i="16"/>
  <c r="N760" i="2" l="1"/>
  <c r="X755" i="16"/>
  <c r="W755" i="16"/>
  <c r="V756" i="16"/>
  <c r="N761" i="2" l="1"/>
  <c r="X756" i="16"/>
  <c r="W756" i="16"/>
  <c r="V757" i="16"/>
  <c r="N762" i="2" l="1"/>
  <c r="X757" i="16"/>
  <c r="X758" i="16" s="1"/>
  <c r="X759" i="16" s="1"/>
  <c r="X760" i="16" s="1"/>
  <c r="X761" i="16" s="1"/>
  <c r="X762" i="16" s="1"/>
  <c r="W757" i="16"/>
  <c r="V758" i="16"/>
  <c r="W758" i="16" l="1"/>
  <c r="V759" i="16"/>
  <c r="W759" i="16" l="1"/>
  <c r="V760" i="16"/>
  <c r="W760" i="16" l="1"/>
  <c r="V761" i="16"/>
  <c r="W761" i="16" l="1"/>
  <c r="V762" i="16"/>
  <c r="W762" i="16" l="1"/>
</calcChain>
</file>

<file path=xl/comments1.xml><?xml version="1.0" encoding="utf-8"?>
<comments xmlns="http://schemas.openxmlformats.org/spreadsheetml/2006/main">
  <authors>
    <author>kgt</author>
  </authors>
  <commentList>
    <comment ref="D6" authorId="0" shapeId="0">
      <text>
        <r>
          <rPr>
            <b/>
            <sz val="8"/>
            <color indexed="81"/>
            <rFont val="Tahoma"/>
            <family val="2"/>
          </rPr>
          <t>kgt:</t>
        </r>
        <r>
          <rPr>
            <sz val="8"/>
            <color indexed="81"/>
            <rFont val="Tahoma"/>
            <family val="2"/>
          </rPr>
          <t xml:space="preserve">
</t>
        </r>
        <r>
          <rPr>
            <sz val="10"/>
            <color indexed="81"/>
            <rFont val="Tahoma"/>
            <family val="2"/>
          </rPr>
          <t>There is no published evidence that the effect of slope on rate of spread continues to influence fire behaviour in the same way when slopes exceed 30 degrees.  
Think carefully before using slopes greater than 30 degrees.</t>
        </r>
      </text>
    </comment>
    <comment ref="J10"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2.xml><?xml version="1.0" encoding="utf-8"?>
<comments xmlns="http://schemas.openxmlformats.org/spreadsheetml/2006/main">
  <authors>
    <author>kgt</author>
    <author>Tolhurst</author>
  </authors>
  <commentList>
    <comment ref="C4" authorId="0" shapeId="0">
      <text>
        <r>
          <rPr>
            <b/>
            <sz val="8"/>
            <color indexed="81"/>
            <rFont val="Tahoma"/>
            <family val="2"/>
          </rPr>
          <t>kgt:</t>
        </r>
        <r>
          <rPr>
            <sz val="8"/>
            <color indexed="81"/>
            <rFont val="Tahoma"/>
            <family val="2"/>
          </rPr>
          <t xml:space="preserve">
</t>
        </r>
        <r>
          <rPr>
            <sz val="10"/>
            <color indexed="81"/>
            <rFont val="Tahoma"/>
            <family val="2"/>
          </rPr>
          <t>Total fine fuel load has to be completed on this sheet.  All other fields are automatically filled.</t>
        </r>
      </text>
    </comment>
    <comment ref="J4" authorId="1" shapeId="0">
      <text>
        <r>
          <rPr>
            <b/>
            <sz val="8"/>
            <color indexed="81"/>
            <rFont val="Tahoma"/>
            <family val="2"/>
          </rPr>
          <t>Tolhurst: The default wind reduction factor used by McArthur is "3".</t>
        </r>
        <r>
          <rPr>
            <sz val="8"/>
            <color indexed="81"/>
            <rFont val="Tahoma"/>
            <family val="2"/>
          </rPr>
          <t xml:space="preserve">
</t>
        </r>
      </text>
    </comment>
    <comment ref="C5" authorId="0" shapeId="0">
      <text>
        <r>
          <rPr>
            <b/>
            <sz val="8"/>
            <color indexed="81"/>
            <rFont val="Tahoma"/>
            <family val="2"/>
          </rPr>
          <t>kgt:</t>
        </r>
        <r>
          <rPr>
            <sz val="8"/>
            <color indexed="81"/>
            <rFont val="Tahoma"/>
            <family val="2"/>
          </rPr>
          <t xml:space="preserve">
</t>
        </r>
        <r>
          <rPr>
            <sz val="10"/>
            <color indexed="81"/>
            <rFont val="Tahoma"/>
            <family val="2"/>
          </rPr>
          <t>Carried forward from "Weather_Site" sheet.</t>
        </r>
      </text>
    </comment>
    <comment ref="I8" authorId="1" shapeId="0">
      <text>
        <r>
          <rPr>
            <b/>
            <sz val="8"/>
            <color indexed="81"/>
            <rFont val="Tahoma"/>
            <family val="2"/>
          </rPr>
          <t>Tolhurst:</t>
        </r>
        <r>
          <rPr>
            <sz val="8"/>
            <color indexed="81"/>
            <rFont val="Tahoma"/>
            <family val="2"/>
          </rPr>
          <t xml:space="preserve">
You can enter a slope to override the default value.  Use the Reset Slope button to restore the default values.</t>
        </r>
      </text>
    </comment>
    <comment ref="L8" authorId="1" shapeId="0">
      <text>
        <r>
          <rPr>
            <b/>
            <sz val="8"/>
            <color indexed="81"/>
            <rFont val="Tahoma"/>
            <family val="2"/>
          </rPr>
          <t>Tolhurst:</t>
        </r>
        <r>
          <rPr>
            <sz val="8"/>
            <color indexed="81"/>
            <rFont val="Tahoma"/>
            <family val="2"/>
          </rPr>
          <t xml:space="preserve">
You can enter a different fuel load for a particular time period.  Use the Reset button to restore default values.</t>
        </r>
      </text>
    </comment>
    <comment ref="U8" authorId="0" shapeId="0">
      <text>
        <r>
          <rPr>
            <b/>
            <sz val="8"/>
            <color indexed="81"/>
            <rFont val="Tahoma"/>
            <family val="2"/>
          </rPr>
          <t xml:space="preserve">kgt: 
</t>
        </r>
        <r>
          <rPr>
            <b/>
            <sz val="10"/>
            <color indexed="81"/>
            <rFont val="Tahoma"/>
            <family val="2"/>
          </rPr>
          <t>Calculated using a formula developed by Andrew Macaulay (2003) MSc Thesis.</t>
        </r>
        <r>
          <rPr>
            <sz val="10"/>
            <color indexed="81"/>
            <rFont val="Tahoma"/>
            <family val="2"/>
          </rPr>
          <t xml:space="preserve">
</t>
        </r>
      </text>
    </comment>
    <comment ref="AA8" authorId="1" shapeId="0">
      <text>
        <r>
          <rPr>
            <b/>
            <sz val="8"/>
            <color indexed="81"/>
            <rFont val="Tahoma"/>
            <family val="2"/>
          </rPr>
          <t>Tolhurst:</t>
        </r>
        <r>
          <rPr>
            <sz val="8"/>
            <color indexed="81"/>
            <rFont val="Tahoma"/>
            <family val="2"/>
          </rPr>
          <t xml:space="preserve">
Cannot be relied upon if FDI &gt; 12</t>
        </r>
      </text>
    </comment>
    <comment ref="AG8" authorId="1" shapeId="0">
      <text>
        <r>
          <rPr>
            <b/>
            <sz val="8"/>
            <color indexed="81"/>
            <rFont val="Tahoma"/>
            <family val="2"/>
          </rPr>
          <t>Tolhurst:</t>
        </r>
        <r>
          <rPr>
            <sz val="8"/>
            <color indexed="81"/>
            <rFont val="Tahoma"/>
            <family val="2"/>
          </rPr>
          <t xml:space="preserve">
Uses FMC rather than Temp &amp; RH.  Maxes out at 100.</t>
        </r>
      </text>
    </comment>
  </commentList>
</comments>
</file>

<file path=xl/comments3.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4.xml><?xml version="1.0" encoding="utf-8"?>
<comments xmlns="http://schemas.openxmlformats.org/spreadsheetml/2006/main">
  <authors>
    <author>Tolhurst</author>
  </authors>
  <commentList>
    <comment ref="S13" authorId="0" shapeId="0">
      <text>
        <r>
          <rPr>
            <b/>
            <sz val="8"/>
            <color indexed="81"/>
            <rFont val="Tahoma"/>
            <family val="2"/>
          </rPr>
          <t>Tolhurst:</t>
        </r>
        <r>
          <rPr>
            <sz val="8"/>
            <color indexed="81"/>
            <rFont val="Tahoma"/>
            <family val="2"/>
          </rPr>
          <t xml:space="preserve">
BEWARE !!
This spotting distance is only indicative.  Check with the VESTA tables to get a more accurate estimate.</t>
        </r>
      </text>
    </comment>
  </commentList>
</comments>
</file>

<file path=xl/comments5.xml><?xml version="1.0" encoding="utf-8"?>
<comments xmlns="http://schemas.openxmlformats.org/spreadsheetml/2006/main">
  <authors>
    <author>Kevin Tolhurst</author>
    <author>Tolhurst</author>
  </authors>
  <commentList>
    <comment ref="B10" authorId="0" shapeId="0">
      <text>
        <r>
          <rPr>
            <b/>
            <sz val="9"/>
            <color indexed="81"/>
            <rFont val="Tahoma"/>
            <family val="2"/>
          </rPr>
          <t>Kevin Tolhurst:</t>
        </r>
        <r>
          <rPr>
            <sz val="9"/>
            <color indexed="81"/>
            <rFont val="Tahoma"/>
            <family val="2"/>
          </rPr>
          <t xml:space="preserve">
Mean height is approximately half top height.</t>
        </r>
      </text>
    </comment>
    <comment ref="O10" authorId="1"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6.xml><?xml version="1.0" encoding="utf-8"?>
<comments xmlns="http://schemas.openxmlformats.org/spreadsheetml/2006/main">
  <authors>
    <author>Tolhurst</author>
  </authors>
  <commentList>
    <comment ref="O10" authorId="0" shapeId="0">
      <text>
        <r>
          <rPr>
            <b/>
            <sz val="8"/>
            <color indexed="81"/>
            <rFont val="Tahoma"/>
            <family val="2"/>
          </rPr>
          <t>Tolhurst: The default wind reduction factor used by McArthur is "3".</t>
        </r>
        <r>
          <rPr>
            <sz val="8"/>
            <color indexed="81"/>
            <rFont val="Tahoma"/>
            <family val="2"/>
          </rPr>
          <t xml:space="preserve">
</t>
        </r>
      </text>
    </comment>
  </commentList>
</comments>
</file>

<file path=xl/comments7.xml><?xml version="1.0" encoding="utf-8"?>
<comments xmlns="http://schemas.openxmlformats.org/spreadsheetml/2006/main">
  <authors>
    <author>kgt</author>
    <author>Tolhurst</author>
  </authors>
  <commentList>
    <comment ref="A1" authorId="0" shapeId="0">
      <text>
        <r>
          <rPr>
            <b/>
            <sz val="8"/>
            <color indexed="81"/>
            <rFont val="Tahoma"/>
            <family val="2"/>
          </rPr>
          <t>kgt:</t>
        </r>
        <r>
          <rPr>
            <sz val="8"/>
            <color indexed="81"/>
            <rFont val="Tahoma"/>
            <family val="2"/>
          </rPr>
          <t xml:space="preserve">
This model is under development.  It is based on heath fire experiments from Spain, Portugal, New Zealand and NSW, Victoria, Tasmania, and Western Australia.
Only the top height of the tallest stratum in the heath and with wind speed at 2m above ground are needed to run the model.  No extinction criteria have been included.
See Catchpole, Bradstock, Choate, Fogarty, Gellie, McCarthy, McCaw, Marsden-Smedley and Pearce (1999)</t>
        </r>
      </text>
    </comment>
    <comment ref="B4" authorId="0" shapeId="0">
      <text>
        <r>
          <rPr>
            <b/>
            <sz val="8"/>
            <color indexed="81"/>
            <rFont val="Tahoma"/>
            <family val="2"/>
          </rPr>
          <t>kgt:</t>
        </r>
        <r>
          <rPr>
            <sz val="8"/>
            <color indexed="81"/>
            <rFont val="Tahoma"/>
            <family val="2"/>
          </rPr>
          <t xml:space="preserve">
</t>
        </r>
        <r>
          <rPr>
            <sz val="10"/>
            <color indexed="81"/>
            <rFont val="Tahoma"/>
            <family val="2"/>
          </rPr>
          <t>This height represents to top of the highest stratum in the heathland.</t>
        </r>
      </text>
    </comment>
    <comment ref="C4" authorId="0" shapeId="0">
      <text>
        <r>
          <rPr>
            <b/>
            <sz val="8"/>
            <color indexed="81"/>
            <rFont val="Tahoma"/>
            <family val="2"/>
          </rPr>
          <t>kgt:</t>
        </r>
        <r>
          <rPr>
            <sz val="8"/>
            <color indexed="81"/>
            <rFont val="Tahoma"/>
            <family val="2"/>
          </rPr>
          <t xml:space="preserve">
</t>
        </r>
        <r>
          <rPr>
            <sz val="10"/>
            <color indexed="81"/>
            <rFont val="Tahoma"/>
            <family val="2"/>
          </rPr>
          <t>Data range: 0.3 to 5 m</t>
        </r>
        <r>
          <rPr>
            <sz val="8"/>
            <color indexed="81"/>
            <rFont val="Tahoma"/>
            <family val="2"/>
          </rPr>
          <t xml:space="preserve">
</t>
        </r>
      </text>
    </comment>
    <comment ref="I8" authorId="0" shapeId="0">
      <text>
        <r>
          <rPr>
            <b/>
            <sz val="8"/>
            <color indexed="81"/>
            <rFont val="Tahoma"/>
            <family val="2"/>
          </rPr>
          <t>kgt:</t>
        </r>
        <r>
          <rPr>
            <sz val="8"/>
            <color indexed="81"/>
            <rFont val="Tahoma"/>
            <family val="2"/>
          </rPr>
          <t xml:space="preserve">
</t>
        </r>
        <r>
          <rPr>
            <sz val="10"/>
            <color indexed="81"/>
            <rFont val="Tahoma"/>
            <family val="2"/>
          </rPr>
          <t>This ROS calculation assumes that the wind is about 80% of the 10m strength at 2 m in the heath.</t>
        </r>
      </text>
    </comment>
    <comment ref="J8" authorId="1" shapeId="0">
      <text>
        <r>
          <rPr>
            <b/>
            <sz val="8"/>
            <color indexed="81"/>
            <rFont val="Tahoma"/>
            <family val="2"/>
          </rPr>
          <t>Tolhurst:</t>
        </r>
        <r>
          <rPr>
            <sz val="8"/>
            <color indexed="81"/>
            <rFont val="Tahoma"/>
            <family val="2"/>
          </rPr>
          <t xml:space="preserve">
Assuming that 7.53 t/ha for every metre of height</t>
        </r>
      </text>
    </comment>
  </commentList>
</comments>
</file>

<file path=xl/comments8.xml><?xml version="1.0" encoding="utf-8"?>
<comments xmlns="http://schemas.openxmlformats.org/spreadsheetml/2006/main">
  <authors>
    <author>kgt</author>
  </authors>
  <commentList>
    <comment ref="H12" authorId="0" shapeId="0">
      <text>
        <r>
          <rPr>
            <b/>
            <sz val="8"/>
            <color indexed="81"/>
            <rFont val="Tahoma"/>
            <family val="2"/>
          </rPr>
          <t>kgt:</t>
        </r>
        <r>
          <rPr>
            <sz val="8"/>
            <color indexed="81"/>
            <rFont val="Tahoma"/>
            <family val="2"/>
          </rPr>
          <t xml:space="preserve">
</t>
        </r>
        <r>
          <rPr>
            <sz val="10"/>
            <color indexed="81"/>
            <rFont val="Tahoma"/>
            <family val="2"/>
          </rPr>
          <t>Amount of rainfall needs to be up to the most recent record even for parts of a day.</t>
        </r>
      </text>
    </comment>
    <comment ref="I12" authorId="0" shapeId="0">
      <text>
        <r>
          <rPr>
            <b/>
            <sz val="10"/>
            <color indexed="81"/>
            <rFont val="Tahoma"/>
            <family val="2"/>
          </rPr>
          <t>kgt:</t>
        </r>
        <r>
          <rPr>
            <sz val="10"/>
            <color indexed="81"/>
            <rFont val="Tahoma"/>
            <family val="2"/>
          </rPr>
          <t xml:space="preserve">
Days since rain need to be in fractions for Buttongrass fire behaviour.</t>
        </r>
      </text>
    </comment>
  </commentList>
</comments>
</file>

<file path=xl/comments9.xml><?xml version="1.0" encoding="utf-8"?>
<comments xmlns="http://schemas.openxmlformats.org/spreadsheetml/2006/main">
  <authors>
    <author>kgt</author>
  </authors>
  <commentList>
    <comment ref="I12" authorId="0" shapeId="0">
      <text>
        <r>
          <rPr>
            <b/>
            <sz val="8"/>
            <color indexed="81"/>
            <rFont val="Tahoma"/>
            <family val="2"/>
          </rPr>
          <t>kgt:</t>
        </r>
        <r>
          <rPr>
            <sz val="8"/>
            <color indexed="81"/>
            <rFont val="Tahoma"/>
            <family val="2"/>
          </rPr>
          <t xml:space="preserve">
</t>
        </r>
        <r>
          <rPr>
            <sz val="10"/>
            <color indexed="81"/>
            <rFont val="Tahoma"/>
            <family val="2"/>
          </rPr>
          <t>If Buttongrass is one of the fuel types you are interested in then you will need to record rainfall in decimal fractions of a day.</t>
        </r>
      </text>
    </comment>
  </commentList>
</comments>
</file>

<file path=xl/comments10.xml><?xml version="1.0" encoding="utf-8"?>
<comments xmlns="http://schemas.openxmlformats.org/spreadsheetml/2006/main">
  <authors>
    <author>kgt</author>
  </authors>
  <commentList>
    <comment ref="J8" authorId="0" shapeId="0">
      <text>
        <r>
          <rPr>
            <b/>
            <sz val="10"/>
            <color indexed="81"/>
            <rFont val="Tahoma"/>
            <family val="2"/>
          </rPr>
          <t>kgt:</t>
        </r>
        <r>
          <rPr>
            <sz val="10"/>
            <color indexed="81"/>
            <rFont val="Tahoma"/>
            <family val="2"/>
          </rPr>
          <t xml:space="preserve">
This is just a standard slope correction (McArthur) and is not based on heath specific fire behaviour research.
Use with caution!</t>
        </r>
      </text>
    </comment>
  </commentList>
</comments>
</file>

<file path=xl/sharedStrings.xml><?xml version="1.0" encoding="utf-8"?>
<sst xmlns="http://schemas.openxmlformats.org/spreadsheetml/2006/main" count="1987" uniqueCount="1149">
  <si>
    <t>Compiled by: Kevin Tolhurst</t>
  </si>
  <si>
    <t>Directions for use:</t>
  </si>
  <si>
    <t>All fire behaviour models are linked to the one page of weather data.</t>
  </si>
  <si>
    <t>Ideally, hourly weather data is required, but more frequent or less frequent data can be used.</t>
  </si>
  <si>
    <t>It is important that the weather data is as locally relevant as possible, i.e. reflects the elevation and local weather patterns.</t>
  </si>
  <si>
    <t>Weather</t>
  </si>
  <si>
    <t>Fire behaviour variables will all be calculated from this one set of weather inputs.</t>
  </si>
  <si>
    <t>Some models may use the time of day or day of year, so the time and date is relevant.</t>
  </si>
  <si>
    <t>Some seasonal weather information is also needed such as grass curing, drought index, recent rainfall.</t>
  </si>
  <si>
    <t>This weather page is also used to input some common site variables such as slope, aspect, and elevation.</t>
  </si>
  <si>
    <t>Forest (McArthur MkV)</t>
  </si>
  <si>
    <t>Grass (CSIRO)</t>
  </si>
  <si>
    <t>Heath (Catchpole et al.)</t>
  </si>
  <si>
    <t>Buttongrass (Marsden-Smedley)</t>
  </si>
  <si>
    <t>Pine (Cruz)</t>
  </si>
  <si>
    <t>Forest (VESTA)</t>
  </si>
  <si>
    <t>No Days Since Rain</t>
  </si>
  <si>
    <t>Amount of Rain (mm)</t>
  </si>
  <si>
    <t>Air Temp (oC)</t>
  </si>
  <si>
    <t>Relative Humidity (%)</t>
  </si>
  <si>
    <t>Wind Speed @ 10m (km/h)</t>
  </si>
  <si>
    <t>Example</t>
  </si>
  <si>
    <t>SE</t>
  </si>
  <si>
    <t>NW</t>
  </si>
  <si>
    <t>Wind Dir</t>
  </si>
  <si>
    <t>KBDI or SDI</t>
  </si>
  <si>
    <t>Wed</t>
  </si>
  <si>
    <t>Time  (24h)</t>
  </si>
  <si>
    <t>Day  (optional)</t>
  </si>
  <si>
    <t>Weather &amp; Site</t>
  </si>
  <si>
    <t>Site variables</t>
  </si>
  <si>
    <t>Latitutde (dec.deg.)</t>
  </si>
  <si>
    <t>Date        (dd/mm/yyyy)</t>
  </si>
  <si>
    <t>Longitude (dec.deg.)</t>
  </si>
  <si>
    <t>Elevation (m)</t>
  </si>
  <si>
    <t>Slope (deg)</t>
  </si>
  <si>
    <t>Aspect (deg)</t>
  </si>
  <si>
    <t>Forest Fire Behaviour based on McArthur Mk5 fire behaviour meter.</t>
  </si>
  <si>
    <t>Fine Fuel Load (t/ha)</t>
  </si>
  <si>
    <t>Data Source</t>
  </si>
  <si>
    <t>BoM Spot weather forecast, 1500 14/3/07</t>
  </si>
  <si>
    <t>Drought Factor</t>
  </si>
  <si>
    <t>FDI</t>
  </si>
  <si>
    <t>Flame Ht (m)</t>
  </si>
  <si>
    <t>Spotting Distance (m)</t>
  </si>
  <si>
    <t>Fireline Intensity (kW/m)</t>
  </si>
  <si>
    <t>Estimated Surface Fine Fuel Moisture (%)</t>
  </si>
  <si>
    <t>McArthur Mk5 Forest Fire Behaviour Model (1977)</t>
  </si>
  <si>
    <t>The user must enter data into all field filled in with this colour.</t>
  </si>
  <si>
    <t>FDI nowind</t>
  </si>
  <si>
    <t>Flank ROS  no_slope (m/h)</t>
  </si>
  <si>
    <t>Contolled Burning Guide - McArthur 1962, Leaflet 80</t>
  </si>
  <si>
    <t>FMC      (%)</t>
  </si>
  <si>
    <t>Fuel Availability Factor</t>
  </si>
  <si>
    <t>FROS Flat    (m/h)</t>
  </si>
  <si>
    <t>FROS Slope (m/h)</t>
  </si>
  <si>
    <t>Flame Height   (m)</t>
  </si>
  <si>
    <t>Scorch Height   (m)</t>
  </si>
  <si>
    <t>Fire Intensity  (kW/m)</t>
  </si>
  <si>
    <t>FROS      + slope (m/h)</t>
  </si>
  <si>
    <t>The calculated values for McArthur's Control Burning Guide (leaflet 80) is also given.  This may give better fire behaviour predictions when the FDI is less than 12.</t>
  </si>
  <si>
    <t>CSIRO Grassland Fire Spread (1997)</t>
  </si>
  <si>
    <t>Degree of Curing (%)</t>
  </si>
  <si>
    <t>Dead Fuel Moisture Content (%)</t>
  </si>
  <si>
    <t>Fuel Moisture Coefficient M&lt;12%</t>
  </si>
  <si>
    <t>Fuel Moisture Coefficient M&gt;12%, U10&lt;=10km/h</t>
  </si>
  <si>
    <t>Fuel Moisture Coefficient M&gt;12%, U10&gt;10km/h</t>
  </si>
  <si>
    <t>Fuel Moisture Coefficient</t>
  </si>
  <si>
    <t>Grass FDI</t>
  </si>
  <si>
    <t>Curing Coefficient</t>
  </si>
  <si>
    <t>Natural Rate of Spread (U10&lt;5km/h) km/h</t>
  </si>
  <si>
    <t xml:space="preserve"> Natural Rate of Spread (U10&gt;5km/h) km/h</t>
  </si>
  <si>
    <t>Grazed Rate of Spread (U10&lt;5km/h) km/h</t>
  </si>
  <si>
    <t>Grazed Rate of Spread (U10&gt;5km/h) km/h</t>
  </si>
  <si>
    <t>Eatenout Rate of Spread (U10&gt;5km/h) km/h</t>
  </si>
  <si>
    <t>Natural Grass ROS (m/h)</t>
  </si>
  <si>
    <t>Natural Grass ROS slope (m/h)</t>
  </si>
  <si>
    <t>Grazed Grass ROS (m/h)</t>
  </si>
  <si>
    <t>Grazed Grass ROS slope (m/h)</t>
  </si>
  <si>
    <t>Eaten-out Grass ROS (m/h)</t>
  </si>
  <si>
    <t>Eaten-out Grass ROS slope (m/h)</t>
  </si>
  <si>
    <t>Natural Grass Flame Ht (m)</t>
  </si>
  <si>
    <t>Grazed Grass Flame Ht (m)</t>
  </si>
  <si>
    <t>Eaten-out Grass Flame Ht (m)</t>
  </si>
  <si>
    <t>Degree of grass curing must be entered on this page.</t>
  </si>
  <si>
    <t>Equations from:  Purton, C.M. (1982) BoM Meteorological Note No.147 (Equations for the McArthur Mark 4 Grassland Fire Danger Meter)</t>
  </si>
  <si>
    <t>Equations for rates of spread are from: Cheney, N.P., Gould, J.S. and Catchpole, W.R. (1998) Prediction of Fire Spread in Grasslands.  Inter. J. Wildland Fire, 8(1), 1-13</t>
  </si>
  <si>
    <t xml:space="preserve">Equations to calculate flame height were derived by Kevin Tolhurst from graphs in Cheney and Sullivan (1997) Grassfires - fuel, weather and fire behaviour.  CSIRO Publishing, Melbourne, Australia.  102pp. </t>
  </si>
  <si>
    <t>Vegetation top height (m)</t>
  </si>
  <si>
    <t>Slope (deg.)</t>
  </si>
  <si>
    <t>Rate of Spread (m/h)</t>
  </si>
  <si>
    <t>ROS + slope (m/h)</t>
  </si>
  <si>
    <t>Name of Location</t>
  </si>
  <si>
    <t>Nicholson Street Melbourne</t>
  </si>
  <si>
    <t xml:space="preserve">Locality: </t>
  </si>
  <si>
    <t>SW</t>
  </si>
  <si>
    <t>e</t>
  </si>
  <si>
    <t>Wind Dir. Conversion</t>
  </si>
  <si>
    <t>DIR</t>
  </si>
  <si>
    <t>ANGLE</t>
  </si>
  <si>
    <t>NNE</t>
  </si>
  <si>
    <t>NE</t>
  </si>
  <si>
    <t>ENE</t>
  </si>
  <si>
    <t>E</t>
  </si>
  <si>
    <t>ESE</t>
  </si>
  <si>
    <t>SSE</t>
  </si>
  <si>
    <t>S</t>
  </si>
  <si>
    <t>SSW</t>
  </si>
  <si>
    <t>WSW</t>
  </si>
  <si>
    <t>W</t>
  </si>
  <si>
    <t>WNW</t>
  </si>
  <si>
    <t>NNW</t>
  </si>
  <si>
    <t>N</t>
  </si>
  <si>
    <t>General Direction of Fire Spread (deg, TN)</t>
  </si>
  <si>
    <t>Enter the available weather data in the "Weather_Site" worksheet.</t>
  </si>
  <si>
    <t>View the worksheet displaying the fire behaviour predictions you are interested in.  Each model may need some additional input information, such as fuel load.</t>
  </si>
  <si>
    <t>Worksheets with model cannot be changed.  If you want to present the data in a different format, then copy or link the relevant information to a new worksheet that you can customise.</t>
  </si>
  <si>
    <t>1.</t>
  </si>
  <si>
    <t>2.</t>
  </si>
  <si>
    <t>3.</t>
  </si>
  <si>
    <t>4.</t>
  </si>
  <si>
    <t>5.</t>
  </si>
  <si>
    <t>6.</t>
  </si>
  <si>
    <t>7.</t>
  </si>
  <si>
    <t>Buttongrass Age (yrs)</t>
  </si>
  <si>
    <t>Fuel Cover (%)</t>
  </si>
  <si>
    <t>Productivity (low=1, med=2)</t>
  </si>
  <si>
    <t>Fuel Load (t/ha)</t>
  </si>
  <si>
    <t>Dew Point (oC)</t>
  </si>
  <si>
    <t>Fuel Moisture (%)</t>
  </si>
  <si>
    <t>Head fire ROS (m/h)</t>
  </si>
  <si>
    <t>Head fire Flame Ht (m)</t>
  </si>
  <si>
    <t>Flank fire ROS (m/h)</t>
  </si>
  <si>
    <t>Flank fire Flame Ht (m)</t>
  </si>
  <si>
    <t>Back fire ROS (m/h)</t>
  </si>
  <si>
    <t>Back fire Flame Ht (m)</t>
  </si>
  <si>
    <t>Prob. Fires Sustain   (0-1)</t>
  </si>
  <si>
    <t>Moorland Fire Danger Rating</t>
  </si>
  <si>
    <t>If the other inputs are unknown, leave cells blank and the following assumptions will be made:</t>
  </si>
  <si>
    <t xml:space="preserve">no rain in last 48 hours; age = 20 years; fuel cover average for 20 year old site; slope = flat; site productivity = medium (2). </t>
  </si>
  <si>
    <r>
      <t>Minimum inputs:</t>
    </r>
    <r>
      <rPr>
        <sz val="10"/>
        <rFont val="Arial"/>
        <family val="2"/>
      </rPr>
      <t xml:space="preserve"> wind speed, dry bulb temperature, and relative humidity</t>
    </r>
  </si>
  <si>
    <t>Buttongrass Fire Behaviour Model (Jon Marsden-Smedley, October 2003)</t>
  </si>
  <si>
    <r>
      <t>Input units</t>
    </r>
    <r>
      <rPr>
        <sz val="10"/>
        <rFont val="Arial"/>
        <family val="2"/>
      </rPr>
      <t xml:space="preserve">: </t>
    </r>
  </si>
  <si>
    <t>3.1</t>
  </si>
  <si>
    <t>3.2</t>
  </si>
  <si>
    <t>3.3</t>
  </si>
  <si>
    <t>3.4</t>
  </si>
  <si>
    <t>3.5</t>
  </si>
  <si>
    <t>3.6</t>
  </si>
  <si>
    <t>Wind speed in km/hr at 1.7 m, if using the fire weather forecast reduce the wind speed by 1/3 (66% of predicted wind speed);</t>
  </si>
  <si>
    <t>Temperature: current dry bulb in degrees C; Relative Humidity: current in %;</t>
  </si>
  <si>
    <t>Rainfall: amount in mm, time since rain stopped falling in hours, if using the fire weather forecast assume the 24 hour rain stopped falling at 09:00, 6 hour rain stopped falling at 15:00;</t>
  </si>
  <si>
    <t>Fuel cover = foliage projective cover in % (leave blank if unknown);</t>
  </si>
  <si>
    <t xml:space="preserve">Age since last fire in years; </t>
  </si>
  <si>
    <t>3.7</t>
  </si>
  <si>
    <t>Slope is effective slope in direction of fire spread in degrees, if unknown use actual slope in degrees;</t>
  </si>
  <si>
    <t>Moorland productivity: code as 1 or 2, according to geological type or location, medium productivity = 2: dolerite and dolerite derived (eg glacial till containing dolerite), limestone, all buttongrass moorlands in NE Tasmania, low productivity = 1: all other geological types and locations</t>
  </si>
  <si>
    <t>Button grass age, Fuel Cover, Site Productivity, and Time since last rain are needed to be input</t>
  </si>
  <si>
    <t>If the probability fires will sustain is less than 0.3, assume fire will self-extinguish.</t>
  </si>
  <si>
    <t>Vegetation top height must be entered</t>
  </si>
  <si>
    <t>This model only uses windspeed and the height of the tallest stratum in the heathland to predict rate of spread</t>
  </si>
  <si>
    <t>Weather observations and/or forecasts are all entered here.</t>
  </si>
  <si>
    <t>Step 1.</t>
  </si>
  <si>
    <t>Step 2.</t>
  </si>
  <si>
    <t>Step 3.</t>
  </si>
  <si>
    <t>Step 4.</t>
  </si>
  <si>
    <r>
      <t xml:space="preserve">Formulae from Noble, I.R., Bary, G.A.V. and Gill, A.M. (1980)  McArthur's fire danger meters expressed as equations  </t>
    </r>
    <r>
      <rPr>
        <i/>
        <sz val="10"/>
        <rFont val="Arial"/>
        <family val="2"/>
      </rPr>
      <t>Aust.J.Ecol.</t>
    </r>
    <r>
      <rPr>
        <sz val="10"/>
        <rFont val="Arial"/>
        <family val="2"/>
      </rPr>
      <t xml:space="preserve"> </t>
    </r>
    <r>
      <rPr>
        <b/>
        <sz val="10"/>
        <rFont val="Arial"/>
        <family val="2"/>
      </rPr>
      <t>5:</t>
    </r>
    <r>
      <rPr>
        <sz val="10"/>
        <rFont val="Arial"/>
        <family val="2"/>
      </rPr>
      <t>201-203.</t>
    </r>
  </si>
  <si>
    <t>Soon to be published</t>
  </si>
  <si>
    <t>Radiata Pine fire behaviour model (Cruz 2007)</t>
  </si>
  <si>
    <t>Forest McArthur Mk5</t>
  </si>
  <si>
    <t>Forest McArthur Leaflet 80</t>
  </si>
  <si>
    <t>Rates of Spread (m/h)</t>
  </si>
  <si>
    <t>Grass Natural</t>
  </si>
  <si>
    <t>Grass Grazed</t>
  </si>
  <si>
    <t>Grass Eaten-out</t>
  </si>
  <si>
    <t>Button grass</t>
  </si>
  <si>
    <t>Forest FDI</t>
  </si>
  <si>
    <t>Grassland FDI</t>
  </si>
  <si>
    <t>FDIs</t>
  </si>
  <si>
    <t>Defaults</t>
  </si>
  <si>
    <t>Slope Calculator</t>
  </si>
  <si>
    <t>1. Enter the rise (or fall) in elevation (m) over the distance of interest.</t>
  </si>
  <si>
    <t>2. Enter the distance (m) over which you want to find the average slope.</t>
  </si>
  <si>
    <t>3. Average slope in degrees in returned.</t>
  </si>
  <si>
    <t>4. Rate of Spread modification factor to convert flat ground speed to slope speed is also returned.</t>
  </si>
  <si>
    <t>Rise (m)</t>
  </si>
  <si>
    <t>Distance (m)</t>
  </si>
  <si>
    <t>ROS factor</t>
  </si>
  <si>
    <t>Convert Slope in Percent to Degrees</t>
  </si>
  <si>
    <t>Convert Slope in Degrees to Percent</t>
  </si>
  <si>
    <t>Slope (%)</t>
  </si>
  <si>
    <t>Slope Template Calculations</t>
  </si>
  <si>
    <t>You can make a slope template on a card or piece of paper to show the distance on the map</t>
  </si>
  <si>
    <t xml:space="preserve">where the contours are close enough to be specific slope steepnesses. </t>
  </si>
  <si>
    <t>5 degrees</t>
  </si>
  <si>
    <t>10 degress</t>
  </si>
  <si>
    <t>20 degrees</t>
  </si>
  <si>
    <t>30 degrees</t>
  </si>
  <si>
    <t>Change in elevation (rise) and Distance are entered to calculate effective slope</t>
  </si>
  <si>
    <t>Average slope and rate of spread modification factors are returned.</t>
  </si>
  <si>
    <t>You can calculate the distances needed to make up a slope template for mapping.</t>
  </si>
  <si>
    <t>Slopes in degrees can be converted to slopes in percents and vice versa.</t>
  </si>
  <si>
    <t>Return to Menu</t>
  </si>
  <si>
    <t>Equival't Fine Fuel Load (t/ha)</t>
  </si>
  <si>
    <t>ROS Moisture Factor (Mf)</t>
  </si>
  <si>
    <t>ROS Slope Factor (Sf)</t>
  </si>
  <si>
    <t>Current Fine Fuel Moisture (%)</t>
  </si>
  <si>
    <t>FROS    + slope (m/h)</t>
  </si>
  <si>
    <t>Surface Fuel Hazard Score (0-4)</t>
  </si>
  <si>
    <t>Near-surface Hazard Score (0-4)</t>
  </si>
  <si>
    <t>Near-surface Fuel Height (cm)</t>
  </si>
  <si>
    <t>Elevated Fuel Height (m)</t>
  </si>
  <si>
    <t>Flame Height (m)</t>
  </si>
  <si>
    <t>Bark Hazard Score (0-4)</t>
  </si>
  <si>
    <t>Temp</t>
  </si>
  <si>
    <t>RH</t>
  </si>
  <si>
    <t>Dew Pt</t>
  </si>
  <si>
    <t>Fine Fuel Moisture (%)  Summer PM    (Tble M1)</t>
  </si>
  <si>
    <t>Fine Fuel Moisture (%) Daytime (Tble M2)</t>
  </si>
  <si>
    <t>Fine Fuel Moisture (%) Nightime  (Tble M3)</t>
  </si>
  <si>
    <t>Elevated Fuel Hazard Score (0-4)</t>
  </si>
  <si>
    <t>Equiv. Fuel Load (t/ha)</t>
  </si>
  <si>
    <t>Total FF</t>
  </si>
  <si>
    <t>Wet Bulb</t>
  </si>
  <si>
    <t>es</t>
  </si>
  <si>
    <t>Calculating RH or Dew Point</t>
  </si>
  <si>
    <t>1. Enter the two known factors, e.g. Temp and RH and the third factor will be calculated (e.g. Dew Point).</t>
  </si>
  <si>
    <t>2. This spreadsheet is designed so that you can extend the formulas down the page, but you cannot change the first row of these tables.</t>
  </si>
  <si>
    <t>Wind Reduction Factor (1-6)</t>
  </si>
  <si>
    <t>Wind Reduct'n  Factor   (1-6)</t>
  </si>
  <si>
    <t>Estimat'd Wind in Forest    @ 2m (km/h)</t>
  </si>
  <si>
    <t>Estimat'd 1.5m Wind Speed in Forest (km/h)</t>
  </si>
  <si>
    <t>Estimat'd 2m Wind Speed in Open  (km/h)</t>
  </si>
  <si>
    <t>Fine fuel load must be entered on this page.  The wind reduction factor can also be entered here.</t>
  </si>
  <si>
    <t>McArthur assumes a wind reduction factor from the wind measured at 10m in the open to 2m in the forest, of 3.  In more open vegetation this may need to be lower and in denser vegetation this factor may be higher.  The range would be 1-6.</t>
  </si>
  <si>
    <t>Slope, fuel and wind reduction factors can be changed independently in the table for any particular time period.  The values can be reset to the default values by using the appropriate RESET buttons provided.</t>
  </si>
  <si>
    <t>Hazard Scores for Surface, Near-surface, Elevated and Bark fine fuels need to be entered.  In addtion, height of the Near-surface and Elevated fuels is needed as well.</t>
  </si>
  <si>
    <t>The fine fuel moisture contents are calculated by equations derived by Kevin Tolhurst, based on table in the VESTA field guide (2007).</t>
  </si>
  <si>
    <t>The Rate of Spread functions were taken from the VESTA manual (2007).</t>
  </si>
  <si>
    <t>The VESTA model is only suitable for "Dry Eucalypt Forest".  The assumed wind reduction factor (10m in open: 2m in forest) is "3".</t>
  </si>
  <si>
    <t>RH and Dew Point Calculator</t>
  </si>
  <si>
    <t>Determine either Dew Point temperature or Relative Humidity using Temperature and one or other of DP or RH</t>
  </si>
  <si>
    <t>Calculate Dew Point from Temperature and RH.</t>
  </si>
  <si>
    <t>Calculate RH from Temperature and Dew Point</t>
  </si>
  <si>
    <t>Calculate RH and Dew Point from Dry Bulb (Temperature) and Wet Bulb temperatures.</t>
  </si>
  <si>
    <t>Score</t>
  </si>
  <si>
    <t>Rating</t>
  </si>
  <si>
    <t>Ratings</t>
  </si>
  <si>
    <t>Code</t>
  </si>
  <si>
    <t>Nil</t>
  </si>
  <si>
    <t>Moderate</t>
  </si>
  <si>
    <t>High</t>
  </si>
  <si>
    <t>Very High</t>
  </si>
  <si>
    <t>Extreme</t>
  </si>
  <si>
    <t>will also move and the fire behaviour tables will not function correctly.</t>
  </si>
  <si>
    <r>
      <t>L</t>
    </r>
    <r>
      <rPr>
        <sz val="10"/>
        <rFont val="Arial"/>
        <family val="2"/>
      </rPr>
      <t xml:space="preserve"> or </t>
    </r>
    <r>
      <rPr>
        <b/>
        <sz val="10"/>
        <rFont val="Arial"/>
        <family val="2"/>
      </rPr>
      <t>l</t>
    </r>
  </si>
  <si>
    <r>
      <t>M</t>
    </r>
    <r>
      <rPr>
        <sz val="10"/>
        <rFont val="Arial"/>
        <family val="2"/>
      </rPr>
      <t xml:space="preserve"> or </t>
    </r>
    <r>
      <rPr>
        <b/>
        <sz val="10"/>
        <rFont val="Arial"/>
        <family val="2"/>
      </rPr>
      <t>m</t>
    </r>
  </si>
  <si>
    <r>
      <t>H</t>
    </r>
    <r>
      <rPr>
        <sz val="10"/>
        <rFont val="Arial"/>
        <family val="2"/>
      </rPr>
      <t xml:space="preserve"> or </t>
    </r>
    <r>
      <rPr>
        <b/>
        <sz val="10"/>
        <rFont val="Arial"/>
        <family val="2"/>
      </rPr>
      <t>h</t>
    </r>
  </si>
  <si>
    <r>
      <t>VH</t>
    </r>
    <r>
      <rPr>
        <sz val="10"/>
        <rFont val="Arial"/>
        <family val="2"/>
      </rPr>
      <t xml:space="preserve"> or </t>
    </r>
    <r>
      <rPr>
        <b/>
        <sz val="10"/>
        <rFont val="Arial"/>
        <family val="2"/>
      </rPr>
      <t>vh</t>
    </r>
  </si>
  <si>
    <r>
      <t>E</t>
    </r>
    <r>
      <rPr>
        <sz val="10"/>
        <rFont val="Arial"/>
        <family val="2"/>
      </rPr>
      <t xml:space="preserve"> or </t>
    </r>
    <r>
      <rPr>
        <b/>
        <sz val="10"/>
        <rFont val="Arial"/>
        <family val="2"/>
      </rPr>
      <t>e</t>
    </r>
  </si>
  <si>
    <t>Dead Fuel MC (%)</t>
  </si>
  <si>
    <t>NW or 330</t>
  </si>
  <si>
    <t>Natural FlankROS no slope no wind (m/h)</t>
  </si>
  <si>
    <t>Grazed FlankROS no slope no wind (m/h)</t>
  </si>
  <si>
    <t>Eaten-out FlankROS no slope no wind (m/h)</t>
  </si>
  <si>
    <t>This model assumes that the minimum effective wind speed for forward spread is 5 km/h (i.e. "zero" wind is 5 km/h)</t>
  </si>
  <si>
    <t>Spotting distance functions are not currently available.  However, approximate functions have been included here for convenience.</t>
  </si>
  <si>
    <t>Flank ROS noslope, "nowind" (m/h)</t>
  </si>
  <si>
    <r>
      <t>0</t>
    </r>
    <r>
      <rPr>
        <sz val="10"/>
        <rFont val="Arial"/>
        <family val="2"/>
      </rPr>
      <t xml:space="preserve"> (zero)</t>
    </r>
  </si>
  <si>
    <t>WA Mallee</t>
  </si>
  <si>
    <t>Lateral rate of spread has been calculated assuming an effective lateral windspeed of 20% of normal wind rather than zero as in other models.</t>
  </si>
  <si>
    <t>Locality:</t>
  </si>
  <si>
    <t>Forest Fire Behaviour Tables for Western Australia (WA Red Book)</t>
  </si>
  <si>
    <t>RH Count (Red Book)</t>
  </si>
  <si>
    <t>Cum Count</t>
  </si>
  <si>
    <t>Count Repre</t>
  </si>
  <si>
    <t>RH Count</t>
  </si>
  <si>
    <t>1500 hr Profile Moisture Content (%)</t>
  </si>
  <si>
    <t>Night Wetting Correct'n (Rain) Profile Litter</t>
  </si>
  <si>
    <t>Night Wetting Correct'n (Rain) (Surface Litter)</t>
  </si>
  <si>
    <t>Night Wetting Correct'n (Dry) (Surface Litter)</t>
  </si>
  <si>
    <t>Night Wetting Correct'n (Dry) Profile Litter</t>
  </si>
  <si>
    <t>0800 hr Profile Moisture Content (%)</t>
  </si>
  <si>
    <t>Basic Drying Unit</t>
  </si>
  <si>
    <t>Time</t>
  </si>
  <si>
    <t>WindSpd</t>
  </si>
  <si>
    <t>WindDir</t>
  </si>
  <si>
    <t>GRID REFERENCE</t>
  </si>
  <si>
    <t>AMG easting</t>
  </si>
  <si>
    <t>AMG northing</t>
  </si>
  <si>
    <t>DU830840</t>
  </si>
  <si>
    <t>DU312080</t>
  </si>
  <si>
    <t>CV905795</t>
  </si>
  <si>
    <t>CV806984</t>
  </si>
  <si>
    <t>CA822058</t>
  </si>
  <si>
    <t>DV038995</t>
  </si>
  <si>
    <t>DV908394</t>
  </si>
  <si>
    <t>CU748489</t>
  </si>
  <si>
    <t>Eastings</t>
  </si>
  <si>
    <t>Northings</t>
  </si>
  <si>
    <t>B</t>
  </si>
  <si>
    <t>A</t>
  </si>
  <si>
    <t>C</t>
  </si>
  <si>
    <t>D</t>
  </si>
  <si>
    <t xml:space="preserve">E </t>
  </si>
  <si>
    <t>F</t>
  </si>
  <si>
    <t>G</t>
  </si>
  <si>
    <t>H</t>
  </si>
  <si>
    <t>X</t>
  </si>
  <si>
    <t>T</t>
  </si>
  <si>
    <t>Y</t>
  </si>
  <si>
    <t>U</t>
  </si>
  <si>
    <t>V</t>
  </si>
  <si>
    <t>Grid Convert</t>
  </si>
  <si>
    <t>Red Book (WA Fire Tables)</t>
  </si>
  <si>
    <t>Forest Fire Behaviour Tables for Western Australia based on prescribed burning conditions.</t>
  </si>
  <si>
    <t>Based on formulae from: Beck, J.A. (1995)  Equations for the forest fire behaviour tables for Western Australia, CALMScience 1(3), 325-348.</t>
  </si>
  <si>
    <t>Fire spread rate in mallee in WA.</t>
  </si>
  <si>
    <t>Based on work by Lachie McCaw (1998)</t>
  </si>
  <si>
    <t>Only the fine fuel moisture content is needed in addition to the weather parameters (particularly the wind speed) to run this model.</t>
  </si>
  <si>
    <t>Converts a two letter code and six figure grid reference into a full grid reference.</t>
  </si>
  <si>
    <t>Hours</t>
  </si>
  <si>
    <t>RH fill</t>
  </si>
  <si>
    <t>RH count</t>
  </si>
  <si>
    <t>RH count at 0800</t>
  </si>
  <si>
    <t>One count = 2% for 2 hours while RH &gt; 70%</t>
  </si>
  <si>
    <t>p.13, point 3 - assume RH count = 50 if no other information</t>
  </si>
  <si>
    <t>Date</t>
  </si>
  <si>
    <t>Time Gap</t>
  </si>
  <si>
    <t>Hour Gap</t>
  </si>
  <si>
    <t>Recovery</t>
  </si>
  <si>
    <t>RH sum</t>
  </si>
  <si>
    <t>Recovery for Day</t>
  </si>
  <si>
    <t>Day Drying Correct'n Jarrah Surface Litter</t>
  </si>
  <si>
    <t>Surface Moisture Content (%)</t>
  </si>
  <si>
    <t>Daytime Surface Moisture Contents (%)</t>
  </si>
  <si>
    <t>FDI   (m/h)</t>
  </si>
  <si>
    <t>NJ</t>
  </si>
  <si>
    <t>K45</t>
  </si>
  <si>
    <t>Litter Fine Fuel Load (t/ha)</t>
  </si>
  <si>
    <t>Scrub Fine Fuel Load (t/ha)</t>
  </si>
  <si>
    <t>Trash Fuel Load (t/ha)</t>
  </si>
  <si>
    <t>Total Available Fuel Quantity (t/ha)</t>
  </si>
  <si>
    <t>Fuel Quantity Correct'n Factor</t>
  </si>
  <si>
    <t>Slope (degrees)</t>
  </si>
  <si>
    <t>Rate of Spread (m/h)    No slope</t>
  </si>
  <si>
    <t>Rate of Spread (m/h)  Slope</t>
  </si>
  <si>
    <t>FDI    (m/h)</t>
  </si>
  <si>
    <t>WA RedBook (Jarrah)</t>
  </si>
  <si>
    <t>Weather data is needed for a number of time periods during the day and night so that fine fuel moisture levels can be calculated.  Fuel moistures from the previous day must be used to calculate todays fuel moisture contents.</t>
  </si>
  <si>
    <t>First version</t>
  </si>
  <si>
    <t>Includes McArthur Mk5 Forest, McArthur Leaflet80, CSIRO Grassland, Catchpole Heath.</t>
  </si>
  <si>
    <t>Included Slope Calculation tool</t>
  </si>
  <si>
    <t>Included VESTA, but without spotting</t>
  </si>
  <si>
    <t>Included WA RedBook</t>
  </si>
  <si>
    <t>Version</t>
  </si>
  <si>
    <t>Added Grid Conversion tool</t>
  </si>
  <si>
    <t>Added Phoenix weather format sheet</t>
  </si>
  <si>
    <t>Added WA Mallee</t>
  </si>
  <si>
    <t>Added spotting to VESTA</t>
  </si>
  <si>
    <t>History</t>
  </si>
  <si>
    <t>Added Buttongrass model</t>
  </si>
  <si>
    <t>Added columns to McArthur so that slope, wind reduction factor and fuels could be changed in each time slot</t>
  </si>
  <si>
    <t>THIS WORKSHEET NEEDS FURTHER VALIDATION - USE WITH CAUTION</t>
  </si>
  <si>
    <t>Day Drying Correct'n Karri Profile Litter</t>
  </si>
  <si>
    <t>Profile Moisture Content (%)</t>
  </si>
  <si>
    <t>Wind Reduction Factor</t>
  </si>
  <si>
    <t>Available Fuel Factor</t>
  </si>
  <si>
    <t>Available Fuel Quantity (t/ha)</t>
  </si>
  <si>
    <t>Rate of Spread (m/h) Slope</t>
  </si>
  <si>
    <t>Northern Jarrah</t>
  </si>
  <si>
    <t>Karri (4,5)</t>
  </si>
  <si>
    <t>BDU</t>
  </si>
  <si>
    <t>DDCs</t>
  </si>
  <si>
    <t>NWCs</t>
  </si>
  <si>
    <t>NWCp</t>
  </si>
  <si>
    <t>SMC</t>
  </si>
  <si>
    <t>FQCF</t>
  </si>
  <si>
    <t>AFF</t>
  </si>
  <si>
    <t>AFQ</t>
  </si>
  <si>
    <t>DDCp</t>
  </si>
  <si>
    <t>Amount of RH over 70</t>
  </si>
  <si>
    <t>RH count over 70 between 0.75 and 0.33</t>
  </si>
  <si>
    <t>ORHC</t>
  </si>
  <si>
    <t>Reset at 1800hrs</t>
  </si>
  <si>
    <t>1500 hr Surface Moisture Content (%)  SMCa</t>
  </si>
  <si>
    <t>0800 hr Surface Moisture Content (%)  SMCz</t>
  </si>
  <si>
    <t>1500 hr Surface Moisture Content (%)   SMCa</t>
  </si>
  <si>
    <t>The calculations in this spreadsheet are based on continuous functions and therefore may differ from values obtained from the original tables.</t>
  </si>
  <si>
    <t>The results in this spreadsheet are based on continuous functions, whereas the original tables have stepped values.  This can result in differences between these calculations and the orginal tables of up to 2% fuel moisture content and therefore the associated rates of spread.</t>
  </si>
  <si>
    <t>Added this version sheet to track changes.</t>
  </si>
  <si>
    <t>Rate of Spread   (m/h)      No slope</t>
  </si>
  <si>
    <t>Thursday, 21 February 2008</t>
  </si>
  <si>
    <t>Corrected conditions for selection of appropriate fuel moisture in VESTA model</t>
  </si>
  <si>
    <t>Tuesday, 26 August 2008</t>
  </si>
  <si>
    <t>Corrected one of the coefficients in the ROS formula in the VESTA model which increases the ROS</t>
  </si>
  <si>
    <t>Incorporated a function to autofill fire behaviour calculation sheets to the extent of the Weather input to minimize file size (Fred Cumming, Kevin Tolhurst)</t>
  </si>
  <si>
    <t>Saturday, 24 January 2009</t>
  </si>
  <si>
    <t>Wednesday, 21 January 2009</t>
  </si>
  <si>
    <t>Added fire intensity calculations to grass fire behaviour sheet.</t>
  </si>
  <si>
    <t>Fireline intensity and Heat output calculations in Forest(McArthur) have been modified to only include available fine fuels rather than total fine fuels.</t>
  </si>
  <si>
    <t>Friday, 6 February 2009</t>
  </si>
  <si>
    <t>Re-established link in Forest(McArthur) slope back to the slope field in the Weather_Site sheet.</t>
  </si>
  <si>
    <t>Fuel Types in Victoria</t>
  </si>
  <si>
    <t>Generic Naming Scheme</t>
  </si>
  <si>
    <t>Maximum Hazard Levels</t>
  </si>
  <si>
    <t>Surface</t>
  </si>
  <si>
    <t>Elevated</t>
  </si>
  <si>
    <t>Bark</t>
  </si>
  <si>
    <t>Add 1 for stringy</t>
  </si>
  <si>
    <t>FRB Potential</t>
  </si>
  <si>
    <t>VegType</t>
  </si>
  <si>
    <t>FuelCode</t>
  </si>
  <si>
    <t>No.</t>
  </si>
  <si>
    <t>Description</t>
  </si>
  <si>
    <t>Fuel Characteristics</t>
  </si>
  <si>
    <t>Formation</t>
  </si>
  <si>
    <t>Location</t>
  </si>
  <si>
    <t>SurfaceFF</t>
  </si>
  <si>
    <t>ElevatedFF</t>
  </si>
  <si>
    <t>BarkFF</t>
  </si>
  <si>
    <t>r</t>
  </si>
  <si>
    <t>k</t>
  </si>
  <si>
    <t>c</t>
  </si>
  <si>
    <t>Bare</t>
  </si>
  <si>
    <t>NIL</t>
  </si>
  <si>
    <t>Water, sand, no vegetation</t>
  </si>
  <si>
    <t>fuel absent</t>
  </si>
  <si>
    <t>Herbs</t>
  </si>
  <si>
    <t>H01</t>
  </si>
  <si>
    <t>Moorland / Fjaeldmarks</t>
  </si>
  <si>
    <t>low flammability cushion plants</t>
  </si>
  <si>
    <t>H02</t>
  </si>
  <si>
    <t>Alpine Herbland</t>
  </si>
  <si>
    <t>dense, upright, low flammability herbs</t>
  </si>
  <si>
    <t>H03</t>
  </si>
  <si>
    <t>Wet herbland</t>
  </si>
  <si>
    <t>freshwater herbs on mud flats</t>
  </si>
  <si>
    <t>Wet Herbland</t>
  </si>
  <si>
    <t>low herbs in seasonally inundated lakebeds or wetlands</t>
  </si>
  <si>
    <t>2, 3, 7</t>
  </si>
  <si>
    <t>x</t>
  </si>
  <si>
    <t>Grass/sedges</t>
  </si>
  <si>
    <t>G01</t>
  </si>
  <si>
    <t xml:space="preserve">High Elevation Grassland </t>
  </si>
  <si>
    <t>dense sward of tussock grasses or herbs, high cover</t>
  </si>
  <si>
    <t>G02</t>
  </si>
  <si>
    <t>Moist Sedgeland / Grassland</t>
  </si>
  <si>
    <t>dense sward, potentially high dead component, button grass</t>
  </si>
  <si>
    <t>G03</t>
  </si>
  <si>
    <t>Ephemeral grass/sedge/herbs</t>
  </si>
  <si>
    <t>dense grass and sedges with potentially high levels of dead suspended material</t>
  </si>
  <si>
    <t>G04</t>
  </si>
  <si>
    <t xml:space="preserve">Temperate Grassland / Sedgeland </t>
  </si>
  <si>
    <t>grasses and sedges widespread, but varying in biomass</t>
  </si>
  <si>
    <t>1, 2, 3, 4, 5</t>
  </si>
  <si>
    <t>G05</t>
  </si>
  <si>
    <t>Hummock grassland</t>
  </si>
  <si>
    <t>hummock grassland, discontinuous surface fuels</t>
  </si>
  <si>
    <t>Shrubs</t>
  </si>
  <si>
    <t>S01</t>
  </si>
  <si>
    <t>High Elevation Shrubland/Heath</t>
  </si>
  <si>
    <t>dense cover of shrubs with surface fuel largely under plants</t>
  </si>
  <si>
    <t>S02</t>
  </si>
  <si>
    <t>Riparian shrubland</t>
  </si>
  <si>
    <t>dense vegetation with little dead material</t>
  </si>
  <si>
    <t>1, 2, 3, 5, 7</t>
  </si>
  <si>
    <t>S03</t>
  </si>
  <si>
    <t>Wet Scrub</t>
  </si>
  <si>
    <t>flammable shrubland with high level of dead elevated fuels</t>
  </si>
  <si>
    <t>3,5</t>
  </si>
  <si>
    <t>S04</t>
  </si>
  <si>
    <t>Moist Shrubland</t>
  </si>
  <si>
    <t>dense shrubland, salt affected</t>
  </si>
  <si>
    <t>S05</t>
  </si>
  <si>
    <t>Dry Closed Shrubland</t>
  </si>
  <si>
    <t>tea-tree or paperbark thickets, little understorey</t>
  </si>
  <si>
    <t>1,2</t>
  </si>
  <si>
    <t>S06</t>
  </si>
  <si>
    <t>Broombush / Shrubland / Tea-tree</t>
  </si>
  <si>
    <t>dense shrubland, but with relatively low level of dead material</t>
  </si>
  <si>
    <t>1, 2, 3, 4, 5, 7</t>
  </si>
  <si>
    <t>S07</t>
  </si>
  <si>
    <t>Sparse shrubland</t>
  </si>
  <si>
    <t>sparse shrubby vegetation with discontinuous surface fuels</t>
  </si>
  <si>
    <t>1, 5, 7, 8</t>
  </si>
  <si>
    <t>S08</t>
  </si>
  <si>
    <t>Low flammable Shrubs</t>
  </si>
  <si>
    <t>low flammability except after exceptional rain bringing grasses</t>
  </si>
  <si>
    <t>1, 2, 3, 4</t>
  </si>
  <si>
    <t>S09</t>
  </si>
  <si>
    <t>Mangroves / Aquatic Herbs</t>
  </si>
  <si>
    <t>trees, shrubs and herbs in permanent water, unburnable</t>
  </si>
  <si>
    <t>1, 2</t>
  </si>
  <si>
    <t>Heaths</t>
  </si>
  <si>
    <t>S10</t>
  </si>
  <si>
    <t>Wet Heath</t>
  </si>
  <si>
    <t>dense heath possibly with dense sedgy undergrowth</t>
  </si>
  <si>
    <t>S11</t>
  </si>
  <si>
    <t>Dry Heath</t>
  </si>
  <si>
    <t>dense heath with significant amounts of dead material</t>
  </si>
  <si>
    <t>1, 2, 3, 4, 8</t>
  </si>
  <si>
    <t>Mallee</t>
  </si>
  <si>
    <t>M01</t>
  </si>
  <si>
    <t>Mallee chenopod</t>
  </si>
  <si>
    <t>M02</t>
  </si>
  <si>
    <t>Mallee grass</t>
  </si>
  <si>
    <t>mallee woodland with predominantly grass understorey</t>
  </si>
  <si>
    <t>M03</t>
  </si>
  <si>
    <t>Mallee shrub/heath</t>
  </si>
  <si>
    <t>continuous shrub layer but amount of dead material depending on species present</t>
  </si>
  <si>
    <t>M04</t>
  </si>
  <si>
    <t>Mallee spinifex</t>
  </si>
  <si>
    <t>discontinuous fuels, very flammable under windy conditions</t>
  </si>
  <si>
    <t>Woodland</t>
  </si>
  <si>
    <t>W01</t>
  </si>
  <si>
    <t>High Elevation Woodland shrub</t>
  </si>
  <si>
    <t>wooded area with shrubby understorey</t>
  </si>
  <si>
    <t>W02</t>
  </si>
  <si>
    <t>High Elevation Woodland grass</t>
  </si>
  <si>
    <t>wooded area with continuous grass tussocks</t>
  </si>
  <si>
    <t>W03</t>
  </si>
  <si>
    <t>Orchard / Vineyard</t>
  </si>
  <si>
    <t>orchard or vineyard</t>
  </si>
  <si>
    <t>1, 3, 5</t>
  </si>
  <si>
    <t>W04</t>
  </si>
  <si>
    <t>Moist Woodland</t>
  </si>
  <si>
    <t>low trees, shrubby, sedgy understorey, bark hazard</t>
  </si>
  <si>
    <t>W05</t>
  </si>
  <si>
    <t>Woodland bracken/shrubby</t>
  </si>
  <si>
    <t>wooded area with varying understorey, but not heathy</t>
  </si>
  <si>
    <t>1, 3, 5, 8</t>
  </si>
  <si>
    <t>W06</t>
  </si>
  <si>
    <t>Woodland Grass/Herb-rich</t>
  </si>
  <si>
    <t>surface fuels dominated by grass and herbs</t>
  </si>
  <si>
    <t>3, 4, 5, 7, 8</t>
  </si>
  <si>
    <t>W07</t>
  </si>
  <si>
    <t>Woodland Heath</t>
  </si>
  <si>
    <t>flammable shrubs and high bark hazard</t>
  </si>
  <si>
    <t>1, 3, 4, 5, 8</t>
  </si>
  <si>
    <t>W08</t>
  </si>
  <si>
    <t>Gum Woodland heath/shrub</t>
  </si>
  <si>
    <t>gum woodland with moderate bark hazard, heath/shrub understorey</t>
  </si>
  <si>
    <t>2, 3, 4</t>
  </si>
  <si>
    <t>W09</t>
  </si>
  <si>
    <t>Gum Woodland grass/herbs</t>
  </si>
  <si>
    <t>gum woodland with moderate bark hazard, herbaceous understorey</t>
  </si>
  <si>
    <t>W10</t>
  </si>
  <si>
    <t>Savanna grasslands</t>
  </si>
  <si>
    <t>tall flammable grasses in an open woodland</t>
  </si>
  <si>
    <t>3, 4</t>
  </si>
  <si>
    <t>W11</t>
  </si>
  <si>
    <t>Woodland Callitris/Belah</t>
  </si>
  <si>
    <t>3, 4, 5, 8</t>
  </si>
  <si>
    <t>Forest</t>
  </si>
  <si>
    <t>F01</t>
  </si>
  <si>
    <t>Rainforest</t>
  </si>
  <si>
    <t>dense vegetation with little dead material, epiphytes, vines, ferns, rarely dry</t>
  </si>
  <si>
    <t>1,5,6,7</t>
  </si>
  <si>
    <t>F02</t>
  </si>
  <si>
    <t>Wet Forest with rainforest understorey</t>
  </si>
  <si>
    <t>wet sclerophyll forest with mesic understorey</t>
  </si>
  <si>
    <t>5,6,7</t>
  </si>
  <si>
    <t>F03</t>
  </si>
  <si>
    <t>Riparian Forest shrub</t>
  </si>
  <si>
    <t>dense vegetation but with a small proportion of dead material</t>
  </si>
  <si>
    <t>1, 3, 5, 7</t>
  </si>
  <si>
    <t>F04</t>
  </si>
  <si>
    <t>Wet Forest shrub &amp; wiregrass</t>
  </si>
  <si>
    <t>high biomass forest, but with little dead suspended material unless wiregrass present</t>
  </si>
  <si>
    <t>5, 7</t>
  </si>
  <si>
    <t>F05</t>
  </si>
  <si>
    <t>Damp Forest  shrub</t>
  </si>
  <si>
    <t>dense understorey and potentially high bark hazard (karri)</t>
  </si>
  <si>
    <t>3, 5, 7</t>
  </si>
  <si>
    <t>F06</t>
  </si>
  <si>
    <t>Semi-mesic Sclerophyll forest</t>
  </si>
  <si>
    <t>forest with semi-mesic shurbs and flammable grasses, sedge understorey</t>
  </si>
  <si>
    <t>F07</t>
  </si>
  <si>
    <t>Swamp Forest</t>
  </si>
  <si>
    <t>dense Melaleuca forest with little understorey</t>
  </si>
  <si>
    <t>2,3</t>
  </si>
  <si>
    <t>F08</t>
  </si>
  <si>
    <t>Forest with shrub</t>
  </si>
  <si>
    <t>potentially high bark hazard, shrubs moderate flammability (mixed jarrah/karri)</t>
  </si>
  <si>
    <t>F09</t>
  </si>
  <si>
    <t>Forest herb-rich</t>
  </si>
  <si>
    <t>potentially high bark hazard, little elevated fuel</t>
  </si>
  <si>
    <t>F10</t>
  </si>
  <si>
    <t>Dry Forest shrubs</t>
  </si>
  <si>
    <t>dry forest with continuous understorey, (southern jarrah)</t>
  </si>
  <si>
    <t>F11</t>
  </si>
  <si>
    <t>Dry Open Forest shrub/herbs</t>
  </si>
  <si>
    <t>dry forest with open understorey (northern jarrah)</t>
  </si>
  <si>
    <t>Plantations</t>
  </si>
  <si>
    <t>P01</t>
  </si>
  <si>
    <t>Softwood Plantation</t>
  </si>
  <si>
    <t>dense canopy with continuous surface fuels</t>
  </si>
  <si>
    <t>P02</t>
  </si>
  <si>
    <t>Hardwood Plantation</t>
  </si>
  <si>
    <t>uniform canopy with continuous surface fuels</t>
  </si>
  <si>
    <t>Sub divisions</t>
  </si>
  <si>
    <t>coastal</t>
  </si>
  <si>
    <t>wetland</t>
  </si>
  <si>
    <t>hinterland</t>
  </si>
  <si>
    <t>semi-arid</t>
  </si>
  <si>
    <t>foothills</t>
  </si>
  <si>
    <t>rainforest</t>
  </si>
  <si>
    <t>montane</t>
  </si>
  <si>
    <t>alpine / subalpine</t>
  </si>
  <si>
    <t>Geographic location</t>
  </si>
  <si>
    <t>No. Strata</t>
  </si>
  <si>
    <t>grassland / sedgeland / herbfield</t>
  </si>
  <si>
    <t>coastal, wetland, hinterland, alpine/montane</t>
  </si>
  <si>
    <t>heathland</t>
  </si>
  <si>
    <t>coastal, semi-arid, subalpine</t>
  </si>
  <si>
    <t>1 or 2</t>
  </si>
  <si>
    <t>shrubland / scrub</t>
  </si>
  <si>
    <t>coastal, riparian, hinterland, foothills, montane, alpine</t>
  </si>
  <si>
    <t>seasonally inundated, permanent, occasional</t>
  </si>
  <si>
    <t>woodland</t>
  </si>
  <si>
    <t>coastal, hinterland, semi-arid, foothill, subalpine</t>
  </si>
  <si>
    <t>2 or 3</t>
  </si>
  <si>
    <t>forest</t>
  </si>
  <si>
    <t>coastal, riverain, hinterland, foothill, montane</t>
  </si>
  <si>
    <t>2, 3, or 4</t>
  </si>
  <si>
    <t>cool temperate, warm temperate, subtropical</t>
  </si>
  <si>
    <t>rainforest/riparian</t>
  </si>
  <si>
    <t>alpine/subalpine</t>
  </si>
  <si>
    <t>2</t>
  </si>
  <si>
    <t>3</t>
  </si>
  <si>
    <t>4</t>
  </si>
  <si>
    <t>5</t>
  </si>
  <si>
    <t>alpine</t>
  </si>
  <si>
    <t>riparian</t>
  </si>
  <si>
    <t>seasonal</t>
  </si>
  <si>
    <t>permanent</t>
  </si>
  <si>
    <t>occasional</t>
  </si>
  <si>
    <t>coastal, riverine, hinterland, foothill, montane</t>
  </si>
  <si>
    <t>riverine</t>
  </si>
  <si>
    <t>warm temperate</t>
  </si>
  <si>
    <t>subtropical</t>
  </si>
  <si>
    <t>cool temperate</t>
  </si>
  <si>
    <t>Total</t>
  </si>
  <si>
    <t>Load</t>
  </si>
  <si>
    <t>Wind Reduction Factor Guide</t>
  </si>
  <si>
    <t>Vegetation Type</t>
  </si>
  <si>
    <t>Herbfield</t>
  </si>
  <si>
    <t>Grassland, sedgeland</t>
  </si>
  <si>
    <t>Heathland, Mallee woodland</t>
  </si>
  <si>
    <t>Tall shrubland (&gt;1.5 m)</t>
  </si>
  <si>
    <t>Shrubby open forest</t>
  </si>
  <si>
    <t>Damp forest with shrubs, Karri</t>
  </si>
  <si>
    <t>Wet eucalypt forest, Mature plantation</t>
  </si>
  <si>
    <t>Open Eucalypt Forest (standard McArthur forest)</t>
  </si>
  <si>
    <t>Eucalypt woodland (&gt;6 m)</t>
  </si>
  <si>
    <t>Limited Fuel Availability factor in McArthur Leaflet 80 to a maximum of 1</t>
  </si>
  <si>
    <t>Day of week in Weather worksheet automatically entered from date</t>
  </si>
  <si>
    <t>Only use when FDI &lt; 12</t>
  </si>
  <si>
    <t>FDI  Matthews</t>
  </si>
  <si>
    <t>Added FDI calculation by Stuart Matthews based on Fine Fuel Moisture Content rather than Temp &amp; RH to McArthur spreadsheet</t>
  </si>
  <si>
    <t>Tuesday, 14 August 2009</t>
  </si>
  <si>
    <t>Heat Output (kJ/m2)</t>
  </si>
  <si>
    <t>RH (%)</t>
  </si>
  <si>
    <t>Tuesday, 20 October 2009</t>
  </si>
  <si>
    <t>Added an incident shift plan sheet for cut and paste to an incident shift plan document</t>
  </si>
  <si>
    <t>Wind Reduction Factor guide added in additional worksheet</t>
  </si>
  <si>
    <t>Fuel Type table used in PHOENIX added in additional worksheet showing fuel loads and wind factors</t>
  </si>
  <si>
    <t>Flank ROS (no wind) (m/h)</t>
  </si>
  <si>
    <t>Friday, 6 November 2009</t>
  </si>
  <si>
    <t>Added fireline intensity calculation to VESTA page</t>
  </si>
  <si>
    <t>Added flank rate of spread (zero wind) to McArthur Leaflet 80 contol burning guide</t>
  </si>
  <si>
    <t>Drought Factor (BoM)</t>
  </si>
  <si>
    <t>Use BoM Drought Factor</t>
  </si>
  <si>
    <t>True_False</t>
  </si>
  <si>
    <t>Added Drought factor (BoM) column to Weather_Site Sheet to allow gridded data to be pasted directly.</t>
  </si>
  <si>
    <t>Thursday, 26 November 2009</t>
  </si>
  <si>
    <t>Added Use_BoM_DF cell to Forest(McArthur) sheet.  This lets you choose whether to use the BoM Drought Factor from the gridded data or the days since rain.</t>
  </si>
  <si>
    <t>Changed the Fuel Availability Factor in the McArthur Controlled Burning Guide to either use the calculated values based on recent rain or the BoM gridded weather outputs</t>
  </si>
  <si>
    <t>Curing</t>
  </si>
  <si>
    <t>DF</t>
  </si>
  <si>
    <t>Cloud</t>
  </si>
  <si>
    <t>Thursday, 10 December 2009</t>
  </si>
  <si>
    <t>Changed the PHOENIX data sheet to be compatible with PHOENIX RapidFire</t>
  </si>
  <si>
    <t>Fire Intensity (kW/m)</t>
  </si>
  <si>
    <t>Flame Heights (m)</t>
  </si>
  <si>
    <t>Intensity (kW/m)</t>
  </si>
  <si>
    <t>Saturday, 3 April 2010</t>
  </si>
  <si>
    <t>Sunday, 12 September 2010</t>
  </si>
  <si>
    <t>Changed the calculation of flame height and spotting distance in the McArthur sheet so that the slope effect is not included</t>
  </si>
  <si>
    <t>Added an intensity column to "Heath" calculations assuming fuel load of 7.53 t/ha/m of vegetation height</t>
  </si>
  <si>
    <t>4 to 5</t>
  </si>
  <si>
    <t>4 to 6</t>
  </si>
  <si>
    <t>5 to 9</t>
  </si>
  <si>
    <t>Long-unburnt</t>
  </si>
  <si>
    <t xml:space="preserve">Time Since Fire = </t>
  </si>
  <si>
    <t>Hazard Rating</t>
  </si>
  <si>
    <t>Wednesday 21 September 2011</t>
  </si>
  <si>
    <t>Added columns to show fuel levels with different times since fire in "FuelTypes" sheet</t>
  </si>
  <si>
    <t>Modified wind reduction factors in table for denser vegetation types in "WindFactors" sheet.</t>
  </si>
  <si>
    <t>Open Woodland Grass ROS (m/h)</t>
  </si>
  <si>
    <t>Open Woodland Grass ROS slope (m/h)</t>
  </si>
  <si>
    <t>Open Woodland FlankROS no slope no wind (m/h)</t>
  </si>
  <si>
    <t>Open Woodland Grass Flame Ht (m)</t>
  </si>
  <si>
    <t>Woodland Grass ROS (m/h)</t>
  </si>
  <si>
    <t>Woodland Grass ROS slope (m/h)</t>
  </si>
  <si>
    <t>Woodland FlankROS no slope no wind (m/h)</t>
  </si>
  <si>
    <t>Woodland Grass Flame Ht (m)</t>
  </si>
  <si>
    <t>Woodland Fireline Intensity (kW/m)</t>
  </si>
  <si>
    <t>Open Woodland Fireline Intensity (kW/m)</t>
  </si>
  <si>
    <t>Northern Australia</t>
  </si>
  <si>
    <t>Southern Australia</t>
  </si>
  <si>
    <t>Friday 2 March 2012</t>
  </si>
  <si>
    <t>Removed slope effect on lateral rate of spread calculation in VESTA model.</t>
  </si>
  <si>
    <t>Removed slope effect from spotting distance calculation for McArthur (Forest) model when testing for negative values.</t>
  </si>
  <si>
    <t>Added northern Australian grassland fire spread model (trees/wind reduction factor)</t>
  </si>
  <si>
    <t>Wednesday 17 July 2013</t>
  </si>
  <si>
    <t>Overstorey Cover (%)</t>
  </si>
  <si>
    <t>Overstorey Height (m)</t>
  </si>
  <si>
    <t>Expt Range</t>
  </si>
  <si>
    <t>1.3 to 5.2</t>
  </si>
  <si>
    <t>Wind Speed @ 2m (km/h)</t>
  </si>
  <si>
    <t>4 to 35</t>
  </si>
  <si>
    <r>
      <rPr>
        <b/>
        <sz val="10"/>
        <rFont val="Arial"/>
        <family val="2"/>
      </rPr>
      <t>Prob(GO)</t>
    </r>
    <r>
      <rPr>
        <sz val="10"/>
        <rFont val="Arial"/>
        <family val="2"/>
      </rPr>
      <t xml:space="preserve"> Go / NoGo (2m wind)</t>
    </r>
  </si>
  <si>
    <r>
      <rPr>
        <b/>
        <sz val="10"/>
        <rFont val="Arial"/>
        <family val="2"/>
      </rPr>
      <t>Prob(GO)</t>
    </r>
    <r>
      <rPr>
        <sz val="10"/>
        <rFont val="Arial"/>
        <family val="2"/>
      </rPr>
      <t xml:space="preserve"> Go / NoGo (10m wind)</t>
    </r>
  </si>
  <si>
    <t>Surface FFMC (%)  McArthur</t>
  </si>
  <si>
    <t>Surface FFMC (%)  VESTA Summer</t>
  </si>
  <si>
    <t>Surface FFMC (%) Observed</t>
  </si>
  <si>
    <r>
      <rPr>
        <b/>
        <sz val="10"/>
        <rFont val="Arial"/>
        <family val="2"/>
      </rPr>
      <t>Pr(Crown)</t>
    </r>
    <r>
      <rPr>
        <sz val="10"/>
        <rFont val="Arial"/>
        <family val="2"/>
      </rPr>
      <t xml:space="preserve">  Crown Go/NoGo</t>
    </r>
  </si>
  <si>
    <t>Experimental Data</t>
  </si>
  <si>
    <t>Variable</t>
  </si>
  <si>
    <t>Range</t>
  </si>
  <si>
    <t>Temp. (oC)</t>
  </si>
  <si>
    <t>15-39</t>
  </si>
  <si>
    <t>U2 (km/h)</t>
  </si>
  <si>
    <t>1.9-13.7</t>
  </si>
  <si>
    <t>U10 (km/h)</t>
  </si>
  <si>
    <t>3.6-31.5</t>
  </si>
  <si>
    <t>SFMC (%)</t>
  </si>
  <si>
    <t>1.9-20.4</t>
  </si>
  <si>
    <t>NSFMC (%)</t>
  </si>
  <si>
    <t>7-80</t>
  </si>
  <si>
    <t>4.2-10.4</t>
  </si>
  <si>
    <t>ROS (m/h)</t>
  </si>
  <si>
    <t>50-3,310</t>
  </si>
  <si>
    <t>FFDI</t>
  </si>
  <si>
    <t>1.7-46</t>
  </si>
  <si>
    <t>Surface ROS (m/h)  (2m wind)</t>
  </si>
  <si>
    <t>Surface ROS (m/h) (10m wind)</t>
  </si>
  <si>
    <t>Crownfire ROS (m/h)</t>
  </si>
  <si>
    <t>Combined Surface Fine Fuel Load (t/ha)</t>
  </si>
  <si>
    <t>5 to 13</t>
  </si>
  <si>
    <t>Intensity (kW/m) (Surface)</t>
  </si>
  <si>
    <t>Mallee-Heath</t>
  </si>
  <si>
    <t>Fire spread in Mallee-heath combining the WA data and SA experiments</t>
  </si>
  <si>
    <t>Based on the work of Miguel Cruz, Lachie McCaw and others (2013)  Environmental Modelling &amp; Software 40, 21-34</t>
  </si>
  <si>
    <t>Added the new Mallee-Heath fire model</t>
  </si>
  <si>
    <r>
      <rPr>
        <b/>
        <sz val="12"/>
        <rFont val="Arial"/>
        <family val="2"/>
      </rPr>
      <t>Mallee-heath Shrublands</t>
    </r>
    <r>
      <rPr>
        <sz val="12"/>
        <rFont val="Arial"/>
        <family val="2"/>
      </rPr>
      <t xml:space="preserve"> (Cruz et al. 2013)</t>
    </r>
  </si>
  <si>
    <r>
      <t xml:space="preserve">Western Australian Mallee (McCaw 1998)   </t>
    </r>
    <r>
      <rPr>
        <sz val="11"/>
        <rFont val="Arial"/>
        <family val="2"/>
      </rPr>
      <t>Note: This fire spread model was developed for mature (24 year old) mallee where fuel continuity was relatively high for mallee</t>
    </r>
  </si>
  <si>
    <t>Monday 5 August 2013</t>
  </si>
  <si>
    <t>Added a wind reduction factor to the Heath ROS to convert 10m wind in the open to 2m in the heath</t>
  </si>
  <si>
    <t>Put a limit on the grass moisture factor so there is no negative rates of spread</t>
  </si>
  <si>
    <t>Unlocked the cells in the Mallee-Heath spreadsheet so data can be entered and removed the generic surface fine fuel moisture input.</t>
  </si>
  <si>
    <t>Thursday 13 March 2014</t>
  </si>
  <si>
    <t>Removed slope effect from heathland model since slope has a very muted effect on ROS in tall fuel beds</t>
  </si>
  <si>
    <t>Slope</t>
  </si>
  <si>
    <t>Added a user editable slope column in the Grass spreadsheet</t>
  </si>
  <si>
    <t>Find the Rise or Distance for a given Slope</t>
  </si>
  <si>
    <t>1. Enter the slope</t>
  </si>
  <si>
    <t>2. Enter either the Rise or Distance to find the other</t>
  </si>
  <si>
    <t xml:space="preserve">Fireline Construction Rates </t>
  </si>
  <si>
    <t>Based on a 12 hour shift at a sustained rate.  (Reference: McCarthy, G.J., Tolhurst, K.G., and Wouters, M., 2003, Research Report No.56, Fire Management.  Department of Sustainability and Environment, Victoria)</t>
  </si>
  <si>
    <t>Spreadsheet developed by Kevin Tolhurst, 25 April 2013, revised 11 June 2013</t>
  </si>
  <si>
    <t>Hand Trail Construction and Holding Rates</t>
  </si>
  <si>
    <t>(assume a 400L slipon, if working alone, is equivalent to a rakehoe crew of 5)</t>
  </si>
  <si>
    <t>Estimated Rate (m/hr)</t>
  </si>
  <si>
    <t>Number of Fire Fighters</t>
  </si>
  <si>
    <t>Ground Slope (degrees)</t>
  </si>
  <si>
    <t>Elevated Fuel Hazard</t>
  </si>
  <si>
    <t>Combined Suppression Rate (m/h)</t>
  </si>
  <si>
    <t>Aircraft Type</t>
  </si>
  <si>
    <t>Fire fighters</t>
  </si>
  <si>
    <t>Elevated Fuel</t>
  </si>
  <si>
    <t>Debris</t>
  </si>
  <si>
    <t>Access</t>
  </si>
  <si>
    <t>Flame Ht</t>
  </si>
  <si>
    <t>Wind Spd</t>
  </si>
  <si>
    <t>1400L Medium Helicopter</t>
  </si>
  <si>
    <t>Low</t>
  </si>
  <si>
    <t>None</t>
  </si>
  <si>
    <t>Good</t>
  </si>
  <si>
    <t>Rate</t>
  </si>
  <si>
    <t>m/h</t>
  </si>
  <si>
    <t>2500L Fixed-wing</t>
  </si>
  <si>
    <t>Some</t>
  </si>
  <si>
    <t>Poor</t>
  </si>
  <si>
    <t>Significant</t>
  </si>
  <si>
    <t>Very Significant</t>
  </si>
  <si>
    <t>D4 Bulldozer Construction and Holding Rates</t>
  </si>
  <si>
    <t>Number of Dozers</t>
  </si>
  <si>
    <t>Surface Debris (logs, etc.)</t>
  </si>
  <si>
    <t>D6 Bulldozer Construction and Holding Rates</t>
  </si>
  <si>
    <t>Tanker (2500-4000L) Construction and Holding Rates</t>
  </si>
  <si>
    <t>Number of Tankers</t>
  </si>
  <si>
    <t>Bark Hazard</t>
  </si>
  <si>
    <t>Wind Speed (km/h)</t>
  </si>
  <si>
    <t>Firebombers Holding Rates</t>
  </si>
  <si>
    <t>Number of Bombers</t>
  </si>
  <si>
    <t>Turn Around (mins)</t>
  </si>
  <si>
    <t>Aircraft type</t>
  </si>
  <si>
    <t>Tuesday 28 October 2014</t>
  </si>
  <si>
    <t>Incorporated the suppression calculator into the workbook</t>
  </si>
  <si>
    <t>Catchpole, W.R., Bradstock, R.A., Choate, J., Fogarty, L.G., Gellie, N., McCarthy, G., McCaw, W.L., Marsden-Smedley, J.B. and Pearce, G. (1998) Cooperative development of equations for heathland fire behaviour.  In: DX Viegas (ed) ‘III International Conference on Forest Fire Research/14th Conference on Fire and Forest Meteorology Proceedings, Volume II’, 16-20 November 1998, Luso, Portugal. ADAI, University of Coimbra, Coimbra, Portugal, pp. 631-645.</t>
  </si>
  <si>
    <t>1998 model (no FFMC)</t>
  </si>
  <si>
    <t>2015 model (including FFMC)</t>
  </si>
  <si>
    <t>Heathland Fire Spread Model (collaborative effort headed by Wendy Anderson/Catchpole)  (Catchpole et al 1998), (Anderson et al 2015)</t>
  </si>
  <si>
    <t>Anderson, W.R., Cruz, M.G., Fernandes, P.M., McCaw, W.L., Vega, J.A., Bradstock, R.A., Fogarty, L., Gould, J., McCarthy, G., Marsden-Smedley, J.B., Matthews, S., Mattingley, G., Pearce, G. and van Wilgen, B.W. (2015) A generic, empirical-based model for predicting rate of fire spread in shrublands. International Journal of Wildland Fire.</t>
  </si>
  <si>
    <t>Wind speed used to develop this model was measured at 2m in the open.  Therefore 10m wind should be reduced to 67% of 10m wind speed.</t>
  </si>
  <si>
    <t>Two models are shown.  The first does not include fine fuel moisture content and the second one does.</t>
  </si>
  <si>
    <t>Wednesday 18 March 2015</t>
  </si>
  <si>
    <t>Modified the Heathland model so that the coefficients in the 1998 version match the published values (which increases the predicted rate of spread), and incorporated the revised model that includes a fine fuel moisture component.</t>
  </si>
  <si>
    <t>Deleted an optional "shift plan" sheet which had little current relevance</t>
  </si>
  <si>
    <t>Rate of Spread (m/h) (Heath)</t>
  </si>
  <si>
    <t>Rate of Spread (m/h) (Woodland)</t>
  </si>
  <si>
    <t>Moisture Content   (%)</t>
  </si>
  <si>
    <t>Sunday 4 October 2015</t>
  </si>
  <si>
    <t>Changed the rate of spead equations in the McArthur Leaflet 80 from those developed by Liam Fogarty to those published by Jim Gould in 1994</t>
  </si>
  <si>
    <t>Leaflet 80 rate of spread based on Gould (1994) Aust.For. 57, 86-93</t>
  </si>
  <si>
    <t>Wednesday 27 April 2016</t>
  </si>
  <si>
    <t>Changed the assumed fuel load for shrubland in the heath model to align better with Westcott et al. 2014 Int J Wildl Fire, p.868.</t>
  </si>
  <si>
    <t>Tuesday 19 July 2016</t>
  </si>
  <si>
    <t>Changed the curing effect equation based on Cruz et al 2015, Int J Wildland Fire, 24, 838-848</t>
  </si>
  <si>
    <t>Moisture content of clump profile (%)</t>
  </si>
  <si>
    <t>Cover of live and dead spinifex (%)</t>
  </si>
  <si>
    <t>Fuel load (t/ha)</t>
  </si>
  <si>
    <t>Age (yrs)</t>
  </si>
  <si>
    <t>Fuel Load</t>
  </si>
  <si>
    <t>Estimated Class 2 clump profile moisture content (%)</t>
  </si>
  <si>
    <t>PMC%</t>
  </si>
  <si>
    <t>AWAP_uf</t>
  </si>
  <si>
    <t>Fuel Class</t>
  </si>
  <si>
    <t>Bare Ground (%)</t>
  </si>
  <si>
    <t>Cover (dead) (%)</t>
  </si>
  <si>
    <t>Cover (total) (%)</t>
  </si>
  <si>
    <t>Cover  (live)   (%)</t>
  </si>
  <si>
    <t>Height (cm)</t>
  </si>
  <si>
    <t>&lt;6</t>
  </si>
  <si>
    <t>15-20</t>
  </si>
  <si>
    <t>Cover (other)  (%)</t>
  </si>
  <si>
    <t>15-25</t>
  </si>
  <si>
    <t>20-40</t>
  </si>
  <si>
    <t>60-80</t>
  </si>
  <si>
    <t>&lt;15</t>
  </si>
  <si>
    <t>&lt;3.5</t>
  </si>
  <si>
    <t>30-40</t>
  </si>
  <si>
    <t>&lt;5</t>
  </si>
  <si>
    <t>5-10</t>
  </si>
  <si>
    <t>40-50</t>
  </si>
  <si>
    <t>50-60</t>
  </si>
  <si>
    <t>20-30</t>
  </si>
  <si>
    <t>4.5-6.5</t>
  </si>
  <si>
    <t>6-10</t>
  </si>
  <si>
    <t>11-15</t>
  </si>
  <si>
    <t>35-45</t>
  </si>
  <si>
    <t>3-6</t>
  </si>
  <si>
    <t>45-55</t>
  </si>
  <si>
    <t>25-35</t>
  </si>
  <si>
    <t>6.5-8.5</t>
  </si>
  <si>
    <t>16-20</t>
  </si>
  <si>
    <t>10-15</t>
  </si>
  <si>
    <t>5-8</t>
  </si>
  <si>
    <t>25-40</t>
  </si>
  <si>
    <t>8.5-10.5</t>
  </si>
  <si>
    <t>20-25</t>
  </si>
  <si>
    <t>60-70</t>
  </si>
  <si>
    <t>14.5-16.5</t>
  </si>
  <si>
    <t>Moisture Content Estimation - visual guide (Fuel Class 2)</t>
  </si>
  <si>
    <t>12-15</t>
  </si>
  <si>
    <t>Leaves yellow/straw, with no green leaves</t>
  </si>
  <si>
    <t>Appearance</t>
  </si>
  <si>
    <t>Leaves yellow-green with many yellow leaves</t>
  </si>
  <si>
    <t>21-30</t>
  </si>
  <si>
    <t>Leaves pale green with some yellow leaves</t>
  </si>
  <si>
    <t>31-40</t>
  </si>
  <si>
    <t>Leaves bright green with few/no yellow leaves</t>
  </si>
  <si>
    <t>Conversion of Fuel Class 2 PMC% to other classes</t>
  </si>
  <si>
    <t>Class 2 PMC%</t>
  </si>
  <si>
    <t>Converted PMC</t>
  </si>
  <si>
    <t>FuelClasses</t>
  </si>
  <si>
    <t>Australian Water Availability Project</t>
  </si>
  <si>
    <t xml:space="preserve">AWAP values from: </t>
  </si>
  <si>
    <t>http://www.csiro.au/awap/</t>
  </si>
  <si>
    <t>"Monthly Relative Soil Moisture Fraction - Upper Layer" (0-1)</t>
  </si>
  <si>
    <t>Spread Index</t>
  </si>
  <si>
    <t>Estimated Wind Speed @ 2m (km/h)</t>
  </si>
  <si>
    <t>Forward Rate of Spread (m/h)</t>
  </si>
  <si>
    <t>Flame Height    (m)</t>
  </si>
  <si>
    <t>Fireline Intensity  (kW/m)</t>
  </si>
  <si>
    <t>Spread Index (Likelihood of Spread)</t>
  </si>
  <si>
    <t>&lt; -2</t>
  </si>
  <si>
    <t>Very Low - fire highly unlikely to spread</t>
  </si>
  <si>
    <t>-2 to 0</t>
  </si>
  <si>
    <t>Low - unlikely to spread</t>
  </si>
  <si>
    <t>0 to 2</t>
  </si>
  <si>
    <t>Moderate - fire should spread</t>
  </si>
  <si>
    <t>2 to 4</t>
  </si>
  <si>
    <t>High - fire will spread</t>
  </si>
  <si>
    <t>Very High - fire will spread</t>
  </si>
  <si>
    <t>&gt; 6</t>
  </si>
  <si>
    <t>Extreme - fire will spread rapidly</t>
  </si>
  <si>
    <t>Included the Spinifex fire model by Burrows et al. 2015</t>
  </si>
  <si>
    <t>Spinifex (Burrows et al 2015)</t>
  </si>
  <si>
    <t>Fuel load, moisture content, spinifex cover and 2m wind speed are needed as inputs</t>
  </si>
  <si>
    <t>Based on Burrows, N.D., Liddelow, G.L, and Ward, B. (2015)  A guide to predicting fire rate of spread in spinifex (Triodia spp.) grasslands of Western Australia (Mk2 v3).</t>
  </si>
  <si>
    <t>Some of the inputs can be derived from indirect measures so various tables and tools are included on this page.</t>
  </si>
  <si>
    <t>Fuel Type</t>
  </si>
  <si>
    <t>Fuel Load equation (t/ha)</t>
  </si>
  <si>
    <t>Phoenix inputs (HS)</t>
  </si>
  <si>
    <t>Canopy &amp; Bark</t>
  </si>
  <si>
    <t>Maximum Hazard Score</t>
  </si>
  <si>
    <t>Maximum Fuel Load (t/ha)</t>
  </si>
  <si>
    <t>Hazard Score at TSF x</t>
  </si>
  <si>
    <t>Fuel Load (t/ha) at TSF x</t>
  </si>
  <si>
    <t>Enter TSF</t>
  </si>
  <si>
    <t>Fuel Type #</t>
  </si>
  <si>
    <t>Fuel Group #</t>
  </si>
  <si>
    <t>Fuel Group</t>
  </si>
  <si>
    <t>Surface_r</t>
  </si>
  <si>
    <t>Surface_k</t>
  </si>
  <si>
    <t>Surface_c</t>
  </si>
  <si>
    <t>Elevated_r</t>
  </si>
  <si>
    <t>Elevated_k</t>
  </si>
  <si>
    <t>Elevated_c</t>
  </si>
  <si>
    <t>Bark_r</t>
  </si>
  <si>
    <t>Bark_k</t>
  </si>
  <si>
    <t>Bark_c</t>
  </si>
  <si>
    <t>Canopy Fuel (Max t/ha)</t>
  </si>
  <si>
    <t>Canopy Height (approx m)</t>
  </si>
  <si>
    <t>Spotting Potential</t>
  </si>
  <si>
    <t>Spotting Distance</t>
  </si>
  <si>
    <t>Surface HS</t>
  </si>
  <si>
    <t>Elevated HS</t>
  </si>
  <si>
    <t>Bark HS</t>
  </si>
  <si>
    <t>Surface t/ha</t>
  </si>
  <si>
    <t>Elevated t/ha</t>
  </si>
  <si>
    <t>Bark t/ha</t>
  </si>
  <si>
    <t>Total t/ha</t>
  </si>
  <si>
    <t>Rainforests</t>
  </si>
  <si>
    <t>Short</t>
  </si>
  <si>
    <t>Wet sclerophyll forests (shrubby)</t>
  </si>
  <si>
    <t>North coast wet sclerophyll forests</t>
  </si>
  <si>
    <t>Long</t>
  </si>
  <si>
    <t>South coast wet sclerophyll forests</t>
  </si>
  <si>
    <t>Northern escarpment wet sclerophyll forests</t>
  </si>
  <si>
    <t>Southern escarpment wet sclerophyll forests</t>
  </si>
  <si>
    <t>Wet sclerophyll forests (grassy)</t>
  </si>
  <si>
    <t>Northern hinterland wet sclerophyll forests</t>
  </si>
  <si>
    <t>Medium</t>
  </si>
  <si>
    <t>Southern lowland wet sclerophyll forests</t>
  </si>
  <si>
    <t>Northern tableland wet sclerophyll forests</t>
  </si>
  <si>
    <t>Southern tableland wet sclerophyll forests</t>
  </si>
  <si>
    <t>Montane wet sclerophyll forests</t>
  </si>
  <si>
    <t>Dry sclerophyll forests (shrub/grass)</t>
  </si>
  <si>
    <t>Clarence dry sclerophyll forests</t>
  </si>
  <si>
    <t>Hunter-Macleay dry sclerophyll forests</t>
  </si>
  <si>
    <t>Cumberland dry sclerophyll forests</t>
  </si>
  <si>
    <t>Southern hinterland dry sclerophyll forests</t>
  </si>
  <si>
    <t>Northern gorge dry sclerophyll forests</t>
  </si>
  <si>
    <t>Central gorge dry sclerophyll forests</t>
  </si>
  <si>
    <t>New England dry sclerophyll forests</t>
  </si>
  <si>
    <t>North-west slopes dry sclerophyll woodlands</t>
  </si>
  <si>
    <t>Upper riverina dry sclerophyll forests</t>
  </si>
  <si>
    <t>Pilliga outwash dry sclerophyll forests</t>
  </si>
  <si>
    <t>Dry sclerophyll forests (shrubby)</t>
  </si>
  <si>
    <t>Coastal dune dry sclerophyll forests</t>
  </si>
  <si>
    <t>North Coast dry sclerophyll forests</t>
  </si>
  <si>
    <t>Sydney coastal dry sclerophyll forests</t>
  </si>
  <si>
    <t>Sydney hinterland dry sclerophyll forests</t>
  </si>
  <si>
    <t>Sydney sand flats dry sclerophyll forests</t>
  </si>
  <si>
    <t>South Coast sands dry sclerophyll forests</t>
  </si>
  <si>
    <t>South East dry sclerophyll forests</t>
  </si>
  <si>
    <t>Southern wattle dry sclerophyll forests</t>
  </si>
  <si>
    <t>Northern Escarpment dry sclerophyll forests</t>
  </si>
  <si>
    <t>Sydney montane dry sclerophyll forests</t>
  </si>
  <si>
    <t>Northern tableland dry sclerophyll forests</t>
  </si>
  <si>
    <t>Southern tableland dry sclerophyll forests</t>
  </si>
  <si>
    <t>Western slopes dry sclerophyll forests</t>
  </si>
  <si>
    <t>Yetman dry sclerophyll forests</t>
  </si>
  <si>
    <t>Grassy woodlands</t>
  </si>
  <si>
    <t>Coastal valley grassy woodlands</t>
  </si>
  <si>
    <t>Tableland clay grassy woodlands</t>
  </si>
  <si>
    <t>New England grassy woodlands</t>
  </si>
  <si>
    <t>Southern tableland grassy woodlands</t>
  </si>
  <si>
    <t>Subalpine woodlands</t>
  </si>
  <si>
    <t>Western slopes grassy woodlands</t>
  </si>
  <si>
    <t>Floodplain transition woodlands</t>
  </si>
  <si>
    <t>Heathlands</t>
  </si>
  <si>
    <t>Tall heath</t>
  </si>
  <si>
    <t>n/a</t>
  </si>
  <si>
    <t>Short heath</t>
  </si>
  <si>
    <t>Montane &amp; Alpine heath</t>
  </si>
  <si>
    <t>Alpine</t>
  </si>
  <si>
    <t>Alpine fjaeldmarks</t>
  </si>
  <si>
    <t>Alpine herblands</t>
  </si>
  <si>
    <t>Semi-arid woodlands (grassy)</t>
  </si>
  <si>
    <t>Semi-arid woodlands (shrubby)</t>
  </si>
  <si>
    <t>Dune mallee woodlands</t>
  </si>
  <si>
    <t>Sand plain mallee woodlands</t>
  </si>
  <si>
    <t>Semi-arid sand plain woodlands</t>
  </si>
  <si>
    <t>Arid shrublands</t>
  </si>
  <si>
    <t>Arid shrublands (chenopod)</t>
  </si>
  <si>
    <t>Arid shrublands (acacia)</t>
  </si>
  <si>
    <t>Forested wetlands</t>
  </si>
  <si>
    <t>Coastal swamp forests</t>
  </si>
  <si>
    <t>Riverine forests</t>
  </si>
  <si>
    <t>Freshwater wetlands</t>
  </si>
  <si>
    <t>Saline wetlands</t>
  </si>
  <si>
    <t>Grasslands</t>
  </si>
  <si>
    <t>Native Grasslands</t>
  </si>
  <si>
    <t>Grassland - Natural/Continuous 6 t/ha</t>
  </si>
  <si>
    <t>Grassland - Natural/Discontinuous or Grazed/Continuous  4.5 t/ha</t>
  </si>
  <si>
    <t>Grassland - Grazed/Discontinuous  3 t/ha</t>
  </si>
  <si>
    <t>Grassland - Eaten Out/Continuous 2 t/ha</t>
  </si>
  <si>
    <t>Grassland - Eaten Out/Discontinuous 1.5 t/ha</t>
  </si>
  <si>
    <t>Agriculture</t>
  </si>
  <si>
    <t>Remnant woodland</t>
  </si>
  <si>
    <t>Crop</t>
  </si>
  <si>
    <t>Softwood plantation</t>
  </si>
  <si>
    <t>Hardwood plantation</t>
  </si>
  <si>
    <t>Urban</t>
  </si>
  <si>
    <t>Urban - No tree cover</t>
  </si>
  <si>
    <t>Urban - Low tree cover</t>
  </si>
  <si>
    <t>Urban - High tree cover</t>
  </si>
  <si>
    <t>Fuel absent</t>
  </si>
  <si>
    <t>Fuel absent (Water / sand / no vegetation)</t>
  </si>
  <si>
    <t>Forest Fire Behaviour Guide (VESTA)  Gould et al (2007) Project Vesta.  Fire in dry eucalypt forest: fuel structure, fuel dynamics, and fire behaviour.</t>
  </si>
  <si>
    <t>Dry Eucalypt Forest Fire Model (VESTA)  Cheney et al. (2012)</t>
  </si>
  <si>
    <t>Air Temp  (oC)</t>
  </si>
  <si>
    <t>VESTA (2012)</t>
  </si>
  <si>
    <t>Vesta (2007)</t>
  </si>
  <si>
    <t>Heath (2015)</t>
  </si>
  <si>
    <t>Wednesday 12 July 2017</t>
  </si>
  <si>
    <t>Gould, J.S. (1994) Evaluation of McArthur's control burning guide in regorwth Eucalyptus sieberi forest.  Australian Forestry 57, 86-93.</t>
  </si>
  <si>
    <t>Inserted a new sheet for the Cheney et al (2012) formulation of the Dry Eucalypt Forest (VESTA) model.  For.Ecol.Manage. 280 (2012) 120-131.</t>
  </si>
  <si>
    <t>Reintroduced slope to the calculation of spotting distance in McArthur Forest calculations.  Taken out in Sept 2010.  Still no slope inclusion in flame height calcs.</t>
  </si>
  <si>
    <t>Wednesday 29 May 2019</t>
  </si>
  <si>
    <t>Not applicable</t>
  </si>
  <si>
    <t>Not Applicable</t>
  </si>
  <si>
    <t>Thursday 12 November 2020</t>
  </si>
  <si>
    <t>Made some minor corrections to the spotting distance function in the VESTA model.</t>
  </si>
  <si>
    <t>Clarified that slope is not applicable to the Heath and Mallee-Heath rate of spread calculations.</t>
  </si>
  <si>
    <t>Corrected the cell reference to the slope value in the Grass model.</t>
  </si>
  <si>
    <t>Corrected the Crownfire ROS and Intensity functions in the Mallee-Heath model.</t>
  </si>
  <si>
    <t>All changes based on close examination by Fred Cumming (Thanks Fred).</t>
  </si>
  <si>
    <t>Corrected some coefficients in Mallee-Heath model which reduced the predicted rate of spread</t>
  </si>
  <si>
    <t>Surface FFMC (%) Cruz 2015 PM Summer</t>
  </si>
  <si>
    <t>Included a third FFMC calculation based on a model published by Cruz et al 2015</t>
  </si>
  <si>
    <t>Effective ROS (m/h)</t>
  </si>
  <si>
    <t>Tuesday 17 November 2020</t>
  </si>
  <si>
    <t>Monday 30 November 2020</t>
  </si>
  <si>
    <t>Changed the assessed fuel ratings to a drop-down menu rather than a free entry field</t>
  </si>
  <si>
    <t>Spinifex Grasslands - Burrows, Gill &amp; Sharples (2018)</t>
  </si>
  <si>
    <t>Prob of Spread    (0-1)</t>
  </si>
  <si>
    <t>Model Development data range</t>
  </si>
  <si>
    <t>Wind Speed @1.7m (km/h)</t>
  </si>
  <si>
    <t>Min</t>
  </si>
  <si>
    <t>Max</t>
  </si>
  <si>
    <t>km/h</t>
  </si>
  <si>
    <t>%</t>
  </si>
  <si>
    <t>t/ha</t>
  </si>
  <si>
    <r>
      <t>Air Temp (</t>
    </r>
    <r>
      <rPr>
        <vertAlign val="superscript"/>
        <sz val="10"/>
        <color theme="0" tint="-0.249977111117893"/>
        <rFont val="Arial"/>
        <family val="2"/>
      </rPr>
      <t>o</t>
    </r>
    <r>
      <rPr>
        <sz val="10"/>
        <color theme="0" tint="-0.249977111117893"/>
        <rFont val="Arial"/>
        <family val="2"/>
      </rPr>
      <t>C)</t>
    </r>
  </si>
  <si>
    <r>
      <rPr>
        <vertAlign val="superscript"/>
        <sz val="10"/>
        <color theme="0" tint="-0.249977111117893"/>
        <rFont val="Arial"/>
        <family val="2"/>
      </rPr>
      <t>o</t>
    </r>
    <r>
      <rPr>
        <sz val="10"/>
        <color theme="0" tint="-0.249977111117893"/>
        <rFont val="Arial"/>
        <family val="2"/>
      </rPr>
      <t>C</t>
    </r>
  </si>
  <si>
    <t>Clump Height (cm)</t>
  </si>
  <si>
    <t>cm</t>
  </si>
  <si>
    <t>1 (0)</t>
  </si>
  <si>
    <t>40 (0)</t>
  </si>
  <si>
    <t>5-84%</t>
  </si>
  <si>
    <t>1-18 t/ha</t>
  </si>
  <si>
    <t>12-32%</t>
  </si>
  <si>
    <t>Cover</t>
  </si>
  <si>
    <t xml:space="preserve">Estimated fuel load &amp; cover based on age - Time Since Fire (yrs) </t>
  </si>
  <si>
    <t>Sunday 25 July 2021</t>
  </si>
  <si>
    <t>Updated the Spinifex model to use the Burrows et al (2018) algorithms.  Burrows, Gill &amp; Sharples (2018) Int.J.Wildl.Fire, 27: 271-279.</t>
  </si>
  <si>
    <t>Previous work from Burrows et al 2015.  Some tables and conversions still come from the 2015 report.</t>
  </si>
  <si>
    <t>Formulae updated using Burrows, N., Gill, M. and Sharples, J. (2018) Development and validation of model for predicting fire behaviour in spinifex grasslands in arid Australia.  Int.J.Wildland Fire, 27, 271-279.</t>
  </si>
  <si>
    <t>Be aware that if you "move" or "select, drag and drop" cells in this table, the cell references</t>
  </si>
  <si>
    <t>Cut and Paste, Copy, or Enter values into the cells only.</t>
  </si>
  <si>
    <t>Wind Reduction Factor Calcs</t>
  </si>
  <si>
    <t>Overstorey Foliage Projective Cover (%)</t>
  </si>
  <si>
    <t>Wind Reduction Factor (1-10 plus)</t>
  </si>
  <si>
    <t>Dry Eucalypt Forest Spread Model (VESTA Mk2) - Cruz, Cheney, Gould, McCaw, Kilinc &amp; Sullivan (2021)</t>
  </si>
  <si>
    <t>Mean Elevated Fuel Height (m)</t>
  </si>
  <si>
    <t>Drought Factor       (1-10)</t>
  </si>
  <si>
    <r>
      <t>Moisture Spread Coeff        (</t>
    </r>
    <r>
      <rPr>
        <sz val="10"/>
        <rFont val="Times New Roman"/>
        <family val="1"/>
      </rPr>
      <t>Φ</t>
    </r>
    <r>
      <rPr>
        <i/>
        <sz val="10"/>
        <rFont val="Times New Roman"/>
        <family val="1"/>
      </rPr>
      <t>Md</t>
    </r>
    <r>
      <rPr>
        <sz val="10"/>
        <rFont val="Arial"/>
        <family val="2"/>
      </rPr>
      <t>)      (0-1)</t>
    </r>
  </si>
  <si>
    <r>
      <t>Fuel Avail'y Factor     (</t>
    </r>
    <r>
      <rPr>
        <sz val="10"/>
        <rFont val="Times New Roman"/>
        <family val="1"/>
      </rPr>
      <t>Φ</t>
    </r>
    <r>
      <rPr>
        <i/>
        <sz val="10"/>
        <rFont val="Times New Roman"/>
        <family val="1"/>
      </rPr>
      <t>FA</t>
    </r>
    <r>
      <rPr>
        <sz val="10"/>
        <rFont val="Arial"/>
        <family val="2"/>
      </rPr>
      <t>)     (0-1)</t>
    </r>
  </si>
  <si>
    <r>
      <t>Combined Fuel Moisture Effect     (</t>
    </r>
    <r>
      <rPr>
        <sz val="10"/>
        <rFont val="Times New Roman"/>
        <family val="1"/>
      </rPr>
      <t>Φ</t>
    </r>
    <r>
      <rPr>
        <i/>
        <sz val="10"/>
        <rFont val="Times New Roman"/>
        <family val="1"/>
      </rPr>
      <t>M</t>
    </r>
    <r>
      <rPr>
        <sz val="10"/>
        <rFont val="Arial"/>
        <family val="2"/>
      </rPr>
      <t>)      (0-1)</t>
    </r>
  </si>
  <si>
    <t>Estimated Wind Speed @ 2m    (km/h)</t>
  </si>
  <si>
    <t>Phase I FROS  (m/h)</t>
  </si>
  <si>
    <t>Phase II  FROS  (m/h)</t>
  </si>
  <si>
    <t>Phase III  FROS  (m/h)</t>
  </si>
  <si>
    <r>
      <rPr>
        <b/>
        <sz val="10"/>
        <rFont val="Arial"/>
        <family val="2"/>
      </rPr>
      <t>Expected FROS</t>
    </r>
    <r>
      <rPr>
        <sz val="10"/>
        <rFont val="Arial"/>
        <family val="2"/>
      </rPr>
      <t xml:space="preserve">  (m\h)</t>
    </r>
  </si>
  <si>
    <t>Prob of Phase II</t>
  </si>
  <si>
    <t>Prob of Phase III</t>
  </si>
  <si>
    <r>
      <t xml:space="preserve">Slope Factor  </t>
    </r>
    <r>
      <rPr>
        <sz val="10"/>
        <rFont val="Times New Roman"/>
        <family val="1"/>
      </rPr>
      <t>(Φ</t>
    </r>
    <r>
      <rPr>
        <i/>
        <sz val="12"/>
        <rFont val="Times New Roman"/>
        <family val="1"/>
      </rPr>
      <t>θ</t>
    </r>
    <r>
      <rPr>
        <sz val="10"/>
        <rFont val="Times New Roman"/>
        <family val="1"/>
      </rPr>
      <t>)</t>
    </r>
  </si>
  <si>
    <r>
      <rPr>
        <b/>
        <sz val="10"/>
        <rFont val="Arial"/>
        <family val="2"/>
      </rPr>
      <t>Expected Flame Height</t>
    </r>
    <r>
      <rPr>
        <sz val="10"/>
        <rFont val="Arial"/>
        <family val="2"/>
      </rPr>
      <t xml:space="preserve">  (m)</t>
    </r>
  </si>
  <si>
    <t>Flank ROS  (m/h)</t>
  </si>
  <si>
    <t>Keetch-Byram Drought Index (KBDI) (0-200)</t>
  </si>
  <si>
    <t>Aspect of Slope (azimuth) (degrees TN)</t>
  </si>
  <si>
    <t>Tall Wet Forest Adjustments</t>
  </si>
  <si>
    <t>from Weather sheet</t>
  </si>
  <si>
    <t>to be used here</t>
  </si>
  <si>
    <t>C1</t>
  </si>
  <si>
    <t>C2</t>
  </si>
  <si>
    <t>Aspect Effect</t>
  </si>
  <si>
    <t>Seasonal Dryness Effect</t>
  </si>
  <si>
    <t>Drought Factor Wet Forest</t>
  </si>
  <si>
    <r>
      <t>Wet Fuel Avail'y Factor     (</t>
    </r>
    <r>
      <rPr>
        <sz val="10"/>
        <rFont val="Times New Roman"/>
        <family val="1"/>
      </rPr>
      <t>Φ</t>
    </r>
    <r>
      <rPr>
        <i/>
        <sz val="10"/>
        <rFont val="Times New Roman"/>
        <family val="1"/>
      </rPr>
      <t>FA</t>
    </r>
    <r>
      <rPr>
        <sz val="10"/>
        <rFont val="Arial"/>
        <family val="2"/>
      </rPr>
      <t>)     (0-1)</t>
    </r>
  </si>
  <si>
    <t>Tall Wet Eucalypt Forest Spread Model (VESTA Mk2) - Cruz, Cheney, Gould, McCaw, Kilinc &amp; Sullivan (2021)</t>
  </si>
  <si>
    <r>
      <t>Wet Moisture Spread Coeff        (</t>
    </r>
    <r>
      <rPr>
        <sz val="10"/>
        <rFont val="Times New Roman"/>
        <family val="1"/>
      </rPr>
      <t>Φ</t>
    </r>
    <r>
      <rPr>
        <i/>
        <sz val="10"/>
        <rFont val="Times New Roman"/>
        <family val="1"/>
      </rPr>
      <t>Md</t>
    </r>
    <r>
      <rPr>
        <sz val="10"/>
        <rFont val="Arial"/>
        <family val="2"/>
      </rPr>
      <t>)      (0-1)</t>
    </r>
  </si>
  <si>
    <r>
      <t>Combined Wet Fuel Moisture Effect     (</t>
    </r>
    <r>
      <rPr>
        <sz val="10"/>
        <rFont val="Times New Roman"/>
        <family val="1"/>
      </rPr>
      <t>Φ</t>
    </r>
    <r>
      <rPr>
        <i/>
        <sz val="10"/>
        <rFont val="Times New Roman"/>
        <family val="1"/>
      </rPr>
      <t>M</t>
    </r>
    <r>
      <rPr>
        <sz val="10"/>
        <rFont val="Arial"/>
        <family val="2"/>
      </rPr>
      <t>)      (0-1)</t>
    </r>
  </si>
  <si>
    <t>Slope steepness (degrees)</t>
  </si>
  <si>
    <t>VESTA Mk2 Dry (2021)</t>
  </si>
  <si>
    <t>VESTA Mk2 Wet  (2021)</t>
  </si>
  <si>
    <t>Thursday 2 December 2021</t>
  </si>
  <si>
    <t>Implemented in 2 parts, one for Dry Eucalypt forest and the other for Wet Eucalypt forest</t>
  </si>
  <si>
    <r>
      <t>Advanced Fire Behaviour Prediction Standard Workbook (</t>
    </r>
    <r>
      <rPr>
        <b/>
        <i/>
        <sz val="14"/>
        <rFont val="Arial"/>
        <family val="2"/>
      </rPr>
      <t>First version 18 July 2007, last revised 2 December 2021</t>
    </r>
    <r>
      <rPr>
        <b/>
        <sz val="14"/>
        <rFont val="Arial"/>
        <family val="2"/>
      </rPr>
      <t>)</t>
    </r>
  </si>
  <si>
    <t>VESTA Mk2 Dry Eucalypt Forest</t>
  </si>
  <si>
    <t>This implementation includes a progressive inclusion of fine fuels in different strata.  Surface and Near-surface fine fuels are always included.  The wind reduction factor is calculated based on canopy height and cover (foliage projective cover) and cover density of tall shrubs if present.  Elevated fuel height is the weighted average height of the near-surface and elevated fuels based on cover density.  In practice, this mean elevated fuel height is half the top height of the elevated fuel layer.</t>
  </si>
  <si>
    <t>VESTA Mk2 Wet Eucalypt Forest</t>
  </si>
  <si>
    <t>Fuels are input in the same way as for the Dry Eucalypt Forest model.  The main difference in the Wet Eucalypt model is that it takes into account the seasonal dryness and the effects of slope and aspect on fuel availability.  Seasonal dryness is input via the KBDI.  Only one slope and aspect can be used at a time.  Aspect affects are not relevant if the slope is 10 degrees or less.  The wind reduction factor is likely to be significantly greater for Wet forest than for Dry forest and it is important that a realistic value is set.</t>
  </si>
  <si>
    <t>7-100</t>
  </si>
  <si>
    <t>MC (%)</t>
  </si>
  <si>
    <t>1.8-13.3</t>
  </si>
  <si>
    <t>Surface&amp;NS Fuel Load (t/ha)</t>
  </si>
  <si>
    <t>4-39</t>
  </si>
  <si>
    <t>Mean elevated fuel height (m)</t>
  </si>
  <si>
    <t>0.1-1.2</t>
  </si>
  <si>
    <t>28-10,500</t>
  </si>
  <si>
    <t>Data Range used to develop and test model:</t>
  </si>
  <si>
    <t>Wind Adjustment Factor (0-1)</t>
  </si>
  <si>
    <t>Wind Reduction Factor (1-10+)</t>
  </si>
  <si>
    <t>Tall (&gt;3m) Understorey Cover (%)</t>
  </si>
  <si>
    <t>Wednesday 12 January 2022</t>
  </si>
  <si>
    <t>Added bias correction to VESTA flame height calculation (plus 7%)</t>
  </si>
  <si>
    <t>Changed name of WRF to "Wind Adjustment Factor" in VESTA Mk2 to be consistent with publication</t>
  </si>
  <si>
    <t>Included two new sheets for VESTA Mk 2.  Cruz, Cheney, Gould, McCaw, Kilinc &amp; Sullivan (2022) Int J Wildl Fire, 31(1):</t>
  </si>
  <si>
    <t>Included a 2km wind limit to Phase 2 ROS in VESTA Mk2</t>
  </si>
  <si>
    <t>Restricted the aspect effect on VESTA Mk2 Wet Forest to between 90 and 225 degrees</t>
  </si>
  <si>
    <t>Changed the night time boundaries in all VESTA models to between 2000h and 0800h (previously 2000h to 0600h)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</si>
</sst>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3" formatCode="_-* #,##0.00_-;\-* #,##0.00_-;_-* &quot;-&quot;??_-;_-@_-"/>
    <numFmt numFmtId="164" formatCode="0.0"/>
    <numFmt numFmtId="165" formatCode="dd/mm/yyyy;@"/>
    <numFmt numFmtId="166" formatCode="0.000"/>
    <numFmt numFmtId="167" formatCode="d/m/yyyy;@"/>
    <numFmt numFmtId="168" formatCode="_-* #,##0.0_-;\-* #,##0.0_-;_-* &quot;-&quot;??_-;_-@_-"/>
    <numFmt numFmtId="169" formatCode="_-* #,##0_-;\-* #,##0_-;_-* &quot;-&quot;??_-;_-@_-"/>
    <numFmt numFmtId="170" formatCode="#,##0.0"/>
    <numFmt numFmtId="171" formatCode="d/mm/yyyy;@"/>
    <numFmt numFmtId="172" formatCode="[$-F800]dddd\,\ mmmm\ dd\,\ yyyy"/>
    <numFmt numFmtId="173" formatCode="#,##0_ ;\-#,##0\ "/>
  </numFmts>
  <fonts count="57" x14ac:knownFonts="1">
    <font>
      <sz val="10"/>
      <name val="Arial"/>
    </font>
    <font>
      <sz val="11"/>
      <color theme="1"/>
      <name val="Calibri"/>
      <family val="2"/>
      <scheme val="minor"/>
    </font>
    <font>
      <sz val="11"/>
      <color theme="1"/>
      <name val="Calibri"/>
      <family val="2"/>
      <scheme val="minor"/>
    </font>
    <font>
      <sz val="10"/>
      <name val="Arial"/>
      <family val="2"/>
    </font>
    <font>
      <i/>
      <sz val="10"/>
      <name val="Arial"/>
      <family val="2"/>
    </font>
    <font>
      <sz val="10"/>
      <color indexed="12"/>
      <name val="Arial"/>
      <family val="2"/>
    </font>
    <font>
      <sz val="8"/>
      <name val="Arial"/>
      <family val="2"/>
    </font>
    <font>
      <sz val="10"/>
      <name val="Arial"/>
      <family val="2"/>
    </font>
    <font>
      <sz val="8"/>
      <color indexed="81"/>
      <name val="Tahoma"/>
      <family val="2"/>
    </font>
    <font>
      <b/>
      <sz val="8"/>
      <color indexed="81"/>
      <name val="Tahoma"/>
      <family val="2"/>
    </font>
    <font>
      <b/>
      <sz val="12"/>
      <name val="Arial"/>
      <family val="2"/>
    </font>
    <font>
      <b/>
      <sz val="14"/>
      <name val="Arial"/>
      <family val="2"/>
    </font>
    <font>
      <b/>
      <i/>
      <sz val="14"/>
      <name val="Arial"/>
      <family val="2"/>
    </font>
    <font>
      <sz val="10"/>
      <color indexed="81"/>
      <name val="Tahoma"/>
      <family val="2"/>
    </font>
    <font>
      <b/>
      <sz val="10"/>
      <color indexed="81"/>
      <name val="Tahoma"/>
      <family val="2"/>
    </font>
    <font>
      <b/>
      <sz val="10"/>
      <name val="Arial"/>
      <family val="2"/>
    </font>
    <font>
      <u/>
      <sz val="13"/>
      <color indexed="12"/>
      <name val="Arial"/>
      <family val="2"/>
    </font>
    <font>
      <u/>
      <sz val="13"/>
      <color indexed="9"/>
      <name val="Arial"/>
      <family val="2"/>
    </font>
    <font>
      <b/>
      <sz val="14"/>
      <color indexed="10"/>
      <name val="Arial"/>
      <family val="2"/>
    </font>
    <font>
      <sz val="10"/>
      <color indexed="10"/>
      <name val="Arial"/>
      <family val="2"/>
    </font>
    <font>
      <sz val="14"/>
      <color indexed="10"/>
      <name val="Arial"/>
      <family val="2"/>
    </font>
    <font>
      <b/>
      <i/>
      <sz val="10"/>
      <name val="Arial"/>
      <family val="2"/>
    </font>
    <font>
      <b/>
      <sz val="10"/>
      <color indexed="10"/>
      <name val="Arial"/>
      <family val="2"/>
    </font>
    <font>
      <b/>
      <sz val="12"/>
      <color indexed="10"/>
      <name val="Arial"/>
      <family val="2"/>
    </font>
    <font>
      <b/>
      <sz val="11"/>
      <name val="Arial"/>
      <family val="2"/>
    </font>
    <font>
      <sz val="11"/>
      <color rgb="FF006100"/>
      <name val="Calibri"/>
      <family val="2"/>
      <scheme val="minor"/>
    </font>
    <font>
      <sz val="11"/>
      <name val="Calibri"/>
      <family val="2"/>
      <scheme val="minor"/>
    </font>
    <font>
      <sz val="12"/>
      <name val="Arial"/>
      <family val="2"/>
    </font>
    <font>
      <sz val="10"/>
      <color theme="0" tint="-0.249977111117893"/>
      <name val="Arial"/>
      <family val="2"/>
    </font>
    <font>
      <sz val="10"/>
      <color theme="0" tint="-0.34998626667073579"/>
      <name val="Arial"/>
      <family val="2"/>
    </font>
    <font>
      <sz val="8"/>
      <color theme="0" tint="-0.499984740745262"/>
      <name val="Arial"/>
      <family val="2"/>
    </font>
    <font>
      <sz val="10"/>
      <color theme="0" tint="-0.499984740745262"/>
      <name val="Arial"/>
      <family val="2"/>
    </font>
    <font>
      <sz val="11"/>
      <name val="Arial"/>
      <family val="2"/>
    </font>
    <font>
      <sz val="11"/>
      <color rgb="FF9C6500"/>
      <name val="Calibri"/>
      <family val="2"/>
      <scheme val="minor"/>
    </font>
    <font>
      <sz val="18"/>
      <color theme="1"/>
      <name val="Calibri"/>
      <family val="2"/>
      <scheme val="minor"/>
    </font>
    <font>
      <i/>
      <sz val="9"/>
      <color theme="1"/>
      <name val="Calibri"/>
      <family val="2"/>
      <scheme val="minor"/>
    </font>
    <font>
      <b/>
      <sz val="11"/>
      <color theme="4"/>
      <name val="Calibri"/>
      <family val="2"/>
      <scheme val="minor"/>
    </font>
    <font>
      <sz val="9"/>
      <color theme="4"/>
      <name val="Calibri"/>
      <family val="2"/>
      <scheme val="minor"/>
    </font>
    <font>
      <i/>
      <sz val="9"/>
      <color rgb="FF9C6500"/>
      <name val="Calibri"/>
      <family val="2"/>
      <scheme val="minor"/>
    </font>
    <font>
      <sz val="14"/>
      <color theme="1"/>
      <name val="Calibri"/>
      <family val="2"/>
      <scheme val="minor"/>
    </font>
    <font>
      <sz val="16"/>
      <color theme="1"/>
      <name val="Calibri"/>
      <family val="2"/>
      <scheme val="minor"/>
    </font>
    <font>
      <sz val="18"/>
      <name val="Arial"/>
      <family val="2"/>
    </font>
    <font>
      <sz val="10"/>
      <color theme="0" tint="-0.14999847407452621"/>
      <name val="Arial"/>
      <family val="2"/>
    </font>
    <font>
      <b/>
      <sz val="11"/>
      <color theme="1"/>
      <name val="Calibri"/>
      <family val="2"/>
      <scheme val="minor"/>
    </font>
    <font>
      <sz val="10"/>
      <color theme="1"/>
      <name val="Arial"/>
      <family val="2"/>
    </font>
    <font>
      <b/>
      <sz val="10"/>
      <color theme="1"/>
      <name val="Arial"/>
      <family val="2"/>
    </font>
    <font>
      <b/>
      <sz val="16"/>
      <color theme="1"/>
      <name val="Arial"/>
      <family val="2"/>
    </font>
    <font>
      <sz val="10"/>
      <color rgb="FF000000"/>
      <name val="Arial"/>
      <family val="2"/>
    </font>
    <font>
      <vertAlign val="superscript"/>
      <sz val="10"/>
      <color theme="0" tint="-0.249977111117893"/>
      <name val="Arial"/>
      <family val="2"/>
    </font>
    <font>
      <sz val="10"/>
      <name val="Times New Roman"/>
      <family val="1"/>
    </font>
    <font>
      <i/>
      <sz val="10"/>
      <name val="Times New Roman"/>
      <family val="1"/>
    </font>
    <font>
      <i/>
      <sz val="12"/>
      <name val="Times New Roman"/>
      <family val="1"/>
    </font>
    <font>
      <sz val="9"/>
      <color indexed="81"/>
      <name val="Tahoma"/>
      <family val="2"/>
    </font>
    <font>
      <sz val="10"/>
      <color theme="0"/>
      <name val="Arial"/>
      <family val="2"/>
    </font>
    <font>
      <b/>
      <sz val="9"/>
      <color indexed="81"/>
      <name val="Tahoma"/>
      <family val="2"/>
    </font>
    <font>
      <sz val="10"/>
      <color rgb="FFFF0000"/>
      <name val="Arial"/>
      <family val="2"/>
    </font>
    <font>
      <sz val="12"/>
      <color theme="0"/>
      <name val="Arial"/>
      <family val="2"/>
    </font>
  </fonts>
  <fills count="58">
    <fill>
      <patternFill patternType="none"/>
    </fill>
    <fill>
      <patternFill patternType="gray125"/>
    </fill>
    <fill>
      <patternFill patternType="solid">
        <fgColor indexed="47"/>
        <bgColor indexed="64"/>
      </patternFill>
    </fill>
    <fill>
      <patternFill patternType="solid">
        <fgColor indexed="41"/>
        <bgColor indexed="64"/>
      </patternFill>
    </fill>
    <fill>
      <patternFill patternType="solid">
        <fgColor indexed="43"/>
        <bgColor indexed="64"/>
      </patternFill>
    </fill>
    <fill>
      <patternFill patternType="solid">
        <fgColor indexed="15"/>
        <bgColor indexed="64"/>
      </patternFill>
    </fill>
    <fill>
      <patternFill patternType="solid">
        <fgColor indexed="45"/>
        <bgColor indexed="64"/>
      </patternFill>
    </fill>
    <fill>
      <patternFill patternType="solid">
        <fgColor indexed="22"/>
        <bgColor indexed="64"/>
      </patternFill>
    </fill>
    <fill>
      <patternFill patternType="solid">
        <fgColor indexed="55"/>
        <bgColor indexed="64"/>
      </patternFill>
    </fill>
    <fill>
      <patternFill patternType="solid">
        <fgColor indexed="44"/>
        <bgColor indexed="64"/>
      </patternFill>
    </fill>
    <fill>
      <patternFill patternType="solid">
        <fgColor indexed="13"/>
        <bgColor indexed="64"/>
      </patternFill>
    </fill>
    <fill>
      <patternFill patternType="solid">
        <fgColor indexed="46"/>
        <bgColor indexed="64"/>
      </patternFill>
    </fill>
    <fill>
      <patternFill patternType="solid">
        <fgColor indexed="12"/>
        <bgColor indexed="64"/>
      </patternFill>
    </fill>
    <fill>
      <patternFill patternType="solid">
        <fgColor indexed="42"/>
        <bgColor indexed="64"/>
      </patternFill>
    </fill>
    <fill>
      <patternFill patternType="solid">
        <fgColor indexed="17"/>
        <bgColor indexed="64"/>
      </patternFill>
    </fill>
    <fill>
      <patternFill patternType="solid">
        <fgColor indexed="10"/>
        <bgColor indexed="64"/>
      </patternFill>
    </fill>
    <fill>
      <patternFill patternType="solid">
        <fgColor indexed="52"/>
        <bgColor indexed="64"/>
      </patternFill>
    </fill>
    <fill>
      <patternFill patternType="solid">
        <fgColor indexed="50"/>
        <bgColor indexed="64"/>
      </patternFill>
    </fill>
    <fill>
      <patternFill patternType="solid">
        <fgColor indexed="14"/>
        <bgColor indexed="64"/>
      </patternFill>
    </fill>
    <fill>
      <patternFill patternType="solid">
        <fgColor indexed="53"/>
        <bgColor indexed="64"/>
      </patternFill>
    </fill>
    <fill>
      <patternFill patternType="solid">
        <fgColor indexed="49"/>
        <bgColor indexed="64"/>
      </patternFill>
    </fill>
    <fill>
      <patternFill patternType="solid">
        <fgColor indexed="57"/>
        <bgColor indexed="64"/>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rgb="FFC6EFCE"/>
      </patternFill>
    </fill>
    <fill>
      <patternFill patternType="solid">
        <fgColor theme="0" tint="-0.14999847407452621"/>
        <bgColor indexed="64"/>
      </patternFill>
    </fill>
    <fill>
      <patternFill patternType="solid">
        <fgColor rgb="FFFFCC99"/>
        <bgColor indexed="64"/>
      </patternFill>
    </fill>
    <fill>
      <patternFill patternType="solid">
        <fgColor theme="9"/>
        <bgColor indexed="64"/>
      </patternFill>
    </fill>
    <fill>
      <patternFill patternType="solid">
        <fgColor theme="0" tint="-0.249977111117893"/>
        <bgColor indexed="64"/>
      </patternFill>
    </fill>
    <fill>
      <patternFill patternType="solid">
        <fgColor rgb="FFFF99FF"/>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EB9C"/>
      </patternFill>
    </fill>
    <fill>
      <patternFill patternType="solid">
        <fgColor theme="3" tint="0.79998168889431442"/>
        <bgColor indexed="64"/>
      </patternFill>
    </fill>
    <fill>
      <patternFill patternType="solid">
        <fgColor rgb="FF92D050"/>
        <bgColor indexed="64"/>
      </patternFill>
    </fill>
    <fill>
      <patternFill patternType="solid">
        <fgColor rgb="FFFFFF99"/>
        <bgColor indexed="64"/>
      </patternFill>
    </fill>
    <fill>
      <patternFill patternType="solid">
        <fgColor rgb="FFFFCC66"/>
        <bgColor indexed="64"/>
      </patternFill>
    </fill>
    <fill>
      <patternFill patternType="solid">
        <fgColor theme="2" tint="-9.9978637043366805E-2"/>
        <bgColor indexed="64"/>
      </patternFill>
    </fill>
    <fill>
      <patternFill patternType="solid">
        <fgColor rgb="FFCCFF66"/>
        <bgColor indexed="64"/>
      </patternFill>
    </fill>
    <fill>
      <patternFill patternType="solid">
        <fgColor rgb="FF00B05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7" tint="0.79998168889431442"/>
        <bgColor theme="4"/>
      </patternFill>
    </fill>
    <fill>
      <patternFill patternType="solid">
        <fgColor theme="5" tint="0.79998168889431442"/>
        <bgColor theme="4"/>
      </patternFill>
    </fill>
    <fill>
      <patternFill patternType="solid">
        <fgColor theme="6"/>
        <bgColor theme="4"/>
      </patternFill>
    </fill>
    <fill>
      <patternFill patternType="solid">
        <fgColor theme="6"/>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39997558519241921"/>
        <bgColor theme="4"/>
      </patternFill>
    </fill>
    <fill>
      <patternFill patternType="solid">
        <fgColor theme="6" tint="0.59999389629810485"/>
        <bgColor theme="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9"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bottom/>
      <diagonal/>
    </border>
    <border>
      <left style="thin">
        <color indexed="64"/>
      </left>
      <right style="thin">
        <color theme="0" tint="-0.34998626667073579"/>
      </right>
      <top/>
      <bottom/>
      <diagonal/>
    </border>
  </borders>
  <cellStyleXfs count="11">
    <xf numFmtId="0" fontId="0" fillId="0" borderId="0"/>
    <xf numFmtId="43" fontId="3" fillId="0" borderId="0" applyFont="0" applyFill="0" applyBorder="0" applyAlignment="0" applyProtection="0"/>
    <xf numFmtId="0" fontId="16" fillId="0" borderId="0" applyNumberFormat="0" applyFill="0" applyBorder="0" applyAlignment="0" applyProtection="0">
      <alignment vertical="top"/>
      <protection locked="0"/>
    </xf>
    <xf numFmtId="0" fontId="25" fillId="29" borderId="0" applyNumberFormat="0" applyBorder="0" applyAlignment="0" applyProtection="0"/>
    <xf numFmtId="0" fontId="33" fillId="37" borderId="0" applyNumberFormat="0" applyBorder="0" applyAlignment="0" applyProtection="0"/>
    <xf numFmtId="0" fontId="2" fillId="0" borderId="0"/>
    <xf numFmtId="43" fontId="2" fillId="0" borderId="0" applyFont="0" applyFill="0" applyBorder="0" applyAlignment="0" applyProtection="0"/>
    <xf numFmtId="0" fontId="1" fillId="0" borderId="0"/>
    <xf numFmtId="0" fontId="3" fillId="0" borderId="0"/>
    <xf numFmtId="0" fontId="3" fillId="0" borderId="0"/>
    <xf numFmtId="0" fontId="3" fillId="0" borderId="0"/>
  </cellStyleXfs>
  <cellXfs count="753">
    <xf numFmtId="0" fontId="0" fillId="0" borderId="0" xfId="0"/>
    <xf numFmtId="0" fontId="0" fillId="2" borderId="0" xfId="0" applyFill="1"/>
    <xf numFmtId="0" fontId="0" fillId="0" borderId="0" xfId="0" applyAlignment="1">
      <alignment horizontal="center"/>
    </xf>
    <xf numFmtId="0" fontId="4" fillId="0" borderId="1" xfId="0" applyFont="1" applyBorder="1" applyAlignment="1">
      <alignment horizontal="center"/>
    </xf>
    <xf numFmtId="0" fontId="0" fillId="0" borderId="0" xfId="0" applyProtection="1">
      <protection locked="0"/>
    </xf>
    <xf numFmtId="0" fontId="0" fillId="0" borderId="1" xfId="0" applyBorder="1"/>
    <xf numFmtId="0" fontId="5" fillId="3" borderId="1" xfId="0" applyFont="1" applyFill="1" applyBorder="1" applyAlignment="1" applyProtection="1">
      <alignment horizontal="center"/>
      <protection locked="0"/>
    </xf>
    <xf numFmtId="0" fontId="0" fillId="2" borderId="1" xfId="0" applyFill="1" applyBorder="1"/>
    <xf numFmtId="0" fontId="4" fillId="2" borderId="1" xfId="0" applyFont="1" applyFill="1" applyBorder="1"/>
    <xf numFmtId="164" fontId="4" fillId="2" borderId="1" xfId="0" applyNumberFormat="1" applyFont="1" applyFill="1" applyBorder="1"/>
    <xf numFmtId="0" fontId="0" fillId="2" borderId="1" xfId="0" applyFill="1" applyBorder="1" applyAlignment="1">
      <alignment horizontal="center" wrapText="1"/>
    </xf>
    <xf numFmtId="0" fontId="0" fillId="2" borderId="1" xfId="0" applyFill="1" applyBorder="1" applyAlignment="1" applyProtection="1">
      <alignment horizontal="center" wrapText="1"/>
    </xf>
    <xf numFmtId="0" fontId="4" fillId="2" borderId="1" xfId="0" applyFont="1" applyFill="1" applyBorder="1" applyAlignment="1" applyProtection="1">
      <alignment horizontal="center"/>
    </xf>
    <xf numFmtId="165" fontId="4" fillId="2" borderId="1" xfId="0" applyNumberFormat="1" applyFont="1" applyFill="1" applyBorder="1" applyAlignment="1" applyProtection="1">
      <alignment horizontal="center"/>
    </xf>
    <xf numFmtId="20" fontId="4" fillId="2" borderId="1" xfId="0" applyNumberFormat="1" applyFont="1" applyFill="1" applyBorder="1" applyAlignment="1" applyProtection="1">
      <alignment horizontal="center"/>
    </xf>
    <xf numFmtId="165" fontId="5" fillId="3" borderId="1" xfId="0" applyNumberFormat="1" applyFont="1" applyFill="1" applyBorder="1" applyAlignment="1" applyProtection="1">
      <alignment horizontal="center"/>
      <protection locked="0"/>
    </xf>
    <xf numFmtId="20" fontId="5" fillId="3" borderId="1" xfId="0" applyNumberFormat="1" applyFont="1" applyFill="1" applyBorder="1" applyAlignment="1" applyProtection="1">
      <alignment horizontal="center"/>
      <protection locked="0"/>
    </xf>
    <xf numFmtId="0" fontId="0" fillId="0" borderId="0" xfId="0" applyAlignment="1" applyProtection="1">
      <alignment horizontal="center"/>
      <protection locked="0"/>
    </xf>
    <xf numFmtId="0" fontId="0" fillId="3" borderId="1" xfId="0" applyFill="1" applyBorder="1" applyAlignment="1" applyProtection="1">
      <alignment horizontal="right"/>
      <protection locked="0"/>
    </xf>
    <xf numFmtId="0" fontId="0" fillId="0" borderId="0" xfId="0" applyAlignment="1">
      <alignment horizontal="right"/>
    </xf>
    <xf numFmtId="0" fontId="0" fillId="3" borderId="1" xfId="0" applyFill="1" applyBorder="1" applyAlignment="1" applyProtection="1">
      <alignment horizontal="left"/>
      <protection locked="0"/>
    </xf>
    <xf numFmtId="0" fontId="0" fillId="2" borderId="1" xfId="0" applyFill="1" applyBorder="1" applyAlignment="1">
      <alignment horizontal="left"/>
    </xf>
    <xf numFmtId="0" fontId="4" fillId="2" borderId="1" xfId="0" applyFont="1" applyFill="1" applyBorder="1" applyAlignment="1">
      <alignment horizontal="left"/>
    </xf>
    <xf numFmtId="0" fontId="4" fillId="0" borderId="1" xfId="0" applyFont="1" applyFill="1" applyBorder="1" applyAlignment="1" applyProtection="1">
      <alignment horizontal="center"/>
    </xf>
    <xf numFmtId="165" fontId="4" fillId="0" borderId="1" xfId="0" applyNumberFormat="1" applyFont="1" applyFill="1" applyBorder="1" applyAlignment="1" applyProtection="1">
      <alignment horizontal="center"/>
    </xf>
    <xf numFmtId="20" fontId="4" fillId="0" borderId="1" xfId="0" applyNumberFormat="1" applyFont="1" applyFill="1" applyBorder="1" applyAlignment="1" applyProtection="1">
      <alignment horizontal="center"/>
    </xf>
    <xf numFmtId="0" fontId="3" fillId="4" borderId="1" xfId="0" applyFont="1" applyFill="1" applyBorder="1" applyAlignment="1" applyProtection="1">
      <alignment horizontal="center" wrapText="1"/>
    </xf>
    <xf numFmtId="1" fontId="4" fillId="0" borderId="1" xfId="0" applyNumberFormat="1" applyFont="1" applyFill="1" applyBorder="1" applyAlignment="1" applyProtection="1">
      <alignment horizontal="center"/>
    </xf>
    <xf numFmtId="0" fontId="4" fillId="0" borderId="1" xfId="0" applyNumberFormat="1" applyFont="1" applyFill="1" applyBorder="1" applyAlignment="1" applyProtection="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164" fontId="0" fillId="0" borderId="1" xfId="0" applyNumberFormat="1" applyBorder="1" applyAlignment="1">
      <alignment horizontal="center"/>
    </xf>
    <xf numFmtId="1" fontId="0" fillId="0" borderId="1" xfId="0" applyNumberFormat="1" applyBorder="1" applyAlignment="1">
      <alignment horizontal="center"/>
    </xf>
    <xf numFmtId="0" fontId="0" fillId="0" borderId="0" xfId="0" applyBorder="1"/>
    <xf numFmtId="0" fontId="0" fillId="4" borderId="1" xfId="0" applyFill="1" applyBorder="1"/>
    <xf numFmtId="0" fontId="0" fillId="3" borderId="2" xfId="0" applyFill="1" applyBorder="1"/>
    <xf numFmtId="0" fontId="0" fillId="3" borderId="3" xfId="0" applyFill="1" applyBorder="1"/>
    <xf numFmtId="0" fontId="0" fillId="0" borderId="0" xfId="0" applyFill="1" applyBorder="1"/>
    <xf numFmtId="0" fontId="0" fillId="5" borderId="0" xfId="0" applyFill="1"/>
    <xf numFmtId="0" fontId="0" fillId="5" borderId="1" xfId="0" applyFill="1" applyBorder="1" applyAlignment="1">
      <alignment horizontal="center" wrapText="1"/>
    </xf>
    <xf numFmtId="0" fontId="0" fillId="4" borderId="1" xfId="0" applyFill="1" applyBorder="1" applyAlignment="1">
      <alignment horizontal="center" wrapText="1"/>
    </xf>
    <xf numFmtId="3" fontId="0" fillId="0" borderId="1" xfId="0" applyNumberFormat="1" applyBorder="1" applyAlignment="1">
      <alignment horizontal="center"/>
    </xf>
    <xf numFmtId="0" fontId="0" fillId="6" borderId="0" xfId="0" applyFill="1"/>
    <xf numFmtId="0" fontId="0" fillId="6" borderId="1" xfId="0" applyFill="1" applyBorder="1" applyAlignment="1">
      <alignment horizontal="center" wrapText="1"/>
    </xf>
    <xf numFmtId="0" fontId="4" fillId="7" borderId="1" xfId="0" applyFont="1" applyFill="1" applyBorder="1" applyAlignment="1" applyProtection="1">
      <alignment horizontal="center"/>
    </xf>
    <xf numFmtId="165" fontId="4" fillId="7" borderId="1" xfId="0" applyNumberFormat="1" applyFont="1" applyFill="1" applyBorder="1" applyAlignment="1" applyProtection="1">
      <alignment horizontal="center"/>
    </xf>
    <xf numFmtId="20" fontId="4" fillId="7" borderId="1" xfId="0" applyNumberFormat="1" applyFont="1" applyFill="1" applyBorder="1" applyAlignment="1" applyProtection="1">
      <alignment horizontal="center"/>
    </xf>
    <xf numFmtId="1" fontId="4" fillId="7" borderId="1" xfId="0" applyNumberFormat="1" applyFont="1" applyFill="1" applyBorder="1" applyAlignment="1" applyProtection="1">
      <alignment horizontal="center"/>
    </xf>
    <xf numFmtId="0" fontId="4" fillId="7" borderId="1" xfId="0" applyNumberFormat="1" applyFont="1" applyFill="1" applyBorder="1" applyAlignment="1" applyProtection="1">
      <alignment horizontal="center"/>
    </xf>
    <xf numFmtId="0" fontId="0" fillId="7" borderId="1" xfId="0" applyFill="1" applyBorder="1" applyAlignment="1">
      <alignment horizontal="center"/>
    </xf>
    <xf numFmtId="164" fontId="0" fillId="7" borderId="1" xfId="0" applyNumberFormat="1" applyFill="1" applyBorder="1" applyAlignment="1">
      <alignment horizontal="center"/>
    </xf>
    <xf numFmtId="1" fontId="0" fillId="7" borderId="1" xfId="0" applyNumberFormat="1" applyFill="1" applyBorder="1" applyAlignment="1">
      <alignment horizontal="center"/>
    </xf>
    <xf numFmtId="3" fontId="0" fillId="7" borderId="1" xfId="0" applyNumberFormat="1" applyFill="1" applyBorder="1" applyAlignment="1">
      <alignment horizontal="center"/>
    </xf>
    <xf numFmtId="2" fontId="0" fillId="7" borderId="1" xfId="0" applyNumberFormat="1" applyFill="1" applyBorder="1" applyAlignment="1">
      <alignment horizontal="center"/>
    </xf>
    <xf numFmtId="166" fontId="0" fillId="7" borderId="1" xfId="0" applyNumberFormat="1" applyFill="1" applyBorder="1" applyAlignment="1">
      <alignment horizontal="center"/>
    </xf>
    <xf numFmtId="0" fontId="10" fillId="0" borderId="0" xfId="0" applyFont="1"/>
    <xf numFmtId="0" fontId="3" fillId="2" borderId="1" xfId="0" applyFont="1" applyFill="1" applyBorder="1" applyAlignment="1" applyProtection="1">
      <alignment horizontal="center" wrapText="1"/>
    </xf>
    <xf numFmtId="167" fontId="4" fillId="0" borderId="1" xfId="0" applyNumberFormat="1" applyFont="1" applyBorder="1" applyAlignment="1">
      <alignment horizontal="center"/>
    </xf>
    <xf numFmtId="20" fontId="4" fillId="0" borderId="1" xfId="0" applyNumberFormat="1" applyFont="1" applyBorder="1" applyAlignment="1">
      <alignment horizontal="center"/>
    </xf>
    <xf numFmtId="1" fontId="7" fillId="0" borderId="1" xfId="0" applyNumberFormat="1" applyFont="1" applyBorder="1" applyAlignment="1">
      <alignment horizontal="center"/>
    </xf>
    <xf numFmtId="164" fontId="7" fillId="0" borderId="1" xfId="0" applyNumberFormat="1" applyFont="1" applyBorder="1" applyAlignment="1">
      <alignment horizontal="center"/>
    </xf>
    <xf numFmtId="166" fontId="0" fillId="0" borderId="1" xfId="0" applyNumberFormat="1" applyFill="1" applyBorder="1" applyAlignment="1">
      <alignment horizontal="center"/>
    </xf>
    <xf numFmtId="3" fontId="0" fillId="0" borderId="1" xfId="1" applyNumberFormat="1" applyFont="1" applyBorder="1" applyAlignment="1">
      <alignment horizontal="center"/>
    </xf>
    <xf numFmtId="0" fontId="0" fillId="7" borderId="1" xfId="0" applyFill="1" applyBorder="1" applyAlignment="1">
      <alignment horizontal="center" wrapText="1"/>
    </xf>
    <xf numFmtId="170" fontId="0" fillId="0" borderId="1" xfId="0" applyNumberFormat="1" applyBorder="1" applyAlignment="1">
      <alignment horizontal="center"/>
    </xf>
    <xf numFmtId="0" fontId="4" fillId="7" borderId="1" xfId="0" applyFont="1" applyFill="1" applyBorder="1" applyAlignment="1">
      <alignment horizontal="center"/>
    </xf>
    <xf numFmtId="167" fontId="4" fillId="7" borderId="1" xfId="0" applyNumberFormat="1" applyFont="1" applyFill="1" applyBorder="1" applyAlignment="1">
      <alignment horizontal="center"/>
    </xf>
    <xf numFmtId="20" fontId="4" fillId="7" borderId="1" xfId="0" applyNumberFormat="1" applyFont="1" applyFill="1" applyBorder="1" applyAlignment="1">
      <alignment horizontal="center"/>
    </xf>
    <xf numFmtId="1" fontId="7" fillId="7" borderId="1" xfId="0" applyNumberFormat="1" applyFont="1" applyFill="1" applyBorder="1" applyAlignment="1">
      <alignment horizontal="center"/>
    </xf>
    <xf numFmtId="164" fontId="7" fillId="7" borderId="1" xfId="0" applyNumberFormat="1" applyFont="1" applyFill="1" applyBorder="1" applyAlignment="1">
      <alignment horizontal="center"/>
    </xf>
    <xf numFmtId="3" fontId="0" fillId="7" borderId="1" xfId="1" applyNumberFormat="1" applyFont="1" applyFill="1" applyBorder="1" applyAlignment="1">
      <alignment horizontal="center"/>
    </xf>
    <xf numFmtId="170" fontId="0" fillId="7" borderId="1" xfId="0" applyNumberFormat="1" applyFill="1" applyBorder="1" applyAlignment="1">
      <alignment horizontal="center"/>
    </xf>
    <xf numFmtId="0" fontId="11" fillId="0" borderId="0" xfId="0" applyFont="1"/>
    <xf numFmtId="167" fontId="0" fillId="0" borderId="1" xfId="0" applyNumberFormat="1" applyBorder="1" applyAlignment="1">
      <alignment horizontal="center"/>
    </xf>
    <xf numFmtId="20" fontId="0" fillId="0" borderId="1" xfId="0" applyNumberFormat="1" applyBorder="1" applyAlignment="1">
      <alignment horizontal="center"/>
    </xf>
    <xf numFmtId="167" fontId="0" fillId="7" borderId="1" xfId="0" applyNumberFormat="1" applyFill="1" applyBorder="1" applyAlignment="1">
      <alignment horizontal="center"/>
    </xf>
    <xf numFmtId="20" fontId="0" fillId="7" borderId="1" xfId="0" applyNumberFormat="1" applyFill="1" applyBorder="1" applyAlignment="1">
      <alignment horizontal="center"/>
    </xf>
    <xf numFmtId="0" fontId="4" fillId="0" borderId="4" xfId="0" applyFont="1" applyBorder="1" applyAlignment="1">
      <alignment horizontal="right"/>
    </xf>
    <xf numFmtId="0" fontId="0" fillId="3" borderId="5" xfId="0" applyFill="1" applyBorder="1" applyAlignment="1" applyProtection="1">
      <alignment horizontal="right"/>
      <protection locked="0"/>
    </xf>
    <xf numFmtId="0" fontId="10" fillId="4" borderId="0" xfId="0" applyFont="1" applyFill="1"/>
    <xf numFmtId="0" fontId="0" fillId="4" borderId="0" xfId="0" applyFill="1"/>
    <xf numFmtId="0" fontId="0" fillId="0" borderId="0" xfId="0" applyAlignment="1">
      <alignment horizontal="center" wrapText="1"/>
    </xf>
    <xf numFmtId="164" fontId="0" fillId="0" borderId="1" xfId="0" applyNumberFormat="1" applyBorder="1"/>
    <xf numFmtId="164" fontId="0" fillId="0" borderId="0" xfId="0" applyNumberFormat="1" applyAlignment="1">
      <alignment horizontal="right"/>
    </xf>
    <xf numFmtId="0" fontId="0" fillId="3" borderId="4" xfId="0" applyFill="1" applyBorder="1" applyProtection="1">
      <protection locked="0"/>
    </xf>
    <xf numFmtId="0" fontId="0" fillId="3" borderId="1" xfId="0" applyFill="1" applyBorder="1" applyAlignment="1" applyProtection="1">
      <alignment horizontal="center"/>
      <protection locked="0"/>
    </xf>
    <xf numFmtId="0" fontId="0" fillId="7" borderId="0" xfId="0" applyFill="1"/>
    <xf numFmtId="0" fontId="0" fillId="0" borderId="0" xfId="0" applyAlignment="1">
      <alignment wrapText="1"/>
    </xf>
    <xf numFmtId="0" fontId="0" fillId="0" borderId="0" xfId="0" applyFill="1"/>
    <xf numFmtId="49" fontId="0" fillId="0" borderId="0" xfId="0" applyNumberFormat="1" applyAlignment="1">
      <alignment horizontal="right" vertical="top"/>
    </xf>
    <xf numFmtId="0" fontId="0" fillId="4" borderId="1" xfId="0" applyFill="1" applyBorder="1" applyAlignment="1" applyProtection="1">
      <alignment horizontal="center" wrapText="1"/>
    </xf>
    <xf numFmtId="0" fontId="0" fillId="6" borderId="1" xfId="0" applyFill="1" applyBorder="1" applyAlignment="1" applyProtection="1">
      <alignment horizontal="center" wrapText="1"/>
    </xf>
    <xf numFmtId="0" fontId="15" fillId="0" borderId="0" xfId="0" applyFont="1" applyBorder="1"/>
    <xf numFmtId="0" fontId="7" fillId="0" borderId="0" xfId="0" applyFont="1" applyBorder="1"/>
    <xf numFmtId="0" fontId="7" fillId="0" borderId="6" xfId="0" applyFont="1" applyBorder="1"/>
    <xf numFmtId="0" fontId="7" fillId="0" borderId="0" xfId="0" applyFont="1" applyBorder="1" applyAlignment="1">
      <alignment wrapText="1"/>
    </xf>
    <xf numFmtId="0" fontId="7" fillId="0" borderId="0" xfId="0" applyFont="1" applyBorder="1" applyAlignment="1">
      <alignment horizontal="left" vertical="top" wrapText="1"/>
    </xf>
    <xf numFmtId="0" fontId="7" fillId="0" borderId="6" xfId="0" applyFont="1" applyBorder="1" applyAlignment="1">
      <alignment wrapText="1"/>
    </xf>
    <xf numFmtId="0" fontId="0" fillId="0" borderId="7" xfId="0" applyBorder="1"/>
    <xf numFmtId="0" fontId="0" fillId="0" borderId="8" xfId="0" applyBorder="1" applyAlignment="1">
      <alignment wrapText="1"/>
    </xf>
    <xf numFmtId="49" fontId="0" fillId="0" borderId="9" xfId="0" applyNumberFormat="1" applyBorder="1" applyAlignment="1">
      <alignment horizontal="right" vertical="top"/>
    </xf>
    <xf numFmtId="0" fontId="0" fillId="0" borderId="10" xfId="0" applyBorder="1" applyAlignment="1">
      <alignment wrapText="1"/>
    </xf>
    <xf numFmtId="49" fontId="0" fillId="0" borderId="11" xfId="0" applyNumberFormat="1" applyBorder="1" applyAlignment="1">
      <alignment horizontal="right" vertical="top"/>
    </xf>
    <xf numFmtId="0" fontId="0" fillId="0" borderId="12" xfId="0" applyBorder="1" applyAlignment="1">
      <alignment wrapText="1"/>
    </xf>
    <xf numFmtId="0" fontId="4" fillId="0" borderId="0" xfId="0" applyFont="1"/>
    <xf numFmtId="164" fontId="0" fillId="2" borderId="4" xfId="0" applyNumberFormat="1" applyFill="1" applyBorder="1"/>
    <xf numFmtId="0" fontId="0" fillId="4" borderId="4" xfId="0" applyFill="1" applyBorder="1"/>
    <xf numFmtId="0" fontId="4" fillId="0" borderId="1" xfId="0" applyFont="1" applyBorder="1" applyAlignment="1">
      <alignment horizontal="right"/>
    </xf>
    <xf numFmtId="0" fontId="4" fillId="0" borderId="1" xfId="0" applyFont="1" applyFill="1" applyBorder="1" applyAlignment="1">
      <alignment horizontal="right"/>
    </xf>
    <xf numFmtId="0" fontId="4" fillId="8" borderId="1" xfId="0" applyFont="1" applyFill="1" applyBorder="1" applyAlignment="1">
      <alignment horizontal="right"/>
    </xf>
    <xf numFmtId="0" fontId="0" fillId="9" borderId="13" xfId="0" applyFill="1" applyBorder="1"/>
    <xf numFmtId="0" fontId="0" fillId="9" borderId="14" xfId="0" applyFill="1" applyBorder="1" applyAlignment="1">
      <alignment horizontal="center"/>
    </xf>
    <xf numFmtId="0" fontId="0" fillId="9" borderId="14" xfId="0" applyFill="1" applyBorder="1"/>
    <xf numFmtId="0" fontId="0" fillId="9" borderId="15" xfId="0" applyFill="1" applyBorder="1"/>
    <xf numFmtId="0" fontId="0" fillId="9" borderId="16" xfId="0" applyFill="1" applyBorder="1"/>
    <xf numFmtId="0" fontId="0" fillId="9" borderId="0" xfId="0" applyFill="1" applyBorder="1" applyAlignment="1">
      <alignment horizontal="center"/>
    </xf>
    <xf numFmtId="0" fontId="0" fillId="9" borderId="0" xfId="0" applyFill="1" applyBorder="1"/>
    <xf numFmtId="0" fontId="0" fillId="9" borderId="17" xfId="0" applyFill="1" applyBorder="1"/>
    <xf numFmtId="0" fontId="3" fillId="10" borderId="1" xfId="0" applyFont="1" applyFill="1" applyBorder="1" applyAlignment="1">
      <alignment horizontal="center"/>
    </xf>
    <xf numFmtId="0" fontId="3" fillId="6" borderId="1" xfId="0" applyFont="1" applyFill="1" applyBorder="1" applyAlignment="1">
      <alignment horizontal="center"/>
    </xf>
    <xf numFmtId="0" fontId="3" fillId="3" borderId="1" xfId="0" applyFont="1" applyFill="1" applyBorder="1" applyAlignment="1">
      <alignment horizontal="center"/>
    </xf>
    <xf numFmtId="0" fontId="3" fillId="7" borderId="1" xfId="0" applyFont="1" applyFill="1" applyBorder="1" applyAlignment="1">
      <alignment horizontal="center"/>
    </xf>
    <xf numFmtId="0" fontId="3" fillId="0" borderId="1" xfId="0" applyFont="1" applyBorder="1" applyAlignment="1" applyProtection="1">
      <alignment horizontal="center"/>
      <protection locked="0"/>
    </xf>
    <xf numFmtId="164" fontId="3" fillId="7" borderId="1" xfId="0" applyNumberFormat="1" applyFont="1" applyFill="1" applyBorder="1" applyAlignment="1">
      <alignment horizontal="center"/>
    </xf>
    <xf numFmtId="0" fontId="0" fillId="9" borderId="18" xfId="0" applyFill="1" applyBorder="1"/>
    <xf numFmtId="0" fontId="0" fillId="9" borderId="6" xfId="0" applyFill="1" applyBorder="1" applyAlignment="1">
      <alignment horizontal="center"/>
    </xf>
    <xf numFmtId="0" fontId="0" fillId="9" borderId="6" xfId="0" applyFill="1" applyBorder="1"/>
    <xf numFmtId="0" fontId="0" fillId="9" borderId="19" xfId="0" applyFill="1" applyBorder="1"/>
    <xf numFmtId="0" fontId="0" fillId="11" borderId="13" xfId="0" applyFill="1" applyBorder="1"/>
    <xf numFmtId="0" fontId="0" fillId="11" borderId="14" xfId="0" applyFill="1" applyBorder="1" applyAlignment="1">
      <alignment horizontal="center"/>
    </xf>
    <xf numFmtId="0" fontId="0" fillId="11" borderId="14" xfId="0" applyFill="1" applyBorder="1"/>
    <xf numFmtId="0" fontId="0" fillId="11" borderId="15" xfId="0" applyFill="1" applyBorder="1"/>
    <xf numFmtId="0" fontId="0" fillId="11" borderId="16" xfId="0" applyFill="1" applyBorder="1"/>
    <xf numFmtId="0" fontId="0" fillId="11" borderId="0" xfId="0" applyFill="1" applyBorder="1"/>
    <xf numFmtId="0" fontId="0" fillId="11" borderId="0" xfId="0" applyFill="1" applyBorder="1" applyAlignment="1">
      <alignment horizontal="center"/>
    </xf>
    <xf numFmtId="0" fontId="0" fillId="11" borderId="17" xfId="0" applyFill="1" applyBorder="1" applyAlignment="1">
      <alignment horizontal="center"/>
    </xf>
    <xf numFmtId="0" fontId="0" fillId="4" borderId="1" xfId="0" applyFill="1" applyBorder="1" applyAlignment="1">
      <alignment horizontal="center"/>
    </xf>
    <xf numFmtId="0" fontId="0" fillId="3" borderId="1" xfId="0" applyFill="1" applyBorder="1" applyAlignment="1">
      <alignment horizontal="center"/>
    </xf>
    <xf numFmtId="0" fontId="0" fillId="11" borderId="17" xfId="0" applyFill="1" applyBorder="1"/>
    <xf numFmtId="0" fontId="0" fillId="0" borderId="1" xfId="0" applyBorder="1" applyAlignment="1" applyProtection="1">
      <alignment horizontal="center"/>
      <protection locked="0"/>
    </xf>
    <xf numFmtId="1" fontId="0" fillId="3" borderId="1" xfId="0" applyNumberFormat="1" applyFill="1" applyBorder="1" applyAlignment="1">
      <alignment horizontal="center"/>
    </xf>
    <xf numFmtId="0" fontId="0" fillId="0" borderId="1" xfId="0" applyFill="1" applyBorder="1" applyAlignment="1" applyProtection="1">
      <alignment horizontal="center"/>
      <protection locked="0"/>
    </xf>
    <xf numFmtId="1" fontId="0" fillId="4" borderId="1" xfId="0" applyNumberFormat="1" applyFill="1" applyBorder="1" applyAlignment="1">
      <alignment horizontal="center"/>
    </xf>
    <xf numFmtId="0" fontId="0" fillId="11" borderId="18" xfId="0" applyFill="1" applyBorder="1"/>
    <xf numFmtId="0" fontId="0" fillId="11" borderId="6" xfId="0" applyFill="1" applyBorder="1" applyAlignment="1">
      <alignment horizontal="center"/>
    </xf>
    <xf numFmtId="0" fontId="0" fillId="11" borderId="6" xfId="0" applyFill="1" applyBorder="1"/>
    <xf numFmtId="0" fontId="0" fillId="11" borderId="19" xfId="0" applyFill="1" applyBorder="1"/>
    <xf numFmtId="0" fontId="15" fillId="7" borderId="13" xfId="0" applyFont="1" applyFill="1" applyBorder="1"/>
    <xf numFmtId="0" fontId="0" fillId="7" borderId="14" xfId="0" applyFill="1" applyBorder="1" applyAlignment="1">
      <alignment horizontal="center"/>
    </xf>
    <xf numFmtId="0" fontId="0" fillId="7" borderId="14" xfId="0" applyFill="1" applyBorder="1"/>
    <xf numFmtId="0" fontId="0" fillId="7" borderId="15" xfId="0" applyFill="1" applyBorder="1"/>
    <xf numFmtId="0" fontId="0" fillId="7" borderId="16" xfId="0" applyFill="1" applyBorder="1"/>
    <xf numFmtId="0" fontId="0" fillId="7" borderId="0" xfId="0" applyFill="1" applyBorder="1" applyAlignment="1">
      <alignment horizontal="center"/>
    </xf>
    <xf numFmtId="0" fontId="0" fillId="7" borderId="0" xfId="0" applyFill="1" applyBorder="1"/>
    <xf numFmtId="0" fontId="0" fillId="7" borderId="17" xfId="0" applyFill="1" applyBorder="1"/>
    <xf numFmtId="0" fontId="0" fillId="6" borderId="1" xfId="0" applyFill="1" applyBorder="1" applyAlignment="1">
      <alignment horizontal="center"/>
    </xf>
    <xf numFmtId="0" fontId="0" fillId="10" borderId="1" xfId="0" applyFill="1" applyBorder="1" applyAlignment="1">
      <alignment horizontal="center"/>
    </xf>
    <xf numFmtId="1" fontId="0" fillId="6" borderId="1" xfId="0" applyNumberFormat="1" applyFill="1" applyBorder="1" applyAlignment="1">
      <alignment horizontal="center"/>
    </xf>
    <xf numFmtId="0" fontId="0" fillId="7" borderId="18" xfId="0" applyFill="1" applyBorder="1"/>
    <xf numFmtId="0" fontId="0" fillId="7" borderId="6" xfId="0" applyFill="1" applyBorder="1" applyAlignment="1">
      <alignment horizontal="center"/>
    </xf>
    <xf numFmtId="0" fontId="0" fillId="7" borderId="6" xfId="0" applyFill="1" applyBorder="1"/>
    <xf numFmtId="0" fontId="0" fillId="7" borderId="19" xfId="0" applyFill="1" applyBorder="1"/>
    <xf numFmtId="49" fontId="0" fillId="0" borderId="0" xfId="0" applyNumberFormat="1" applyAlignment="1">
      <alignment horizontal="right"/>
    </xf>
    <xf numFmtId="0" fontId="17" fillId="12" borderId="0" xfId="2" applyFont="1" applyFill="1" applyAlignment="1" applyProtection="1">
      <alignment vertical="center"/>
    </xf>
    <xf numFmtId="49" fontId="0" fillId="0" borderId="0" xfId="0" applyNumberFormat="1" applyAlignment="1">
      <alignment vertical="center"/>
    </xf>
    <xf numFmtId="49" fontId="0" fillId="0" borderId="0" xfId="0" applyNumberFormat="1" applyAlignment="1">
      <alignment horizontal="right" vertical="center"/>
    </xf>
    <xf numFmtId="0" fontId="16" fillId="7" borderId="0" xfId="2" applyFill="1" applyAlignment="1" applyProtection="1">
      <alignment vertical="center"/>
    </xf>
    <xf numFmtId="0" fontId="16" fillId="10" borderId="1" xfId="2" applyFill="1" applyBorder="1" applyAlignment="1" applyProtection="1"/>
    <xf numFmtId="0" fontId="16" fillId="10" borderId="3" xfId="2" applyFill="1" applyBorder="1" applyAlignment="1" applyProtection="1"/>
    <xf numFmtId="0" fontId="16" fillId="10" borderId="4" xfId="2" applyFill="1" applyBorder="1" applyAlignment="1" applyProtection="1"/>
    <xf numFmtId="0" fontId="3" fillId="13" borderId="1" xfId="0" applyFont="1" applyFill="1" applyBorder="1" applyAlignment="1" applyProtection="1">
      <alignment horizontal="center" wrapText="1"/>
    </xf>
    <xf numFmtId="1" fontId="4" fillId="13" borderId="1" xfId="0" applyNumberFormat="1" applyFont="1" applyFill="1" applyBorder="1" applyAlignment="1" applyProtection="1">
      <alignment horizontal="center"/>
      <protection locked="0"/>
    </xf>
    <xf numFmtId="0" fontId="0" fillId="0" borderId="16" xfId="0" applyFill="1" applyBorder="1" applyAlignment="1">
      <alignment horizontal="center"/>
    </xf>
    <xf numFmtId="0" fontId="0" fillId="0" borderId="0" xfId="0" applyFill="1" applyAlignment="1">
      <alignment horizontal="center"/>
    </xf>
    <xf numFmtId="0" fontId="0" fillId="4" borderId="3" xfId="0" applyFill="1" applyBorder="1"/>
    <xf numFmtId="0" fontId="0" fillId="13" borderId="4" xfId="0" applyFill="1" applyBorder="1"/>
    <xf numFmtId="0" fontId="0" fillId="13" borderId="3" xfId="0" applyFill="1" applyBorder="1"/>
    <xf numFmtId="0" fontId="0" fillId="13" borderId="1" xfId="0" applyFill="1" applyBorder="1" applyProtection="1">
      <protection locked="0"/>
    </xf>
    <xf numFmtId="0" fontId="0" fillId="13" borderId="1" xfId="0" applyFill="1" applyBorder="1" applyAlignment="1">
      <alignment horizontal="center" wrapText="1"/>
    </xf>
    <xf numFmtId="0" fontId="0" fillId="13" borderId="1" xfId="0" applyFill="1" applyBorder="1" applyAlignment="1" applyProtection="1">
      <alignment horizontal="center"/>
      <protection locked="0"/>
    </xf>
    <xf numFmtId="0" fontId="0" fillId="7" borderId="4" xfId="0" applyFill="1" applyBorder="1"/>
    <xf numFmtId="0" fontId="0" fillId="7" borderId="2" xfId="0" applyFill="1" applyBorder="1"/>
    <xf numFmtId="0" fontId="0" fillId="7" borderId="3" xfId="0" applyFill="1" applyBorder="1"/>
    <xf numFmtId="0" fontId="0" fillId="0" borderId="4" xfId="0" applyFill="1" applyBorder="1"/>
    <xf numFmtId="0" fontId="0" fillId="0" borderId="3" xfId="0" applyFill="1" applyBorder="1"/>
    <xf numFmtId="0" fontId="0" fillId="2" borderId="1" xfId="0" applyFill="1" applyBorder="1" applyAlignment="1">
      <alignment horizontal="center"/>
    </xf>
    <xf numFmtId="164" fontId="0" fillId="2" borderId="1" xfId="0" applyNumberFormat="1" applyFill="1" applyBorder="1" applyProtection="1"/>
    <xf numFmtId="0" fontId="0" fillId="13" borderId="1" xfId="0" applyFill="1" applyBorder="1" applyProtection="1"/>
    <xf numFmtId="0" fontId="0" fillId="2" borderId="1" xfId="0" applyFill="1" applyBorder="1" applyProtection="1"/>
    <xf numFmtId="1" fontId="0" fillId="2" borderId="1" xfId="0" applyNumberFormat="1" applyFill="1" applyBorder="1" applyProtection="1"/>
    <xf numFmtId="0" fontId="0" fillId="0" borderId="0" xfId="0" applyProtection="1"/>
    <xf numFmtId="0" fontId="10" fillId="0" borderId="0" xfId="0" applyFont="1" applyProtection="1"/>
    <xf numFmtId="0" fontId="16" fillId="14" borderId="0" xfId="2" applyFill="1" applyAlignment="1" applyProtection="1">
      <alignment vertical="center"/>
    </xf>
    <xf numFmtId="0" fontId="16" fillId="2" borderId="0" xfId="2" applyFill="1" applyAlignment="1" applyProtection="1">
      <alignment vertical="center"/>
    </xf>
    <xf numFmtId="0" fontId="16" fillId="11" borderId="0" xfId="2" applyFill="1" applyAlignment="1" applyProtection="1">
      <alignment vertical="center"/>
    </xf>
    <xf numFmtId="0" fontId="16" fillId="10" borderId="0" xfId="2" applyFill="1" applyAlignment="1" applyProtection="1">
      <alignment vertical="center"/>
    </xf>
    <xf numFmtId="0" fontId="16" fillId="15" borderId="0" xfId="2" applyFill="1" applyAlignment="1" applyProtection="1">
      <alignment vertical="center"/>
    </xf>
    <xf numFmtId="0" fontId="16" fillId="16" borderId="0" xfId="2" applyFill="1" applyAlignment="1" applyProtection="1">
      <alignment vertical="center"/>
    </xf>
    <xf numFmtId="0" fontId="0" fillId="0" borderId="4" xfId="0" applyBorder="1"/>
    <xf numFmtId="0" fontId="0" fillId="0" borderId="2" xfId="0" applyBorder="1"/>
    <xf numFmtId="0" fontId="0" fillId="0" borderId="3" xfId="0" applyBorder="1"/>
    <xf numFmtId="0" fontId="0" fillId="13" borderId="1" xfId="0" applyFill="1" applyBorder="1" applyAlignment="1">
      <alignment wrapText="1"/>
    </xf>
    <xf numFmtId="0" fontId="0" fillId="13" borderId="1" xfId="0" applyFill="1" applyBorder="1" applyAlignment="1">
      <alignment vertical="center" wrapText="1"/>
    </xf>
    <xf numFmtId="49" fontId="16" fillId="7" borderId="0" xfId="2" applyNumberFormat="1" applyFill="1" applyAlignment="1" applyProtection="1">
      <alignment horizontal="left" vertical="center"/>
    </xf>
    <xf numFmtId="0" fontId="0" fillId="8" borderId="1" xfId="0" applyFill="1" applyBorder="1" applyAlignment="1">
      <alignment horizontal="center"/>
    </xf>
    <xf numFmtId="0" fontId="0" fillId="13" borderId="3" xfId="0" applyFill="1" applyBorder="1" applyAlignment="1" applyProtection="1">
      <alignment horizontal="center"/>
      <protection locked="0"/>
    </xf>
    <xf numFmtId="0" fontId="0" fillId="8" borderId="1" xfId="0" applyFill="1" applyBorder="1" applyAlignment="1" applyProtection="1">
      <alignment horizontal="center"/>
    </xf>
    <xf numFmtId="0" fontId="0" fillId="2" borderId="1" xfId="0" applyFill="1" applyBorder="1" applyAlignment="1" applyProtection="1">
      <alignment horizontal="center"/>
    </xf>
    <xf numFmtId="0" fontId="4" fillId="0" borderId="1" xfId="0" applyFont="1" applyBorder="1"/>
    <xf numFmtId="0" fontId="15" fillId="0" borderId="1" xfId="0" applyFont="1" applyFill="1" applyBorder="1"/>
    <xf numFmtId="0" fontId="15" fillId="0" borderId="1" xfId="0" applyFont="1" applyFill="1" applyBorder="1" applyAlignment="1">
      <alignment horizontal="center"/>
    </xf>
    <xf numFmtId="0" fontId="15" fillId="0" borderId="0" xfId="0" applyFont="1"/>
    <xf numFmtId="0" fontId="15" fillId="0" borderId="1" xfId="0" applyFont="1" applyBorder="1" applyAlignment="1">
      <alignment horizontal="center"/>
    </xf>
    <xf numFmtId="164" fontId="4" fillId="13" borderId="1" xfId="0" applyNumberFormat="1" applyFont="1" applyFill="1" applyBorder="1" applyAlignment="1" applyProtection="1">
      <alignment horizontal="center"/>
      <protection locked="0"/>
    </xf>
    <xf numFmtId="0" fontId="0" fillId="17" borderId="5" xfId="0" applyFill="1" applyBorder="1" applyAlignment="1" applyProtection="1">
      <alignment horizontal="center" wrapText="1"/>
    </xf>
    <xf numFmtId="0" fontId="0" fillId="4" borderId="5" xfId="0" applyFill="1" applyBorder="1" applyAlignment="1" applyProtection="1">
      <alignment horizontal="center" wrapText="1"/>
    </xf>
    <xf numFmtId="0" fontId="0" fillId="10" borderId="5" xfId="0" applyFill="1" applyBorder="1" applyAlignment="1" applyProtection="1">
      <alignment horizontal="center" wrapText="1"/>
    </xf>
    <xf numFmtId="0" fontId="0" fillId="5" borderId="5" xfId="0" applyFill="1" applyBorder="1" applyAlignment="1" applyProtection="1">
      <alignment horizontal="center" wrapText="1"/>
    </xf>
    <xf numFmtId="0" fontId="15" fillId="4" borderId="0" xfId="0" applyFont="1" applyFill="1" applyBorder="1"/>
    <xf numFmtId="0" fontId="0" fillId="4" borderId="0" xfId="0" applyFill="1" applyBorder="1" applyProtection="1">
      <protection locked="0"/>
    </xf>
    <xf numFmtId="0" fontId="0" fillId="4" borderId="0" xfId="0" applyFill="1" applyBorder="1"/>
    <xf numFmtId="0" fontId="4" fillId="4" borderId="1" xfId="0" applyFont="1" applyFill="1" applyBorder="1" applyAlignment="1" applyProtection="1">
      <alignment horizontal="center"/>
    </xf>
    <xf numFmtId="165" fontId="4" fillId="4" borderId="1" xfId="0" applyNumberFormat="1" applyFont="1" applyFill="1" applyBorder="1" applyAlignment="1" applyProtection="1">
      <alignment horizontal="center"/>
    </xf>
    <xf numFmtId="20" fontId="4" fillId="4" borderId="1" xfId="0" applyNumberFormat="1" applyFont="1" applyFill="1" applyBorder="1" applyAlignment="1" applyProtection="1">
      <alignment horizontal="center"/>
    </xf>
    <xf numFmtId="166" fontId="0" fillId="0" borderId="0" xfId="0" applyNumberFormat="1" applyAlignment="1" applyProtection="1">
      <alignment horizontal="center"/>
      <protection locked="0"/>
    </xf>
    <xf numFmtId="0" fontId="0" fillId="0" borderId="0" xfId="0" applyFill="1" applyBorder="1" applyAlignment="1">
      <alignment horizontal="center" wrapText="1"/>
    </xf>
    <xf numFmtId="0" fontId="0" fillId="0" borderId="0" xfId="0" applyProtection="1">
      <protection hidden="1"/>
    </xf>
    <xf numFmtId="0" fontId="0" fillId="0" borderId="0" xfId="0" applyAlignment="1" applyProtection="1">
      <alignment horizontal="center" wrapText="1"/>
      <protection hidden="1"/>
    </xf>
    <xf numFmtId="0" fontId="0" fillId="0" borderId="0" xfId="0" applyAlignment="1" applyProtection="1">
      <alignment horizontal="center"/>
      <protection hidden="1"/>
    </xf>
    <xf numFmtId="22" fontId="0" fillId="0" borderId="0" xfId="0" applyNumberFormat="1"/>
    <xf numFmtId="0" fontId="7" fillId="13" borderId="1" xfId="0" applyFont="1" applyFill="1" applyBorder="1" applyAlignment="1" applyProtection="1">
      <alignment shrinkToFit="1"/>
      <protection locked="0"/>
    </xf>
    <xf numFmtId="0" fontId="15" fillId="0" borderId="0" xfId="0" applyFont="1" applyAlignment="1">
      <alignment horizontal="center" textRotation="90" wrapText="1" shrinkToFit="1"/>
    </xf>
    <xf numFmtId="0" fontId="7" fillId="4" borderId="1" xfId="0" applyFont="1" applyFill="1" applyBorder="1" applyAlignment="1">
      <alignment horizontal="right" shrinkToFit="1"/>
    </xf>
    <xf numFmtId="0" fontId="0" fillId="0" borderId="0" xfId="0" applyAlignment="1">
      <alignment horizontal="left"/>
    </xf>
    <xf numFmtId="0" fontId="0" fillId="0" borderId="0" xfId="0" applyAlignment="1" applyProtection="1">
      <alignment horizontal="left"/>
      <protection locked="0"/>
    </xf>
    <xf numFmtId="0" fontId="0" fillId="13" borderId="3" xfId="0" applyFill="1" applyBorder="1" applyAlignment="1">
      <alignment vertical="center" wrapText="1"/>
    </xf>
    <xf numFmtId="49" fontId="16" fillId="18" borderId="0" xfId="2" applyNumberFormat="1" applyFill="1" applyBorder="1" applyAlignment="1" applyProtection="1">
      <alignment horizontal="left" vertical="center"/>
    </xf>
    <xf numFmtId="49" fontId="16" fillId="5" borderId="0" xfId="2" applyNumberFormat="1" applyFill="1" applyAlignment="1" applyProtection="1">
      <alignment horizontal="left" vertical="center"/>
    </xf>
    <xf numFmtId="0" fontId="0" fillId="13" borderId="1" xfId="0" applyFill="1" applyBorder="1" applyAlignment="1">
      <alignment horizontal="left" vertical="center" wrapText="1"/>
    </xf>
    <xf numFmtId="0" fontId="0" fillId="0" borderId="1" xfId="0" applyFill="1" applyBorder="1" applyAlignment="1">
      <alignment horizontal="center"/>
    </xf>
    <xf numFmtId="0" fontId="0" fillId="10" borderId="1" xfId="0" applyFill="1" applyBorder="1"/>
    <xf numFmtId="1" fontId="0" fillId="10" borderId="1" xfId="0" applyNumberFormat="1" applyFill="1" applyBorder="1" applyAlignment="1">
      <alignment horizontal="center"/>
    </xf>
    <xf numFmtId="0" fontId="0" fillId="7" borderId="1" xfId="0" applyFill="1" applyBorder="1"/>
    <xf numFmtId="171" fontId="0" fillId="0" borderId="1" xfId="0" applyNumberFormat="1" applyBorder="1"/>
    <xf numFmtId="20" fontId="0" fillId="0" borderId="1" xfId="0" applyNumberFormat="1" applyBorder="1"/>
    <xf numFmtId="2" fontId="0" fillId="0" borderId="1" xfId="0" applyNumberFormat="1" applyBorder="1"/>
    <xf numFmtId="1" fontId="0" fillId="0" borderId="1" xfId="0" applyNumberFormat="1" applyBorder="1"/>
    <xf numFmtId="1" fontId="0" fillId="0" borderId="0" xfId="0" applyNumberFormat="1" applyAlignment="1" applyProtection="1">
      <alignment horizontal="center"/>
      <protection hidden="1"/>
    </xf>
    <xf numFmtId="0" fontId="0" fillId="2" borderId="4" xfId="0" applyFill="1" applyBorder="1" applyAlignment="1" applyProtection="1">
      <alignment horizontal="center" wrapText="1"/>
    </xf>
    <xf numFmtId="164" fontId="0" fillId="0" borderId="4" xfId="0" applyNumberFormat="1" applyBorder="1" applyAlignment="1">
      <alignment horizontal="center"/>
    </xf>
    <xf numFmtId="1" fontId="0" fillId="2" borderId="1" xfId="0" applyNumberFormat="1" applyFill="1" applyBorder="1" applyAlignment="1">
      <alignment horizontal="center"/>
    </xf>
    <xf numFmtId="0" fontId="0" fillId="14" borderId="0" xfId="0" applyFill="1" applyAlignment="1">
      <alignment horizontal="center"/>
    </xf>
    <xf numFmtId="0" fontId="0" fillId="19" borderId="0" xfId="0" applyFill="1" applyAlignment="1">
      <alignment horizontal="center"/>
    </xf>
    <xf numFmtId="0" fontId="18" fillId="0" borderId="0" xfId="0" applyFont="1"/>
    <xf numFmtId="1" fontId="0" fillId="13" borderId="1" xfId="0" applyNumberFormat="1" applyFill="1" applyBorder="1" applyAlignment="1" applyProtection="1">
      <alignment horizontal="center"/>
      <protection locked="0"/>
    </xf>
    <xf numFmtId="0" fontId="0" fillId="6" borderId="5" xfId="0" applyFill="1" applyBorder="1" applyAlignment="1" applyProtection="1">
      <alignment horizontal="center" wrapText="1"/>
    </xf>
    <xf numFmtId="172" fontId="0" fillId="0" borderId="0" xfId="0" applyNumberFormat="1" applyAlignment="1">
      <alignment horizontal="left"/>
    </xf>
    <xf numFmtId="0" fontId="15" fillId="6" borderId="20" xfId="0" applyFont="1" applyFill="1" applyBorder="1"/>
    <xf numFmtId="0" fontId="15" fillId="6" borderId="5" xfId="0" applyFont="1" applyFill="1" applyBorder="1"/>
    <xf numFmtId="164" fontId="0" fillId="2" borderId="1" xfId="0" applyNumberFormat="1" applyFill="1" applyBorder="1" applyAlignment="1">
      <alignment horizontal="center"/>
    </xf>
    <xf numFmtId="2" fontId="0" fillId="0" borderId="4" xfId="0" applyNumberFormat="1" applyBorder="1" applyAlignment="1">
      <alignment horizontal="center"/>
    </xf>
    <xf numFmtId="0" fontId="0" fillId="14" borderId="1" xfId="0" applyFill="1" applyBorder="1" applyAlignment="1">
      <alignment horizontal="center"/>
    </xf>
    <xf numFmtId="0" fontId="19" fillId="0" borderId="0" xfId="0" applyFont="1"/>
    <xf numFmtId="0" fontId="0" fillId="2" borderId="4" xfId="0" applyFill="1" applyBorder="1" applyAlignment="1">
      <alignment horizontal="center"/>
    </xf>
    <xf numFmtId="1" fontId="0" fillId="0" borderId="1" xfId="0" applyNumberFormat="1" applyFill="1" applyBorder="1" applyAlignment="1">
      <alignment horizontal="center"/>
    </xf>
    <xf numFmtId="164" fontId="0" fillId="0" borderId="1" xfId="0" applyNumberFormat="1" applyFill="1" applyBorder="1" applyAlignment="1">
      <alignment horizontal="center"/>
    </xf>
    <xf numFmtId="164" fontId="0" fillId="0" borderId="4" xfId="0" applyNumberFormat="1" applyFill="1" applyBorder="1" applyAlignment="1">
      <alignment horizontal="center"/>
    </xf>
    <xf numFmtId="3" fontId="0" fillId="0" borderId="1" xfId="0" applyNumberFormat="1" applyFill="1" applyBorder="1" applyAlignment="1">
      <alignment horizontal="center"/>
    </xf>
    <xf numFmtId="2" fontId="0" fillId="0" borderId="1" xfId="0" applyNumberFormat="1" applyFill="1" applyBorder="1" applyAlignment="1">
      <alignment horizontal="center"/>
    </xf>
    <xf numFmtId="2" fontId="0" fillId="0" borderId="4" xfId="0" applyNumberFormat="1" applyFill="1" applyBorder="1" applyAlignment="1">
      <alignment horizontal="center"/>
    </xf>
    <xf numFmtId="0" fontId="16" fillId="10" borderId="4" xfId="2" applyFill="1" applyBorder="1" applyAlignment="1" applyProtection="1">
      <alignment vertical="center"/>
    </xf>
    <xf numFmtId="0" fontId="5" fillId="0" borderId="1" xfId="0" applyFont="1" applyFill="1" applyBorder="1" applyAlignment="1" applyProtection="1">
      <alignment horizontal="center"/>
    </xf>
    <xf numFmtId="171" fontId="5" fillId="0" borderId="1" xfId="0" applyNumberFormat="1" applyFont="1" applyFill="1" applyBorder="1" applyAlignment="1" applyProtection="1">
      <alignment horizontal="center"/>
    </xf>
    <xf numFmtId="20" fontId="5" fillId="0" borderId="1" xfId="0" applyNumberFormat="1" applyFont="1" applyFill="1" applyBorder="1" applyAlignment="1" applyProtection="1">
      <alignment horizontal="center"/>
    </xf>
    <xf numFmtId="166" fontId="0" fillId="0" borderId="0" xfId="0" applyNumberFormat="1"/>
    <xf numFmtId="1" fontId="0" fillId="0" borderId="0" xfId="0" applyNumberFormat="1"/>
    <xf numFmtId="1" fontId="0" fillId="0" borderId="0" xfId="0" applyNumberFormat="1" applyAlignment="1">
      <alignment horizontal="center"/>
    </xf>
    <xf numFmtId="0" fontId="0" fillId="15" borderId="0" xfId="0" applyFill="1"/>
    <xf numFmtId="0" fontId="0" fillId="13" borderId="21" xfId="0" applyFill="1" applyBorder="1" applyAlignment="1">
      <alignment vertical="center" wrapText="1"/>
    </xf>
    <xf numFmtId="0" fontId="0" fillId="13" borderId="1" xfId="0" applyFill="1" applyBorder="1"/>
    <xf numFmtId="0" fontId="0" fillId="13" borderId="4" xfId="0" applyFill="1" applyBorder="1" applyProtection="1">
      <protection locked="0"/>
    </xf>
    <xf numFmtId="3" fontId="3" fillId="0" borderId="1" xfId="1" applyNumberFormat="1" applyBorder="1" applyAlignment="1">
      <alignment horizontal="center"/>
    </xf>
    <xf numFmtId="3" fontId="3" fillId="0" borderId="1" xfId="1" applyNumberFormat="1" applyFill="1" applyBorder="1" applyAlignment="1">
      <alignment horizontal="center"/>
    </xf>
    <xf numFmtId="0" fontId="20" fillId="0" borderId="0" xfId="0" applyFont="1"/>
    <xf numFmtId="0" fontId="21" fillId="0" borderId="0" xfId="0" applyFont="1"/>
    <xf numFmtId="0" fontId="21" fillId="0" borderId="1" xfId="0" applyFont="1" applyBorder="1"/>
    <xf numFmtId="0" fontId="21" fillId="0" borderId="1" xfId="0" applyFont="1" applyBorder="1" applyAlignment="1">
      <alignment horizontal="center"/>
    </xf>
    <xf numFmtId="0" fontId="21" fillId="0" borderId="1" xfId="0" applyFont="1" applyFill="1" applyBorder="1"/>
    <xf numFmtId="0" fontId="0" fillId="10" borderId="0" xfId="0" applyFill="1" applyBorder="1"/>
    <xf numFmtId="0" fontId="0" fillId="0" borderId="1" xfId="0" applyFill="1" applyBorder="1"/>
    <xf numFmtId="0" fontId="0" fillId="17" borderId="0" xfId="0" applyFill="1" applyBorder="1"/>
    <xf numFmtId="0" fontId="0" fillId="17" borderId="1" xfId="0" applyFill="1" applyBorder="1" applyAlignment="1">
      <alignment horizontal="center"/>
    </xf>
    <xf numFmtId="0" fontId="0" fillId="13" borderId="1" xfId="0" applyFill="1" applyBorder="1" applyAlignment="1">
      <alignment horizontal="center"/>
    </xf>
    <xf numFmtId="0" fontId="0" fillId="13" borderId="1" xfId="0" applyFill="1" applyBorder="1" applyAlignment="1">
      <alignment horizontal="right"/>
    </xf>
    <xf numFmtId="0" fontId="0" fillId="2" borderId="0" xfId="0" applyFill="1" applyBorder="1"/>
    <xf numFmtId="0" fontId="0" fillId="20" borderId="0" xfId="0" applyFill="1" applyBorder="1"/>
    <xf numFmtId="0" fontId="0" fillId="20" borderId="1" xfId="0" applyFill="1" applyBorder="1" applyAlignment="1">
      <alignment horizontal="center"/>
    </xf>
    <xf numFmtId="0" fontId="0" fillId="0" borderId="1" xfId="0" applyBorder="1" applyAlignment="1"/>
    <xf numFmtId="0" fontId="0" fillId="0" borderId="1" xfId="0" applyBorder="1" applyAlignment="1">
      <alignment horizontal="right"/>
    </xf>
    <xf numFmtId="0" fontId="0" fillId="0" borderId="1" xfId="0" applyFill="1" applyBorder="1" applyAlignment="1">
      <alignment horizontal="right"/>
    </xf>
    <xf numFmtId="0" fontId="0" fillId="6" borderId="0" xfId="0" applyFill="1" applyBorder="1"/>
    <xf numFmtId="0" fontId="0" fillId="3" borderId="0" xfId="0" applyFill="1" applyBorder="1"/>
    <xf numFmtId="0" fontId="0" fillId="21" borderId="0" xfId="0" applyFill="1" applyBorder="1"/>
    <xf numFmtId="0" fontId="0" fillId="21" borderId="1" xfId="0" applyFill="1" applyBorder="1" applyAlignment="1">
      <alignment horizontal="center"/>
    </xf>
    <xf numFmtId="0" fontId="0" fillId="16" borderId="0" xfId="0" applyFill="1" applyBorder="1"/>
    <xf numFmtId="0" fontId="0" fillId="16" borderId="1" xfId="0" applyFill="1" applyBorder="1" applyAlignment="1">
      <alignment horizontal="center"/>
    </xf>
    <xf numFmtId="0" fontId="15" fillId="0" borderId="1" xfId="0" applyFont="1" applyBorder="1"/>
    <xf numFmtId="49" fontId="0" fillId="0" borderId="0" xfId="0" applyNumberFormat="1"/>
    <xf numFmtId="0" fontId="0" fillId="0" borderId="1" xfId="0" applyFill="1" applyBorder="1" applyAlignment="1">
      <alignment horizontal="left"/>
    </xf>
    <xf numFmtId="0" fontId="0" fillId="0" borderId="1" xfId="0" applyBorder="1" applyAlignment="1">
      <alignment horizontal="left"/>
    </xf>
    <xf numFmtId="0" fontId="15" fillId="0" borderId="4" xfId="0" applyFont="1" applyBorder="1"/>
    <xf numFmtId="49" fontId="0" fillId="0" borderId="1" xfId="0" applyNumberFormat="1" applyBorder="1" applyAlignment="1">
      <alignment horizontal="center"/>
    </xf>
    <xf numFmtId="1" fontId="0" fillId="2" borderId="1" xfId="0" applyNumberFormat="1" applyFill="1" applyBorder="1"/>
    <xf numFmtId="1" fontId="0" fillId="13" borderId="1" xfId="0" applyNumberFormat="1" applyFill="1" applyBorder="1"/>
    <xf numFmtId="0" fontId="15" fillId="0" borderId="1" xfId="0" applyFont="1" applyBorder="1" applyAlignment="1">
      <alignment wrapText="1"/>
    </xf>
    <xf numFmtId="0" fontId="15" fillId="0" borderId="1" xfId="0" applyFont="1" applyBorder="1" applyAlignment="1">
      <alignment horizontal="center" wrapText="1"/>
    </xf>
    <xf numFmtId="0" fontId="22" fillId="0" borderId="0" xfId="0" applyFont="1"/>
    <xf numFmtId="0" fontId="7" fillId="0" borderId="1" xfId="0" applyFont="1" applyFill="1" applyBorder="1" applyAlignment="1" applyProtection="1">
      <alignment horizontal="center"/>
    </xf>
    <xf numFmtId="0" fontId="23" fillId="0" borderId="0" xfId="0" applyFont="1"/>
    <xf numFmtId="0" fontId="0" fillId="10" borderId="1" xfId="0" applyFill="1" applyBorder="1" applyAlignment="1">
      <alignment horizontal="center" wrapText="1"/>
    </xf>
    <xf numFmtId="2" fontId="0" fillId="7" borderId="1" xfId="0" applyNumberFormat="1" applyFill="1" applyBorder="1"/>
    <xf numFmtId="169" fontId="0" fillId="0" borderId="1" xfId="1" applyNumberFormat="1" applyFont="1" applyBorder="1"/>
    <xf numFmtId="164" fontId="0" fillId="7" borderId="1" xfId="0" applyNumberFormat="1" applyFill="1" applyBorder="1"/>
    <xf numFmtId="0" fontId="0" fillId="16" borderId="4" xfId="0" applyFill="1" applyBorder="1"/>
    <xf numFmtId="0" fontId="0" fillId="16" borderId="2" xfId="0" applyFill="1" applyBorder="1"/>
    <xf numFmtId="0" fontId="0" fillId="16" borderId="3" xfId="0" applyFill="1" applyBorder="1"/>
    <xf numFmtId="0" fontId="0" fillId="17" borderId="1" xfId="0" applyFill="1" applyBorder="1" applyAlignment="1" applyProtection="1">
      <alignment horizontal="center" wrapText="1"/>
    </xf>
    <xf numFmtId="0" fontId="0" fillId="13" borderId="1" xfId="0" applyFill="1" applyBorder="1" applyAlignment="1" applyProtection="1">
      <alignment horizontal="center" wrapText="1"/>
    </xf>
    <xf numFmtId="0" fontId="0" fillId="10" borderId="4" xfId="0" applyFill="1" applyBorder="1"/>
    <xf numFmtId="0" fontId="0" fillId="10" borderId="2" xfId="0" applyFill="1" applyBorder="1"/>
    <xf numFmtId="0" fontId="0" fillId="10" borderId="3" xfId="0" applyFill="1" applyBorder="1"/>
    <xf numFmtId="0" fontId="0" fillId="5" borderId="4" xfId="0" applyFill="1" applyBorder="1"/>
    <xf numFmtId="0" fontId="0" fillId="5" borderId="3" xfId="0" applyFill="1" applyBorder="1"/>
    <xf numFmtId="0" fontId="0" fillId="0" borderId="0" xfId="0" applyBorder="1" applyAlignment="1">
      <alignment horizontal="center"/>
    </xf>
    <xf numFmtId="167" fontId="0" fillId="0" borderId="0" xfId="0" applyNumberFormat="1" applyBorder="1" applyAlignment="1">
      <alignment horizontal="center"/>
    </xf>
    <xf numFmtId="20" fontId="0" fillId="0" borderId="0" xfId="0" applyNumberFormat="1" applyBorder="1" applyAlignment="1">
      <alignment horizontal="center"/>
    </xf>
    <xf numFmtId="1" fontId="0" fillId="0" borderId="0" xfId="0" applyNumberFormat="1" applyBorder="1" applyAlignment="1">
      <alignment horizontal="center"/>
    </xf>
    <xf numFmtId="169" fontId="0" fillId="0" borderId="0" xfId="1" applyNumberFormat="1" applyFont="1" applyBorder="1" applyAlignment="1">
      <alignment horizontal="right"/>
    </xf>
    <xf numFmtId="3" fontId="0" fillId="0" borderId="0" xfId="0" applyNumberFormat="1" applyBorder="1" applyAlignment="1">
      <alignment horizontal="right"/>
    </xf>
    <xf numFmtId="1" fontId="0" fillId="0" borderId="0" xfId="0" applyNumberFormat="1" applyBorder="1" applyAlignment="1">
      <alignment horizontal="right"/>
    </xf>
    <xf numFmtId="3" fontId="0" fillId="0" borderId="0" xfId="0" applyNumberFormat="1" applyBorder="1"/>
    <xf numFmtId="169" fontId="0" fillId="0" borderId="0" xfId="1" applyNumberFormat="1" applyFont="1" applyBorder="1"/>
    <xf numFmtId="168" fontId="0" fillId="0" borderId="0" xfId="1" applyNumberFormat="1" applyFont="1" applyBorder="1"/>
    <xf numFmtId="169" fontId="0" fillId="2" borderId="1" xfId="1" applyNumberFormat="1" applyFont="1" applyFill="1" applyBorder="1"/>
    <xf numFmtId="3" fontId="0" fillId="2" borderId="1" xfId="0" applyNumberFormat="1" applyFill="1" applyBorder="1"/>
    <xf numFmtId="168" fontId="0" fillId="4" borderId="1" xfId="1" applyNumberFormat="1" applyFont="1" applyFill="1" applyBorder="1"/>
    <xf numFmtId="3" fontId="0" fillId="3" borderId="1" xfId="0" applyNumberFormat="1" applyFill="1" applyBorder="1"/>
    <xf numFmtId="169" fontId="0" fillId="3" borderId="1" xfId="1" applyNumberFormat="1" applyFont="1" applyFill="1" applyBorder="1"/>
    <xf numFmtId="169" fontId="0" fillId="7" borderId="1" xfId="1" applyNumberFormat="1" applyFont="1" applyFill="1" applyBorder="1" applyAlignment="1">
      <alignment horizontal="right"/>
    </xf>
    <xf numFmtId="3" fontId="0" fillId="7" borderId="1" xfId="0" applyNumberFormat="1" applyFill="1" applyBorder="1" applyAlignment="1">
      <alignment horizontal="right"/>
    </xf>
    <xf numFmtId="1" fontId="0" fillId="7" borderId="1" xfId="0" applyNumberFormat="1" applyFill="1" applyBorder="1" applyAlignment="1">
      <alignment horizontal="right"/>
    </xf>
    <xf numFmtId="3" fontId="0" fillId="7" borderId="1" xfId="0" applyNumberFormat="1" applyFill="1" applyBorder="1"/>
    <xf numFmtId="169" fontId="0" fillId="7" borderId="1" xfId="1" applyNumberFormat="1" applyFont="1" applyFill="1" applyBorder="1"/>
    <xf numFmtId="0" fontId="3" fillId="0" borderId="0" xfId="0" applyFont="1"/>
    <xf numFmtId="172" fontId="0" fillId="22" borderId="3" xfId="0" applyNumberFormat="1" applyFill="1" applyBorder="1" applyAlignment="1">
      <alignment horizontal="left"/>
    </xf>
    <xf numFmtId="172" fontId="0" fillId="22" borderId="1" xfId="0" applyNumberFormat="1" applyFill="1" applyBorder="1" applyAlignment="1">
      <alignment horizontal="left"/>
    </xf>
    <xf numFmtId="172" fontId="3" fillId="22" borderId="1" xfId="0" applyNumberFormat="1" applyFont="1" applyFill="1" applyBorder="1" applyAlignment="1">
      <alignment horizontal="left"/>
    </xf>
    <xf numFmtId="0" fontId="0" fillId="23" borderId="0" xfId="0" applyFill="1"/>
    <xf numFmtId="0" fontId="0" fillId="3" borderId="0" xfId="0" applyFill="1"/>
    <xf numFmtId="0" fontId="0" fillId="3" borderId="0" xfId="0" applyFill="1" applyAlignment="1">
      <alignment horizontal="center"/>
    </xf>
    <xf numFmtId="0" fontId="24" fillId="2" borderId="0" xfId="0" applyFont="1" applyFill="1" applyAlignment="1">
      <alignment horizontal="center"/>
    </xf>
    <xf numFmtId="0" fontId="24" fillId="2" borderId="1" xfId="0" applyFont="1" applyFill="1" applyBorder="1" applyAlignment="1">
      <alignment horizontal="center"/>
    </xf>
    <xf numFmtId="0" fontId="15" fillId="3" borderId="1" xfId="0" applyFont="1" applyFill="1" applyBorder="1" applyAlignment="1">
      <alignment horizontal="center"/>
    </xf>
    <xf numFmtId="164" fontId="3" fillId="3" borderId="1" xfId="0" applyNumberFormat="1" applyFont="1" applyFill="1" applyBorder="1" applyAlignment="1">
      <alignment horizontal="center"/>
    </xf>
    <xf numFmtId="164" fontId="15" fillId="2" borderId="1" xfId="0" applyNumberFormat="1" applyFont="1" applyFill="1" applyBorder="1" applyAlignment="1">
      <alignment horizontal="center"/>
    </xf>
    <xf numFmtId="0" fontId="0" fillId="23" borderId="1" xfId="0" applyFill="1" applyBorder="1"/>
    <xf numFmtId="0" fontId="3" fillId="24" borderId="0" xfId="0" applyFont="1" applyFill="1"/>
    <xf numFmtId="0" fontId="0" fillId="24" borderId="0" xfId="0" applyFill="1"/>
    <xf numFmtId="0" fontId="15" fillId="24" borderId="1" xfId="0" applyFont="1" applyFill="1" applyBorder="1" applyAlignment="1">
      <alignment horizontal="center"/>
    </xf>
    <xf numFmtId="164" fontId="0" fillId="24" borderId="1" xfId="0" applyNumberFormat="1" applyFill="1" applyBorder="1" applyAlignment="1">
      <alignment horizontal="center"/>
    </xf>
    <xf numFmtId="0" fontId="3" fillId="0" borderId="0" xfId="0" applyFont="1" applyFill="1" applyBorder="1"/>
    <xf numFmtId="0" fontId="0" fillId="25" borderId="1" xfId="0" applyFill="1" applyBorder="1" applyAlignment="1">
      <alignment horizontal="center" wrapText="1"/>
    </xf>
    <xf numFmtId="0" fontId="0" fillId="26" borderId="1" xfId="0" applyFill="1" applyBorder="1" applyAlignment="1">
      <alignment horizontal="center" wrapText="1"/>
    </xf>
    <xf numFmtId="0" fontId="0" fillId="27" borderId="0" xfId="0" applyFill="1"/>
    <xf numFmtId="0" fontId="0" fillId="27" borderId="0" xfId="0" applyFill="1" applyAlignment="1">
      <alignment horizontal="center"/>
    </xf>
    <xf numFmtId="0" fontId="0" fillId="28" borderId="0" xfId="0" applyFill="1"/>
    <xf numFmtId="0" fontId="0" fillId="28" borderId="0" xfId="0" applyFill="1" applyAlignment="1">
      <alignment horizontal="center"/>
    </xf>
    <xf numFmtId="172" fontId="26" fillId="22" borderId="1" xfId="3" applyNumberFormat="1" applyFont="1" applyFill="1" applyBorder="1" applyAlignment="1">
      <alignment horizontal="left"/>
    </xf>
    <xf numFmtId="0" fontId="27" fillId="0" borderId="0" xfId="0" applyFont="1"/>
    <xf numFmtId="0" fontId="3" fillId="22" borderId="4" xfId="0" applyFont="1" applyFill="1" applyBorder="1"/>
    <xf numFmtId="0" fontId="0" fillId="22" borderId="2" xfId="0" applyFill="1" applyBorder="1"/>
    <xf numFmtId="0" fontId="0" fillId="22" borderId="3" xfId="0" applyFill="1" applyBorder="1"/>
    <xf numFmtId="0" fontId="0" fillId="30" borderId="1" xfId="0" applyFill="1" applyBorder="1" applyAlignment="1">
      <alignment horizontal="center"/>
    </xf>
    <xf numFmtId="167" fontId="0" fillId="30" borderId="1" xfId="0" applyNumberFormat="1" applyFill="1" applyBorder="1" applyAlignment="1">
      <alignment horizontal="center"/>
    </xf>
    <xf numFmtId="20" fontId="0" fillId="30" borderId="1" xfId="0" applyNumberFormat="1" applyFill="1" applyBorder="1" applyAlignment="1">
      <alignment horizontal="center"/>
    </xf>
    <xf numFmtId="0" fontId="3" fillId="31" borderId="1" xfId="0" applyFont="1" applyFill="1" applyBorder="1" applyAlignment="1" applyProtection="1">
      <alignment horizontal="center" wrapText="1"/>
    </xf>
    <xf numFmtId="0" fontId="3" fillId="22" borderId="1" xfId="0" applyFont="1" applyFill="1" applyBorder="1" applyAlignment="1" applyProtection="1">
      <alignment horizontal="center" wrapText="1"/>
    </xf>
    <xf numFmtId="0" fontId="3" fillId="31" borderId="1" xfId="0" applyFont="1" applyFill="1" applyBorder="1" applyAlignment="1">
      <alignment horizontal="center" wrapText="1"/>
    </xf>
    <xf numFmtId="164" fontId="4" fillId="0" borderId="1" xfId="0" applyNumberFormat="1" applyFont="1" applyFill="1" applyBorder="1" applyAlignment="1" applyProtection="1">
      <alignment horizontal="center"/>
    </xf>
    <xf numFmtId="0" fontId="27" fillId="0" borderId="0" xfId="0" applyFont="1" applyFill="1" applyBorder="1" applyAlignment="1">
      <alignment horizontal="center"/>
    </xf>
    <xf numFmtId="0" fontId="16" fillId="0" borderId="0" xfId="2" applyFill="1" applyBorder="1" applyAlignment="1" applyProtection="1"/>
    <xf numFmtId="0" fontId="28" fillId="0" borderId="0" xfId="0" applyFont="1" applyFill="1"/>
    <xf numFmtId="0" fontId="29" fillId="0" borderId="0" xfId="0" applyFont="1" applyFill="1"/>
    <xf numFmtId="49" fontId="29" fillId="0" borderId="0" xfId="0" applyNumberFormat="1" applyFont="1" applyFill="1" applyAlignment="1">
      <alignment horizontal="center"/>
    </xf>
    <xf numFmtId="0" fontId="30" fillId="0" borderId="0" xfId="0" applyFont="1"/>
    <xf numFmtId="0" fontId="30" fillId="0" borderId="0" xfId="0" applyFont="1" applyAlignment="1">
      <alignment horizontal="center"/>
    </xf>
    <xf numFmtId="49" fontId="30" fillId="0" borderId="0" xfId="0" applyNumberFormat="1" applyFont="1" applyAlignment="1">
      <alignment horizontal="center"/>
    </xf>
    <xf numFmtId="0" fontId="31" fillId="0" borderId="0" xfId="0" applyFont="1"/>
    <xf numFmtId="169" fontId="0" fillId="0" borderId="1" xfId="1" applyNumberFormat="1" applyFont="1" applyBorder="1" applyAlignment="1">
      <alignment horizontal="center"/>
    </xf>
    <xf numFmtId="0" fontId="0" fillId="4" borderId="5" xfId="0" applyFill="1" applyBorder="1"/>
    <xf numFmtId="49" fontId="29" fillId="0" borderId="0" xfId="0" applyNumberFormat="1" applyFont="1" applyFill="1" applyBorder="1" applyAlignment="1">
      <alignment horizontal="center"/>
    </xf>
    <xf numFmtId="169" fontId="0" fillId="0" borderId="1" xfId="0" applyNumberFormat="1" applyBorder="1"/>
    <xf numFmtId="43" fontId="0" fillId="0" borderId="1" xfId="0" applyNumberFormat="1" applyBorder="1"/>
    <xf numFmtId="43" fontId="0" fillId="0" borderId="0" xfId="0" applyNumberFormat="1"/>
    <xf numFmtId="0" fontId="3" fillId="3" borderId="1" xfId="0" applyFont="1" applyFill="1" applyBorder="1" applyAlignment="1" applyProtection="1">
      <alignment horizontal="left"/>
      <protection locked="0"/>
    </xf>
    <xf numFmtId="43" fontId="3" fillId="0" borderId="0" xfId="0" applyNumberFormat="1" applyFont="1" applyAlignment="1">
      <alignment horizontal="center"/>
    </xf>
    <xf numFmtId="43" fontId="0" fillId="0" borderId="0" xfId="0" applyNumberFormat="1" applyAlignment="1">
      <alignment horizontal="center"/>
    </xf>
    <xf numFmtId="0" fontId="27" fillId="0" borderId="0" xfId="0" applyFont="1" applyFill="1" applyBorder="1"/>
    <xf numFmtId="0" fontId="3" fillId="0" borderId="0" xfId="0" applyFont="1" applyFill="1" applyBorder="1" applyAlignment="1">
      <alignment horizontal="center" wrapText="1"/>
    </xf>
    <xf numFmtId="0" fontId="3" fillId="0" borderId="0" xfId="0" applyFont="1" applyAlignment="1">
      <alignment wrapText="1"/>
    </xf>
    <xf numFmtId="0" fontId="3" fillId="22" borderId="1" xfId="0" applyFont="1" applyFill="1" applyBorder="1" applyAlignment="1">
      <alignment vertical="center" wrapText="1"/>
    </xf>
    <xf numFmtId="49" fontId="16" fillId="32" borderId="0" xfId="2" applyNumberFormat="1" applyFill="1" applyAlignment="1" applyProtection="1">
      <alignment horizontal="left" vertical="center"/>
    </xf>
    <xf numFmtId="1" fontId="4" fillId="30" borderId="1" xfId="0" applyNumberFormat="1" applyFont="1" applyFill="1" applyBorder="1" applyAlignment="1" applyProtection="1">
      <alignment horizontal="center"/>
    </xf>
    <xf numFmtId="164" fontId="4" fillId="30" borderId="1" xfId="0" applyNumberFormat="1" applyFont="1" applyFill="1" applyBorder="1" applyAlignment="1" applyProtection="1">
      <alignment horizontal="center"/>
    </xf>
    <xf numFmtId="169" fontId="0" fillId="30" borderId="1" xfId="1" applyNumberFormat="1" applyFont="1" applyFill="1" applyBorder="1" applyAlignment="1">
      <alignment horizontal="center"/>
    </xf>
    <xf numFmtId="169" fontId="0" fillId="30" borderId="1" xfId="1" applyNumberFormat="1" applyFont="1" applyFill="1" applyBorder="1"/>
    <xf numFmtId="169" fontId="0" fillId="30" borderId="1" xfId="0" applyNumberFormat="1" applyFill="1" applyBorder="1"/>
    <xf numFmtId="0" fontId="0" fillId="22" borderId="1" xfId="0" applyFill="1" applyBorder="1" applyProtection="1">
      <protection locked="0"/>
    </xf>
    <xf numFmtId="1" fontId="0" fillId="22" borderId="1" xfId="0" applyNumberFormat="1" applyFill="1" applyBorder="1" applyAlignment="1" applyProtection="1">
      <alignment horizontal="center"/>
      <protection locked="0"/>
    </xf>
    <xf numFmtId="1" fontId="4" fillId="22" borderId="1" xfId="0" applyNumberFormat="1" applyFont="1" applyFill="1" applyBorder="1" applyAlignment="1" applyProtection="1">
      <alignment horizontal="center"/>
      <protection locked="0"/>
    </xf>
    <xf numFmtId="0" fontId="0" fillId="22" borderId="1" xfId="0" applyFill="1" applyBorder="1" applyAlignment="1">
      <alignment horizontal="center" wrapText="1"/>
    </xf>
    <xf numFmtId="0" fontId="3" fillId="23" borderId="1" xfId="0" applyFont="1" applyFill="1" applyBorder="1"/>
    <xf numFmtId="0" fontId="3" fillId="34" borderId="1" xfId="0" applyFont="1" applyFill="1" applyBorder="1"/>
    <xf numFmtId="0" fontId="3" fillId="35" borderId="1" xfId="0" applyFont="1" applyFill="1" applyBorder="1"/>
    <xf numFmtId="0" fontId="16" fillId="10" borderId="18" xfId="2" applyFill="1" applyBorder="1" applyAlignment="1" applyProtection="1"/>
    <xf numFmtId="0" fontId="16" fillId="10" borderId="19" xfId="2" applyFill="1" applyBorder="1" applyAlignment="1" applyProtection="1"/>
    <xf numFmtId="0" fontId="3" fillId="36" borderId="13" xfId="0" applyFont="1" applyFill="1" applyBorder="1"/>
    <xf numFmtId="0" fontId="0" fillId="36" borderId="14" xfId="0" applyFill="1" applyBorder="1"/>
    <xf numFmtId="0" fontId="0" fillId="36" borderId="15" xfId="0" applyFill="1" applyBorder="1"/>
    <xf numFmtId="0" fontId="3" fillId="36" borderId="16" xfId="0" applyFont="1" applyFill="1" applyBorder="1"/>
    <xf numFmtId="0" fontId="0" fillId="36" borderId="0" xfId="0" applyFill="1" applyBorder="1"/>
    <xf numFmtId="0" fontId="0" fillId="36" borderId="17" xfId="0" applyFill="1" applyBorder="1"/>
    <xf numFmtId="0" fontId="0" fillId="36" borderId="16" xfId="0" applyFill="1" applyBorder="1"/>
    <xf numFmtId="0" fontId="0" fillId="36" borderId="18" xfId="0" applyFill="1" applyBorder="1"/>
    <xf numFmtId="0" fontId="3" fillId="36" borderId="6" xfId="0" applyFont="1" applyFill="1" applyBorder="1"/>
    <xf numFmtId="0" fontId="0" fillId="36" borderId="19" xfId="0" applyFill="1" applyBorder="1"/>
    <xf numFmtId="0" fontId="0" fillId="0" borderId="6" xfId="0" applyFill="1" applyBorder="1"/>
    <xf numFmtId="0" fontId="0" fillId="0" borderId="19" xfId="0" applyFill="1" applyBorder="1"/>
    <xf numFmtId="0" fontId="3" fillId="0" borderId="1" xfId="0" applyFont="1" applyFill="1" applyBorder="1" applyAlignment="1" applyProtection="1">
      <alignment horizontal="center"/>
      <protection locked="0"/>
    </xf>
    <xf numFmtId="164" fontId="0" fillId="34" borderId="1" xfId="0" applyNumberFormat="1" applyFill="1" applyBorder="1" applyAlignment="1">
      <alignment horizontal="center"/>
    </xf>
    <xf numFmtId="164" fontId="3" fillId="23" borderId="1" xfId="0" applyNumberFormat="1" applyFont="1" applyFill="1" applyBorder="1" applyAlignment="1">
      <alignment horizontal="center"/>
    </xf>
    <xf numFmtId="0" fontId="0" fillId="36" borderId="0" xfId="0" applyFill="1"/>
    <xf numFmtId="0" fontId="0" fillId="36" borderId="0" xfId="0" applyFill="1" applyBorder="1" applyAlignment="1" applyProtection="1">
      <alignment horizontal="center"/>
      <protection locked="0"/>
    </xf>
    <xf numFmtId="164" fontId="0" fillId="36" borderId="0" xfId="0" applyNumberFormat="1" applyFill="1" applyBorder="1" applyAlignment="1">
      <alignment horizontal="center"/>
    </xf>
    <xf numFmtId="0" fontId="34" fillId="0" borderId="0" xfId="5" applyFont="1"/>
    <xf numFmtId="0" fontId="2" fillId="0" borderId="0" xfId="5"/>
    <xf numFmtId="0" fontId="35" fillId="0" borderId="0" xfId="5" applyFont="1"/>
    <xf numFmtId="0" fontId="36" fillId="0" borderId="0" xfId="5" applyFont="1"/>
    <xf numFmtId="0" fontId="37" fillId="0" borderId="0" xfId="5" applyFont="1"/>
    <xf numFmtId="0" fontId="2" fillId="0" borderId="0" xfId="5" applyAlignment="1">
      <alignment horizontal="center" wrapText="1"/>
    </xf>
    <xf numFmtId="0" fontId="2" fillId="0" borderId="1" xfId="5" applyBorder="1" applyAlignment="1">
      <alignment horizontal="center" wrapText="1"/>
    </xf>
    <xf numFmtId="0" fontId="34" fillId="0" borderId="7" xfId="5" applyFont="1" applyBorder="1" applyAlignment="1">
      <alignment horizontal="left" vertical="center"/>
    </xf>
    <xf numFmtId="0" fontId="2" fillId="0" borderId="22" xfId="5" applyBorder="1" applyAlignment="1">
      <alignment horizontal="center" wrapText="1"/>
    </xf>
    <xf numFmtId="0" fontId="2" fillId="0" borderId="22" xfId="5" applyBorder="1"/>
    <xf numFmtId="0" fontId="2" fillId="0" borderId="8" xfId="5" applyBorder="1" applyAlignment="1">
      <alignment horizontal="center" wrapText="1"/>
    </xf>
    <xf numFmtId="0" fontId="2" fillId="0" borderId="22" xfId="5" applyBorder="1" applyAlignment="1">
      <alignment wrapText="1"/>
    </xf>
    <xf numFmtId="0" fontId="2" fillId="0" borderId="8" xfId="5" applyBorder="1" applyAlignment="1">
      <alignment wrapText="1"/>
    </xf>
    <xf numFmtId="0" fontId="2" fillId="0" borderId="0" xfId="5" applyAlignment="1">
      <alignment wrapText="1"/>
    </xf>
    <xf numFmtId="0" fontId="38" fillId="37" borderId="0" xfId="4" applyFont="1" applyAlignment="1">
      <alignment vertical="center"/>
    </xf>
    <xf numFmtId="0" fontId="38" fillId="37" borderId="1" xfId="4" applyFont="1" applyBorder="1" applyAlignment="1">
      <alignment horizontal="center" vertical="center"/>
    </xf>
    <xf numFmtId="0" fontId="2" fillId="0" borderId="9" xfId="5" applyBorder="1"/>
    <xf numFmtId="0" fontId="2" fillId="0" borderId="0" xfId="5" applyBorder="1"/>
    <xf numFmtId="1" fontId="2" fillId="0" borderId="0" xfId="5" applyNumberFormat="1" applyBorder="1"/>
    <xf numFmtId="2" fontId="2" fillId="0" borderId="0" xfId="5" applyNumberFormat="1" applyBorder="1"/>
    <xf numFmtId="0" fontId="2" fillId="0" borderId="10" xfId="5" applyBorder="1"/>
    <xf numFmtId="0" fontId="39" fillId="0" borderId="0" xfId="5" applyFont="1" applyAlignment="1">
      <alignment horizontal="right" vertical="center"/>
    </xf>
    <xf numFmtId="1" fontId="39" fillId="23" borderId="1" xfId="5" applyNumberFormat="1" applyFont="1" applyFill="1" applyBorder="1" applyAlignment="1">
      <alignment horizontal="center" vertical="center"/>
    </xf>
    <xf numFmtId="0" fontId="39" fillId="0" borderId="1" xfId="5" applyFont="1" applyBorder="1" applyAlignment="1" applyProtection="1">
      <alignment horizontal="center" vertical="center"/>
      <protection locked="0"/>
    </xf>
    <xf numFmtId="169" fontId="40" fillId="23" borderId="11" xfId="6" applyNumberFormat="1" applyFont="1" applyFill="1" applyBorder="1"/>
    <xf numFmtId="0" fontId="39" fillId="23" borderId="23" xfId="5" applyFont="1" applyFill="1" applyBorder="1"/>
    <xf numFmtId="0" fontId="2" fillId="0" borderId="23" xfId="5" applyBorder="1"/>
    <xf numFmtId="1" fontId="2" fillId="0" borderId="23" xfId="5" applyNumberFormat="1" applyBorder="1"/>
    <xf numFmtId="2" fontId="2" fillId="0" borderId="23" xfId="5" applyNumberFormat="1" applyBorder="1"/>
    <xf numFmtId="0" fontId="2" fillId="0" borderId="12" xfId="5" applyBorder="1"/>
    <xf numFmtId="1" fontId="2" fillId="0" borderId="0" xfId="5" applyNumberFormat="1"/>
    <xf numFmtId="2" fontId="2" fillId="0" borderId="0" xfId="5" applyNumberFormat="1"/>
    <xf numFmtId="0" fontId="36" fillId="0" borderId="0" xfId="5" applyFont="1" applyBorder="1"/>
    <xf numFmtId="0" fontId="2" fillId="0" borderId="1" xfId="5" applyFill="1" applyBorder="1" applyAlignment="1">
      <alignment horizontal="center" wrapText="1"/>
    </xf>
    <xf numFmtId="49" fontId="3" fillId="0" borderId="0" xfId="0" applyNumberFormat="1" applyFont="1" applyAlignment="1">
      <alignment horizontal="right" vertical="top"/>
    </xf>
    <xf numFmtId="3" fontId="0" fillId="33" borderId="1" xfId="0" applyNumberFormat="1" applyFill="1" applyBorder="1" applyAlignment="1">
      <alignment horizontal="center"/>
    </xf>
    <xf numFmtId="164" fontId="0" fillId="33" borderId="1" xfId="0" applyNumberFormat="1" applyFill="1" applyBorder="1" applyAlignment="1">
      <alignment horizontal="center"/>
    </xf>
    <xf numFmtId="3" fontId="0" fillId="33" borderId="1" xfId="1" applyNumberFormat="1" applyFont="1" applyFill="1" applyBorder="1" applyAlignment="1">
      <alignment horizontal="center"/>
    </xf>
    <xf numFmtId="0" fontId="0" fillId="33" borderId="1" xfId="0" applyFill="1" applyBorder="1"/>
    <xf numFmtId="173" fontId="0" fillId="0" borderId="1" xfId="1" applyNumberFormat="1" applyFont="1" applyBorder="1" applyAlignment="1">
      <alignment horizontal="center"/>
    </xf>
    <xf numFmtId="173" fontId="0" fillId="7" borderId="1" xfId="1" applyNumberFormat="1" applyFont="1" applyFill="1" applyBorder="1" applyAlignment="1">
      <alignment horizontal="center"/>
    </xf>
    <xf numFmtId="0" fontId="0" fillId="38" borderId="0" xfId="0" applyFill="1"/>
    <xf numFmtId="0" fontId="0" fillId="39" borderId="0" xfId="0" applyFill="1"/>
    <xf numFmtId="0" fontId="0" fillId="40" borderId="0" xfId="0" applyFill="1"/>
    <xf numFmtId="164" fontId="0" fillId="31" borderId="1" xfId="0" applyNumberFormat="1" applyFill="1" applyBorder="1" applyAlignment="1">
      <alignment horizontal="center"/>
    </xf>
    <xf numFmtId="0" fontId="0" fillId="31" borderId="1" xfId="0" applyFill="1" applyBorder="1" applyAlignment="1">
      <alignment horizontal="center"/>
    </xf>
    <xf numFmtId="49" fontId="0" fillId="0" borderId="0" xfId="0" applyNumberFormat="1" applyAlignment="1">
      <alignment horizontal="center"/>
    </xf>
    <xf numFmtId="0" fontId="3" fillId="0" borderId="1" xfId="0" applyFont="1" applyBorder="1" applyAlignment="1">
      <alignment horizontal="center"/>
    </xf>
    <xf numFmtId="0" fontId="3" fillId="0" borderId="1" xfId="0" applyFont="1" applyBorder="1" applyAlignment="1">
      <alignment horizontal="center" wrapText="1"/>
    </xf>
    <xf numFmtId="0" fontId="0" fillId="0" borderId="1" xfId="0" applyBorder="1" applyAlignment="1">
      <alignment horizontal="center" wrapText="1"/>
    </xf>
    <xf numFmtId="49" fontId="3" fillId="0" borderId="1" xfId="0" applyNumberFormat="1" applyFont="1" applyBorder="1" applyAlignment="1">
      <alignment horizontal="center"/>
    </xf>
    <xf numFmtId="0" fontId="0" fillId="42" borderId="1" xfId="0" applyFill="1" applyBorder="1" applyAlignment="1">
      <alignment horizontal="center"/>
    </xf>
    <xf numFmtId="49" fontId="15" fillId="42" borderId="1" xfId="0" applyNumberFormat="1" applyFont="1" applyFill="1" applyBorder="1" applyAlignment="1">
      <alignment horizontal="center"/>
    </xf>
    <xf numFmtId="49" fontId="15" fillId="0" borderId="1" xfId="0" applyNumberFormat="1" applyFont="1" applyFill="1" applyBorder="1" applyAlignment="1">
      <alignment horizontal="center"/>
    </xf>
    <xf numFmtId="49" fontId="15" fillId="0" borderId="4" xfId="0" applyNumberFormat="1" applyFont="1" applyFill="1" applyBorder="1" applyAlignment="1">
      <alignment horizontal="left"/>
    </xf>
    <xf numFmtId="0" fontId="15" fillId="0" borderId="2" xfId="0" applyFont="1" applyBorder="1"/>
    <xf numFmtId="0" fontId="15" fillId="0" borderId="3" xfId="0" applyFont="1" applyBorder="1"/>
    <xf numFmtId="49" fontId="3" fillId="41" borderId="1" xfId="0" applyNumberFormat="1" applyFont="1" applyFill="1" applyBorder="1" applyAlignment="1">
      <alignment horizontal="center"/>
    </xf>
    <xf numFmtId="49" fontId="3" fillId="41" borderId="4" xfId="0" applyNumberFormat="1" applyFont="1" applyFill="1" applyBorder="1"/>
    <xf numFmtId="49" fontId="0" fillId="41" borderId="2" xfId="0" applyNumberFormat="1" applyFill="1" applyBorder="1"/>
    <xf numFmtId="49" fontId="0" fillId="41" borderId="3" xfId="0" applyNumberFormat="1" applyFill="1" applyBorder="1"/>
    <xf numFmtId="49" fontId="3" fillId="43" borderId="1" xfId="0" applyNumberFormat="1" applyFont="1" applyFill="1" applyBorder="1" applyAlignment="1">
      <alignment horizontal="center"/>
    </xf>
    <xf numFmtId="49" fontId="3" fillId="43" borderId="4" xfId="0" applyNumberFormat="1" applyFont="1" applyFill="1" applyBorder="1"/>
    <xf numFmtId="49" fontId="0" fillId="43" borderId="2" xfId="0" applyNumberFormat="1" applyFill="1" applyBorder="1"/>
    <xf numFmtId="49" fontId="0" fillId="43" borderId="3" xfId="0" applyNumberFormat="1" applyFill="1" applyBorder="1"/>
    <xf numFmtId="49" fontId="3" fillId="22" borderId="1" xfId="0" applyNumberFormat="1" applyFont="1" applyFill="1" applyBorder="1" applyAlignment="1">
      <alignment horizontal="center"/>
    </xf>
    <xf numFmtId="49" fontId="3" fillId="22" borderId="4" xfId="0" applyNumberFormat="1" applyFont="1" applyFill="1" applyBorder="1"/>
    <xf numFmtId="49" fontId="0" fillId="22" borderId="2" xfId="0" applyNumberFormat="1" applyFill="1" applyBorder="1"/>
    <xf numFmtId="49" fontId="0" fillId="22" borderId="3" xfId="0" applyNumberFormat="1" applyFill="1" applyBorder="1"/>
    <xf numFmtId="49" fontId="3" fillId="44" borderId="1" xfId="0" applyNumberFormat="1" applyFont="1" applyFill="1" applyBorder="1" applyAlignment="1">
      <alignment horizontal="center"/>
    </xf>
    <xf numFmtId="49" fontId="3" fillId="44" borderId="4" xfId="0" applyNumberFormat="1" applyFont="1" applyFill="1" applyBorder="1"/>
    <xf numFmtId="49" fontId="0" fillId="44" borderId="2" xfId="0" applyNumberFormat="1" applyFill="1" applyBorder="1"/>
    <xf numFmtId="49" fontId="0" fillId="44" borderId="3" xfId="0" applyNumberFormat="1" applyFill="1" applyBorder="1"/>
    <xf numFmtId="0" fontId="3" fillId="0" borderId="1" xfId="0" applyFont="1" applyBorder="1"/>
    <xf numFmtId="0" fontId="3" fillId="0" borderId="1" xfId="0" applyFont="1" applyFill="1" applyBorder="1"/>
    <xf numFmtId="0" fontId="3" fillId="0" borderId="4" xfId="0" applyFont="1" applyBorder="1"/>
    <xf numFmtId="0" fontId="0" fillId="0" borderId="13" xfId="0" applyBorder="1"/>
    <xf numFmtId="0" fontId="0" fillId="0" borderId="14" xfId="0" applyBorder="1"/>
    <xf numFmtId="0" fontId="0" fillId="0" borderId="15" xfId="0" applyBorder="1"/>
    <xf numFmtId="0" fontId="3" fillId="0" borderId="18" xfId="0" applyFont="1" applyBorder="1"/>
    <xf numFmtId="0" fontId="0" fillId="0" borderId="6" xfId="0" applyBorder="1"/>
    <xf numFmtId="0" fontId="0" fillId="0" borderId="19" xfId="0" applyBorder="1"/>
    <xf numFmtId="0" fontId="16" fillId="0" borderId="0" xfId="2" applyAlignment="1" applyProtection="1"/>
    <xf numFmtId="0" fontId="41" fillId="0" borderId="0" xfId="0" applyFont="1"/>
    <xf numFmtId="0" fontId="4" fillId="0" borderId="1" xfId="0" applyFont="1" applyFill="1" applyBorder="1" applyAlignment="1">
      <alignment horizontal="center"/>
    </xf>
    <xf numFmtId="167" fontId="4" fillId="0" borderId="1" xfId="0" applyNumberFormat="1" applyFont="1" applyFill="1" applyBorder="1" applyAlignment="1">
      <alignment horizontal="center"/>
    </xf>
    <xf numFmtId="20" fontId="4" fillId="0" borderId="1" xfId="0" applyNumberFormat="1" applyFont="1" applyFill="1" applyBorder="1" applyAlignment="1">
      <alignment horizontal="center"/>
    </xf>
    <xf numFmtId="0" fontId="42" fillId="0" borderId="0" xfId="0" applyFont="1"/>
    <xf numFmtId="169" fontId="3" fillId="0" borderId="1" xfId="1" applyNumberFormat="1" applyFont="1" applyBorder="1"/>
    <xf numFmtId="0" fontId="0" fillId="0" borderId="0" xfId="0" applyAlignment="1"/>
    <xf numFmtId="0" fontId="0" fillId="0" borderId="0" xfId="0" applyFill="1" applyBorder="1" applyAlignment="1">
      <alignment horizontal="left"/>
    </xf>
    <xf numFmtId="49" fontId="3" fillId="0" borderId="1" xfId="0" applyNumberFormat="1" applyFont="1" applyFill="1" applyBorder="1" applyAlignment="1">
      <alignment horizontal="center"/>
    </xf>
    <xf numFmtId="49" fontId="3" fillId="0" borderId="4" xfId="0" applyNumberFormat="1" applyFont="1" applyFill="1" applyBorder="1" applyAlignment="1"/>
    <xf numFmtId="49" fontId="3" fillId="0" borderId="4" xfId="0" applyNumberFormat="1" applyFont="1" applyFill="1" applyBorder="1" applyAlignment="1">
      <alignment horizontal="left"/>
    </xf>
    <xf numFmtId="0" fontId="3" fillId="0" borderId="4" xfId="0" applyFont="1" applyBorder="1" applyAlignment="1">
      <alignment horizontal="left"/>
    </xf>
    <xf numFmtId="0" fontId="3" fillId="0" borderId="4" xfId="0" applyFont="1" applyBorder="1" applyAlignment="1"/>
    <xf numFmtId="1" fontId="0" fillId="33" borderId="1" xfId="0" applyNumberFormat="1" applyFill="1" applyBorder="1" applyAlignment="1">
      <alignment horizontal="center"/>
    </xf>
    <xf numFmtId="169" fontId="3" fillId="33" borderId="1" xfId="1" applyNumberFormat="1" applyFont="1" applyFill="1" applyBorder="1"/>
    <xf numFmtId="169" fontId="0" fillId="33" borderId="1" xfId="0" applyNumberFormat="1" applyFill="1" applyBorder="1"/>
    <xf numFmtId="0" fontId="4" fillId="33" borderId="1" xfId="0" applyFont="1" applyFill="1" applyBorder="1" applyAlignment="1">
      <alignment horizontal="center"/>
    </xf>
    <xf numFmtId="167" fontId="4" fillId="33" borderId="1" xfId="0" applyNumberFormat="1" applyFont="1" applyFill="1" applyBorder="1" applyAlignment="1">
      <alignment horizontal="center"/>
    </xf>
    <xf numFmtId="20" fontId="4" fillId="33" borderId="1" xfId="0" applyNumberFormat="1" applyFont="1" applyFill="1" applyBorder="1" applyAlignment="1">
      <alignment horizontal="center"/>
    </xf>
    <xf numFmtId="1" fontId="4" fillId="33" borderId="1" xfId="0" applyNumberFormat="1" applyFont="1" applyFill="1" applyBorder="1" applyAlignment="1" applyProtection="1">
      <alignment horizontal="center"/>
    </xf>
    <xf numFmtId="0" fontId="0" fillId="22" borderId="1" xfId="0" applyFill="1" applyBorder="1" applyAlignment="1" applyProtection="1">
      <alignment horizontal="center"/>
      <protection locked="0"/>
    </xf>
    <xf numFmtId="0" fontId="0" fillId="0" borderId="0" xfId="0" applyAlignment="1">
      <alignment vertical="center"/>
    </xf>
    <xf numFmtId="49" fontId="3" fillId="0" borderId="0" xfId="0" applyNumberFormat="1" applyFont="1" applyAlignment="1">
      <alignment horizontal="right" vertical="center"/>
    </xf>
    <xf numFmtId="0" fontId="3" fillId="0" borderId="0" xfId="0" applyFont="1" applyFill="1" applyAlignment="1">
      <alignment vertical="center" wrapText="1"/>
    </xf>
    <xf numFmtId="49" fontId="16" fillId="45" borderId="0" xfId="2" applyNumberFormat="1" applyFill="1" applyAlignment="1" applyProtection="1">
      <alignment horizontal="left" vertical="center"/>
    </xf>
    <xf numFmtId="0" fontId="45" fillId="46" borderId="0" xfId="7" applyFont="1" applyFill="1" applyBorder="1" applyAlignment="1">
      <alignment horizontal="left"/>
    </xf>
    <xf numFmtId="164" fontId="15" fillId="47" borderId="0" xfId="7" applyNumberFormat="1" applyFont="1" applyFill="1" applyBorder="1" applyAlignment="1"/>
    <xf numFmtId="0" fontId="15" fillId="48" borderId="0" xfId="7" applyFont="1" applyFill="1" applyBorder="1" applyAlignment="1"/>
    <xf numFmtId="0" fontId="15" fillId="49" borderId="4" xfId="7" applyFont="1" applyFill="1" applyBorder="1" applyAlignment="1"/>
    <xf numFmtId="0" fontId="43" fillId="50" borderId="2" xfId="7" applyFont="1" applyFill="1" applyBorder="1" applyAlignment="1"/>
    <xf numFmtId="1" fontId="15" fillId="49" borderId="2" xfId="7" applyNumberFormat="1" applyFont="1" applyFill="1" applyBorder="1" applyAlignment="1">
      <alignment horizontal="right"/>
    </xf>
    <xf numFmtId="1" fontId="15" fillId="49" borderId="2" xfId="7" applyNumberFormat="1" applyFont="1" applyFill="1" applyBorder="1" applyAlignment="1">
      <alignment horizontal="left"/>
    </xf>
    <xf numFmtId="1" fontId="15" fillId="49" borderId="3" xfId="7" applyNumberFormat="1" applyFont="1" applyFill="1" applyBorder="1" applyAlignment="1">
      <alignment horizontal="left"/>
    </xf>
    <xf numFmtId="164" fontId="15" fillId="24" borderId="4" xfId="8" applyNumberFormat="1" applyFont="1" applyFill="1" applyBorder="1" applyAlignment="1">
      <alignment horizontal="left"/>
    </xf>
    <xf numFmtId="164" fontId="15" fillId="24" borderId="2" xfId="8" applyNumberFormat="1" applyFont="1" applyFill="1" applyBorder="1" applyAlignment="1">
      <alignment horizontal="center"/>
    </xf>
    <xf numFmtId="164" fontId="15" fillId="51" borderId="4" xfId="8" applyNumberFormat="1" applyFont="1" applyFill="1" applyBorder="1" applyAlignment="1">
      <alignment horizontal="left"/>
    </xf>
    <xf numFmtId="164" fontId="15" fillId="51" borderId="2" xfId="8" applyNumberFormat="1" applyFont="1" applyFill="1" applyBorder="1" applyAlignment="1">
      <alignment horizontal="center"/>
    </xf>
    <xf numFmtId="164" fontId="15" fillId="51" borderId="3" xfId="8" applyNumberFormat="1" applyFont="1" applyFill="1" applyBorder="1" applyAlignment="1">
      <alignment horizontal="center"/>
    </xf>
    <xf numFmtId="0" fontId="15" fillId="52" borderId="4" xfId="8" applyFont="1" applyFill="1" applyBorder="1" applyAlignment="1">
      <alignment horizontal="left"/>
    </xf>
    <xf numFmtId="0" fontId="15" fillId="52" borderId="2" xfId="8" applyFont="1" applyFill="1" applyBorder="1" applyAlignment="1">
      <alignment horizontal="center"/>
    </xf>
    <xf numFmtId="0" fontId="15" fillId="38" borderId="4" xfId="8" applyFont="1" applyFill="1" applyBorder="1" applyAlignment="1">
      <alignment horizontal="left"/>
    </xf>
    <xf numFmtId="0" fontId="15" fillId="38" borderId="2" xfId="8" applyFont="1" applyFill="1" applyBorder="1" applyAlignment="1">
      <alignment horizontal="center"/>
    </xf>
    <xf numFmtId="0" fontId="15" fillId="38" borderId="3" xfId="8" applyFont="1" applyFill="1" applyBorder="1" applyAlignment="1">
      <alignment horizontal="center"/>
    </xf>
    <xf numFmtId="0" fontId="45" fillId="23" borderId="1" xfId="7" applyFont="1" applyFill="1" applyBorder="1" applyAlignment="1"/>
    <xf numFmtId="0" fontId="45" fillId="46" borderId="1" xfId="7" applyFont="1" applyFill="1" applyBorder="1" applyAlignment="1">
      <alignment horizontal="left" textRotation="90"/>
    </xf>
    <xf numFmtId="0" fontId="45" fillId="46" borderId="1" xfId="7" applyFont="1" applyFill="1" applyBorder="1" applyAlignment="1">
      <alignment horizontal="left"/>
    </xf>
    <xf numFmtId="164" fontId="15" fillId="47" borderId="1" xfId="7" applyNumberFormat="1" applyFont="1" applyFill="1" applyBorder="1" applyAlignment="1">
      <alignment textRotation="90"/>
    </xf>
    <xf numFmtId="0" fontId="15" fillId="48" borderId="1" xfId="7" applyFont="1" applyFill="1" applyBorder="1" applyAlignment="1">
      <alignment textRotation="90"/>
    </xf>
    <xf numFmtId="0" fontId="15" fillId="49" borderId="1" xfId="7" applyFont="1" applyFill="1" applyBorder="1" applyAlignment="1">
      <alignment textRotation="90"/>
    </xf>
    <xf numFmtId="0" fontId="15" fillId="53" borderId="1" xfId="7" applyFont="1" applyFill="1" applyBorder="1" applyAlignment="1">
      <alignment textRotation="90"/>
    </xf>
    <xf numFmtId="1" fontId="15" fillId="53" borderId="1" xfId="7" applyNumberFormat="1" applyFont="1" applyFill="1" applyBorder="1" applyAlignment="1">
      <alignment horizontal="right" textRotation="90"/>
    </xf>
    <xf numFmtId="1" fontId="15" fillId="54" borderId="1" xfId="7" applyNumberFormat="1" applyFont="1" applyFill="1" applyBorder="1" applyAlignment="1">
      <alignment horizontal="center" textRotation="90"/>
    </xf>
    <xf numFmtId="164" fontId="15" fillId="24" borderId="5" xfId="8" applyNumberFormat="1" applyFont="1" applyFill="1" applyBorder="1" applyAlignment="1">
      <alignment horizontal="center" textRotation="90"/>
    </xf>
    <xf numFmtId="164" fontId="15" fillId="51" borderId="5" xfId="8" applyNumberFormat="1" applyFont="1" applyFill="1" applyBorder="1" applyAlignment="1">
      <alignment horizontal="center" textRotation="90"/>
    </xf>
    <xf numFmtId="164" fontId="15" fillId="55" borderId="5" xfId="8" applyNumberFormat="1" applyFont="1" applyFill="1" applyBorder="1" applyAlignment="1">
      <alignment horizontal="center" textRotation="90"/>
    </xf>
    <xf numFmtId="0" fontId="15" fillId="52" borderId="5" xfId="8" applyFont="1" applyFill="1" applyBorder="1" applyAlignment="1">
      <alignment horizontal="center" textRotation="90"/>
    </xf>
    <xf numFmtId="0" fontId="15" fillId="38" borderId="5" xfId="8" applyFont="1" applyFill="1" applyBorder="1" applyAlignment="1">
      <alignment horizontal="center" textRotation="90"/>
    </xf>
    <xf numFmtId="0" fontId="15" fillId="56" borderId="5" xfId="8" applyFont="1" applyFill="1" applyBorder="1" applyAlignment="1">
      <alignment horizontal="center" textRotation="90"/>
    </xf>
    <xf numFmtId="0" fontId="3" fillId="0" borderId="0" xfId="9" applyFont="1" applyAlignment="1">
      <alignment horizontal="left"/>
    </xf>
    <xf numFmtId="164" fontId="44" fillId="0" borderId="0" xfId="7" applyNumberFormat="1" applyFont="1" applyFill="1"/>
    <xf numFmtId="0" fontId="44" fillId="0" borderId="0" xfId="7" applyFont="1" applyFill="1"/>
    <xf numFmtId="2" fontId="1" fillId="0" borderId="0" xfId="7" applyNumberFormat="1" applyFill="1"/>
    <xf numFmtId="1" fontId="44" fillId="0" borderId="0" xfId="7" applyNumberFormat="1" applyFont="1" applyFill="1" applyAlignment="1">
      <alignment horizontal="right"/>
    </xf>
    <xf numFmtId="2" fontId="1" fillId="0" borderId="0" xfId="7" applyNumberFormat="1" applyAlignment="1">
      <alignment horizontal="left"/>
    </xf>
    <xf numFmtId="164" fontId="3" fillId="0" borderId="1" xfId="8" applyNumberFormat="1" applyFont="1" applyFill="1" applyBorder="1" applyAlignment="1">
      <alignment horizontal="center"/>
    </xf>
    <xf numFmtId="0" fontId="44" fillId="0" borderId="0" xfId="7" applyFont="1"/>
    <xf numFmtId="0" fontId="3" fillId="0" borderId="0" xfId="9" applyFont="1" applyFill="1" applyAlignment="1">
      <alignment horizontal="left"/>
    </xf>
    <xf numFmtId="0" fontId="3" fillId="0" borderId="0" xfId="9" applyFont="1" applyFill="1"/>
    <xf numFmtId="0" fontId="1" fillId="0" borderId="0" xfId="7" applyFill="1"/>
    <xf numFmtId="0" fontId="44" fillId="0" borderId="0" xfId="7" applyNumberFormat="1" applyFont="1" applyAlignment="1">
      <alignment horizontal="right"/>
    </xf>
    <xf numFmtId="2" fontId="1" fillId="0" borderId="0" xfId="7" applyNumberFormat="1" applyFill="1" applyAlignment="1">
      <alignment horizontal="left"/>
    </xf>
    <xf numFmtId="0" fontId="44" fillId="0" borderId="0" xfId="7" applyFont="1" applyFill="1" applyAlignment="1">
      <alignment horizontal="left"/>
    </xf>
    <xf numFmtId="0" fontId="3" fillId="0" borderId="0" xfId="7" applyFont="1" applyFill="1"/>
    <xf numFmtId="0" fontId="44" fillId="0" borderId="0" xfId="7" applyFont="1" applyFill="1" applyBorder="1"/>
    <xf numFmtId="2" fontId="44" fillId="0" borderId="0" xfId="7" applyNumberFormat="1" applyFont="1" applyFill="1"/>
    <xf numFmtId="1" fontId="44" fillId="0" borderId="0" xfId="7" applyNumberFormat="1" applyFont="1" applyFill="1" applyAlignment="1">
      <alignment horizontal="left"/>
    </xf>
    <xf numFmtId="0" fontId="44" fillId="0" borderId="0" xfId="7" applyFont="1" applyAlignment="1">
      <alignment horizontal="left"/>
    </xf>
    <xf numFmtId="0" fontId="3" fillId="0" borderId="0" xfId="8" applyNumberFormat="1" applyFont="1" applyFill="1" applyBorder="1" applyAlignment="1">
      <alignment horizontal="right"/>
    </xf>
    <xf numFmtId="0" fontId="3" fillId="0" borderId="0" xfId="10" applyNumberFormat="1" applyFont="1" applyFill="1" applyBorder="1" applyAlignment="1">
      <alignment horizontal="left"/>
    </xf>
    <xf numFmtId="0" fontId="3" fillId="0" borderId="0" xfId="8" applyFill="1" applyBorder="1"/>
    <xf numFmtId="0" fontId="44" fillId="0" borderId="0" xfId="7" applyNumberFormat="1" applyFont="1" applyFill="1" applyAlignment="1">
      <alignment horizontal="right"/>
    </xf>
    <xf numFmtId="0" fontId="44" fillId="0" borderId="0" xfId="7" applyNumberFormat="1" applyFont="1" applyFill="1" applyAlignment="1">
      <alignment horizontal="left"/>
    </xf>
    <xf numFmtId="164" fontId="3" fillId="0" borderId="20" xfId="8" applyNumberFormat="1" applyFont="1" applyFill="1" applyBorder="1" applyAlignment="1">
      <alignment horizontal="center"/>
    </xf>
    <xf numFmtId="0" fontId="44" fillId="0" borderId="0" xfId="7" applyFont="1" applyFill="1" applyBorder="1" applyAlignment="1">
      <alignment horizontal="left"/>
    </xf>
    <xf numFmtId="0" fontId="3" fillId="0" borderId="0" xfId="8" applyFont="1" applyFill="1" applyBorder="1"/>
    <xf numFmtId="164" fontId="44" fillId="0" borderId="0" xfId="7" applyNumberFormat="1" applyFont="1" applyFill="1" applyBorder="1"/>
    <xf numFmtId="1" fontId="44" fillId="0" borderId="0" xfId="7" applyNumberFormat="1" applyFont="1" applyFill="1" applyBorder="1" applyAlignment="1">
      <alignment horizontal="right"/>
    </xf>
    <xf numFmtId="1" fontId="44" fillId="0" borderId="0" xfId="7" applyNumberFormat="1" applyFont="1" applyFill="1" applyBorder="1" applyAlignment="1">
      <alignment horizontal="left"/>
    </xf>
    <xf numFmtId="0" fontId="3" fillId="0" borderId="0" xfId="9" applyFont="1" applyFill="1" applyBorder="1"/>
    <xf numFmtId="2" fontId="44" fillId="0" borderId="0" xfId="7" applyNumberFormat="1" applyFont="1" applyFill="1" applyBorder="1"/>
    <xf numFmtId="0" fontId="46" fillId="23" borderId="3" xfId="7" applyFont="1" applyFill="1" applyBorder="1" applyAlignment="1">
      <alignment horizontal="center" vertical="center"/>
    </xf>
    <xf numFmtId="0" fontId="10" fillId="4" borderId="0" xfId="0" applyFont="1" applyFill="1" applyProtection="1"/>
    <xf numFmtId="0" fontId="0" fillId="4" borderId="0" xfId="0" applyFill="1" applyProtection="1"/>
    <xf numFmtId="0" fontId="0" fillId="4" borderId="4" xfId="0" applyFill="1" applyBorder="1" applyProtection="1"/>
    <xf numFmtId="0" fontId="0" fillId="4" borderId="3" xfId="0" applyFill="1" applyBorder="1" applyProtection="1"/>
    <xf numFmtId="0" fontId="0" fillId="4" borderId="1" xfId="0" applyFill="1" applyBorder="1" applyProtection="1"/>
    <xf numFmtId="0" fontId="0" fillId="0" borderId="4" xfId="0" applyFill="1" applyBorder="1" applyProtection="1"/>
    <xf numFmtId="0" fontId="0" fillId="0" borderId="3" xfId="0" applyFill="1" applyBorder="1" applyProtection="1"/>
    <xf numFmtId="0" fontId="15" fillId="0" borderId="1" xfId="0" applyFont="1" applyFill="1" applyBorder="1" applyAlignment="1" applyProtection="1">
      <alignment horizontal="center"/>
    </xf>
    <xf numFmtId="0" fontId="0" fillId="0" borderId="0" xfId="0" applyFill="1" applyAlignment="1" applyProtection="1">
      <alignment horizontal="center"/>
    </xf>
    <xf numFmtId="0" fontId="0" fillId="0" borderId="0" xfId="0" applyFill="1" applyProtection="1"/>
    <xf numFmtId="0" fontId="15" fillId="0" borderId="1" xfId="0" applyFont="1" applyFill="1" applyBorder="1" applyProtection="1"/>
    <xf numFmtId="0" fontId="0" fillId="13" borderId="4" xfId="0" applyFill="1" applyBorder="1" applyProtection="1"/>
    <xf numFmtId="0" fontId="0" fillId="13" borderId="3" xfId="0" applyFill="1" applyBorder="1" applyProtection="1"/>
    <xf numFmtId="0" fontId="4" fillId="0" borderId="1" xfId="0" applyFont="1" applyBorder="1" applyProtection="1"/>
    <xf numFmtId="0" fontId="15" fillId="0" borderId="1" xfId="0" applyFont="1" applyBorder="1" applyAlignment="1" applyProtection="1">
      <alignment horizontal="center"/>
    </xf>
    <xf numFmtId="0" fontId="0" fillId="0" borderId="0" xfId="0" applyAlignment="1" applyProtection="1">
      <alignment horizontal="center"/>
    </xf>
    <xf numFmtId="164" fontId="0" fillId="0" borderId="1" xfId="0" applyNumberFormat="1" applyBorder="1" applyAlignment="1" applyProtection="1">
      <alignment horizontal="center"/>
    </xf>
    <xf numFmtId="2" fontId="0" fillId="0" borderId="1" xfId="0" applyNumberFormat="1" applyBorder="1" applyAlignment="1" applyProtection="1">
      <alignment horizontal="center"/>
    </xf>
    <xf numFmtId="1" fontId="0" fillId="0" borderId="1" xfId="0" applyNumberFormat="1" applyBorder="1" applyAlignment="1" applyProtection="1">
      <alignment horizontal="center"/>
    </xf>
    <xf numFmtId="169" fontId="0" fillId="0" borderId="1" xfId="1" applyNumberFormat="1" applyFont="1" applyBorder="1" applyProtection="1"/>
    <xf numFmtId="164" fontId="0" fillId="7" borderId="1" xfId="0" applyNumberFormat="1" applyFill="1" applyBorder="1" applyAlignment="1" applyProtection="1">
      <alignment horizontal="center"/>
    </xf>
    <xf numFmtId="2" fontId="0" fillId="7" borderId="1" xfId="0" applyNumberFormat="1" applyFill="1" applyBorder="1" applyAlignment="1" applyProtection="1">
      <alignment horizontal="center"/>
    </xf>
    <xf numFmtId="1" fontId="0" fillId="7" borderId="1" xfId="0" applyNumberFormat="1" applyFill="1" applyBorder="1" applyAlignment="1" applyProtection="1">
      <alignment horizontal="center"/>
    </xf>
    <xf numFmtId="2" fontId="0" fillId="7" borderId="1" xfId="0" applyNumberFormat="1" applyFill="1" applyBorder="1" applyProtection="1"/>
    <xf numFmtId="0" fontId="0" fillId="7" borderId="1" xfId="0" applyFill="1" applyBorder="1" applyProtection="1"/>
    <xf numFmtId="0" fontId="0" fillId="0" borderId="1" xfId="0" applyBorder="1" applyProtection="1"/>
    <xf numFmtId="0" fontId="3" fillId="13" borderId="5" xfId="0" applyFont="1" applyFill="1" applyBorder="1" applyAlignment="1" applyProtection="1">
      <alignment horizontal="center" wrapText="1"/>
    </xf>
    <xf numFmtId="0" fontId="3" fillId="11" borderId="5" xfId="0" applyFont="1" applyFill="1" applyBorder="1" applyAlignment="1" applyProtection="1">
      <alignment horizontal="center" wrapText="1"/>
    </xf>
    <xf numFmtId="0" fontId="0" fillId="22" borderId="14" xfId="0" applyFill="1" applyBorder="1"/>
    <xf numFmtId="0" fontId="0" fillId="22" borderId="20" xfId="0" applyFill="1" applyBorder="1"/>
    <xf numFmtId="0" fontId="3" fillId="4" borderId="4" xfId="0" applyFont="1" applyFill="1" applyBorder="1"/>
    <xf numFmtId="0" fontId="0" fillId="40" borderId="3" xfId="0" applyFill="1" applyBorder="1"/>
    <xf numFmtId="0" fontId="0" fillId="13" borderId="20" xfId="0" applyFill="1" applyBorder="1"/>
    <xf numFmtId="0" fontId="0" fillId="13" borderId="20" xfId="0" applyFill="1" applyBorder="1" applyProtection="1">
      <protection locked="0"/>
    </xf>
    <xf numFmtId="0" fontId="0" fillId="4" borderId="3" xfId="0" applyFill="1" applyBorder="1" applyAlignment="1">
      <alignment horizontal="right"/>
    </xf>
    <xf numFmtId="0" fontId="28" fillId="0" borderId="0" xfId="0" applyFont="1"/>
    <xf numFmtId="0" fontId="28" fillId="0" borderId="0" xfId="0" applyFont="1" applyAlignment="1">
      <alignment horizontal="center"/>
    </xf>
    <xf numFmtId="0" fontId="28" fillId="0" borderId="24" xfId="0" applyFont="1" applyBorder="1"/>
    <xf numFmtId="0" fontId="28" fillId="0" borderId="24" xfId="0" applyFont="1" applyBorder="1" applyAlignment="1">
      <alignment horizontal="center"/>
    </xf>
    <xf numFmtId="0" fontId="28" fillId="0" borderId="25" xfId="0" applyFont="1" applyBorder="1"/>
    <xf numFmtId="0" fontId="28" fillId="0" borderId="26" xfId="0" applyFont="1" applyBorder="1"/>
    <xf numFmtId="0" fontId="28" fillId="0" borderId="27" xfId="0" applyFont="1" applyBorder="1"/>
    <xf numFmtId="0" fontId="28" fillId="0" borderId="25" xfId="0" applyFont="1" applyFill="1" applyBorder="1"/>
    <xf numFmtId="0" fontId="31" fillId="0" borderId="25" xfId="0" applyFont="1" applyBorder="1"/>
    <xf numFmtId="0" fontId="31" fillId="0" borderId="26" xfId="0" applyFont="1" applyBorder="1"/>
    <xf numFmtId="0" fontId="31" fillId="0" borderId="27" xfId="0" applyFont="1" applyBorder="1"/>
    <xf numFmtId="0" fontId="31" fillId="0" borderId="24" xfId="0" applyFont="1" applyBorder="1" applyAlignment="1">
      <alignment horizontal="center"/>
    </xf>
    <xf numFmtId="164" fontId="0" fillId="31" borderId="4" xfId="0" applyNumberFormat="1" applyFill="1" applyBorder="1" applyAlignment="1">
      <alignment horizontal="center"/>
    </xf>
    <xf numFmtId="1" fontId="0" fillId="31" borderId="1" xfId="0" applyNumberFormat="1" applyFill="1" applyBorder="1" applyAlignment="1">
      <alignment horizontal="center"/>
    </xf>
    <xf numFmtId="0" fontId="0" fillId="36" borderId="1" xfId="0" applyFill="1" applyBorder="1" applyAlignment="1" applyProtection="1">
      <alignment horizontal="center"/>
    </xf>
    <xf numFmtId="0" fontId="3" fillId="36" borderId="1" xfId="0" applyFont="1" applyFill="1" applyBorder="1" applyAlignment="1" applyProtection="1">
      <alignment horizontal="center" wrapText="1"/>
    </xf>
    <xf numFmtId="0" fontId="3" fillId="36" borderId="4" xfId="0" applyFont="1" applyFill="1" applyBorder="1" applyAlignment="1" applyProtection="1">
      <alignment horizontal="center" wrapText="1"/>
    </xf>
    <xf numFmtId="164" fontId="0" fillId="13" borderId="1" xfId="0" applyNumberFormat="1" applyFill="1" applyBorder="1" applyProtection="1">
      <protection locked="0"/>
    </xf>
    <xf numFmtId="165" fontId="4" fillId="30" borderId="1" xfId="0" applyNumberFormat="1" applyFont="1" applyFill="1" applyBorder="1" applyAlignment="1" applyProtection="1">
      <alignment horizontal="center"/>
    </xf>
    <xf numFmtId="20" fontId="4" fillId="30" borderId="1" xfId="0" applyNumberFormat="1" applyFont="1" applyFill="1" applyBorder="1" applyAlignment="1" applyProtection="1">
      <alignment horizontal="center"/>
    </xf>
    <xf numFmtId="0" fontId="4" fillId="30" borderId="1" xfId="0" applyNumberFormat="1" applyFont="1" applyFill="1" applyBorder="1" applyAlignment="1" applyProtection="1">
      <alignment horizontal="center"/>
    </xf>
    <xf numFmtId="0" fontId="4" fillId="30" borderId="1" xfId="0" applyFont="1" applyFill="1" applyBorder="1" applyAlignment="1" applyProtection="1">
      <alignment horizontal="center"/>
    </xf>
    <xf numFmtId="0" fontId="0" fillId="0" borderId="0" xfId="0" applyFill="1" applyBorder="1" applyProtection="1"/>
    <xf numFmtId="0" fontId="24" fillId="0" borderId="0" xfId="0" applyFont="1" applyProtection="1"/>
    <xf numFmtId="0" fontId="3" fillId="22" borderId="1" xfId="0" applyFont="1" applyFill="1" applyBorder="1" applyProtection="1"/>
    <xf numFmtId="0" fontId="0" fillId="22" borderId="1" xfId="0" applyFill="1" applyBorder="1" applyProtection="1"/>
    <xf numFmtId="0" fontId="0" fillId="22" borderId="1" xfId="0" applyFill="1" applyBorder="1" applyAlignment="1" applyProtection="1">
      <alignment horizontal="center"/>
    </xf>
    <xf numFmtId="0" fontId="3" fillId="36" borderId="1" xfId="0" applyFont="1" applyFill="1" applyBorder="1" applyProtection="1"/>
    <xf numFmtId="0" fontId="0" fillId="36" borderId="1" xfId="0" applyFill="1" applyBorder="1" applyProtection="1"/>
    <xf numFmtId="0" fontId="3" fillId="0" borderId="0" xfId="0" applyFont="1" applyProtection="1"/>
    <xf numFmtId="0" fontId="0" fillId="22" borderId="4" xfId="0" applyFill="1" applyBorder="1" applyAlignment="1" applyProtection="1">
      <alignment horizontal="center"/>
    </xf>
    <xf numFmtId="0" fontId="0" fillId="22" borderId="3" xfId="0" applyFill="1" applyBorder="1" applyProtection="1"/>
    <xf numFmtId="0" fontId="3" fillId="22" borderId="0" xfId="0" applyFont="1" applyFill="1" applyProtection="1"/>
    <xf numFmtId="0" fontId="0" fillId="22" borderId="0" xfId="0" applyFill="1" applyProtection="1"/>
    <xf numFmtId="0" fontId="0" fillId="36" borderId="4" xfId="0" applyFill="1" applyBorder="1" applyAlignment="1" applyProtection="1">
      <alignment horizontal="center"/>
    </xf>
    <xf numFmtId="0" fontId="0" fillId="36" borderId="3" xfId="0" applyFill="1" applyBorder="1" applyProtection="1"/>
    <xf numFmtId="2" fontId="0" fillId="36" borderId="1" xfId="0" applyNumberFormat="1" applyFill="1" applyBorder="1" applyProtection="1"/>
    <xf numFmtId="0" fontId="3" fillId="22" borderId="0" xfId="0" applyFont="1" applyFill="1" applyBorder="1" applyProtection="1"/>
    <xf numFmtId="164" fontId="0" fillId="36" borderId="1" xfId="0" applyNumberFormat="1" applyFill="1" applyBorder="1" applyProtection="1"/>
    <xf numFmtId="0" fontId="3" fillId="22" borderId="4" xfId="0" applyFont="1" applyFill="1" applyBorder="1" applyProtection="1"/>
    <xf numFmtId="0" fontId="0" fillId="22" borderId="2" xfId="0" applyFill="1" applyBorder="1" applyProtection="1"/>
    <xf numFmtId="0" fontId="3" fillId="36" borderId="5" xfId="0" applyFont="1" applyFill="1" applyBorder="1" applyProtection="1"/>
    <xf numFmtId="0" fontId="0" fillId="36" borderId="5" xfId="0" applyFill="1" applyBorder="1" applyAlignment="1" applyProtection="1">
      <alignment horizontal="center"/>
    </xf>
    <xf numFmtId="0" fontId="3" fillId="13" borderId="4" xfId="0" applyFont="1" applyFill="1" applyBorder="1" applyProtection="1"/>
    <xf numFmtId="0" fontId="0" fillId="0" borderId="4" xfId="0" applyBorder="1" applyProtection="1"/>
    <xf numFmtId="0" fontId="0" fillId="0" borderId="2" xfId="0" applyBorder="1" applyProtection="1"/>
    <xf numFmtId="0" fontId="0" fillId="0" borderId="3" xfId="0" applyBorder="1" applyProtection="1"/>
    <xf numFmtId="0" fontId="53" fillId="0" borderId="0" xfId="0" applyFont="1" applyFill="1" applyProtection="1"/>
    <xf numFmtId="0" fontId="3" fillId="36" borderId="3" xfId="0" applyFont="1" applyFill="1" applyBorder="1" applyAlignment="1" applyProtection="1">
      <alignment horizontal="center" wrapText="1"/>
    </xf>
    <xf numFmtId="1" fontId="0" fillId="0" borderId="1" xfId="0" applyNumberFormat="1" applyFill="1" applyBorder="1" applyAlignment="1" applyProtection="1">
      <alignment horizontal="center"/>
    </xf>
    <xf numFmtId="164" fontId="0" fillId="0" borderId="4" xfId="0" applyNumberFormat="1" applyBorder="1" applyAlignment="1" applyProtection="1">
      <alignment horizontal="center"/>
    </xf>
    <xf numFmtId="164" fontId="0" fillId="0" borderId="3" xfId="0" applyNumberFormat="1" applyFill="1" applyBorder="1" applyAlignment="1" applyProtection="1">
      <alignment horizontal="center"/>
    </xf>
    <xf numFmtId="173" fontId="0" fillId="0" borderId="1" xfId="1" applyNumberFormat="1" applyFont="1" applyBorder="1" applyAlignment="1" applyProtection="1">
      <alignment horizontal="center" vertical="center"/>
    </xf>
    <xf numFmtId="3" fontId="0" fillId="0" borderId="1" xfId="0" applyNumberFormat="1" applyBorder="1" applyAlignment="1" applyProtection="1">
      <alignment horizontal="center"/>
    </xf>
    <xf numFmtId="2" fontId="3" fillId="0" borderId="1" xfId="0" applyNumberFormat="1" applyFont="1" applyBorder="1" applyAlignment="1" applyProtection="1">
      <alignment horizontal="center"/>
    </xf>
    <xf numFmtId="173" fontId="0" fillId="0" borderId="1" xfId="1" applyNumberFormat="1" applyFont="1" applyBorder="1" applyAlignment="1" applyProtection="1">
      <alignment horizontal="center"/>
    </xf>
    <xf numFmtId="1" fontId="0" fillId="30" borderId="1" xfId="0" applyNumberFormat="1" applyFill="1" applyBorder="1" applyAlignment="1" applyProtection="1">
      <alignment horizontal="center"/>
    </xf>
    <xf numFmtId="164" fontId="0" fillId="30" borderId="1" xfId="0" applyNumberFormat="1" applyFill="1" applyBorder="1" applyAlignment="1" applyProtection="1">
      <alignment horizontal="center"/>
    </xf>
    <xf numFmtId="164" fontId="0" fillId="30" borderId="4" xfId="0" applyNumberFormat="1" applyFill="1" applyBorder="1" applyAlignment="1" applyProtection="1">
      <alignment horizontal="center"/>
    </xf>
    <xf numFmtId="2" fontId="0" fillId="30" borderId="1" xfId="0" applyNumberFormat="1" applyFill="1" applyBorder="1" applyAlignment="1" applyProtection="1">
      <alignment horizontal="center"/>
    </xf>
    <xf numFmtId="164" fontId="0" fillId="30" borderId="3" xfId="0" applyNumberFormat="1" applyFill="1" applyBorder="1" applyAlignment="1" applyProtection="1">
      <alignment horizontal="center"/>
    </xf>
    <xf numFmtId="173" fontId="0" fillId="30" borderId="1" xfId="1" applyNumberFormat="1" applyFont="1" applyFill="1" applyBorder="1" applyAlignment="1" applyProtection="1">
      <alignment horizontal="center" vertical="center"/>
    </xf>
    <xf numFmtId="3" fontId="0" fillId="30" borderId="1" xfId="0" applyNumberFormat="1" applyFill="1" applyBorder="1" applyAlignment="1" applyProtection="1">
      <alignment horizontal="center"/>
    </xf>
    <xf numFmtId="2" fontId="3" fillId="30" borderId="1" xfId="0" applyNumberFormat="1" applyFont="1" applyFill="1" applyBorder="1" applyAlignment="1" applyProtection="1">
      <alignment horizontal="center"/>
    </xf>
    <xf numFmtId="173" fontId="0" fillId="30" borderId="1" xfId="1" applyNumberFormat="1" applyFont="1" applyFill="1" applyBorder="1" applyAlignment="1" applyProtection="1">
      <alignment horizontal="center"/>
    </xf>
    <xf numFmtId="0" fontId="0" fillId="30" borderId="1" xfId="0" applyFill="1" applyBorder="1" applyProtection="1"/>
    <xf numFmtId="169" fontId="0" fillId="30" borderId="1" xfId="1" applyNumberFormat="1" applyFont="1" applyFill="1" applyBorder="1" applyProtection="1"/>
    <xf numFmtId="0" fontId="55" fillId="0" borderId="1" xfId="0" applyFont="1" applyFill="1" applyBorder="1" applyProtection="1"/>
    <xf numFmtId="49" fontId="56" fillId="57" borderId="0" xfId="0" applyNumberFormat="1" applyFont="1" applyFill="1" applyAlignment="1">
      <alignment horizontal="left" vertical="top"/>
    </xf>
    <xf numFmtId="0" fontId="3" fillId="22" borderId="1" xfId="0" applyFont="1" applyFill="1" applyBorder="1" applyAlignment="1">
      <alignment vertical="top" wrapText="1"/>
    </xf>
    <xf numFmtId="49" fontId="27" fillId="44" borderId="0" xfId="0" applyNumberFormat="1" applyFont="1" applyFill="1" applyAlignment="1">
      <alignment horizontal="left" vertical="top"/>
    </xf>
    <xf numFmtId="0" fontId="28" fillId="0" borderId="0" xfId="0" applyFont="1" applyProtection="1"/>
    <xf numFmtId="0" fontId="28" fillId="0" borderId="0" xfId="0" applyFont="1" applyAlignment="1" applyProtection="1">
      <alignment horizontal="center"/>
    </xf>
    <xf numFmtId="0" fontId="28" fillId="0" borderId="28" xfId="0" applyFont="1" applyBorder="1" applyAlignment="1" applyProtection="1">
      <alignment horizontal="center"/>
    </xf>
    <xf numFmtId="0" fontId="28" fillId="0" borderId="28" xfId="0" applyFont="1" applyBorder="1" applyProtection="1"/>
    <xf numFmtId="49" fontId="28" fillId="0" borderId="29" xfId="0" applyNumberFormat="1" applyFont="1" applyBorder="1" applyProtection="1"/>
    <xf numFmtId="0" fontId="28" fillId="0" borderId="30" xfId="0" applyFont="1" applyBorder="1" applyProtection="1"/>
    <xf numFmtId="0" fontId="0" fillId="0" borderId="30" xfId="0" applyBorder="1" applyProtection="1"/>
    <xf numFmtId="0" fontId="0" fillId="0" borderId="31" xfId="0" applyBorder="1" applyProtection="1"/>
    <xf numFmtId="0" fontId="28" fillId="0" borderId="32" xfId="0" applyFont="1" applyBorder="1" applyProtection="1"/>
    <xf numFmtId="0" fontId="0" fillId="0" borderId="33" xfId="0" applyBorder="1" applyProtection="1"/>
    <xf numFmtId="0" fontId="0" fillId="0" borderId="34" xfId="0" applyBorder="1" applyProtection="1"/>
    <xf numFmtId="1" fontId="3" fillId="30" borderId="1" xfId="0" applyNumberFormat="1" applyFont="1" applyFill="1" applyBorder="1" applyAlignment="1" applyProtection="1">
      <alignment horizontal="center"/>
    </xf>
    <xf numFmtId="1" fontId="3" fillId="0" borderId="1" xfId="0" applyNumberFormat="1" applyFont="1" applyBorder="1" applyAlignment="1" applyProtection="1">
      <alignment horizontal="center"/>
    </xf>
    <xf numFmtId="1" fontId="4" fillId="0" borderId="1" xfId="0" applyNumberFormat="1" applyFont="1" applyBorder="1" applyAlignment="1" applyProtection="1">
      <alignment horizontal="center"/>
    </xf>
    <xf numFmtId="3" fontId="0" fillId="0" borderId="1" xfId="0" applyNumberFormat="1" applyFill="1" applyBorder="1" applyAlignment="1" applyProtection="1">
      <alignment horizontal="center"/>
    </xf>
    <xf numFmtId="3" fontId="0" fillId="0" borderId="1" xfId="1" applyNumberFormat="1" applyFont="1" applyBorder="1" applyAlignment="1" applyProtection="1">
      <alignment horizontal="center"/>
    </xf>
    <xf numFmtId="3" fontId="0" fillId="30" borderId="1" xfId="1" applyNumberFormat="1" applyFont="1" applyFill="1" applyBorder="1" applyAlignment="1" applyProtection="1">
      <alignment horizontal="center"/>
    </xf>
    <xf numFmtId="1" fontId="3" fillId="0" borderId="1" xfId="0" applyNumberFormat="1" applyFont="1" applyFill="1" applyBorder="1" applyAlignment="1" applyProtection="1">
      <alignment horizontal="center"/>
    </xf>
    <xf numFmtId="164" fontId="0" fillId="0" borderId="1" xfId="1" applyNumberFormat="1" applyFont="1" applyBorder="1" applyAlignment="1" applyProtection="1">
      <alignment horizontal="center"/>
    </xf>
    <xf numFmtId="164" fontId="0" fillId="30" borderId="1" xfId="1" applyNumberFormat="1" applyFont="1" applyFill="1" applyBorder="1" applyAlignment="1" applyProtection="1">
      <alignment horizontal="center"/>
    </xf>
    <xf numFmtId="3" fontId="0" fillId="30" borderId="1" xfId="1" applyNumberFormat="1" applyFont="1" applyFill="1" applyBorder="1" applyAlignment="1" applyProtection="1">
      <alignment horizontal="center" vertical="center"/>
    </xf>
    <xf numFmtId="1" fontId="0" fillId="30" borderId="1" xfId="1" applyNumberFormat="1" applyFont="1" applyFill="1" applyBorder="1" applyAlignment="1" applyProtection="1">
      <alignment horizontal="center"/>
    </xf>
    <xf numFmtId="0" fontId="3" fillId="0" borderId="4" xfId="0" applyFont="1" applyBorder="1" applyProtection="1"/>
    <xf numFmtId="49" fontId="28" fillId="0" borderId="30" xfId="0" applyNumberFormat="1" applyFont="1" applyBorder="1" applyProtection="1"/>
    <xf numFmtId="164" fontId="0" fillId="33" borderId="1" xfId="0" applyNumberFormat="1" applyFill="1" applyBorder="1" applyAlignment="1" applyProtection="1">
      <alignment horizontal="center"/>
    </xf>
    <xf numFmtId="0" fontId="2" fillId="0" borderId="1" xfId="5" applyBorder="1" applyAlignment="1">
      <alignment horizontal="center" wrapText="1"/>
    </xf>
    <xf numFmtId="0" fontId="38" fillId="37" borderId="1" xfId="4" applyFont="1" applyBorder="1" applyAlignment="1">
      <alignment horizontal="center" vertical="center"/>
    </xf>
    <xf numFmtId="0" fontId="39" fillId="0" borderId="1" xfId="5" applyFont="1" applyBorder="1" applyAlignment="1" applyProtection="1">
      <alignment horizontal="left" vertical="center"/>
      <protection locked="0"/>
    </xf>
  </cellXfs>
  <cellStyles count="11">
    <cellStyle name="Comma" xfId="1" builtinId="3"/>
    <cellStyle name="Comma 2" xfId="6"/>
    <cellStyle name="Good" xfId="3" builtinId="26"/>
    <cellStyle name="Hyperlink" xfId="2" builtinId="8"/>
    <cellStyle name="Neutral" xfId="4" builtinId="28"/>
    <cellStyle name="Normal" xfId="0" builtinId="0"/>
    <cellStyle name="Normal 2" xfId="5"/>
    <cellStyle name="Normal 2 5" xfId="9"/>
    <cellStyle name="Normal 3" xfId="8"/>
    <cellStyle name="Normal 3 2" xfId="10"/>
    <cellStyle name="Normal 5" xfId="7"/>
  </cellStyles>
  <dxfs count="0"/>
  <tableStyles count="0" defaultTableStyle="TableStyleMedium9" defaultPivotStyle="PivotStyleLight16"/>
  <colors>
    <mruColors>
      <color rgb="FFCCFFCC"/>
      <color rgb="FFFFCC66"/>
      <color rgb="FFFF9966"/>
      <color rgb="FFFFCC99"/>
      <color rgb="FFFFFF99"/>
      <color rgb="FFCCFF66"/>
      <color rgb="FFCCFFFF"/>
      <color rgb="FFFF99FF"/>
      <color rgb="FFFFFF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3" Type="http://schemas.openxmlformats.org/officeDocument/2006/relationships/image" Target="../media/image10.wmf"/><Relationship Id="rId2" Type="http://schemas.openxmlformats.org/officeDocument/2006/relationships/image" Target="../media/image9.wmf"/><Relationship Id="rId1" Type="http://schemas.openxmlformats.org/officeDocument/2006/relationships/image" Target="../media/image8.wmf"/><Relationship Id="rId6" Type="http://schemas.openxmlformats.org/officeDocument/2006/relationships/image" Target="../media/image13.wmf"/><Relationship Id="rId5" Type="http://schemas.openxmlformats.org/officeDocument/2006/relationships/image" Target="../media/image12.wmf"/><Relationship Id="rId4" Type="http://schemas.openxmlformats.org/officeDocument/2006/relationships/image" Target="../media/image11.w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99060</xdr:colOff>
          <xdr:row>2</xdr:row>
          <xdr:rowOff>30480</xdr:rowOff>
        </xdr:from>
        <xdr:to>
          <xdr:col>4</xdr:col>
          <xdr:colOff>601980</xdr:colOff>
          <xdr:row>3</xdr:row>
          <xdr:rowOff>144780</xdr:rowOff>
        </xdr:to>
        <xdr:sp macro="" textlink="">
          <xdr:nvSpPr>
            <xdr:cNvPr id="1028" name="Reset_Fuels"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99060</xdr:colOff>
          <xdr:row>4</xdr:row>
          <xdr:rowOff>0</xdr:rowOff>
        </xdr:from>
        <xdr:to>
          <xdr:col>4</xdr:col>
          <xdr:colOff>601980</xdr:colOff>
          <xdr:row>5</xdr:row>
          <xdr:rowOff>114300</xdr:rowOff>
        </xdr:to>
        <xdr:sp macro="" textlink="">
          <xdr:nvSpPr>
            <xdr:cNvPr id="1029" name="ResetSlo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22860</xdr:colOff>
          <xdr:row>2</xdr:row>
          <xdr:rowOff>60960</xdr:rowOff>
        </xdr:from>
        <xdr:to>
          <xdr:col>12</xdr:col>
          <xdr:colOff>7620</xdr:colOff>
          <xdr:row>4</xdr:row>
          <xdr:rowOff>7620</xdr:rowOff>
        </xdr:to>
        <xdr:sp macro="" textlink="">
          <xdr:nvSpPr>
            <xdr:cNvPr id="1033" name="WindRdnFactor_Reset"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xdr:colOff>
          <xdr:row>2</xdr:row>
          <xdr:rowOff>144780</xdr:rowOff>
        </xdr:from>
        <xdr:to>
          <xdr:col>4</xdr:col>
          <xdr:colOff>266700</xdr:colOff>
          <xdr:row>3</xdr:row>
          <xdr:rowOff>160020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500-000002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AU" sz="1000" b="0" i="0" u="none" strike="noStrike" baseline="0">
                  <a:solidFill>
                    <a:srgbClr val="000000"/>
                  </a:solidFill>
                  <a:latin typeface="Arial"/>
                  <a:cs typeface="Arial"/>
                </a:rPr>
                <a:t>Reset Slope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xdr:colOff>
          <xdr:row>2</xdr:row>
          <xdr:rowOff>68580</xdr:rowOff>
        </xdr:from>
        <xdr:to>
          <xdr:col>5</xdr:col>
          <xdr:colOff>30480</xdr:colOff>
          <xdr:row>4</xdr:row>
          <xdr:rowOff>22860</xdr:rowOff>
        </xdr:to>
        <xdr:sp macro="" textlink="">
          <xdr:nvSpPr>
            <xdr:cNvPr id="5121" name="Reset_Slopes"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2" name="Arrow: Down 1">
          <a:extLst>
            <a:ext uri="{FF2B5EF4-FFF2-40B4-BE49-F238E27FC236}">
              <a16:creationId xmlns:a16="http://schemas.microsoft.com/office/drawing/2014/main" id="{00000000-0008-0000-0700-000002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22860</xdr:colOff>
          <xdr:row>2</xdr:row>
          <xdr:rowOff>83820</xdr:rowOff>
        </xdr:from>
        <xdr:to>
          <xdr:col>4</xdr:col>
          <xdr:colOff>533400</xdr:colOff>
          <xdr:row>4</xdr:row>
          <xdr:rowOff>0</xdr:rowOff>
        </xdr:to>
        <xdr:sp macro="" textlink="">
          <xdr:nvSpPr>
            <xdr:cNvPr id="40966" name="CommandButton1" hidden="1">
              <a:extLst>
                <a:ext uri="{63B3BB69-23CF-44E3-9099-C40C66FF867C}">
                  <a14:compatExt spid="_x0000_s40966"/>
                </a:ext>
                <a:ext uri="{FF2B5EF4-FFF2-40B4-BE49-F238E27FC236}">
                  <a16:creationId xmlns:a16="http://schemas.microsoft.com/office/drawing/2014/main" id="{00000000-0008-0000-0700-000006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15</xdr:col>
      <xdr:colOff>78991</xdr:colOff>
      <xdr:row>8</xdr:row>
      <xdr:rowOff>93153</xdr:rowOff>
    </xdr:from>
    <xdr:to>
      <xdr:col>15</xdr:col>
      <xdr:colOff>380028</xdr:colOff>
      <xdr:row>8</xdr:row>
      <xdr:rowOff>148577</xdr:rowOff>
    </xdr:to>
    <xdr:sp macro="" textlink="">
      <xdr:nvSpPr>
        <xdr:cNvPr id="3" name="Arrow: Down 2">
          <a:extLst>
            <a:ext uri="{FF2B5EF4-FFF2-40B4-BE49-F238E27FC236}">
              <a16:creationId xmlns:a16="http://schemas.microsoft.com/office/drawing/2014/main" id="{00000000-0008-0000-0800-000003000000}"/>
            </a:ext>
          </a:extLst>
        </xdr:cNvPr>
        <xdr:cNvSpPr/>
      </xdr:nvSpPr>
      <xdr:spPr>
        <a:xfrm rot="3901167">
          <a:off x="10241148" y="1380046"/>
          <a:ext cx="55424" cy="301037"/>
        </a:xfrm>
        <a:prstGeom prst="downArrow">
          <a:avLst/>
        </a:prstGeom>
        <a:solidFill>
          <a:schemeClr val="bg1">
            <a:lumMod val="75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38100</xdr:colOff>
          <xdr:row>2</xdr:row>
          <xdr:rowOff>99060</xdr:rowOff>
        </xdr:from>
        <xdr:to>
          <xdr:col>4</xdr:col>
          <xdr:colOff>556260</xdr:colOff>
          <xdr:row>3</xdr:row>
          <xdr:rowOff>152400</xdr:rowOff>
        </xdr:to>
        <xdr:sp macro="" textlink="">
          <xdr:nvSpPr>
            <xdr:cNvPr id="64514" name="CommandButton1" hidden="1">
              <a:extLst>
                <a:ext uri="{63B3BB69-23CF-44E3-9099-C40C66FF867C}">
                  <a14:compatExt spid="_x0000_s64514"/>
                </a:ext>
                <a:ext uri="{FF2B5EF4-FFF2-40B4-BE49-F238E27FC236}">
                  <a16:creationId xmlns:a16="http://schemas.microsoft.com/office/drawing/2014/main" id="{00000000-0008-0000-08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541020</xdr:colOff>
          <xdr:row>3</xdr:row>
          <xdr:rowOff>114300</xdr:rowOff>
        </xdr:from>
        <xdr:to>
          <xdr:col>5</xdr:col>
          <xdr:colOff>350520</xdr:colOff>
          <xdr:row>5</xdr:row>
          <xdr:rowOff>45720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6</xdr:row>
      <xdr:rowOff>0</xdr:rowOff>
    </xdr:from>
    <xdr:to>
      <xdr:col>0</xdr:col>
      <xdr:colOff>441960</xdr:colOff>
      <xdr:row>6</xdr:row>
      <xdr:rowOff>533794</xdr:rowOff>
    </xdr:to>
    <xdr:pic>
      <xdr:nvPicPr>
        <xdr:cNvPr id="2" name="Picture 3" descr="C:\Users\kgt\AppData\Local\Microsoft\Windows\Temporary Internet Files\Content.IE5\B3CY8F66\MC900334194[1].wmf">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82880" y="1219200"/>
          <a:ext cx="259080" cy="533794"/>
        </a:xfrm>
        <a:prstGeom prst="rect">
          <a:avLst/>
        </a:prstGeom>
        <a:noFill/>
      </xdr:spPr>
    </xdr:pic>
    <xdr:clientData/>
  </xdr:twoCellAnchor>
  <xdr:twoCellAnchor editAs="oneCell">
    <xdr:from>
      <xdr:col>0</xdr:col>
      <xdr:colOff>0</xdr:colOff>
      <xdr:row>18</xdr:row>
      <xdr:rowOff>0</xdr:rowOff>
    </xdr:from>
    <xdr:to>
      <xdr:col>0</xdr:col>
      <xdr:colOff>603963</xdr:colOff>
      <xdr:row>18</xdr:row>
      <xdr:rowOff>495300</xdr:rowOff>
    </xdr:to>
    <xdr:pic>
      <xdr:nvPicPr>
        <xdr:cNvPr id="3" name="Picture 7" descr="C:\Users\kgt\AppData\Local\Microsoft\Windows\Temporary Internet Files\Content.IE5\B3CY8F66\MC900326634[1].wmf">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4297680"/>
          <a:ext cx="603963" cy="495300"/>
        </a:xfrm>
        <a:prstGeom prst="rect">
          <a:avLst/>
        </a:prstGeom>
        <a:noFill/>
      </xdr:spPr>
    </xdr:pic>
    <xdr:clientData/>
  </xdr:twoCellAnchor>
  <xdr:twoCellAnchor editAs="oneCell">
    <xdr:from>
      <xdr:col>0</xdr:col>
      <xdr:colOff>0</xdr:colOff>
      <xdr:row>12</xdr:row>
      <xdr:rowOff>19382</xdr:rowOff>
    </xdr:from>
    <xdr:to>
      <xdr:col>0</xdr:col>
      <xdr:colOff>594360</xdr:colOff>
      <xdr:row>12</xdr:row>
      <xdr:rowOff>579119</xdr:rowOff>
    </xdr:to>
    <xdr:pic>
      <xdr:nvPicPr>
        <xdr:cNvPr id="4" name="Picture 8" descr="C:\Users\kgt\AppData\Local\Microsoft\Windows\Temporary Internet Files\Content.IE5\NP6CU5IM\MC900021547[1].wmf">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2777822"/>
          <a:ext cx="594360" cy="559737"/>
        </a:xfrm>
        <a:prstGeom prst="rect">
          <a:avLst/>
        </a:prstGeom>
        <a:noFill/>
      </xdr:spPr>
    </xdr:pic>
    <xdr:clientData/>
  </xdr:twoCellAnchor>
  <xdr:twoCellAnchor editAs="oneCell">
    <xdr:from>
      <xdr:col>0</xdr:col>
      <xdr:colOff>15241</xdr:colOff>
      <xdr:row>24</xdr:row>
      <xdr:rowOff>91440</xdr:rowOff>
    </xdr:from>
    <xdr:to>
      <xdr:col>0</xdr:col>
      <xdr:colOff>597795</xdr:colOff>
      <xdr:row>24</xdr:row>
      <xdr:rowOff>441960</xdr:rowOff>
    </xdr:to>
    <xdr:pic>
      <xdr:nvPicPr>
        <xdr:cNvPr id="5" name="Picture 9" descr="C:\Users\kgt\AppData\Local\Microsoft\Windows\Temporary Internet Files\Content.IE5\Q1XRK13M\MC900239035[1].wmf">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1" y="5897880"/>
          <a:ext cx="582554" cy="350520"/>
        </a:xfrm>
        <a:prstGeom prst="rect">
          <a:avLst/>
        </a:prstGeom>
        <a:noFill/>
      </xdr:spPr>
    </xdr:pic>
    <xdr:clientData/>
  </xdr:twoCellAnchor>
  <xdr:twoCellAnchor editAs="oneCell">
    <xdr:from>
      <xdr:col>0</xdr:col>
      <xdr:colOff>7620</xdr:colOff>
      <xdr:row>31</xdr:row>
      <xdr:rowOff>0</xdr:rowOff>
    </xdr:from>
    <xdr:to>
      <xdr:col>1</xdr:col>
      <xdr:colOff>7620</xdr:colOff>
      <xdr:row>31</xdr:row>
      <xdr:rowOff>510540</xdr:rowOff>
    </xdr:to>
    <xdr:pic>
      <xdr:nvPicPr>
        <xdr:cNvPr id="6" name="Picture 12" descr="C:\Users\kgt\AppData\Local\Microsoft\Windows\Temporary Internet Files\Content.IE5\B3CY8F66\MC900334598[1].wmf">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7620" y="7498080"/>
          <a:ext cx="609600" cy="510540"/>
        </a:xfrm>
        <a:prstGeom prst="rect">
          <a:avLst/>
        </a:prstGeom>
        <a:noFill/>
      </xdr:spPr>
    </xdr:pic>
    <xdr:clientData/>
  </xdr:twoCellAnchor>
  <xdr:twoCellAnchor editAs="oneCell">
    <xdr:from>
      <xdr:col>8</xdr:col>
      <xdr:colOff>183635</xdr:colOff>
      <xdr:row>6</xdr:row>
      <xdr:rowOff>83820</xdr:rowOff>
    </xdr:from>
    <xdr:to>
      <xdr:col>9</xdr:col>
      <xdr:colOff>502920</xdr:colOff>
      <xdr:row>8</xdr:row>
      <xdr:rowOff>220980</xdr:rowOff>
    </xdr:to>
    <xdr:pic>
      <xdr:nvPicPr>
        <xdr:cNvPr id="7" name="Picture 2" descr="C:\Users\kgt\AppData\Local\Microsoft\Windows\Temporary Internet Files\Content.IE5\7A2JWIRA\MC900056964[1].wmf">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5197595" y="1303020"/>
          <a:ext cx="928885" cy="86868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 Id="rId9"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5.xml"/><Relationship Id="rId4" Type="http://schemas.openxmlformats.org/officeDocument/2006/relationships/image" Target="../media/image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6.xml"/><Relationship Id="rId4" Type="http://schemas.openxmlformats.org/officeDocument/2006/relationships/image" Target="../media/image6.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emf"/><Relationship Id="rId4" Type="http://schemas.openxmlformats.org/officeDocument/2006/relationships/control" Target="../activeX/activeX7.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csiro.au/awap/"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105"/>
  <sheetViews>
    <sheetView topLeftCell="A58" zoomScale="85" zoomScaleNormal="85" workbookViewId="0">
      <selection activeCell="O106" sqref="O106"/>
    </sheetView>
  </sheetViews>
  <sheetFormatPr defaultRowHeight="13.2" x14ac:dyDescent="0.25"/>
  <cols>
    <col min="1" max="1" width="13.5546875" customWidth="1"/>
    <col min="2" max="2" width="29.33203125" style="257" customWidth="1"/>
  </cols>
  <sheetData>
    <row r="1" spans="1:3" x14ac:dyDescent="0.25">
      <c r="A1" s="258" t="s">
        <v>355</v>
      </c>
      <c r="B1" s="355">
        <v>39281</v>
      </c>
      <c r="C1" t="s">
        <v>350</v>
      </c>
    </row>
    <row r="2" spans="1:3" x14ac:dyDescent="0.25">
      <c r="A2" s="259" t="s">
        <v>360</v>
      </c>
      <c r="C2" t="s">
        <v>351</v>
      </c>
    </row>
    <row r="4" spans="1:3" x14ac:dyDescent="0.25">
      <c r="B4" s="356">
        <v>39308</v>
      </c>
      <c r="C4" t="s">
        <v>352</v>
      </c>
    </row>
    <row r="5" spans="1:3" x14ac:dyDescent="0.25">
      <c r="C5" t="s">
        <v>361</v>
      </c>
    </row>
    <row r="7" spans="1:3" x14ac:dyDescent="0.25">
      <c r="B7" s="356">
        <v>39403</v>
      </c>
      <c r="C7" t="s">
        <v>353</v>
      </c>
    </row>
    <row r="8" spans="1:3" x14ac:dyDescent="0.25">
      <c r="C8" t="s">
        <v>358</v>
      </c>
    </row>
    <row r="9" spans="1:3" x14ac:dyDescent="0.25">
      <c r="C9" t="s">
        <v>362</v>
      </c>
    </row>
    <row r="11" spans="1:3" x14ac:dyDescent="0.25">
      <c r="B11" s="356">
        <v>39430</v>
      </c>
      <c r="C11" t="s">
        <v>359</v>
      </c>
    </row>
    <row r="13" spans="1:3" x14ac:dyDescent="0.25">
      <c r="B13" s="356">
        <v>39461</v>
      </c>
      <c r="C13" t="s">
        <v>356</v>
      </c>
    </row>
    <row r="14" spans="1:3" x14ac:dyDescent="0.25">
      <c r="C14" t="s">
        <v>357</v>
      </c>
    </row>
    <row r="16" spans="1:3" x14ac:dyDescent="0.25">
      <c r="B16" s="356">
        <v>39468</v>
      </c>
      <c r="C16" t="s">
        <v>354</v>
      </c>
    </row>
    <row r="17" spans="2:3" x14ac:dyDescent="0.25">
      <c r="C17" t="s">
        <v>390</v>
      </c>
    </row>
    <row r="19" spans="2:3" x14ac:dyDescent="0.25">
      <c r="B19" s="356" t="s">
        <v>392</v>
      </c>
      <c r="C19" t="s">
        <v>393</v>
      </c>
    </row>
    <row r="21" spans="2:3" x14ac:dyDescent="0.25">
      <c r="B21" s="356" t="s">
        <v>394</v>
      </c>
      <c r="C21" t="s">
        <v>395</v>
      </c>
    </row>
    <row r="23" spans="2:3" x14ac:dyDescent="0.25">
      <c r="B23" s="356" t="s">
        <v>398</v>
      </c>
      <c r="C23" t="s">
        <v>396</v>
      </c>
    </row>
    <row r="25" spans="2:3" x14ac:dyDescent="0.25">
      <c r="B25" s="356" t="s">
        <v>397</v>
      </c>
      <c r="C25" t="s">
        <v>399</v>
      </c>
    </row>
    <row r="26" spans="2:3" x14ac:dyDescent="0.25">
      <c r="C26" t="s">
        <v>400</v>
      </c>
    </row>
    <row r="28" spans="2:3" x14ac:dyDescent="0.25">
      <c r="B28" s="356" t="s">
        <v>401</v>
      </c>
      <c r="C28" t="s">
        <v>402</v>
      </c>
    </row>
    <row r="30" spans="2:3" x14ac:dyDescent="0.25">
      <c r="B30" s="356" t="s">
        <v>661</v>
      </c>
      <c r="C30" t="s">
        <v>656</v>
      </c>
    </row>
    <row r="31" spans="2:3" x14ac:dyDescent="0.25">
      <c r="C31" t="s">
        <v>657</v>
      </c>
    </row>
    <row r="32" spans="2:3" x14ac:dyDescent="0.25">
      <c r="C32" t="s">
        <v>660</v>
      </c>
    </row>
    <row r="34" spans="2:3" x14ac:dyDescent="0.25">
      <c r="B34" s="356" t="s">
        <v>664</v>
      </c>
      <c r="C34" t="s">
        <v>665</v>
      </c>
    </row>
    <row r="35" spans="2:3" x14ac:dyDescent="0.25">
      <c r="C35" t="s">
        <v>666</v>
      </c>
    </row>
    <row r="36" spans="2:3" x14ac:dyDescent="0.25">
      <c r="C36" t="s">
        <v>667</v>
      </c>
    </row>
    <row r="38" spans="2:3" x14ac:dyDescent="0.25">
      <c r="B38" s="356" t="s">
        <v>669</v>
      </c>
      <c r="C38" t="s">
        <v>670</v>
      </c>
    </row>
    <row r="39" spans="2:3" x14ac:dyDescent="0.25">
      <c r="C39" t="s">
        <v>671</v>
      </c>
    </row>
    <row r="41" spans="2:3" x14ac:dyDescent="0.25">
      <c r="B41" s="356" t="s">
        <v>676</v>
      </c>
      <c r="C41" t="s">
        <v>675</v>
      </c>
    </row>
    <row r="42" spans="2:3" x14ac:dyDescent="0.25">
      <c r="C42" t="s">
        <v>677</v>
      </c>
    </row>
    <row r="44" spans="2:3" x14ac:dyDescent="0.25">
      <c r="B44" s="356" t="s">
        <v>682</v>
      </c>
      <c r="C44" t="s">
        <v>678</v>
      </c>
    </row>
    <row r="45" spans="2:3" x14ac:dyDescent="0.25">
      <c r="C45" t="s">
        <v>683</v>
      </c>
    </row>
    <row r="47" spans="2:3" x14ac:dyDescent="0.25">
      <c r="B47" s="356" t="s">
        <v>687</v>
      </c>
      <c r="C47" s="354" t="s">
        <v>690</v>
      </c>
    </row>
    <row r="49" spans="2:3" x14ac:dyDescent="0.25">
      <c r="B49" s="357" t="s">
        <v>688</v>
      </c>
      <c r="C49" s="354" t="s">
        <v>689</v>
      </c>
    </row>
    <row r="51" spans="2:3" x14ac:dyDescent="0.25">
      <c r="B51" s="357" t="s">
        <v>697</v>
      </c>
      <c r="C51" s="354" t="s">
        <v>699</v>
      </c>
    </row>
    <row r="52" spans="2:3" x14ac:dyDescent="0.25">
      <c r="C52" s="371" t="s">
        <v>698</v>
      </c>
    </row>
    <row r="54" spans="2:3" x14ac:dyDescent="0.25">
      <c r="B54" s="356" t="s">
        <v>712</v>
      </c>
      <c r="C54" t="s">
        <v>714</v>
      </c>
    </row>
    <row r="55" spans="2:3" x14ac:dyDescent="0.25">
      <c r="C55" t="s">
        <v>713</v>
      </c>
    </row>
    <row r="56" spans="2:3" x14ac:dyDescent="0.25">
      <c r="C56" t="s">
        <v>715</v>
      </c>
    </row>
    <row r="58" spans="2:3" ht="14.4" x14ac:dyDescent="0.3">
      <c r="B58" s="378" t="s">
        <v>716</v>
      </c>
      <c r="C58" s="354" t="s">
        <v>756</v>
      </c>
    </row>
    <row r="60" spans="2:3" x14ac:dyDescent="0.25">
      <c r="B60" s="356" t="s">
        <v>759</v>
      </c>
      <c r="C60" t="s">
        <v>760</v>
      </c>
    </row>
    <row r="61" spans="2:3" x14ac:dyDescent="0.25">
      <c r="C61" t="s">
        <v>761</v>
      </c>
    </row>
    <row r="62" spans="2:3" x14ac:dyDescent="0.25">
      <c r="C62" t="s">
        <v>762</v>
      </c>
    </row>
    <row r="64" spans="2:3" ht="14.4" x14ac:dyDescent="0.3">
      <c r="B64" s="378" t="s">
        <v>763</v>
      </c>
      <c r="C64" t="s">
        <v>764</v>
      </c>
    </row>
    <row r="65" spans="2:3" x14ac:dyDescent="0.25">
      <c r="C65" t="s">
        <v>766</v>
      </c>
    </row>
    <row r="67" spans="2:3" x14ac:dyDescent="0.25">
      <c r="B67" s="356" t="s">
        <v>810</v>
      </c>
      <c r="C67" t="s">
        <v>811</v>
      </c>
    </row>
    <row r="69" spans="2:3" x14ac:dyDescent="0.25">
      <c r="B69" s="357" t="s">
        <v>819</v>
      </c>
      <c r="C69" s="354" t="s">
        <v>820</v>
      </c>
    </row>
    <row r="70" spans="2:3" x14ac:dyDescent="0.25">
      <c r="C70" s="371" t="s">
        <v>821</v>
      </c>
    </row>
    <row r="72" spans="2:3" x14ac:dyDescent="0.25">
      <c r="B72" s="356" t="s">
        <v>825</v>
      </c>
      <c r="C72" t="s">
        <v>826</v>
      </c>
    </row>
    <row r="73" spans="2:3" x14ac:dyDescent="0.25">
      <c r="C73" s="354" t="s">
        <v>1042</v>
      </c>
    </row>
    <row r="75" spans="2:3" x14ac:dyDescent="0.25">
      <c r="B75" s="356" t="s">
        <v>828</v>
      </c>
      <c r="C75" t="s">
        <v>829</v>
      </c>
    </row>
    <row r="77" spans="2:3" x14ac:dyDescent="0.25">
      <c r="B77" s="356" t="s">
        <v>830</v>
      </c>
      <c r="C77" t="s">
        <v>831</v>
      </c>
    </row>
    <row r="78" spans="2:3" x14ac:dyDescent="0.25">
      <c r="C78" s="354" t="s">
        <v>910</v>
      </c>
    </row>
    <row r="80" spans="2:3" x14ac:dyDescent="0.25">
      <c r="B80" s="357" t="s">
        <v>1041</v>
      </c>
      <c r="C80" s="354" t="s">
        <v>1043</v>
      </c>
    </row>
    <row r="82" spans="2:3" x14ac:dyDescent="0.25">
      <c r="B82" s="357" t="s">
        <v>1045</v>
      </c>
      <c r="C82" s="354" t="s">
        <v>1044</v>
      </c>
    </row>
    <row r="84" spans="2:3" x14ac:dyDescent="0.25">
      <c r="B84" s="357" t="s">
        <v>1048</v>
      </c>
      <c r="C84" s="354" t="s">
        <v>1049</v>
      </c>
    </row>
    <row r="85" spans="2:3" x14ac:dyDescent="0.25">
      <c r="C85" s="371" t="s">
        <v>1051</v>
      </c>
    </row>
    <row r="86" spans="2:3" x14ac:dyDescent="0.25">
      <c r="C86" s="371" t="s">
        <v>1050</v>
      </c>
    </row>
    <row r="87" spans="2:3" x14ac:dyDescent="0.25">
      <c r="C87" s="371" t="s">
        <v>1052</v>
      </c>
    </row>
    <row r="88" spans="2:3" x14ac:dyDescent="0.25">
      <c r="C88" s="371" t="s">
        <v>1053</v>
      </c>
    </row>
    <row r="90" spans="2:3" x14ac:dyDescent="0.25">
      <c r="B90" s="357" t="s">
        <v>1058</v>
      </c>
      <c r="C90" s="354" t="s">
        <v>1054</v>
      </c>
    </row>
    <row r="91" spans="2:3" x14ac:dyDescent="0.25">
      <c r="C91" s="371" t="s">
        <v>1056</v>
      </c>
    </row>
    <row r="93" spans="2:3" x14ac:dyDescent="0.25">
      <c r="B93" s="357" t="s">
        <v>1059</v>
      </c>
      <c r="C93" s="354" t="s">
        <v>1060</v>
      </c>
    </row>
    <row r="95" spans="2:3" x14ac:dyDescent="0.25">
      <c r="B95" s="357" t="s">
        <v>1081</v>
      </c>
      <c r="C95" s="354" t="s">
        <v>1082</v>
      </c>
    </row>
    <row r="96" spans="2:3" x14ac:dyDescent="0.25">
      <c r="C96" s="371" t="s">
        <v>1083</v>
      </c>
    </row>
    <row r="98" spans="2:3" x14ac:dyDescent="0.25">
      <c r="B98" s="357" t="s">
        <v>1123</v>
      </c>
      <c r="C98" s="354" t="s">
        <v>1145</v>
      </c>
    </row>
    <row r="99" spans="2:3" x14ac:dyDescent="0.25">
      <c r="C99" s="371" t="s">
        <v>1124</v>
      </c>
    </row>
    <row r="101" spans="2:3" x14ac:dyDescent="0.25">
      <c r="B101" s="357" t="s">
        <v>1142</v>
      </c>
      <c r="C101" s="354" t="s">
        <v>1143</v>
      </c>
    </row>
    <row r="102" spans="2:3" x14ac:dyDescent="0.25">
      <c r="C102" s="371" t="s">
        <v>1144</v>
      </c>
    </row>
    <row r="103" spans="2:3" x14ac:dyDescent="0.25">
      <c r="C103" s="371" t="s">
        <v>1146</v>
      </c>
    </row>
    <row r="104" spans="2:3" x14ac:dyDescent="0.25">
      <c r="C104" s="371" t="s">
        <v>1147</v>
      </c>
    </row>
    <row r="105" spans="2:3" x14ac:dyDescent="0.25">
      <c r="C105" s="371" t="s">
        <v>1148</v>
      </c>
    </row>
  </sheetData>
  <sheetProtection algorithmName="SHA-512" hashValue="zkwFQpLb8sP2TNjVEjp0j1mscB92CyFyUGxtzv00k2BXpW9JdWGAZInEWoLDA2vCX/2jSaSPuYXTS1YsH0eJNA==" saltValue="FNQlStUc/F78o3ZLjX80WQ==" spinCount="100000" sheet="1" objects="1" scenarios="1"/>
  <phoneticPr fontId="6" type="noConversion"/>
  <pageMargins left="0.75" right="0.75" top="1" bottom="1" header="0.5" footer="0.5"/>
  <pageSetup paperSize="9"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762"/>
  <sheetViews>
    <sheetView topLeftCell="G2" zoomScale="75" workbookViewId="0">
      <selection activeCell="X9" sqref="X9"/>
    </sheetView>
  </sheetViews>
  <sheetFormatPr defaultRowHeight="13.2" x14ac:dyDescent="0.25"/>
  <cols>
    <col min="14" max="14" width="10.109375" bestFit="1" customWidth="1"/>
  </cols>
  <sheetData>
    <row r="1" spans="1:26" x14ac:dyDescent="0.25">
      <c r="A1" t="s">
        <v>276</v>
      </c>
    </row>
    <row r="4" spans="1:26" x14ac:dyDescent="0.25">
      <c r="Q4" t="s">
        <v>330</v>
      </c>
      <c r="R4" t="s">
        <v>330</v>
      </c>
      <c r="W4" t="s">
        <v>384</v>
      </c>
    </row>
    <row r="5" spans="1:26" x14ac:dyDescent="0.25">
      <c r="B5" t="s">
        <v>327</v>
      </c>
      <c r="C5" s="29" t="s">
        <v>284</v>
      </c>
      <c r="D5" s="138" t="s">
        <v>215</v>
      </c>
      <c r="E5" s="29" t="s">
        <v>321</v>
      </c>
      <c r="F5" s="29" t="s">
        <v>322</v>
      </c>
      <c r="G5" s="29" t="s">
        <v>323</v>
      </c>
      <c r="I5" t="s">
        <v>324</v>
      </c>
      <c r="N5" s="243" t="s">
        <v>327</v>
      </c>
      <c r="O5" s="243" t="s">
        <v>284</v>
      </c>
      <c r="P5" s="243" t="s">
        <v>215</v>
      </c>
      <c r="Q5" s="243" t="s">
        <v>328</v>
      </c>
      <c r="R5" s="243" t="s">
        <v>329</v>
      </c>
      <c r="S5" s="243" t="s">
        <v>284</v>
      </c>
      <c r="T5" s="243" t="s">
        <v>331</v>
      </c>
      <c r="U5" s="243" t="s">
        <v>323</v>
      </c>
      <c r="V5" s="243" t="s">
        <v>332</v>
      </c>
      <c r="W5" s="87"/>
    </row>
    <row r="6" spans="1:26" x14ac:dyDescent="0.25">
      <c r="C6" s="75">
        <v>0.66666666666666663</v>
      </c>
      <c r="D6" s="86">
        <v>30</v>
      </c>
      <c r="E6" s="29">
        <v>0</v>
      </c>
      <c r="F6" s="240">
        <f>IF(D6&gt;0,D6,70)</f>
        <v>30</v>
      </c>
      <c r="G6" s="50"/>
      <c r="I6" t="s">
        <v>325</v>
      </c>
      <c r="N6" s="244">
        <f>Weather_Site!B12</f>
        <v>44549</v>
      </c>
      <c r="O6" s="245">
        <f>Weather_Site!C12</f>
        <v>0.16666666666666666</v>
      </c>
      <c r="P6" s="5">
        <f>Weather_Site!E12</f>
        <v>24.2</v>
      </c>
      <c r="Q6" s="5"/>
      <c r="R6" s="5"/>
      <c r="S6" s="5">
        <f>HOUR(O6)</f>
        <v>4</v>
      </c>
      <c r="T6" s="246"/>
      <c r="U6" s="5"/>
      <c r="V6" s="5"/>
      <c r="W6">
        <f>V6</f>
        <v>0</v>
      </c>
      <c r="X6">
        <f>W6</f>
        <v>0</v>
      </c>
      <c r="Z6" t="s">
        <v>381</v>
      </c>
    </row>
    <row r="7" spans="1:26" x14ac:dyDescent="0.25">
      <c r="C7" s="75">
        <v>0.70833333333333304</v>
      </c>
      <c r="D7" s="86"/>
      <c r="E7" s="29">
        <v>1</v>
      </c>
      <c r="F7" s="29">
        <f t="shared" ref="F7:F22" si="0">IF(D7&gt;0,D7,F6)</f>
        <v>30</v>
      </c>
      <c r="G7" s="29">
        <f>MAX(((F7+F6)/2)-70,0)</f>
        <v>0</v>
      </c>
      <c r="N7" s="244">
        <f>Weather_Site!B13</f>
        <v>44549</v>
      </c>
      <c r="O7" s="245">
        <f>Weather_Site!C13</f>
        <v>0.20833333333333334</v>
      </c>
      <c r="P7" s="5">
        <f>Weather_Site!E13</f>
        <v>24.4</v>
      </c>
      <c r="Q7" s="245">
        <f>IF((O7-O6)&lt;0,(1-MAX(O6,0.625))+MIN(O7,0.334),(IF(O6&lt;0.333,(MIN(O7,0.334)-O6),IF(O7&gt;0.625,MAX(O7,0.625)-O6,0))))</f>
        <v>4.1666666666666685E-2</v>
      </c>
      <c r="R7" s="5">
        <f>HOUR(Q7)</f>
        <v>1</v>
      </c>
      <c r="S7" s="5">
        <f t="shared" ref="S7:S36" si="1">HOUR(O7)</f>
        <v>5</v>
      </c>
      <c r="T7" s="247">
        <f>(P7+P6)/2*R7</f>
        <v>24.299999999999997</v>
      </c>
      <c r="U7" s="5">
        <f>MAX((T7-70*R7),0)</f>
        <v>0</v>
      </c>
      <c r="V7" s="247">
        <f>IF(OR(AND((N7-N6)=0,O6&gt;0.5),AND((N7-N6)=1,O7&lt;0.5),AND(N7-N6)=0,O7&lt;0.5),U7+V6,U7)</f>
        <v>0</v>
      </c>
      <c r="W7" s="276">
        <f>IF(O7&lt;0.75,MAX(V7,W6),V7)</f>
        <v>0</v>
      </c>
      <c r="X7" s="277">
        <f>IF(AND(O6&lt;0.333,O7&gt;=0.333),W7,X6)</f>
        <v>0</v>
      </c>
      <c r="Z7" t="s">
        <v>382</v>
      </c>
    </row>
    <row r="8" spans="1:26" x14ac:dyDescent="0.25">
      <c r="B8" s="275">
        <f t="shared" ref="B8:B21" si="2">C8</f>
        <v>0.75</v>
      </c>
      <c r="C8" s="75">
        <v>0.75</v>
      </c>
      <c r="D8" s="86">
        <v>45</v>
      </c>
      <c r="E8" s="29">
        <v>2</v>
      </c>
      <c r="F8" s="29">
        <f t="shared" si="0"/>
        <v>45</v>
      </c>
      <c r="G8" s="29">
        <f t="shared" ref="G8:G22" si="3">MAX(((F8+F7)/2)-70,0)</f>
        <v>0</v>
      </c>
      <c r="N8" s="244">
        <f>Weather_Site!B14</f>
        <v>44549</v>
      </c>
      <c r="O8" s="245">
        <f>Weather_Site!C14</f>
        <v>0.25</v>
      </c>
      <c r="P8" s="5">
        <f>Weather_Site!E14</f>
        <v>27.3</v>
      </c>
      <c r="Q8" s="245">
        <f t="shared" ref="Q8:Q36" si="4">IF((O8-O7)&lt;0,(1-MAX(O7,0.625))+MIN(O8,0.334),(IF(O7&lt;0.333,(MIN(O8,0.334)-O7),IF(O8&gt;0.625,MAX(O8,0.625)-O7,0))))</f>
        <v>4.1666666666666657E-2</v>
      </c>
      <c r="R8" s="5">
        <f t="shared" ref="R8:R71" si="5">HOUR(Q8)</f>
        <v>1</v>
      </c>
      <c r="S8" s="5">
        <f t="shared" si="1"/>
        <v>6</v>
      </c>
      <c r="T8" s="247">
        <f t="shared" ref="T8:T36" si="6">(P8+P7)/2*R8</f>
        <v>25.85</v>
      </c>
      <c r="U8" s="5">
        <f t="shared" ref="U8:U71" si="7">MAX((T8-70*R8),0)</f>
        <v>0</v>
      </c>
      <c r="V8" s="247">
        <f t="shared" ref="V8:V71" si="8">IF(OR(AND((N8-N7)=0,O7&gt;0.5),AND((N8-N7)=1,O8&lt;0.5),AND(N8-N7)=0,O8&lt;0.5),U8+V7,U8)</f>
        <v>0</v>
      </c>
      <c r="W8" s="276">
        <f t="shared" ref="W8:W71" si="9">IF(O8&lt;0.75,MAX(V8,W7),V8)</f>
        <v>0</v>
      </c>
      <c r="X8" s="277">
        <f t="shared" ref="X8:X34" si="10">IF(AND(O7&lt;0.333,O8&gt;=0.333),W8,X7)</f>
        <v>0</v>
      </c>
    </row>
    <row r="9" spans="1:26" x14ac:dyDescent="0.25">
      <c r="B9" s="275">
        <f t="shared" si="2"/>
        <v>0.79166666666666696</v>
      </c>
      <c r="C9" s="75">
        <v>0.79166666666666696</v>
      </c>
      <c r="D9" s="86">
        <v>60</v>
      </c>
      <c r="E9" s="29">
        <v>3</v>
      </c>
      <c r="F9" s="29">
        <f t="shared" si="0"/>
        <v>60</v>
      </c>
      <c r="G9" s="29">
        <f t="shared" si="3"/>
        <v>0</v>
      </c>
      <c r="N9" s="244">
        <f>Weather_Site!B15</f>
        <v>44549</v>
      </c>
      <c r="O9" s="245">
        <f>Weather_Site!C15</f>
        <v>0.29166666666666669</v>
      </c>
      <c r="P9" s="5">
        <f>Weather_Site!E15</f>
        <v>28.2</v>
      </c>
      <c r="Q9" s="245">
        <f t="shared" si="4"/>
        <v>4.1666666666666685E-2</v>
      </c>
      <c r="R9" s="5">
        <f t="shared" si="5"/>
        <v>1</v>
      </c>
      <c r="S9" s="5">
        <f t="shared" si="1"/>
        <v>7</v>
      </c>
      <c r="T9" s="247">
        <f t="shared" si="6"/>
        <v>27.75</v>
      </c>
      <c r="U9" s="5">
        <f t="shared" si="7"/>
        <v>0</v>
      </c>
      <c r="V9" s="247">
        <f t="shared" si="8"/>
        <v>0</v>
      </c>
      <c r="W9" s="276">
        <f t="shared" si="9"/>
        <v>0</v>
      </c>
      <c r="X9" s="277">
        <f t="shared" si="10"/>
        <v>0</v>
      </c>
    </row>
    <row r="10" spans="1:26" x14ac:dyDescent="0.25">
      <c r="B10" s="275">
        <f t="shared" si="2"/>
        <v>0.83333333333333304</v>
      </c>
      <c r="C10" s="75">
        <v>0.83333333333333304</v>
      </c>
      <c r="D10" s="86">
        <v>70</v>
      </c>
      <c r="E10" s="29">
        <v>4</v>
      </c>
      <c r="F10" s="29">
        <f t="shared" si="0"/>
        <v>70</v>
      </c>
      <c r="G10" s="29">
        <f t="shared" si="3"/>
        <v>0</v>
      </c>
      <c r="N10" s="244">
        <f>Weather_Site!B16</f>
        <v>44549</v>
      </c>
      <c r="O10" s="245">
        <f>Weather_Site!C16</f>
        <v>0.33333333333333331</v>
      </c>
      <c r="P10" s="5">
        <f>Weather_Site!E16</f>
        <v>26</v>
      </c>
      <c r="Q10" s="245">
        <f t="shared" si="4"/>
        <v>4.166666666666663E-2</v>
      </c>
      <c r="R10" s="5">
        <f t="shared" si="5"/>
        <v>1</v>
      </c>
      <c r="S10" s="5">
        <f t="shared" si="1"/>
        <v>8</v>
      </c>
      <c r="T10" s="247">
        <f t="shared" si="6"/>
        <v>27.1</v>
      </c>
      <c r="U10" s="5">
        <f t="shared" si="7"/>
        <v>0</v>
      </c>
      <c r="V10" s="247">
        <f t="shared" si="8"/>
        <v>0</v>
      </c>
      <c r="W10" s="276">
        <f t="shared" si="9"/>
        <v>0</v>
      </c>
      <c r="X10" s="277">
        <f t="shared" si="10"/>
        <v>0</v>
      </c>
    </row>
    <row r="11" spans="1:26" x14ac:dyDescent="0.25">
      <c r="B11" s="275">
        <f t="shared" si="2"/>
        <v>0.875</v>
      </c>
      <c r="C11" s="75">
        <v>0.875</v>
      </c>
      <c r="D11" s="86">
        <v>80</v>
      </c>
      <c r="E11" s="29">
        <v>5</v>
      </c>
      <c r="F11" s="29">
        <f t="shared" si="0"/>
        <v>80</v>
      </c>
      <c r="G11" s="29">
        <f t="shared" si="3"/>
        <v>5</v>
      </c>
      <c r="N11" s="244">
        <f>Weather_Site!B17</f>
        <v>44549</v>
      </c>
      <c r="O11" s="245">
        <f>Weather_Site!C17</f>
        <v>0.375</v>
      </c>
      <c r="P11" s="5">
        <f>Weather_Site!E17</f>
        <v>28</v>
      </c>
      <c r="Q11" s="245">
        <f t="shared" si="4"/>
        <v>0</v>
      </c>
      <c r="R11" s="5">
        <f t="shared" si="5"/>
        <v>0</v>
      </c>
      <c r="S11" s="5">
        <f t="shared" si="1"/>
        <v>9</v>
      </c>
      <c r="T11" s="247">
        <f t="shared" si="6"/>
        <v>0</v>
      </c>
      <c r="U11" s="5">
        <f t="shared" si="7"/>
        <v>0</v>
      </c>
      <c r="V11" s="247">
        <f t="shared" si="8"/>
        <v>0</v>
      </c>
      <c r="W11" s="276">
        <f t="shared" si="9"/>
        <v>0</v>
      </c>
      <c r="X11" s="277">
        <f t="shared" si="10"/>
        <v>0</v>
      </c>
    </row>
    <row r="12" spans="1:26" x14ac:dyDescent="0.25">
      <c r="B12" s="275">
        <f t="shared" si="2"/>
        <v>0.91666666666666696</v>
      </c>
      <c r="C12" s="75">
        <v>0.91666666666666696</v>
      </c>
      <c r="D12" s="86">
        <v>80</v>
      </c>
      <c r="E12" s="29">
        <v>6</v>
      </c>
      <c r="F12" s="29">
        <f t="shared" si="0"/>
        <v>80</v>
      </c>
      <c r="G12" s="29">
        <f t="shared" si="3"/>
        <v>10</v>
      </c>
      <c r="N12" s="244">
        <f>Weather_Site!B18</f>
        <v>44549</v>
      </c>
      <c r="O12" s="245">
        <f>Weather_Site!C18</f>
        <v>0.41666666666666669</v>
      </c>
      <c r="P12" s="5">
        <f>Weather_Site!E18</f>
        <v>31.9</v>
      </c>
      <c r="Q12" s="245">
        <f t="shared" si="4"/>
        <v>0</v>
      </c>
      <c r="R12" s="5">
        <f t="shared" si="5"/>
        <v>0</v>
      </c>
      <c r="S12" s="5">
        <f t="shared" si="1"/>
        <v>10</v>
      </c>
      <c r="T12" s="247">
        <f t="shared" si="6"/>
        <v>0</v>
      </c>
      <c r="U12" s="5">
        <f t="shared" si="7"/>
        <v>0</v>
      </c>
      <c r="V12" s="247">
        <f t="shared" si="8"/>
        <v>0</v>
      </c>
      <c r="W12" s="276">
        <f t="shared" si="9"/>
        <v>0</v>
      </c>
      <c r="X12" s="277">
        <f t="shared" si="10"/>
        <v>0</v>
      </c>
    </row>
    <row r="13" spans="1:26" x14ac:dyDescent="0.25">
      <c r="B13" s="275">
        <f t="shared" si="2"/>
        <v>0.95833333333333304</v>
      </c>
      <c r="C13" s="75">
        <v>0.95833333333333304</v>
      </c>
      <c r="D13" s="86">
        <v>80</v>
      </c>
      <c r="E13" s="29">
        <v>7</v>
      </c>
      <c r="F13" s="29">
        <f t="shared" si="0"/>
        <v>80</v>
      </c>
      <c r="G13" s="29">
        <f t="shared" si="3"/>
        <v>10</v>
      </c>
      <c r="N13" s="244">
        <f>Weather_Site!B19</f>
        <v>44549</v>
      </c>
      <c r="O13" s="245">
        <f>Weather_Site!C19</f>
        <v>0.45833333333333331</v>
      </c>
      <c r="P13" s="5">
        <f>Weather_Site!E19</f>
        <v>35.1</v>
      </c>
      <c r="Q13" s="245">
        <f t="shared" si="4"/>
        <v>0</v>
      </c>
      <c r="R13" s="5">
        <f t="shared" si="5"/>
        <v>0</v>
      </c>
      <c r="S13" s="5">
        <f t="shared" si="1"/>
        <v>11</v>
      </c>
      <c r="T13" s="247">
        <f t="shared" si="6"/>
        <v>0</v>
      </c>
      <c r="U13" s="5">
        <f t="shared" si="7"/>
        <v>0</v>
      </c>
      <c r="V13" s="247">
        <f t="shared" si="8"/>
        <v>0</v>
      </c>
      <c r="W13" s="276">
        <f t="shared" si="9"/>
        <v>0</v>
      </c>
      <c r="X13" s="277">
        <f t="shared" si="10"/>
        <v>0</v>
      </c>
    </row>
    <row r="14" spans="1:26" x14ac:dyDescent="0.25">
      <c r="B14" s="275">
        <f t="shared" si="2"/>
        <v>1</v>
      </c>
      <c r="C14" s="75">
        <v>1</v>
      </c>
      <c r="D14" s="86"/>
      <c r="E14" s="29">
        <v>8</v>
      </c>
      <c r="F14" s="29">
        <f t="shared" si="0"/>
        <v>80</v>
      </c>
      <c r="G14" s="29">
        <f t="shared" si="3"/>
        <v>10</v>
      </c>
      <c r="N14" s="244">
        <f>Weather_Site!B20</f>
        <v>44549</v>
      </c>
      <c r="O14" s="245">
        <f>Weather_Site!C20</f>
        <v>0.5</v>
      </c>
      <c r="P14" s="5">
        <f>Weather_Site!E20</f>
        <v>39</v>
      </c>
      <c r="Q14" s="245">
        <f t="shared" si="4"/>
        <v>0</v>
      </c>
      <c r="R14" s="5">
        <f t="shared" si="5"/>
        <v>0</v>
      </c>
      <c r="S14" s="5">
        <f t="shared" si="1"/>
        <v>12</v>
      </c>
      <c r="T14" s="247">
        <f t="shared" si="6"/>
        <v>0</v>
      </c>
      <c r="U14" s="5">
        <f t="shared" si="7"/>
        <v>0</v>
      </c>
      <c r="V14" s="247">
        <f t="shared" si="8"/>
        <v>0</v>
      </c>
      <c r="W14" s="276">
        <f t="shared" si="9"/>
        <v>0</v>
      </c>
      <c r="X14" s="277">
        <f t="shared" si="10"/>
        <v>0</v>
      </c>
    </row>
    <row r="15" spans="1:26" x14ac:dyDescent="0.25">
      <c r="B15" s="275">
        <f t="shared" si="2"/>
        <v>1.0416666666666701</v>
      </c>
      <c r="C15" s="75">
        <v>1.0416666666666701</v>
      </c>
      <c r="D15" s="86"/>
      <c r="E15" s="29">
        <v>9</v>
      </c>
      <c r="F15" s="29">
        <f t="shared" si="0"/>
        <v>80</v>
      </c>
      <c r="G15" s="29">
        <f t="shared" si="3"/>
        <v>10</v>
      </c>
      <c r="N15" s="244">
        <f>Weather_Site!B21</f>
        <v>44549</v>
      </c>
      <c r="O15" s="245">
        <f>Weather_Site!C21</f>
        <v>0.54166666666666663</v>
      </c>
      <c r="P15" s="5">
        <f>Weather_Site!E21</f>
        <v>38.200000000000003</v>
      </c>
      <c r="Q15" s="245">
        <f t="shared" si="4"/>
        <v>0</v>
      </c>
      <c r="R15" s="5">
        <f t="shared" si="5"/>
        <v>0</v>
      </c>
      <c r="S15" s="5">
        <f t="shared" si="1"/>
        <v>13</v>
      </c>
      <c r="T15" s="247">
        <f t="shared" si="6"/>
        <v>0</v>
      </c>
      <c r="U15" s="5">
        <f t="shared" si="7"/>
        <v>0</v>
      </c>
      <c r="V15" s="247">
        <f t="shared" si="8"/>
        <v>0</v>
      </c>
      <c r="W15" s="276">
        <f t="shared" si="9"/>
        <v>0</v>
      </c>
      <c r="X15" s="277">
        <f t="shared" si="10"/>
        <v>0</v>
      </c>
    </row>
    <row r="16" spans="1:26" x14ac:dyDescent="0.25">
      <c r="B16" s="275">
        <f t="shared" si="2"/>
        <v>1.0833333333333299</v>
      </c>
      <c r="C16" s="75">
        <v>1.0833333333333299</v>
      </c>
      <c r="D16" s="86"/>
      <c r="E16" s="29">
        <v>10</v>
      </c>
      <c r="F16" s="29">
        <f t="shared" si="0"/>
        <v>80</v>
      </c>
      <c r="G16" s="29">
        <f t="shared" si="3"/>
        <v>10</v>
      </c>
      <c r="N16" s="244">
        <f>Weather_Site!B22</f>
        <v>44549</v>
      </c>
      <c r="O16" s="245">
        <f>Weather_Site!C22</f>
        <v>0.58333333333333337</v>
      </c>
      <c r="P16" s="5">
        <f>Weather_Site!E22</f>
        <v>35.799999999999997</v>
      </c>
      <c r="Q16" s="245">
        <f t="shared" si="4"/>
        <v>0</v>
      </c>
      <c r="R16" s="5">
        <f t="shared" si="5"/>
        <v>0</v>
      </c>
      <c r="S16" s="5">
        <f t="shared" si="1"/>
        <v>14</v>
      </c>
      <c r="T16" s="247">
        <f t="shared" si="6"/>
        <v>0</v>
      </c>
      <c r="U16" s="5">
        <f t="shared" si="7"/>
        <v>0</v>
      </c>
      <c r="V16" s="247">
        <f t="shared" si="8"/>
        <v>0</v>
      </c>
      <c r="W16" s="276">
        <f t="shared" si="9"/>
        <v>0</v>
      </c>
      <c r="X16" s="277">
        <f t="shared" si="10"/>
        <v>0</v>
      </c>
    </row>
    <row r="17" spans="2:24" x14ac:dyDescent="0.25">
      <c r="B17" s="275">
        <f t="shared" si="2"/>
        <v>1.125</v>
      </c>
      <c r="C17" s="75">
        <v>1.125</v>
      </c>
      <c r="D17" s="86">
        <v>90</v>
      </c>
      <c r="E17" s="29">
        <v>11</v>
      </c>
      <c r="F17" s="29">
        <f t="shared" si="0"/>
        <v>90</v>
      </c>
      <c r="G17" s="29">
        <f t="shared" si="3"/>
        <v>15</v>
      </c>
      <c r="N17" s="244">
        <f>Weather_Site!B23</f>
        <v>44549</v>
      </c>
      <c r="O17" s="245">
        <f>Weather_Site!C23</f>
        <v>0.625</v>
      </c>
      <c r="P17" s="5">
        <f>Weather_Site!E23</f>
        <v>29.9</v>
      </c>
      <c r="Q17" s="245">
        <f t="shared" si="4"/>
        <v>0</v>
      </c>
      <c r="R17" s="5">
        <f t="shared" si="5"/>
        <v>0</v>
      </c>
      <c r="S17" s="5">
        <f t="shared" si="1"/>
        <v>15</v>
      </c>
      <c r="T17" s="247">
        <f t="shared" si="6"/>
        <v>0</v>
      </c>
      <c r="U17" s="5">
        <f t="shared" si="7"/>
        <v>0</v>
      </c>
      <c r="V17" s="247">
        <f t="shared" si="8"/>
        <v>0</v>
      </c>
      <c r="W17" s="276">
        <f t="shared" si="9"/>
        <v>0</v>
      </c>
      <c r="X17" s="277">
        <f t="shared" si="10"/>
        <v>0</v>
      </c>
    </row>
    <row r="18" spans="2:24" x14ac:dyDescent="0.25">
      <c r="B18" s="275">
        <f t="shared" si="2"/>
        <v>1.1666666666666701</v>
      </c>
      <c r="C18" s="75">
        <v>1.1666666666666701</v>
      </c>
      <c r="D18" s="86"/>
      <c r="E18" s="29">
        <v>12</v>
      </c>
      <c r="F18" s="29">
        <f t="shared" si="0"/>
        <v>90</v>
      </c>
      <c r="G18" s="29">
        <f t="shared" si="3"/>
        <v>20</v>
      </c>
      <c r="N18" s="244">
        <f>Weather_Site!B24</f>
        <v>44549</v>
      </c>
      <c r="O18" s="245">
        <f>Weather_Site!C24</f>
        <v>0.66666666666666663</v>
      </c>
      <c r="P18" s="5">
        <f>Weather_Site!E24</f>
        <v>25.1</v>
      </c>
      <c r="Q18" s="245">
        <f t="shared" si="4"/>
        <v>4.166666666666663E-2</v>
      </c>
      <c r="R18" s="5">
        <f t="shared" si="5"/>
        <v>1</v>
      </c>
      <c r="S18" s="5">
        <f t="shared" si="1"/>
        <v>16</v>
      </c>
      <c r="T18" s="247">
        <f t="shared" si="6"/>
        <v>27.5</v>
      </c>
      <c r="U18" s="5">
        <f t="shared" si="7"/>
        <v>0</v>
      </c>
      <c r="V18" s="247">
        <f t="shared" si="8"/>
        <v>0</v>
      </c>
      <c r="W18" s="276">
        <f t="shared" si="9"/>
        <v>0</v>
      </c>
      <c r="X18" s="277">
        <f t="shared" si="10"/>
        <v>0</v>
      </c>
    </row>
    <row r="19" spans="2:24" x14ac:dyDescent="0.25">
      <c r="B19" s="275">
        <f t="shared" si="2"/>
        <v>1.2083333333333299</v>
      </c>
      <c r="C19" s="75">
        <v>1.2083333333333299</v>
      </c>
      <c r="D19" s="86"/>
      <c r="E19" s="29">
        <v>13</v>
      </c>
      <c r="F19" s="29">
        <f t="shared" si="0"/>
        <v>90</v>
      </c>
      <c r="G19" s="29">
        <f t="shared" si="3"/>
        <v>20</v>
      </c>
      <c r="N19" s="244">
        <f>Weather_Site!B25</f>
        <v>44549</v>
      </c>
      <c r="O19" s="245">
        <f>Weather_Site!C25</f>
        <v>0.70833333333333337</v>
      </c>
      <c r="P19" s="5">
        <f>Weather_Site!E25</f>
        <v>22.5</v>
      </c>
      <c r="Q19" s="245">
        <f t="shared" si="4"/>
        <v>4.1666666666666741E-2</v>
      </c>
      <c r="R19" s="5">
        <f t="shared" si="5"/>
        <v>1</v>
      </c>
      <c r="S19" s="5">
        <f t="shared" si="1"/>
        <v>17</v>
      </c>
      <c r="T19" s="247">
        <f t="shared" si="6"/>
        <v>23.8</v>
      </c>
      <c r="U19" s="5">
        <f t="shared" si="7"/>
        <v>0</v>
      </c>
      <c r="V19" s="247">
        <f t="shared" si="8"/>
        <v>0</v>
      </c>
      <c r="W19" s="276">
        <f t="shared" si="9"/>
        <v>0</v>
      </c>
      <c r="X19" s="277">
        <f t="shared" si="10"/>
        <v>0</v>
      </c>
    </row>
    <row r="20" spans="2:24" x14ac:dyDescent="0.25">
      <c r="B20" s="275">
        <f t="shared" si="2"/>
        <v>1.25</v>
      </c>
      <c r="C20" s="75">
        <v>1.25</v>
      </c>
      <c r="D20" s="86">
        <v>75</v>
      </c>
      <c r="E20" s="29">
        <v>14</v>
      </c>
      <c r="F20" s="29">
        <f t="shared" si="0"/>
        <v>75</v>
      </c>
      <c r="G20" s="29">
        <f t="shared" si="3"/>
        <v>12.5</v>
      </c>
      <c r="N20" s="244">
        <f>Weather_Site!B26</f>
        <v>44549</v>
      </c>
      <c r="O20" s="245">
        <f>Weather_Site!C26</f>
        <v>0.75</v>
      </c>
      <c r="P20" s="5">
        <f>Weather_Site!E26</f>
        <v>21.8</v>
      </c>
      <c r="Q20" s="245">
        <f t="shared" si="4"/>
        <v>4.166666666666663E-2</v>
      </c>
      <c r="R20" s="5">
        <f t="shared" si="5"/>
        <v>1</v>
      </c>
      <c r="S20" s="5">
        <f t="shared" si="1"/>
        <v>18</v>
      </c>
      <c r="T20" s="247">
        <f t="shared" si="6"/>
        <v>22.15</v>
      </c>
      <c r="U20" s="5">
        <f t="shared" si="7"/>
        <v>0</v>
      </c>
      <c r="V20" s="247">
        <f t="shared" si="8"/>
        <v>0</v>
      </c>
      <c r="W20" s="276">
        <f t="shared" si="9"/>
        <v>0</v>
      </c>
      <c r="X20" s="277">
        <f t="shared" si="10"/>
        <v>0</v>
      </c>
    </row>
    <row r="21" spans="2:24" x14ac:dyDescent="0.25">
      <c r="B21" s="275">
        <f t="shared" si="2"/>
        <v>1.2916666666666701</v>
      </c>
      <c r="C21" s="75">
        <v>1.2916666666666701</v>
      </c>
      <c r="D21" s="86"/>
      <c r="E21" s="29">
        <v>15</v>
      </c>
      <c r="F21" s="29">
        <f t="shared" si="0"/>
        <v>75</v>
      </c>
      <c r="G21" s="29">
        <f t="shared" si="3"/>
        <v>5</v>
      </c>
      <c r="N21" s="244">
        <f>Weather_Site!B27</f>
        <v>44549</v>
      </c>
      <c r="O21" s="245">
        <f>Weather_Site!C27</f>
        <v>0.79166666666666663</v>
      </c>
      <c r="P21" s="5">
        <f>Weather_Site!E27</f>
        <v>21.8</v>
      </c>
      <c r="Q21" s="245">
        <f t="shared" si="4"/>
        <v>4.166666666666663E-2</v>
      </c>
      <c r="R21" s="5">
        <f t="shared" si="5"/>
        <v>1</v>
      </c>
      <c r="S21" s="5">
        <f t="shared" si="1"/>
        <v>19</v>
      </c>
      <c r="T21" s="247">
        <f t="shared" si="6"/>
        <v>21.8</v>
      </c>
      <c r="U21" s="5">
        <f t="shared" si="7"/>
        <v>0</v>
      </c>
      <c r="V21" s="247">
        <f t="shared" si="8"/>
        <v>0</v>
      </c>
      <c r="W21" s="276">
        <f t="shared" si="9"/>
        <v>0</v>
      </c>
      <c r="X21" s="277">
        <f t="shared" si="10"/>
        <v>0</v>
      </c>
    </row>
    <row r="22" spans="2:24" x14ac:dyDescent="0.25">
      <c r="B22" s="275">
        <f>C22</f>
        <v>1.3333333333333299</v>
      </c>
      <c r="C22" s="75">
        <v>1.3333333333333299</v>
      </c>
      <c r="D22" s="86">
        <v>60</v>
      </c>
      <c r="E22" s="29">
        <v>16</v>
      </c>
      <c r="F22" s="29">
        <f t="shared" si="0"/>
        <v>60</v>
      </c>
      <c r="G22" s="29">
        <f t="shared" si="3"/>
        <v>0</v>
      </c>
      <c r="N22" s="244">
        <f>Weather_Site!B28</f>
        <v>44549</v>
      </c>
      <c r="O22" s="245">
        <f>Weather_Site!C28</f>
        <v>0.83333333333333337</v>
      </c>
      <c r="P22" s="5">
        <f>Weather_Site!E28</f>
        <v>25.6</v>
      </c>
      <c r="Q22" s="245">
        <f t="shared" si="4"/>
        <v>4.1666666666666741E-2</v>
      </c>
      <c r="R22" s="5">
        <f t="shared" si="5"/>
        <v>1</v>
      </c>
      <c r="S22" s="5">
        <f t="shared" si="1"/>
        <v>20</v>
      </c>
      <c r="T22" s="247">
        <f t="shared" si="6"/>
        <v>23.700000000000003</v>
      </c>
      <c r="U22" s="5">
        <f t="shared" si="7"/>
        <v>0</v>
      </c>
      <c r="V22" s="247">
        <f t="shared" si="8"/>
        <v>0</v>
      </c>
      <c r="W22" s="276">
        <f t="shared" si="9"/>
        <v>0</v>
      </c>
      <c r="X22" s="277">
        <f t="shared" si="10"/>
        <v>0</v>
      </c>
    </row>
    <row r="23" spans="2:24" x14ac:dyDescent="0.25">
      <c r="F23" s="241" t="s">
        <v>323</v>
      </c>
      <c r="G23" s="242">
        <f>SUM(G9:G22)/4</f>
        <v>31.875</v>
      </c>
      <c r="I23" t="s">
        <v>326</v>
      </c>
      <c r="N23" s="244">
        <f>Weather_Site!B29</f>
        <v>44549</v>
      </c>
      <c r="O23" s="245">
        <f>Weather_Site!C29</f>
        <v>0.875</v>
      </c>
      <c r="P23" s="5">
        <f>Weather_Site!E29</f>
        <v>25.8</v>
      </c>
      <c r="Q23" s="245">
        <f t="shared" si="4"/>
        <v>4.166666666666663E-2</v>
      </c>
      <c r="R23" s="5">
        <f t="shared" si="5"/>
        <v>1</v>
      </c>
      <c r="S23" s="5">
        <f t="shared" si="1"/>
        <v>21</v>
      </c>
      <c r="T23" s="247">
        <f t="shared" si="6"/>
        <v>25.700000000000003</v>
      </c>
      <c r="U23" s="5">
        <f t="shared" si="7"/>
        <v>0</v>
      </c>
      <c r="V23" s="247">
        <f t="shared" si="8"/>
        <v>0</v>
      </c>
      <c r="W23" s="276">
        <f t="shared" si="9"/>
        <v>0</v>
      </c>
      <c r="X23" s="277">
        <f t="shared" si="10"/>
        <v>0</v>
      </c>
    </row>
    <row r="24" spans="2:24" x14ac:dyDescent="0.25">
      <c r="N24" s="244">
        <f>Weather_Site!B30</f>
        <v>44549</v>
      </c>
      <c r="O24" s="245">
        <f>Weather_Site!C30</f>
        <v>0.91666666666666663</v>
      </c>
      <c r="P24" s="5">
        <f>Weather_Site!E30</f>
        <v>28.9</v>
      </c>
      <c r="Q24" s="245">
        <f t="shared" si="4"/>
        <v>4.166666666666663E-2</v>
      </c>
      <c r="R24" s="5">
        <f t="shared" si="5"/>
        <v>1</v>
      </c>
      <c r="S24" s="5">
        <f t="shared" si="1"/>
        <v>22</v>
      </c>
      <c r="T24" s="247">
        <f t="shared" si="6"/>
        <v>27.35</v>
      </c>
      <c r="U24" s="5">
        <f t="shared" si="7"/>
        <v>0</v>
      </c>
      <c r="V24" s="247">
        <f t="shared" si="8"/>
        <v>0</v>
      </c>
      <c r="W24" s="276">
        <f t="shared" si="9"/>
        <v>0</v>
      </c>
      <c r="X24" s="277">
        <f t="shared" si="10"/>
        <v>0</v>
      </c>
    </row>
    <row r="25" spans="2:24" x14ac:dyDescent="0.25">
      <c r="N25" s="244">
        <f>Weather_Site!B31</f>
        <v>44549</v>
      </c>
      <c r="O25" s="245">
        <f>Weather_Site!C31</f>
        <v>0.95833333333333337</v>
      </c>
      <c r="P25" s="5">
        <f>Weather_Site!E31</f>
        <v>31.5</v>
      </c>
      <c r="Q25" s="245">
        <f t="shared" si="4"/>
        <v>4.1666666666666741E-2</v>
      </c>
      <c r="R25" s="5">
        <f t="shared" si="5"/>
        <v>1</v>
      </c>
      <c r="S25" s="5">
        <f t="shared" si="1"/>
        <v>23</v>
      </c>
      <c r="T25" s="247">
        <f t="shared" si="6"/>
        <v>30.2</v>
      </c>
      <c r="U25" s="5">
        <f t="shared" si="7"/>
        <v>0</v>
      </c>
      <c r="V25" s="247">
        <f t="shared" si="8"/>
        <v>0</v>
      </c>
      <c r="W25" s="276">
        <f t="shared" si="9"/>
        <v>0</v>
      </c>
      <c r="X25" s="277">
        <f t="shared" si="10"/>
        <v>0</v>
      </c>
    </row>
    <row r="26" spans="2:24" x14ac:dyDescent="0.25">
      <c r="N26" s="244">
        <f>Weather_Site!B32</f>
        <v>44550</v>
      </c>
      <c r="O26" s="245">
        <f>Weather_Site!C32</f>
        <v>0</v>
      </c>
      <c r="P26" s="5">
        <f>Weather_Site!E32</f>
        <v>32.4</v>
      </c>
      <c r="Q26" s="245">
        <f t="shared" si="4"/>
        <v>4.166666666666663E-2</v>
      </c>
      <c r="R26" s="5">
        <f t="shared" si="5"/>
        <v>1</v>
      </c>
      <c r="S26" s="5">
        <f t="shared" si="1"/>
        <v>0</v>
      </c>
      <c r="T26" s="247">
        <f t="shared" si="6"/>
        <v>31.95</v>
      </c>
      <c r="U26" s="5">
        <f t="shared" si="7"/>
        <v>0</v>
      </c>
      <c r="V26" s="247">
        <f t="shared" si="8"/>
        <v>0</v>
      </c>
      <c r="W26" s="276">
        <f t="shared" si="9"/>
        <v>0</v>
      </c>
      <c r="X26" s="277">
        <f t="shared" si="10"/>
        <v>0</v>
      </c>
    </row>
    <row r="27" spans="2:24" x14ac:dyDescent="0.25">
      <c r="N27" s="244">
        <f>Weather_Site!B33</f>
        <v>44550</v>
      </c>
      <c r="O27" s="245">
        <f>Weather_Site!C33</f>
        <v>4.1666666666666664E-2</v>
      </c>
      <c r="P27" s="5">
        <f>Weather_Site!E33</f>
        <v>34.9</v>
      </c>
      <c r="Q27" s="245">
        <f t="shared" si="4"/>
        <v>4.1666666666666664E-2</v>
      </c>
      <c r="R27" s="5">
        <f t="shared" si="5"/>
        <v>1</v>
      </c>
      <c r="S27" s="5">
        <f t="shared" si="1"/>
        <v>1</v>
      </c>
      <c r="T27" s="247">
        <f t="shared" si="6"/>
        <v>33.65</v>
      </c>
      <c r="U27" s="5">
        <f t="shared" si="7"/>
        <v>0</v>
      </c>
      <c r="V27" s="247">
        <f t="shared" si="8"/>
        <v>0</v>
      </c>
      <c r="W27" s="276">
        <f t="shared" si="9"/>
        <v>0</v>
      </c>
      <c r="X27" s="277">
        <f t="shared" si="10"/>
        <v>0</v>
      </c>
    </row>
    <row r="28" spans="2:24" x14ac:dyDescent="0.25">
      <c r="N28" s="244">
        <f>Weather_Site!B34</f>
        <v>44550</v>
      </c>
      <c r="O28" s="245">
        <f>Weather_Site!C34</f>
        <v>8.3333333333333329E-2</v>
      </c>
      <c r="P28" s="5">
        <f>Weather_Site!E34</f>
        <v>37.6</v>
      </c>
      <c r="Q28" s="245">
        <f t="shared" si="4"/>
        <v>4.1666666666666664E-2</v>
      </c>
      <c r="R28" s="5">
        <f t="shared" si="5"/>
        <v>1</v>
      </c>
      <c r="S28" s="5">
        <f t="shared" si="1"/>
        <v>2</v>
      </c>
      <c r="T28" s="247">
        <f t="shared" si="6"/>
        <v>36.25</v>
      </c>
      <c r="U28" s="5">
        <f t="shared" si="7"/>
        <v>0</v>
      </c>
      <c r="V28" s="247">
        <f t="shared" si="8"/>
        <v>0</v>
      </c>
      <c r="W28" s="276">
        <f t="shared" si="9"/>
        <v>0</v>
      </c>
      <c r="X28" s="277">
        <f t="shared" si="10"/>
        <v>0</v>
      </c>
    </row>
    <row r="29" spans="2:24" x14ac:dyDescent="0.25">
      <c r="N29" s="244">
        <f>Weather_Site!B35</f>
        <v>44550</v>
      </c>
      <c r="O29" s="245">
        <f>Weather_Site!C35</f>
        <v>0.125</v>
      </c>
      <c r="P29" s="5">
        <f>Weather_Site!E35</f>
        <v>41.3</v>
      </c>
      <c r="Q29" s="245">
        <f t="shared" si="4"/>
        <v>4.1666666666666671E-2</v>
      </c>
      <c r="R29" s="5">
        <f t="shared" si="5"/>
        <v>1</v>
      </c>
      <c r="S29" s="5">
        <f t="shared" si="1"/>
        <v>3</v>
      </c>
      <c r="T29" s="247">
        <f t="shared" si="6"/>
        <v>39.450000000000003</v>
      </c>
      <c r="U29" s="5">
        <f t="shared" si="7"/>
        <v>0</v>
      </c>
      <c r="V29" s="247">
        <f t="shared" si="8"/>
        <v>0</v>
      </c>
      <c r="W29" s="276">
        <f t="shared" si="9"/>
        <v>0</v>
      </c>
      <c r="X29" s="277">
        <f t="shared" si="10"/>
        <v>0</v>
      </c>
    </row>
    <row r="30" spans="2:24" x14ac:dyDescent="0.25">
      <c r="N30" s="244">
        <f>Weather_Site!B36</f>
        <v>44550</v>
      </c>
      <c r="O30" s="245">
        <f>Weather_Site!C36</f>
        <v>0.16666666666666666</v>
      </c>
      <c r="P30" s="5">
        <f>Weather_Site!E36</f>
        <v>44.7</v>
      </c>
      <c r="Q30" s="245">
        <f t="shared" si="4"/>
        <v>4.1666666666666657E-2</v>
      </c>
      <c r="R30" s="5">
        <f t="shared" si="5"/>
        <v>1</v>
      </c>
      <c r="S30" s="5">
        <f t="shared" si="1"/>
        <v>4</v>
      </c>
      <c r="T30" s="247">
        <f t="shared" si="6"/>
        <v>43</v>
      </c>
      <c r="U30" s="5">
        <f t="shared" si="7"/>
        <v>0</v>
      </c>
      <c r="V30" s="247">
        <f t="shared" si="8"/>
        <v>0</v>
      </c>
      <c r="W30" s="276">
        <f t="shared" si="9"/>
        <v>0</v>
      </c>
      <c r="X30" s="277">
        <f t="shared" si="10"/>
        <v>0</v>
      </c>
    </row>
    <row r="31" spans="2:24" x14ac:dyDescent="0.25">
      <c r="N31" s="244">
        <f>Weather_Site!B37</f>
        <v>44550</v>
      </c>
      <c r="O31" s="245">
        <f>Weather_Site!C37</f>
        <v>0.20833333333333334</v>
      </c>
      <c r="P31" s="5">
        <f>Weather_Site!E37</f>
        <v>48.3</v>
      </c>
      <c r="Q31" s="245">
        <f t="shared" si="4"/>
        <v>4.1666666666666685E-2</v>
      </c>
      <c r="R31" s="5">
        <f t="shared" si="5"/>
        <v>1</v>
      </c>
      <c r="S31" s="5">
        <f t="shared" si="1"/>
        <v>5</v>
      </c>
      <c r="T31" s="247">
        <f t="shared" si="6"/>
        <v>46.5</v>
      </c>
      <c r="U31" s="5">
        <f t="shared" si="7"/>
        <v>0</v>
      </c>
      <c r="V31" s="247">
        <f t="shared" si="8"/>
        <v>0</v>
      </c>
      <c r="W31" s="276">
        <f t="shared" si="9"/>
        <v>0</v>
      </c>
      <c r="X31" s="277">
        <f t="shared" si="10"/>
        <v>0</v>
      </c>
    </row>
    <row r="32" spans="2:24" x14ac:dyDescent="0.25">
      <c r="N32" s="244">
        <f>Weather_Site!B38</f>
        <v>44550</v>
      </c>
      <c r="O32" s="245">
        <f>Weather_Site!C38</f>
        <v>0.25</v>
      </c>
      <c r="P32" s="5">
        <f>Weather_Site!E38</f>
        <v>53.1</v>
      </c>
      <c r="Q32" s="245">
        <f t="shared" si="4"/>
        <v>4.1666666666666657E-2</v>
      </c>
      <c r="R32" s="5">
        <f t="shared" si="5"/>
        <v>1</v>
      </c>
      <c r="S32" s="5">
        <f t="shared" si="1"/>
        <v>6</v>
      </c>
      <c r="T32" s="247">
        <f t="shared" si="6"/>
        <v>50.7</v>
      </c>
      <c r="U32" s="5">
        <f t="shared" si="7"/>
        <v>0</v>
      </c>
      <c r="V32" s="247">
        <f t="shared" si="8"/>
        <v>0</v>
      </c>
      <c r="W32" s="276">
        <f t="shared" si="9"/>
        <v>0</v>
      </c>
      <c r="X32" s="277">
        <f t="shared" si="10"/>
        <v>0</v>
      </c>
    </row>
    <row r="33" spans="14:24" x14ac:dyDescent="0.25">
      <c r="N33" s="244">
        <f>Weather_Site!B39</f>
        <v>44550</v>
      </c>
      <c r="O33" s="245">
        <f>Weather_Site!C39</f>
        <v>0.29166666666666669</v>
      </c>
      <c r="P33" s="5">
        <f>Weather_Site!E39</f>
        <v>50.4</v>
      </c>
      <c r="Q33" s="245">
        <f t="shared" si="4"/>
        <v>4.1666666666666685E-2</v>
      </c>
      <c r="R33" s="5">
        <f t="shared" si="5"/>
        <v>1</v>
      </c>
      <c r="S33" s="5">
        <f t="shared" si="1"/>
        <v>7</v>
      </c>
      <c r="T33" s="247">
        <f t="shared" si="6"/>
        <v>51.75</v>
      </c>
      <c r="U33" s="5">
        <f t="shared" si="7"/>
        <v>0</v>
      </c>
      <c r="V33" s="247">
        <f t="shared" si="8"/>
        <v>0</v>
      </c>
      <c r="W33" s="276">
        <f t="shared" si="9"/>
        <v>0</v>
      </c>
      <c r="X33" s="277">
        <f t="shared" si="10"/>
        <v>0</v>
      </c>
    </row>
    <row r="34" spans="14:24" x14ac:dyDescent="0.25">
      <c r="N34" s="244">
        <f>Weather_Site!B40</f>
        <v>44550</v>
      </c>
      <c r="O34" s="245">
        <f>Weather_Site!C40</f>
        <v>0.33333333333333331</v>
      </c>
      <c r="P34" s="5">
        <f>Weather_Site!E40</f>
        <v>44.1</v>
      </c>
      <c r="Q34" s="245">
        <f t="shared" si="4"/>
        <v>4.166666666666663E-2</v>
      </c>
      <c r="R34" s="5">
        <f t="shared" si="5"/>
        <v>1</v>
      </c>
      <c r="S34" s="5">
        <f t="shared" si="1"/>
        <v>8</v>
      </c>
      <c r="T34" s="247">
        <f t="shared" si="6"/>
        <v>47.25</v>
      </c>
      <c r="U34" s="5">
        <f t="shared" si="7"/>
        <v>0</v>
      </c>
      <c r="V34" s="247">
        <f t="shared" si="8"/>
        <v>0</v>
      </c>
      <c r="W34" s="276">
        <f t="shared" si="9"/>
        <v>0</v>
      </c>
      <c r="X34" s="277">
        <f t="shared" si="10"/>
        <v>0</v>
      </c>
    </row>
    <row r="35" spans="14:24" x14ac:dyDescent="0.25">
      <c r="N35" s="244">
        <f>Weather_Site!B41</f>
        <v>44550</v>
      </c>
      <c r="O35" s="245">
        <f>Weather_Site!C41</f>
        <v>0.375</v>
      </c>
      <c r="P35" s="5">
        <f>Weather_Site!E41</f>
        <v>39.799999999999997</v>
      </c>
      <c r="Q35" s="245">
        <f t="shared" si="4"/>
        <v>0</v>
      </c>
      <c r="R35" s="5">
        <f t="shared" si="5"/>
        <v>0</v>
      </c>
      <c r="S35" s="5">
        <f t="shared" si="1"/>
        <v>9</v>
      </c>
      <c r="T35" s="247">
        <f t="shared" si="6"/>
        <v>0</v>
      </c>
      <c r="U35" s="5">
        <f t="shared" si="7"/>
        <v>0</v>
      </c>
      <c r="V35" s="247">
        <f t="shared" si="8"/>
        <v>0</v>
      </c>
      <c r="W35" s="276">
        <f t="shared" si="9"/>
        <v>0</v>
      </c>
      <c r="X35" s="277">
        <f>IF(AND(O34&lt;0.333,O35&gt;=0.333),W35,X34)</f>
        <v>0</v>
      </c>
    </row>
    <row r="36" spans="14:24" x14ac:dyDescent="0.25">
      <c r="N36" s="244">
        <f>Weather_Site!B42</f>
        <v>44550</v>
      </c>
      <c r="O36" s="245">
        <f>Weather_Site!C42</f>
        <v>0.41666666666666669</v>
      </c>
      <c r="P36" s="5">
        <f>Weather_Site!E42</f>
        <v>33.6</v>
      </c>
      <c r="Q36" s="245">
        <f t="shared" si="4"/>
        <v>0</v>
      </c>
      <c r="R36" s="5">
        <f t="shared" si="5"/>
        <v>0</v>
      </c>
      <c r="S36" s="5">
        <f t="shared" si="1"/>
        <v>10</v>
      </c>
      <c r="T36" s="247">
        <f t="shared" si="6"/>
        <v>0</v>
      </c>
      <c r="U36" s="5">
        <f t="shared" si="7"/>
        <v>0</v>
      </c>
      <c r="V36" s="247">
        <f t="shared" si="8"/>
        <v>0</v>
      </c>
      <c r="W36" s="276">
        <f t="shared" si="9"/>
        <v>0</v>
      </c>
      <c r="X36" s="277">
        <f t="shared" ref="X36:X99" si="11">IF(AND(O35&lt;0.333,O36&gt;=0.333),W36,X35)</f>
        <v>0</v>
      </c>
    </row>
    <row r="37" spans="14:24" x14ac:dyDescent="0.25">
      <c r="N37" s="244">
        <f>Weather_Site!B43</f>
        <v>44550</v>
      </c>
      <c r="O37" s="245">
        <f>Weather_Site!C43</f>
        <v>0.45833333333333331</v>
      </c>
      <c r="P37" s="5">
        <f>Weather_Site!E43</f>
        <v>29.9</v>
      </c>
      <c r="Q37" s="245">
        <f t="shared" ref="Q37:Q100" si="12">IF((O37-O36)&lt;0,(1-MAX(O36,0.625))+MIN(O37,0.334),(IF(O36&lt;0.333,(MIN(O37,0.334)-O36),IF(O37&gt;0.625,MAX(O37,0.625)-O36,0))))</f>
        <v>0</v>
      </c>
      <c r="R37" s="5">
        <f t="shared" si="5"/>
        <v>0</v>
      </c>
      <c r="S37" s="5">
        <f t="shared" ref="S37:S100" si="13">HOUR(O37)</f>
        <v>11</v>
      </c>
      <c r="T37" s="247">
        <f t="shared" ref="T37:T100" si="14">(P37+P36)/2*R37</f>
        <v>0</v>
      </c>
      <c r="U37" s="5">
        <f t="shared" si="7"/>
        <v>0</v>
      </c>
      <c r="V37" s="247">
        <f t="shared" si="8"/>
        <v>0</v>
      </c>
      <c r="W37" s="276">
        <f t="shared" si="9"/>
        <v>0</v>
      </c>
      <c r="X37" s="277">
        <f t="shared" si="11"/>
        <v>0</v>
      </c>
    </row>
    <row r="38" spans="14:24" x14ac:dyDescent="0.25">
      <c r="N38" s="244">
        <f>Weather_Site!B44</f>
        <v>44550</v>
      </c>
      <c r="O38" s="245">
        <f>Weather_Site!C44</f>
        <v>0.5</v>
      </c>
      <c r="P38" s="5">
        <f>Weather_Site!E44</f>
        <v>25.7</v>
      </c>
      <c r="Q38" s="245">
        <f t="shared" si="12"/>
        <v>0</v>
      </c>
      <c r="R38" s="5">
        <f t="shared" si="5"/>
        <v>0</v>
      </c>
      <c r="S38" s="5">
        <f t="shared" si="13"/>
        <v>12</v>
      </c>
      <c r="T38" s="247">
        <f t="shared" si="14"/>
        <v>0</v>
      </c>
      <c r="U38" s="5">
        <f t="shared" si="7"/>
        <v>0</v>
      </c>
      <c r="V38" s="247">
        <f t="shared" si="8"/>
        <v>0</v>
      </c>
      <c r="W38" s="276">
        <f t="shared" si="9"/>
        <v>0</v>
      </c>
      <c r="X38" s="277">
        <f t="shared" si="11"/>
        <v>0</v>
      </c>
    </row>
    <row r="39" spans="14:24" x14ac:dyDescent="0.25">
      <c r="N39" s="244">
        <f>Weather_Site!B45</f>
        <v>44550</v>
      </c>
      <c r="O39" s="245">
        <f>Weather_Site!C45</f>
        <v>0.54166666666666663</v>
      </c>
      <c r="P39" s="5">
        <f>Weather_Site!E45</f>
        <v>22.2</v>
      </c>
      <c r="Q39" s="245">
        <f t="shared" si="12"/>
        <v>0</v>
      </c>
      <c r="R39" s="5">
        <f t="shared" si="5"/>
        <v>0</v>
      </c>
      <c r="S39" s="5">
        <f t="shared" si="13"/>
        <v>13</v>
      </c>
      <c r="T39" s="247">
        <f t="shared" si="14"/>
        <v>0</v>
      </c>
      <c r="U39" s="5">
        <f t="shared" si="7"/>
        <v>0</v>
      </c>
      <c r="V39" s="247">
        <f t="shared" si="8"/>
        <v>0</v>
      </c>
      <c r="W39" s="276">
        <f t="shared" si="9"/>
        <v>0</v>
      </c>
      <c r="X39" s="277">
        <f t="shared" si="11"/>
        <v>0</v>
      </c>
    </row>
    <row r="40" spans="14:24" x14ac:dyDescent="0.25">
      <c r="N40" s="244">
        <f>Weather_Site!B46</f>
        <v>44550</v>
      </c>
      <c r="O40" s="245">
        <f>Weather_Site!C46</f>
        <v>0.58333333333333337</v>
      </c>
      <c r="P40" s="5">
        <f>Weather_Site!E46</f>
        <v>18.8</v>
      </c>
      <c r="Q40" s="245">
        <f t="shared" si="12"/>
        <v>0</v>
      </c>
      <c r="R40" s="5">
        <f t="shared" si="5"/>
        <v>0</v>
      </c>
      <c r="S40" s="5">
        <f t="shared" si="13"/>
        <v>14</v>
      </c>
      <c r="T40" s="247">
        <f t="shared" si="14"/>
        <v>0</v>
      </c>
      <c r="U40" s="5">
        <f t="shared" si="7"/>
        <v>0</v>
      </c>
      <c r="V40" s="247">
        <f t="shared" si="8"/>
        <v>0</v>
      </c>
      <c r="W40" s="276">
        <f t="shared" si="9"/>
        <v>0</v>
      </c>
      <c r="X40" s="277">
        <f t="shared" si="11"/>
        <v>0</v>
      </c>
    </row>
    <row r="41" spans="14:24" x14ac:dyDescent="0.25">
      <c r="N41" s="244">
        <f>Weather_Site!B47</f>
        <v>44550</v>
      </c>
      <c r="O41" s="245">
        <f>Weather_Site!C47</f>
        <v>0.625</v>
      </c>
      <c r="P41" s="5">
        <f>Weather_Site!E47</f>
        <v>16.600000000000001</v>
      </c>
      <c r="Q41" s="245">
        <f t="shared" si="12"/>
        <v>0</v>
      </c>
      <c r="R41" s="5">
        <f t="shared" si="5"/>
        <v>0</v>
      </c>
      <c r="S41" s="5">
        <f t="shared" si="13"/>
        <v>15</v>
      </c>
      <c r="T41" s="247">
        <f t="shared" si="14"/>
        <v>0</v>
      </c>
      <c r="U41" s="5">
        <f t="shared" si="7"/>
        <v>0</v>
      </c>
      <c r="V41" s="247">
        <f t="shared" si="8"/>
        <v>0</v>
      </c>
      <c r="W41" s="276">
        <f t="shared" si="9"/>
        <v>0</v>
      </c>
      <c r="X41" s="277">
        <f t="shared" si="11"/>
        <v>0</v>
      </c>
    </row>
    <row r="42" spans="14:24" x14ac:dyDescent="0.25">
      <c r="N42" s="244">
        <f>Weather_Site!B48</f>
        <v>44550</v>
      </c>
      <c r="O42" s="245">
        <f>Weather_Site!C48</f>
        <v>0.66666666666666663</v>
      </c>
      <c r="P42" s="5">
        <f>Weather_Site!E48</f>
        <v>16</v>
      </c>
      <c r="Q42" s="245">
        <f t="shared" si="12"/>
        <v>4.166666666666663E-2</v>
      </c>
      <c r="R42" s="5">
        <f t="shared" si="5"/>
        <v>1</v>
      </c>
      <c r="S42" s="5">
        <f t="shared" si="13"/>
        <v>16</v>
      </c>
      <c r="T42" s="247">
        <f t="shared" si="14"/>
        <v>16.3</v>
      </c>
      <c r="U42" s="5">
        <f t="shared" si="7"/>
        <v>0</v>
      </c>
      <c r="V42" s="247">
        <f t="shared" si="8"/>
        <v>0</v>
      </c>
      <c r="W42" s="276">
        <f t="shared" si="9"/>
        <v>0</v>
      </c>
      <c r="X42" s="277">
        <f t="shared" si="11"/>
        <v>0</v>
      </c>
    </row>
    <row r="43" spans="14:24" x14ac:dyDescent="0.25">
      <c r="N43" s="244">
        <f>Weather_Site!B49</f>
        <v>44550</v>
      </c>
      <c r="O43" s="245">
        <f>Weather_Site!C49</f>
        <v>0.70833333333333337</v>
      </c>
      <c r="P43" s="5">
        <f>Weather_Site!E49</f>
        <v>15.3</v>
      </c>
      <c r="Q43" s="245">
        <f t="shared" si="12"/>
        <v>4.1666666666666741E-2</v>
      </c>
      <c r="R43" s="5">
        <f t="shared" si="5"/>
        <v>1</v>
      </c>
      <c r="S43" s="5">
        <f t="shared" si="13"/>
        <v>17</v>
      </c>
      <c r="T43" s="247">
        <f t="shared" si="14"/>
        <v>15.65</v>
      </c>
      <c r="U43" s="5">
        <f t="shared" si="7"/>
        <v>0</v>
      </c>
      <c r="V43" s="247">
        <f t="shared" si="8"/>
        <v>0</v>
      </c>
      <c r="W43" s="276">
        <f t="shared" si="9"/>
        <v>0</v>
      </c>
      <c r="X43" s="277">
        <f t="shared" si="11"/>
        <v>0</v>
      </c>
    </row>
    <row r="44" spans="14:24" x14ac:dyDescent="0.25">
      <c r="N44" s="244">
        <f>Weather_Site!B50</f>
        <v>44550</v>
      </c>
      <c r="O44" s="245">
        <f>Weather_Site!C50</f>
        <v>0.75</v>
      </c>
      <c r="P44" s="5">
        <f>Weather_Site!E50</f>
        <v>15.9</v>
      </c>
      <c r="Q44" s="245">
        <f t="shared" si="12"/>
        <v>4.166666666666663E-2</v>
      </c>
      <c r="R44" s="5">
        <f t="shared" si="5"/>
        <v>1</v>
      </c>
      <c r="S44" s="5">
        <f t="shared" si="13"/>
        <v>18</v>
      </c>
      <c r="T44" s="247">
        <f t="shared" si="14"/>
        <v>15.600000000000001</v>
      </c>
      <c r="U44" s="5">
        <f t="shared" si="7"/>
        <v>0</v>
      </c>
      <c r="V44" s="247">
        <f t="shared" si="8"/>
        <v>0</v>
      </c>
      <c r="W44" s="276">
        <f t="shared" si="9"/>
        <v>0</v>
      </c>
      <c r="X44" s="277">
        <f t="shared" si="11"/>
        <v>0</v>
      </c>
    </row>
    <row r="45" spans="14:24" x14ac:dyDescent="0.25">
      <c r="N45" s="244">
        <f>Weather_Site!B51</f>
        <v>44550</v>
      </c>
      <c r="O45" s="245">
        <f>Weather_Site!C51</f>
        <v>0.79166666666666663</v>
      </c>
      <c r="P45" s="5">
        <f>Weather_Site!E51</f>
        <v>16.2</v>
      </c>
      <c r="Q45" s="245">
        <f t="shared" si="12"/>
        <v>4.166666666666663E-2</v>
      </c>
      <c r="R45" s="5">
        <f t="shared" si="5"/>
        <v>1</v>
      </c>
      <c r="S45" s="5">
        <f t="shared" si="13"/>
        <v>19</v>
      </c>
      <c r="T45" s="247">
        <f t="shared" si="14"/>
        <v>16.05</v>
      </c>
      <c r="U45" s="5">
        <f t="shared" si="7"/>
        <v>0</v>
      </c>
      <c r="V45" s="247">
        <f t="shared" si="8"/>
        <v>0</v>
      </c>
      <c r="W45" s="276">
        <f t="shared" si="9"/>
        <v>0</v>
      </c>
      <c r="X45" s="277">
        <f t="shared" si="11"/>
        <v>0</v>
      </c>
    </row>
    <row r="46" spans="14:24" x14ac:dyDescent="0.25">
      <c r="N46" s="244">
        <f>Weather_Site!B52</f>
        <v>44550</v>
      </c>
      <c r="O46" s="245">
        <f>Weather_Site!C52</f>
        <v>0.83333333333333337</v>
      </c>
      <c r="P46" s="5">
        <f>Weather_Site!E52</f>
        <v>17.7</v>
      </c>
      <c r="Q46" s="245">
        <f t="shared" si="12"/>
        <v>4.1666666666666741E-2</v>
      </c>
      <c r="R46" s="5">
        <f t="shared" si="5"/>
        <v>1</v>
      </c>
      <c r="S46" s="5">
        <f t="shared" si="13"/>
        <v>20</v>
      </c>
      <c r="T46" s="247">
        <f t="shared" si="14"/>
        <v>16.95</v>
      </c>
      <c r="U46" s="5">
        <f t="shared" si="7"/>
        <v>0</v>
      </c>
      <c r="V46" s="247">
        <f t="shared" si="8"/>
        <v>0</v>
      </c>
      <c r="W46" s="276">
        <f t="shared" si="9"/>
        <v>0</v>
      </c>
      <c r="X46" s="277">
        <f t="shared" si="11"/>
        <v>0</v>
      </c>
    </row>
    <row r="47" spans="14:24" x14ac:dyDescent="0.25">
      <c r="N47" s="244">
        <f>Weather_Site!B53</f>
        <v>44550</v>
      </c>
      <c r="O47" s="245">
        <f>Weather_Site!C53</f>
        <v>0.875</v>
      </c>
      <c r="P47" s="5">
        <f>Weather_Site!E53</f>
        <v>26.2</v>
      </c>
      <c r="Q47" s="245">
        <f t="shared" si="12"/>
        <v>4.166666666666663E-2</v>
      </c>
      <c r="R47" s="5">
        <f t="shared" si="5"/>
        <v>1</v>
      </c>
      <c r="S47" s="5">
        <f t="shared" si="13"/>
        <v>21</v>
      </c>
      <c r="T47" s="247">
        <f t="shared" si="14"/>
        <v>21.95</v>
      </c>
      <c r="U47" s="5">
        <f t="shared" si="7"/>
        <v>0</v>
      </c>
      <c r="V47" s="247">
        <f t="shared" si="8"/>
        <v>0</v>
      </c>
      <c r="W47" s="276">
        <f t="shared" si="9"/>
        <v>0</v>
      </c>
      <c r="X47" s="277">
        <f t="shared" si="11"/>
        <v>0</v>
      </c>
    </row>
    <row r="48" spans="14:24" x14ac:dyDescent="0.25">
      <c r="N48" s="244">
        <f>Weather_Site!B54</f>
        <v>44550</v>
      </c>
      <c r="O48" s="245">
        <f>Weather_Site!C54</f>
        <v>0.91666666666666663</v>
      </c>
      <c r="P48" s="5">
        <f>Weather_Site!E54</f>
        <v>30.8</v>
      </c>
      <c r="Q48" s="245">
        <f t="shared" si="12"/>
        <v>4.166666666666663E-2</v>
      </c>
      <c r="R48" s="5">
        <f t="shared" si="5"/>
        <v>1</v>
      </c>
      <c r="S48" s="5">
        <f t="shared" si="13"/>
        <v>22</v>
      </c>
      <c r="T48" s="247">
        <f t="shared" si="14"/>
        <v>28.5</v>
      </c>
      <c r="U48" s="5">
        <f t="shared" si="7"/>
        <v>0</v>
      </c>
      <c r="V48" s="247">
        <f t="shared" si="8"/>
        <v>0</v>
      </c>
      <c r="W48" s="276">
        <f t="shared" si="9"/>
        <v>0</v>
      </c>
      <c r="X48" s="277">
        <f t="shared" si="11"/>
        <v>0</v>
      </c>
    </row>
    <row r="49" spans="14:24" x14ac:dyDescent="0.25">
      <c r="N49" s="244">
        <f>Weather_Site!B55</f>
        <v>44550</v>
      </c>
      <c r="O49" s="245">
        <f>Weather_Site!C55</f>
        <v>0.95833333333333337</v>
      </c>
      <c r="P49" s="5">
        <f>Weather_Site!E55</f>
        <v>34.9</v>
      </c>
      <c r="Q49" s="245">
        <f t="shared" si="12"/>
        <v>4.1666666666666741E-2</v>
      </c>
      <c r="R49" s="5">
        <f t="shared" si="5"/>
        <v>1</v>
      </c>
      <c r="S49" s="5">
        <f t="shared" si="13"/>
        <v>23</v>
      </c>
      <c r="T49" s="247">
        <f t="shared" si="14"/>
        <v>32.85</v>
      </c>
      <c r="U49" s="5">
        <f t="shared" si="7"/>
        <v>0</v>
      </c>
      <c r="V49" s="247">
        <f t="shared" si="8"/>
        <v>0</v>
      </c>
      <c r="W49" s="276">
        <f t="shared" si="9"/>
        <v>0</v>
      </c>
      <c r="X49" s="277">
        <f t="shared" si="11"/>
        <v>0</v>
      </c>
    </row>
    <row r="50" spans="14:24" x14ac:dyDescent="0.25">
      <c r="N50" s="244">
        <f>Weather_Site!B56</f>
        <v>44551</v>
      </c>
      <c r="O50" s="245">
        <f>Weather_Site!C56</f>
        <v>0</v>
      </c>
      <c r="P50" s="5">
        <f>Weather_Site!E56</f>
        <v>38.4</v>
      </c>
      <c r="Q50" s="245">
        <f t="shared" si="12"/>
        <v>4.166666666666663E-2</v>
      </c>
      <c r="R50" s="5">
        <f t="shared" si="5"/>
        <v>1</v>
      </c>
      <c r="S50" s="5">
        <f t="shared" si="13"/>
        <v>0</v>
      </c>
      <c r="T50" s="247">
        <f t="shared" si="14"/>
        <v>36.65</v>
      </c>
      <c r="U50" s="5">
        <f t="shared" si="7"/>
        <v>0</v>
      </c>
      <c r="V50" s="247">
        <f t="shared" si="8"/>
        <v>0</v>
      </c>
      <c r="W50" s="276">
        <f t="shared" si="9"/>
        <v>0</v>
      </c>
      <c r="X50" s="277">
        <f t="shared" si="11"/>
        <v>0</v>
      </c>
    </row>
    <row r="51" spans="14:24" x14ac:dyDescent="0.25">
      <c r="N51" s="244">
        <f>Weather_Site!B57</f>
        <v>44551</v>
      </c>
      <c r="O51" s="245">
        <f>Weather_Site!C57</f>
        <v>4.1666666666666664E-2</v>
      </c>
      <c r="P51" s="5">
        <f>Weather_Site!E57</f>
        <v>42.5</v>
      </c>
      <c r="Q51" s="245">
        <f t="shared" si="12"/>
        <v>4.1666666666666664E-2</v>
      </c>
      <c r="R51" s="5">
        <f t="shared" si="5"/>
        <v>1</v>
      </c>
      <c r="S51" s="5">
        <f t="shared" si="13"/>
        <v>1</v>
      </c>
      <c r="T51" s="247">
        <f t="shared" si="14"/>
        <v>40.450000000000003</v>
      </c>
      <c r="U51" s="5">
        <f t="shared" si="7"/>
        <v>0</v>
      </c>
      <c r="V51" s="247">
        <f t="shared" si="8"/>
        <v>0</v>
      </c>
      <c r="W51" s="276">
        <f t="shared" si="9"/>
        <v>0</v>
      </c>
      <c r="X51" s="277">
        <f t="shared" si="11"/>
        <v>0</v>
      </c>
    </row>
    <row r="52" spans="14:24" x14ac:dyDescent="0.25">
      <c r="N52" s="244">
        <f>Weather_Site!B58</f>
        <v>44551</v>
      </c>
      <c r="O52" s="245">
        <f>Weather_Site!C58</f>
        <v>8.3333333333333329E-2</v>
      </c>
      <c r="P52" s="5">
        <f>Weather_Site!E58</f>
        <v>47.4</v>
      </c>
      <c r="Q52" s="245">
        <f t="shared" si="12"/>
        <v>4.1666666666666664E-2</v>
      </c>
      <c r="R52" s="5">
        <f t="shared" si="5"/>
        <v>1</v>
      </c>
      <c r="S52" s="5">
        <f t="shared" si="13"/>
        <v>2</v>
      </c>
      <c r="T52" s="247">
        <f t="shared" si="14"/>
        <v>44.95</v>
      </c>
      <c r="U52" s="5">
        <f t="shared" si="7"/>
        <v>0</v>
      </c>
      <c r="V52" s="247">
        <f t="shared" si="8"/>
        <v>0</v>
      </c>
      <c r="W52" s="276">
        <f t="shared" si="9"/>
        <v>0</v>
      </c>
      <c r="X52" s="277">
        <f t="shared" si="11"/>
        <v>0</v>
      </c>
    </row>
    <row r="53" spans="14:24" x14ac:dyDescent="0.25">
      <c r="N53" s="244">
        <f>Weather_Site!B59</f>
        <v>44551</v>
      </c>
      <c r="O53" s="245">
        <f>Weather_Site!C59</f>
        <v>0.125</v>
      </c>
      <c r="P53" s="5">
        <f>Weather_Site!E59</f>
        <v>50.2</v>
      </c>
      <c r="Q53" s="245">
        <f t="shared" si="12"/>
        <v>4.1666666666666671E-2</v>
      </c>
      <c r="R53" s="5">
        <f t="shared" si="5"/>
        <v>1</v>
      </c>
      <c r="S53" s="5">
        <f t="shared" si="13"/>
        <v>3</v>
      </c>
      <c r="T53" s="247">
        <f t="shared" si="14"/>
        <v>48.8</v>
      </c>
      <c r="U53" s="5">
        <f t="shared" si="7"/>
        <v>0</v>
      </c>
      <c r="V53" s="247">
        <f t="shared" si="8"/>
        <v>0</v>
      </c>
      <c r="W53" s="276">
        <f t="shared" si="9"/>
        <v>0</v>
      </c>
      <c r="X53" s="277">
        <f t="shared" si="11"/>
        <v>0</v>
      </c>
    </row>
    <row r="54" spans="14:24" x14ac:dyDescent="0.25">
      <c r="N54" s="244">
        <f>Weather_Site!B60</f>
        <v>44551</v>
      </c>
      <c r="O54" s="245">
        <f>Weather_Site!C60</f>
        <v>0.16666666666666666</v>
      </c>
      <c r="P54" s="5">
        <f>Weather_Site!E60</f>
        <v>54.3</v>
      </c>
      <c r="Q54" s="245">
        <f t="shared" si="12"/>
        <v>4.1666666666666657E-2</v>
      </c>
      <c r="R54" s="5">
        <f t="shared" si="5"/>
        <v>1</v>
      </c>
      <c r="S54" s="5">
        <f t="shared" si="13"/>
        <v>4</v>
      </c>
      <c r="T54" s="247">
        <f t="shared" si="14"/>
        <v>52.25</v>
      </c>
      <c r="U54" s="5">
        <f t="shared" si="7"/>
        <v>0</v>
      </c>
      <c r="V54" s="247">
        <f t="shared" si="8"/>
        <v>0</v>
      </c>
      <c r="W54" s="276">
        <f t="shared" si="9"/>
        <v>0</v>
      </c>
      <c r="X54" s="277">
        <f t="shared" si="11"/>
        <v>0</v>
      </c>
    </row>
    <row r="55" spans="14:24" x14ac:dyDescent="0.25">
      <c r="N55" s="244">
        <f>Weather_Site!B61</f>
        <v>44551</v>
      </c>
      <c r="O55" s="245">
        <f>Weather_Site!C61</f>
        <v>0.20833333333333334</v>
      </c>
      <c r="P55" s="5">
        <f>Weather_Site!E61</f>
        <v>62.4</v>
      </c>
      <c r="Q55" s="245">
        <f t="shared" si="12"/>
        <v>4.1666666666666685E-2</v>
      </c>
      <c r="R55" s="5">
        <f t="shared" si="5"/>
        <v>1</v>
      </c>
      <c r="S55" s="5">
        <f t="shared" si="13"/>
        <v>5</v>
      </c>
      <c r="T55" s="247">
        <f t="shared" si="14"/>
        <v>58.349999999999994</v>
      </c>
      <c r="U55" s="5">
        <f t="shared" si="7"/>
        <v>0</v>
      </c>
      <c r="V55" s="247">
        <f t="shared" si="8"/>
        <v>0</v>
      </c>
      <c r="W55" s="276">
        <f t="shared" si="9"/>
        <v>0</v>
      </c>
      <c r="X55" s="277">
        <f t="shared" si="11"/>
        <v>0</v>
      </c>
    </row>
    <row r="56" spans="14:24" x14ac:dyDescent="0.25">
      <c r="N56" s="244">
        <f>Weather_Site!B62</f>
        <v>44551</v>
      </c>
      <c r="O56" s="245">
        <f>Weather_Site!C62</f>
        <v>0.25</v>
      </c>
      <c r="P56" s="5">
        <f>Weather_Site!E62</f>
        <v>65.3</v>
      </c>
      <c r="Q56" s="245">
        <f t="shared" si="12"/>
        <v>4.1666666666666657E-2</v>
      </c>
      <c r="R56" s="5">
        <f t="shared" si="5"/>
        <v>1</v>
      </c>
      <c r="S56" s="5">
        <f t="shared" si="13"/>
        <v>6</v>
      </c>
      <c r="T56" s="247">
        <f t="shared" si="14"/>
        <v>63.849999999999994</v>
      </c>
      <c r="U56" s="5">
        <f t="shared" si="7"/>
        <v>0</v>
      </c>
      <c r="V56" s="247">
        <f t="shared" si="8"/>
        <v>0</v>
      </c>
      <c r="W56" s="276">
        <f t="shared" si="9"/>
        <v>0</v>
      </c>
      <c r="X56" s="277">
        <f t="shared" si="11"/>
        <v>0</v>
      </c>
    </row>
    <row r="57" spans="14:24" x14ac:dyDescent="0.25">
      <c r="N57" s="244">
        <f>Weather_Site!B63</f>
        <v>44551</v>
      </c>
      <c r="O57" s="245">
        <f>Weather_Site!C63</f>
        <v>0.29166666666666669</v>
      </c>
      <c r="P57" s="5">
        <f>Weather_Site!E63</f>
        <v>58.6</v>
      </c>
      <c r="Q57" s="245">
        <f t="shared" si="12"/>
        <v>4.1666666666666685E-2</v>
      </c>
      <c r="R57" s="5">
        <f t="shared" si="5"/>
        <v>1</v>
      </c>
      <c r="S57" s="5">
        <f t="shared" si="13"/>
        <v>7</v>
      </c>
      <c r="T57" s="247">
        <f t="shared" si="14"/>
        <v>61.95</v>
      </c>
      <c r="U57" s="5">
        <f t="shared" si="7"/>
        <v>0</v>
      </c>
      <c r="V57" s="247">
        <f t="shared" si="8"/>
        <v>0</v>
      </c>
      <c r="W57" s="276">
        <f t="shared" si="9"/>
        <v>0</v>
      </c>
      <c r="X57" s="277">
        <f t="shared" si="11"/>
        <v>0</v>
      </c>
    </row>
    <row r="58" spans="14:24" x14ac:dyDescent="0.25">
      <c r="N58" s="244">
        <f>Weather_Site!B64</f>
        <v>44551</v>
      </c>
      <c r="O58" s="245">
        <f>Weather_Site!C64</f>
        <v>0.33333333333333331</v>
      </c>
      <c r="P58" s="5">
        <f>Weather_Site!E64</f>
        <v>48.2</v>
      </c>
      <c r="Q58" s="245">
        <f t="shared" si="12"/>
        <v>4.166666666666663E-2</v>
      </c>
      <c r="R58" s="5">
        <f t="shared" si="5"/>
        <v>1</v>
      </c>
      <c r="S58" s="5">
        <f t="shared" si="13"/>
        <v>8</v>
      </c>
      <c r="T58" s="247">
        <f t="shared" si="14"/>
        <v>53.400000000000006</v>
      </c>
      <c r="U58" s="5">
        <f t="shared" si="7"/>
        <v>0</v>
      </c>
      <c r="V58" s="247">
        <f t="shared" si="8"/>
        <v>0</v>
      </c>
      <c r="W58" s="276">
        <f t="shared" si="9"/>
        <v>0</v>
      </c>
      <c r="X58" s="277">
        <f t="shared" si="11"/>
        <v>0</v>
      </c>
    </row>
    <row r="59" spans="14:24" x14ac:dyDescent="0.25">
      <c r="N59" s="244">
        <f>Weather_Site!B65</f>
        <v>44551</v>
      </c>
      <c r="O59" s="245">
        <f>Weather_Site!C65</f>
        <v>0.375</v>
      </c>
      <c r="P59" s="5">
        <f>Weather_Site!E65</f>
        <v>42</v>
      </c>
      <c r="Q59" s="245">
        <f t="shared" si="12"/>
        <v>0</v>
      </c>
      <c r="R59" s="5">
        <f t="shared" si="5"/>
        <v>0</v>
      </c>
      <c r="S59" s="5">
        <f t="shared" si="13"/>
        <v>9</v>
      </c>
      <c r="T59" s="247">
        <f t="shared" si="14"/>
        <v>0</v>
      </c>
      <c r="U59" s="5">
        <f t="shared" si="7"/>
        <v>0</v>
      </c>
      <c r="V59" s="247">
        <f t="shared" si="8"/>
        <v>0</v>
      </c>
      <c r="W59" s="276">
        <f t="shared" si="9"/>
        <v>0</v>
      </c>
      <c r="X59" s="277">
        <f t="shared" si="11"/>
        <v>0</v>
      </c>
    </row>
    <row r="60" spans="14:24" x14ac:dyDescent="0.25">
      <c r="N60" s="244">
        <f>Weather_Site!B66</f>
        <v>44551</v>
      </c>
      <c r="O60" s="245">
        <f>Weather_Site!C66</f>
        <v>0.41666666666666669</v>
      </c>
      <c r="P60" s="5">
        <f>Weather_Site!E66</f>
        <v>33.1</v>
      </c>
      <c r="Q60" s="245">
        <f t="shared" si="12"/>
        <v>0</v>
      </c>
      <c r="R60" s="5">
        <f t="shared" si="5"/>
        <v>0</v>
      </c>
      <c r="S60" s="5">
        <f t="shared" si="13"/>
        <v>10</v>
      </c>
      <c r="T60" s="247">
        <f t="shared" si="14"/>
        <v>0</v>
      </c>
      <c r="U60" s="5">
        <f t="shared" si="7"/>
        <v>0</v>
      </c>
      <c r="V60" s="247">
        <f t="shared" si="8"/>
        <v>0</v>
      </c>
      <c r="W60" s="276">
        <f t="shared" si="9"/>
        <v>0</v>
      </c>
      <c r="X60" s="277">
        <f t="shared" si="11"/>
        <v>0</v>
      </c>
    </row>
    <row r="61" spans="14:24" x14ac:dyDescent="0.25">
      <c r="N61" s="244">
        <f>Weather_Site!B67</f>
        <v>44551</v>
      </c>
      <c r="O61" s="245">
        <f>Weather_Site!C67</f>
        <v>0.45833333333333331</v>
      </c>
      <c r="P61" s="5">
        <f>Weather_Site!E67</f>
        <v>27.9</v>
      </c>
      <c r="Q61" s="245">
        <f t="shared" si="12"/>
        <v>0</v>
      </c>
      <c r="R61" s="5">
        <f t="shared" si="5"/>
        <v>0</v>
      </c>
      <c r="S61" s="5">
        <f t="shared" si="13"/>
        <v>11</v>
      </c>
      <c r="T61" s="247">
        <f t="shared" si="14"/>
        <v>0</v>
      </c>
      <c r="U61" s="5">
        <f t="shared" si="7"/>
        <v>0</v>
      </c>
      <c r="V61" s="247">
        <f t="shared" si="8"/>
        <v>0</v>
      </c>
      <c r="W61" s="276">
        <f t="shared" si="9"/>
        <v>0</v>
      </c>
      <c r="X61" s="277">
        <f t="shared" si="11"/>
        <v>0</v>
      </c>
    </row>
    <row r="62" spans="14:24" x14ac:dyDescent="0.25">
      <c r="N62" s="244">
        <f>Weather_Site!B68</f>
        <v>44551</v>
      </c>
      <c r="O62" s="245">
        <f>Weather_Site!C68</f>
        <v>0.5</v>
      </c>
      <c r="P62" s="5">
        <f>Weather_Site!E68</f>
        <v>25</v>
      </c>
      <c r="Q62" s="245">
        <f t="shared" si="12"/>
        <v>0</v>
      </c>
      <c r="R62" s="5">
        <f t="shared" si="5"/>
        <v>0</v>
      </c>
      <c r="S62" s="5">
        <f t="shared" si="13"/>
        <v>12</v>
      </c>
      <c r="T62" s="247">
        <f t="shared" si="14"/>
        <v>0</v>
      </c>
      <c r="U62" s="5">
        <f t="shared" si="7"/>
        <v>0</v>
      </c>
      <c r="V62" s="247">
        <f t="shared" si="8"/>
        <v>0</v>
      </c>
      <c r="W62" s="276">
        <f t="shared" si="9"/>
        <v>0</v>
      </c>
      <c r="X62" s="277">
        <f t="shared" si="11"/>
        <v>0</v>
      </c>
    </row>
    <row r="63" spans="14:24" x14ac:dyDescent="0.25">
      <c r="N63" s="244">
        <f>Weather_Site!B69</f>
        <v>44551</v>
      </c>
      <c r="O63" s="245">
        <f>Weather_Site!C69</f>
        <v>0.54166666666666663</v>
      </c>
      <c r="P63" s="5">
        <f>Weather_Site!E69</f>
        <v>22</v>
      </c>
      <c r="Q63" s="245">
        <f t="shared" si="12"/>
        <v>0</v>
      </c>
      <c r="R63" s="5">
        <f t="shared" si="5"/>
        <v>0</v>
      </c>
      <c r="S63" s="5">
        <f t="shared" si="13"/>
        <v>13</v>
      </c>
      <c r="T63" s="247">
        <f t="shared" si="14"/>
        <v>0</v>
      </c>
      <c r="U63" s="5">
        <f t="shared" si="7"/>
        <v>0</v>
      </c>
      <c r="V63" s="247">
        <f t="shared" si="8"/>
        <v>0</v>
      </c>
      <c r="W63" s="276">
        <f t="shared" si="9"/>
        <v>0</v>
      </c>
      <c r="X63" s="277">
        <f t="shared" si="11"/>
        <v>0</v>
      </c>
    </row>
    <row r="64" spans="14:24" x14ac:dyDescent="0.25">
      <c r="N64" s="244">
        <f>Weather_Site!B70</f>
        <v>44551</v>
      </c>
      <c r="O64" s="245">
        <f>Weather_Site!C70</f>
        <v>0.58333333333333337</v>
      </c>
      <c r="P64" s="5">
        <f>Weather_Site!E70</f>
        <v>18.600000000000001</v>
      </c>
      <c r="Q64" s="245">
        <f t="shared" si="12"/>
        <v>0</v>
      </c>
      <c r="R64" s="5">
        <f t="shared" si="5"/>
        <v>0</v>
      </c>
      <c r="S64" s="5">
        <f t="shared" si="13"/>
        <v>14</v>
      </c>
      <c r="T64" s="247">
        <f t="shared" si="14"/>
        <v>0</v>
      </c>
      <c r="U64" s="5">
        <f t="shared" si="7"/>
        <v>0</v>
      </c>
      <c r="V64" s="247">
        <f t="shared" si="8"/>
        <v>0</v>
      </c>
      <c r="W64" s="276">
        <f t="shared" si="9"/>
        <v>0</v>
      </c>
      <c r="X64" s="277">
        <f t="shared" si="11"/>
        <v>0</v>
      </c>
    </row>
    <row r="65" spans="14:24" x14ac:dyDescent="0.25">
      <c r="N65" s="244">
        <f>Weather_Site!B71</f>
        <v>44551</v>
      </c>
      <c r="O65" s="245">
        <f>Weather_Site!C71</f>
        <v>0.625</v>
      </c>
      <c r="P65" s="5">
        <f>Weather_Site!E71</f>
        <v>16.5</v>
      </c>
      <c r="Q65" s="245">
        <f t="shared" si="12"/>
        <v>0</v>
      </c>
      <c r="R65" s="5">
        <f t="shared" si="5"/>
        <v>0</v>
      </c>
      <c r="S65" s="5">
        <f t="shared" si="13"/>
        <v>15</v>
      </c>
      <c r="T65" s="247">
        <f t="shared" si="14"/>
        <v>0</v>
      </c>
      <c r="U65" s="5">
        <f t="shared" si="7"/>
        <v>0</v>
      </c>
      <c r="V65" s="247">
        <f t="shared" si="8"/>
        <v>0</v>
      </c>
      <c r="W65" s="276">
        <f t="shared" si="9"/>
        <v>0</v>
      </c>
      <c r="X65" s="277">
        <f t="shared" si="11"/>
        <v>0</v>
      </c>
    </row>
    <row r="66" spans="14:24" x14ac:dyDescent="0.25">
      <c r="N66" s="244">
        <f>Weather_Site!B72</f>
        <v>44551</v>
      </c>
      <c r="O66" s="245">
        <f>Weather_Site!C72</f>
        <v>0.66666666666666663</v>
      </c>
      <c r="P66" s="5">
        <f>Weather_Site!E72</f>
        <v>15.6</v>
      </c>
      <c r="Q66" s="245">
        <f t="shared" si="12"/>
        <v>4.166666666666663E-2</v>
      </c>
      <c r="R66" s="5">
        <f t="shared" si="5"/>
        <v>1</v>
      </c>
      <c r="S66" s="5">
        <f t="shared" si="13"/>
        <v>16</v>
      </c>
      <c r="T66" s="247">
        <f t="shared" si="14"/>
        <v>16.05</v>
      </c>
      <c r="U66" s="5">
        <f t="shared" si="7"/>
        <v>0</v>
      </c>
      <c r="V66" s="247">
        <f t="shared" si="8"/>
        <v>0</v>
      </c>
      <c r="W66" s="276">
        <f t="shared" si="9"/>
        <v>0</v>
      </c>
      <c r="X66" s="277">
        <f t="shared" si="11"/>
        <v>0</v>
      </c>
    </row>
    <row r="67" spans="14:24" x14ac:dyDescent="0.25">
      <c r="N67" s="244">
        <f>Weather_Site!B73</f>
        <v>44551</v>
      </c>
      <c r="O67" s="245">
        <f>Weather_Site!C73</f>
        <v>0.70833333333333337</v>
      </c>
      <c r="P67" s="5">
        <f>Weather_Site!E73</f>
        <v>14.5</v>
      </c>
      <c r="Q67" s="245">
        <f t="shared" si="12"/>
        <v>4.1666666666666741E-2</v>
      </c>
      <c r="R67" s="5">
        <f t="shared" si="5"/>
        <v>1</v>
      </c>
      <c r="S67" s="5">
        <f t="shared" si="13"/>
        <v>17</v>
      </c>
      <c r="T67" s="247">
        <f t="shared" si="14"/>
        <v>15.05</v>
      </c>
      <c r="U67" s="5">
        <f t="shared" si="7"/>
        <v>0</v>
      </c>
      <c r="V67" s="247">
        <f t="shared" si="8"/>
        <v>0</v>
      </c>
      <c r="W67" s="276">
        <f t="shared" si="9"/>
        <v>0</v>
      </c>
      <c r="X67" s="277">
        <f t="shared" si="11"/>
        <v>0</v>
      </c>
    </row>
    <row r="68" spans="14:24" x14ac:dyDescent="0.25">
      <c r="N68" s="244">
        <f>Weather_Site!B74</f>
        <v>44551</v>
      </c>
      <c r="O68" s="245">
        <f>Weather_Site!C74</f>
        <v>0.75</v>
      </c>
      <c r="P68" s="5">
        <f>Weather_Site!E74</f>
        <v>15.3</v>
      </c>
      <c r="Q68" s="245">
        <f t="shared" si="12"/>
        <v>4.166666666666663E-2</v>
      </c>
      <c r="R68" s="5">
        <f t="shared" si="5"/>
        <v>1</v>
      </c>
      <c r="S68" s="5">
        <f t="shared" si="13"/>
        <v>18</v>
      </c>
      <c r="T68" s="247">
        <f t="shared" si="14"/>
        <v>14.9</v>
      </c>
      <c r="U68" s="5">
        <f t="shared" si="7"/>
        <v>0</v>
      </c>
      <c r="V68" s="247">
        <f t="shared" si="8"/>
        <v>0</v>
      </c>
      <c r="W68" s="276">
        <f t="shared" si="9"/>
        <v>0</v>
      </c>
      <c r="X68" s="277">
        <f t="shared" si="11"/>
        <v>0</v>
      </c>
    </row>
    <row r="69" spans="14:24" x14ac:dyDescent="0.25">
      <c r="N69" s="244">
        <f>Weather_Site!B75</f>
        <v>44551</v>
      </c>
      <c r="O69" s="245">
        <f>Weather_Site!C75</f>
        <v>0.79166666666666663</v>
      </c>
      <c r="P69" s="5">
        <f>Weather_Site!E75</f>
        <v>15.4</v>
      </c>
      <c r="Q69" s="245">
        <f t="shared" si="12"/>
        <v>4.166666666666663E-2</v>
      </c>
      <c r="R69" s="5">
        <f t="shared" si="5"/>
        <v>1</v>
      </c>
      <c r="S69" s="5">
        <f t="shared" si="13"/>
        <v>19</v>
      </c>
      <c r="T69" s="247">
        <f t="shared" si="14"/>
        <v>15.350000000000001</v>
      </c>
      <c r="U69" s="5">
        <f t="shared" si="7"/>
        <v>0</v>
      </c>
      <c r="V69" s="247">
        <f t="shared" si="8"/>
        <v>0</v>
      </c>
      <c r="W69" s="276">
        <f t="shared" si="9"/>
        <v>0</v>
      </c>
      <c r="X69" s="277">
        <f t="shared" si="11"/>
        <v>0</v>
      </c>
    </row>
    <row r="70" spans="14:24" x14ac:dyDescent="0.25">
      <c r="N70" s="244">
        <f>Weather_Site!B76</f>
        <v>44551</v>
      </c>
      <c r="O70" s="245">
        <f>Weather_Site!C76</f>
        <v>0.83333333333333337</v>
      </c>
      <c r="P70" s="5">
        <f>Weather_Site!E76</f>
        <v>17.600000000000001</v>
      </c>
      <c r="Q70" s="245">
        <f t="shared" si="12"/>
        <v>4.1666666666666741E-2</v>
      </c>
      <c r="R70" s="5">
        <f t="shared" si="5"/>
        <v>1</v>
      </c>
      <c r="S70" s="5">
        <f t="shared" si="13"/>
        <v>20</v>
      </c>
      <c r="T70" s="247">
        <f t="shared" si="14"/>
        <v>16.5</v>
      </c>
      <c r="U70" s="5">
        <f t="shared" si="7"/>
        <v>0</v>
      </c>
      <c r="V70" s="247">
        <f t="shared" si="8"/>
        <v>0</v>
      </c>
      <c r="W70" s="276">
        <f t="shared" si="9"/>
        <v>0</v>
      </c>
      <c r="X70" s="277">
        <f t="shared" si="11"/>
        <v>0</v>
      </c>
    </row>
    <row r="71" spans="14:24" x14ac:dyDescent="0.25">
      <c r="N71" s="244">
        <f>Weather_Site!B77</f>
        <v>44551</v>
      </c>
      <c r="O71" s="245">
        <f>Weather_Site!C77</f>
        <v>0.875</v>
      </c>
      <c r="P71" s="5">
        <f>Weather_Site!E77</f>
        <v>23.4</v>
      </c>
      <c r="Q71" s="245">
        <f t="shared" si="12"/>
        <v>4.166666666666663E-2</v>
      </c>
      <c r="R71" s="5">
        <f t="shared" si="5"/>
        <v>1</v>
      </c>
      <c r="S71" s="5">
        <f t="shared" si="13"/>
        <v>21</v>
      </c>
      <c r="T71" s="247">
        <f t="shared" si="14"/>
        <v>20.5</v>
      </c>
      <c r="U71" s="5">
        <f t="shared" si="7"/>
        <v>0</v>
      </c>
      <c r="V71" s="247">
        <f t="shared" si="8"/>
        <v>0</v>
      </c>
      <c r="W71" s="276">
        <f t="shared" si="9"/>
        <v>0</v>
      </c>
      <c r="X71" s="277">
        <f t="shared" si="11"/>
        <v>0</v>
      </c>
    </row>
    <row r="72" spans="14:24" x14ac:dyDescent="0.25">
      <c r="N72" s="244">
        <f>Weather_Site!B78</f>
        <v>44551</v>
      </c>
      <c r="O72" s="245">
        <f>Weather_Site!C78</f>
        <v>0.91666666666666663</v>
      </c>
      <c r="P72" s="5">
        <f>Weather_Site!E78</f>
        <v>28</v>
      </c>
      <c r="Q72" s="245">
        <f t="shared" si="12"/>
        <v>4.166666666666663E-2</v>
      </c>
      <c r="R72" s="5">
        <f t="shared" ref="R72:R135" si="15">HOUR(Q72)</f>
        <v>1</v>
      </c>
      <c r="S72" s="5">
        <f t="shared" si="13"/>
        <v>22</v>
      </c>
      <c r="T72" s="247">
        <f t="shared" si="14"/>
        <v>25.7</v>
      </c>
      <c r="U72" s="5">
        <f t="shared" ref="U72:U135" si="16">MAX((T72-70*R72),0)</f>
        <v>0</v>
      </c>
      <c r="V72" s="247">
        <f t="shared" ref="V72:V135" si="17">IF(OR(AND((N72-N71)=0,O71&gt;0.5),AND((N72-N71)=1,O72&lt;0.5),AND(N72-N71)=0,O72&lt;0.5),U72+V71,U72)</f>
        <v>0</v>
      </c>
      <c r="W72" s="276">
        <f t="shared" ref="W72:W135" si="18">IF(O72&lt;0.75,MAX(V72,W71),V72)</f>
        <v>0</v>
      </c>
      <c r="X72" s="277">
        <f t="shared" si="11"/>
        <v>0</v>
      </c>
    </row>
    <row r="73" spans="14:24" x14ac:dyDescent="0.25">
      <c r="N73" s="244">
        <f>Weather_Site!B79</f>
        <v>44551</v>
      </c>
      <c r="O73" s="245">
        <f>Weather_Site!C79</f>
        <v>0.95833333333333337</v>
      </c>
      <c r="P73" s="5">
        <f>Weather_Site!E79</f>
        <v>31.5</v>
      </c>
      <c r="Q73" s="245">
        <f t="shared" si="12"/>
        <v>4.1666666666666741E-2</v>
      </c>
      <c r="R73" s="5">
        <f t="shared" si="15"/>
        <v>1</v>
      </c>
      <c r="S73" s="5">
        <f t="shared" si="13"/>
        <v>23</v>
      </c>
      <c r="T73" s="247">
        <f t="shared" si="14"/>
        <v>29.75</v>
      </c>
      <c r="U73" s="5">
        <f t="shared" si="16"/>
        <v>0</v>
      </c>
      <c r="V73" s="247">
        <f t="shared" si="17"/>
        <v>0</v>
      </c>
      <c r="W73" s="276">
        <f t="shared" si="18"/>
        <v>0</v>
      </c>
      <c r="X73" s="277">
        <f t="shared" si="11"/>
        <v>0</v>
      </c>
    </row>
    <row r="74" spans="14:24" x14ac:dyDescent="0.25">
      <c r="N74" s="244">
        <f>Weather_Site!B80</f>
        <v>44552</v>
      </c>
      <c r="O74" s="245">
        <f>Weather_Site!C80</f>
        <v>0</v>
      </c>
      <c r="P74" s="5">
        <f>Weather_Site!E80</f>
        <v>34</v>
      </c>
      <c r="Q74" s="245">
        <f t="shared" si="12"/>
        <v>4.166666666666663E-2</v>
      </c>
      <c r="R74" s="5">
        <f t="shared" si="15"/>
        <v>1</v>
      </c>
      <c r="S74" s="5">
        <f t="shared" si="13"/>
        <v>0</v>
      </c>
      <c r="T74" s="247">
        <f t="shared" si="14"/>
        <v>32.75</v>
      </c>
      <c r="U74" s="5">
        <f t="shared" si="16"/>
        <v>0</v>
      </c>
      <c r="V74" s="247">
        <f t="shared" si="17"/>
        <v>0</v>
      </c>
      <c r="W74" s="276">
        <f t="shared" si="18"/>
        <v>0</v>
      </c>
      <c r="X74" s="277">
        <f t="shared" si="11"/>
        <v>0</v>
      </c>
    </row>
    <row r="75" spans="14:24" x14ac:dyDescent="0.25">
      <c r="N75" s="244">
        <f>Weather_Site!B81</f>
        <v>44552</v>
      </c>
      <c r="O75" s="245">
        <f>Weather_Site!C81</f>
        <v>4.1666666666666664E-2</v>
      </c>
      <c r="P75" s="5">
        <f>Weather_Site!E81</f>
        <v>35.6</v>
      </c>
      <c r="Q75" s="245">
        <f t="shared" si="12"/>
        <v>4.1666666666666664E-2</v>
      </c>
      <c r="R75" s="5">
        <f t="shared" si="15"/>
        <v>1</v>
      </c>
      <c r="S75" s="5">
        <f t="shared" si="13"/>
        <v>1</v>
      </c>
      <c r="T75" s="247">
        <f t="shared" si="14"/>
        <v>34.799999999999997</v>
      </c>
      <c r="U75" s="5">
        <f t="shared" si="16"/>
        <v>0</v>
      </c>
      <c r="V75" s="247">
        <f t="shared" si="17"/>
        <v>0</v>
      </c>
      <c r="W75" s="276">
        <f t="shared" si="18"/>
        <v>0</v>
      </c>
      <c r="X75" s="277">
        <f t="shared" si="11"/>
        <v>0</v>
      </c>
    </row>
    <row r="76" spans="14:24" x14ac:dyDescent="0.25">
      <c r="N76" s="244">
        <f>Weather_Site!B82</f>
        <v>44552</v>
      </c>
      <c r="O76" s="245">
        <f>Weather_Site!C82</f>
        <v>8.3333333333333329E-2</v>
      </c>
      <c r="P76" s="5">
        <f>Weather_Site!E82</f>
        <v>37.299999999999997</v>
      </c>
      <c r="Q76" s="245">
        <f t="shared" si="12"/>
        <v>4.1666666666666664E-2</v>
      </c>
      <c r="R76" s="5">
        <f t="shared" si="15"/>
        <v>1</v>
      </c>
      <c r="S76" s="5">
        <f t="shared" si="13"/>
        <v>2</v>
      </c>
      <c r="T76" s="247">
        <f t="shared" si="14"/>
        <v>36.450000000000003</v>
      </c>
      <c r="U76" s="5">
        <f t="shared" si="16"/>
        <v>0</v>
      </c>
      <c r="V76" s="247">
        <f t="shared" si="17"/>
        <v>0</v>
      </c>
      <c r="W76" s="276">
        <f t="shared" si="18"/>
        <v>0</v>
      </c>
      <c r="X76" s="277">
        <f t="shared" si="11"/>
        <v>0</v>
      </c>
    </row>
    <row r="77" spans="14:24" x14ac:dyDescent="0.25">
      <c r="N77" s="244">
        <f>Weather_Site!B83</f>
        <v>44552</v>
      </c>
      <c r="O77" s="245">
        <f>Weather_Site!C83</f>
        <v>0.125</v>
      </c>
      <c r="P77" s="5">
        <f>Weather_Site!E83</f>
        <v>41.6</v>
      </c>
      <c r="Q77" s="245">
        <f t="shared" si="12"/>
        <v>4.1666666666666671E-2</v>
      </c>
      <c r="R77" s="5">
        <f t="shared" si="15"/>
        <v>1</v>
      </c>
      <c r="S77" s="5">
        <f t="shared" si="13"/>
        <v>3</v>
      </c>
      <c r="T77" s="247">
        <f t="shared" si="14"/>
        <v>39.450000000000003</v>
      </c>
      <c r="U77" s="5">
        <f t="shared" si="16"/>
        <v>0</v>
      </c>
      <c r="V77" s="247">
        <f t="shared" si="17"/>
        <v>0</v>
      </c>
      <c r="W77" s="276">
        <f t="shared" si="18"/>
        <v>0</v>
      </c>
      <c r="X77" s="277">
        <f t="shared" si="11"/>
        <v>0</v>
      </c>
    </row>
    <row r="78" spans="14:24" x14ac:dyDescent="0.25">
      <c r="N78" s="244">
        <f>Weather_Site!B84</f>
        <v>44552</v>
      </c>
      <c r="O78" s="245">
        <f>Weather_Site!C84</f>
        <v>0.16666666666666666</v>
      </c>
      <c r="P78" s="5">
        <f>Weather_Site!E84</f>
        <v>45</v>
      </c>
      <c r="Q78" s="245">
        <f t="shared" si="12"/>
        <v>4.1666666666666657E-2</v>
      </c>
      <c r="R78" s="5">
        <f t="shared" si="15"/>
        <v>1</v>
      </c>
      <c r="S78" s="5">
        <f t="shared" si="13"/>
        <v>4</v>
      </c>
      <c r="T78" s="247">
        <f t="shared" si="14"/>
        <v>43.3</v>
      </c>
      <c r="U78" s="5">
        <f t="shared" si="16"/>
        <v>0</v>
      </c>
      <c r="V78" s="247">
        <f t="shared" si="17"/>
        <v>0</v>
      </c>
      <c r="W78" s="276">
        <f t="shared" si="18"/>
        <v>0</v>
      </c>
      <c r="X78" s="277">
        <f t="shared" si="11"/>
        <v>0</v>
      </c>
    </row>
    <row r="79" spans="14:24" x14ac:dyDescent="0.25">
      <c r="N79" s="244">
        <f>Weather_Site!B85</f>
        <v>44552</v>
      </c>
      <c r="O79" s="245">
        <f>Weather_Site!C85</f>
        <v>0.20833333333333334</v>
      </c>
      <c r="P79" s="5">
        <f>Weather_Site!E85</f>
        <v>49.3</v>
      </c>
      <c r="Q79" s="245">
        <f t="shared" si="12"/>
        <v>4.1666666666666685E-2</v>
      </c>
      <c r="R79" s="5">
        <f t="shared" si="15"/>
        <v>1</v>
      </c>
      <c r="S79" s="5">
        <f t="shared" si="13"/>
        <v>5</v>
      </c>
      <c r="T79" s="247">
        <f t="shared" si="14"/>
        <v>47.15</v>
      </c>
      <c r="U79" s="5">
        <f t="shared" si="16"/>
        <v>0</v>
      </c>
      <c r="V79" s="247">
        <f t="shared" si="17"/>
        <v>0</v>
      </c>
      <c r="W79" s="276">
        <f t="shared" si="18"/>
        <v>0</v>
      </c>
      <c r="X79" s="277">
        <f t="shared" si="11"/>
        <v>0</v>
      </c>
    </row>
    <row r="80" spans="14:24" x14ac:dyDescent="0.25">
      <c r="N80" s="244">
        <f>Weather_Site!B86</f>
        <v>44552</v>
      </c>
      <c r="O80" s="245">
        <f>Weather_Site!C86</f>
        <v>0.25</v>
      </c>
      <c r="P80" s="5">
        <f>Weather_Site!E86</f>
        <v>51.8</v>
      </c>
      <c r="Q80" s="245">
        <f t="shared" si="12"/>
        <v>4.1666666666666657E-2</v>
      </c>
      <c r="R80" s="5">
        <f t="shared" si="15"/>
        <v>1</v>
      </c>
      <c r="S80" s="5">
        <f t="shared" si="13"/>
        <v>6</v>
      </c>
      <c r="T80" s="247">
        <f t="shared" si="14"/>
        <v>50.55</v>
      </c>
      <c r="U80" s="5">
        <f t="shared" si="16"/>
        <v>0</v>
      </c>
      <c r="V80" s="247">
        <f t="shared" si="17"/>
        <v>0</v>
      </c>
      <c r="W80" s="276">
        <f t="shared" si="18"/>
        <v>0</v>
      </c>
      <c r="X80" s="277">
        <f t="shared" si="11"/>
        <v>0</v>
      </c>
    </row>
    <row r="81" spans="14:24" x14ac:dyDescent="0.25">
      <c r="N81" s="244">
        <f>Weather_Site!B87</f>
        <v>44552</v>
      </c>
      <c r="O81" s="245">
        <f>Weather_Site!C87</f>
        <v>0.29166666666666669</v>
      </c>
      <c r="P81" s="5">
        <f>Weather_Site!E87</f>
        <v>48.9</v>
      </c>
      <c r="Q81" s="245">
        <f t="shared" si="12"/>
        <v>4.1666666666666685E-2</v>
      </c>
      <c r="R81" s="5">
        <f t="shared" si="15"/>
        <v>1</v>
      </c>
      <c r="S81" s="5">
        <f t="shared" si="13"/>
        <v>7</v>
      </c>
      <c r="T81" s="247">
        <f t="shared" si="14"/>
        <v>50.349999999999994</v>
      </c>
      <c r="U81" s="5">
        <f t="shared" si="16"/>
        <v>0</v>
      </c>
      <c r="V81" s="247">
        <f t="shared" si="17"/>
        <v>0</v>
      </c>
      <c r="W81" s="276">
        <f t="shared" si="18"/>
        <v>0</v>
      </c>
      <c r="X81" s="277">
        <f t="shared" si="11"/>
        <v>0</v>
      </c>
    </row>
    <row r="82" spans="14:24" x14ac:dyDescent="0.25">
      <c r="N82" s="244">
        <f>Weather_Site!B88</f>
        <v>44552</v>
      </c>
      <c r="O82" s="245">
        <f>Weather_Site!C88</f>
        <v>0.33333333333333331</v>
      </c>
      <c r="P82" s="5">
        <f>Weather_Site!E88</f>
        <v>43</v>
      </c>
      <c r="Q82" s="245">
        <f t="shared" si="12"/>
        <v>4.166666666666663E-2</v>
      </c>
      <c r="R82" s="5">
        <f t="shared" si="15"/>
        <v>1</v>
      </c>
      <c r="S82" s="5">
        <f t="shared" si="13"/>
        <v>8</v>
      </c>
      <c r="T82" s="247">
        <f t="shared" si="14"/>
        <v>45.95</v>
      </c>
      <c r="U82" s="5">
        <f t="shared" si="16"/>
        <v>0</v>
      </c>
      <c r="V82" s="247">
        <f t="shared" si="17"/>
        <v>0</v>
      </c>
      <c r="W82" s="276">
        <f t="shared" si="18"/>
        <v>0</v>
      </c>
      <c r="X82" s="277">
        <f t="shared" si="11"/>
        <v>0</v>
      </c>
    </row>
    <row r="83" spans="14:24" x14ac:dyDescent="0.25">
      <c r="N83" s="244">
        <f>Weather_Site!B89</f>
        <v>44552</v>
      </c>
      <c r="O83" s="245">
        <f>Weather_Site!C89</f>
        <v>0.375</v>
      </c>
      <c r="P83" s="5">
        <f>Weather_Site!E89</f>
        <v>40</v>
      </c>
      <c r="Q83" s="245">
        <f t="shared" si="12"/>
        <v>0</v>
      </c>
      <c r="R83" s="5">
        <f t="shared" si="15"/>
        <v>0</v>
      </c>
      <c r="S83" s="5">
        <f t="shared" si="13"/>
        <v>9</v>
      </c>
      <c r="T83" s="247">
        <f t="shared" si="14"/>
        <v>0</v>
      </c>
      <c r="U83" s="5">
        <f t="shared" si="16"/>
        <v>0</v>
      </c>
      <c r="V83" s="247">
        <f t="shared" si="17"/>
        <v>0</v>
      </c>
      <c r="W83" s="276">
        <f t="shared" si="18"/>
        <v>0</v>
      </c>
      <c r="X83" s="277">
        <f t="shared" si="11"/>
        <v>0</v>
      </c>
    </row>
    <row r="84" spans="14:24" x14ac:dyDescent="0.25">
      <c r="N84" s="244">
        <f>Weather_Site!B90</f>
        <v>44552</v>
      </c>
      <c r="O84" s="245">
        <f>Weather_Site!C90</f>
        <v>0.41666666666666669</v>
      </c>
      <c r="P84" s="5">
        <f>Weather_Site!E90</f>
        <v>34.200000000000003</v>
      </c>
      <c r="Q84" s="245">
        <f t="shared" si="12"/>
        <v>0</v>
      </c>
      <c r="R84" s="5">
        <f t="shared" si="15"/>
        <v>0</v>
      </c>
      <c r="S84" s="5">
        <f t="shared" si="13"/>
        <v>10</v>
      </c>
      <c r="T84" s="247">
        <f t="shared" si="14"/>
        <v>0</v>
      </c>
      <c r="U84" s="5">
        <f t="shared" si="16"/>
        <v>0</v>
      </c>
      <c r="V84" s="247">
        <f t="shared" si="17"/>
        <v>0</v>
      </c>
      <c r="W84" s="276">
        <f t="shared" si="18"/>
        <v>0</v>
      </c>
      <c r="X84" s="277">
        <f t="shared" si="11"/>
        <v>0</v>
      </c>
    </row>
    <row r="85" spans="14:24" x14ac:dyDescent="0.25">
      <c r="N85" s="244">
        <f>Weather_Site!B91</f>
        <v>44552</v>
      </c>
      <c r="O85" s="245">
        <f>Weather_Site!C91</f>
        <v>0.45833333333333331</v>
      </c>
      <c r="P85" s="5">
        <f>Weather_Site!E91</f>
        <v>30</v>
      </c>
      <c r="Q85" s="245">
        <f t="shared" si="12"/>
        <v>0</v>
      </c>
      <c r="R85" s="5">
        <f t="shared" si="15"/>
        <v>0</v>
      </c>
      <c r="S85" s="5">
        <f t="shared" si="13"/>
        <v>11</v>
      </c>
      <c r="T85" s="247">
        <f t="shared" si="14"/>
        <v>0</v>
      </c>
      <c r="U85" s="5">
        <f t="shared" si="16"/>
        <v>0</v>
      </c>
      <c r="V85" s="247">
        <f t="shared" si="17"/>
        <v>0</v>
      </c>
      <c r="W85" s="276">
        <f t="shared" si="18"/>
        <v>0</v>
      </c>
      <c r="X85" s="277">
        <f t="shared" si="11"/>
        <v>0</v>
      </c>
    </row>
    <row r="86" spans="14:24" x14ac:dyDescent="0.25">
      <c r="N86" s="244">
        <f>Weather_Site!B92</f>
        <v>44552</v>
      </c>
      <c r="O86" s="245">
        <f>Weather_Site!C92</f>
        <v>0.5</v>
      </c>
      <c r="P86" s="5">
        <f>Weather_Site!E92</f>
        <v>26.2</v>
      </c>
      <c r="Q86" s="245">
        <f t="shared" si="12"/>
        <v>0</v>
      </c>
      <c r="R86" s="5">
        <f t="shared" si="15"/>
        <v>0</v>
      </c>
      <c r="S86" s="5">
        <f t="shared" si="13"/>
        <v>12</v>
      </c>
      <c r="T86" s="247">
        <f t="shared" si="14"/>
        <v>0</v>
      </c>
      <c r="U86" s="5">
        <f t="shared" si="16"/>
        <v>0</v>
      </c>
      <c r="V86" s="247">
        <f t="shared" si="17"/>
        <v>0</v>
      </c>
      <c r="W86" s="276">
        <f t="shared" si="18"/>
        <v>0</v>
      </c>
      <c r="X86" s="277">
        <f t="shared" si="11"/>
        <v>0</v>
      </c>
    </row>
    <row r="87" spans="14:24" x14ac:dyDescent="0.25">
      <c r="N87" s="244">
        <f>Weather_Site!B93</f>
        <v>44552</v>
      </c>
      <c r="O87" s="245">
        <f>Weather_Site!C93</f>
        <v>0.54166666666666663</v>
      </c>
      <c r="P87" s="5">
        <f>Weather_Site!E93</f>
        <v>22.5</v>
      </c>
      <c r="Q87" s="245">
        <f t="shared" si="12"/>
        <v>0</v>
      </c>
      <c r="R87" s="5">
        <f t="shared" si="15"/>
        <v>0</v>
      </c>
      <c r="S87" s="5">
        <f t="shared" si="13"/>
        <v>13</v>
      </c>
      <c r="T87" s="247">
        <f t="shared" si="14"/>
        <v>0</v>
      </c>
      <c r="U87" s="5">
        <f t="shared" si="16"/>
        <v>0</v>
      </c>
      <c r="V87" s="247">
        <f t="shared" si="17"/>
        <v>0</v>
      </c>
      <c r="W87" s="276">
        <f t="shared" si="18"/>
        <v>0</v>
      </c>
      <c r="X87" s="277">
        <f t="shared" si="11"/>
        <v>0</v>
      </c>
    </row>
    <row r="88" spans="14:24" x14ac:dyDescent="0.25">
      <c r="N88" s="244">
        <f>Weather_Site!B94</f>
        <v>44552</v>
      </c>
      <c r="O88" s="245">
        <f>Weather_Site!C94</f>
        <v>0.58333333333333337</v>
      </c>
      <c r="P88" s="5">
        <f>Weather_Site!E94</f>
        <v>18.8</v>
      </c>
      <c r="Q88" s="245">
        <f t="shared" si="12"/>
        <v>0</v>
      </c>
      <c r="R88" s="5">
        <f t="shared" si="15"/>
        <v>0</v>
      </c>
      <c r="S88" s="5">
        <f t="shared" si="13"/>
        <v>14</v>
      </c>
      <c r="T88" s="247">
        <f t="shared" si="14"/>
        <v>0</v>
      </c>
      <c r="U88" s="5">
        <f t="shared" si="16"/>
        <v>0</v>
      </c>
      <c r="V88" s="247">
        <f t="shared" si="17"/>
        <v>0</v>
      </c>
      <c r="W88" s="276">
        <f t="shared" si="18"/>
        <v>0</v>
      </c>
      <c r="X88" s="277">
        <f t="shared" si="11"/>
        <v>0</v>
      </c>
    </row>
    <row r="89" spans="14:24" x14ac:dyDescent="0.25">
      <c r="N89" s="244">
        <f>Weather_Site!B95</f>
        <v>44552</v>
      </c>
      <c r="O89" s="245">
        <f>Weather_Site!C95</f>
        <v>0.625</v>
      </c>
      <c r="P89" s="5">
        <f>Weather_Site!E95</f>
        <v>16.100000000000001</v>
      </c>
      <c r="Q89" s="245">
        <f t="shared" si="12"/>
        <v>0</v>
      </c>
      <c r="R89" s="5">
        <f t="shared" si="15"/>
        <v>0</v>
      </c>
      <c r="S89" s="5">
        <f t="shared" si="13"/>
        <v>15</v>
      </c>
      <c r="T89" s="247">
        <f t="shared" si="14"/>
        <v>0</v>
      </c>
      <c r="U89" s="5">
        <f t="shared" si="16"/>
        <v>0</v>
      </c>
      <c r="V89" s="247">
        <f t="shared" si="17"/>
        <v>0</v>
      </c>
      <c r="W89" s="276">
        <f t="shared" si="18"/>
        <v>0</v>
      </c>
      <c r="X89" s="277">
        <f t="shared" si="11"/>
        <v>0</v>
      </c>
    </row>
    <row r="90" spans="14:24" x14ac:dyDescent="0.25">
      <c r="N90" s="244">
        <f>Weather_Site!B96</f>
        <v>44552</v>
      </c>
      <c r="O90" s="245">
        <f>Weather_Site!C96</f>
        <v>0.66666666666666663</v>
      </c>
      <c r="P90" s="5">
        <f>Weather_Site!E96</f>
        <v>14.9</v>
      </c>
      <c r="Q90" s="245">
        <f t="shared" si="12"/>
        <v>4.166666666666663E-2</v>
      </c>
      <c r="R90" s="5">
        <f t="shared" si="15"/>
        <v>1</v>
      </c>
      <c r="S90" s="5">
        <f t="shared" si="13"/>
        <v>16</v>
      </c>
      <c r="T90" s="247">
        <f t="shared" si="14"/>
        <v>15.5</v>
      </c>
      <c r="U90" s="5">
        <f t="shared" si="16"/>
        <v>0</v>
      </c>
      <c r="V90" s="247">
        <f t="shared" si="17"/>
        <v>0</v>
      </c>
      <c r="W90" s="276">
        <f t="shared" si="18"/>
        <v>0</v>
      </c>
      <c r="X90" s="277">
        <f t="shared" si="11"/>
        <v>0</v>
      </c>
    </row>
    <row r="91" spans="14:24" x14ac:dyDescent="0.25">
      <c r="N91" s="244">
        <f>Weather_Site!B97</f>
        <v>44552</v>
      </c>
      <c r="O91" s="245">
        <f>Weather_Site!C97</f>
        <v>0.70833333333333337</v>
      </c>
      <c r="P91" s="5">
        <f>Weather_Site!E97</f>
        <v>13.7</v>
      </c>
      <c r="Q91" s="245">
        <f t="shared" si="12"/>
        <v>4.1666666666666741E-2</v>
      </c>
      <c r="R91" s="5">
        <f t="shared" si="15"/>
        <v>1</v>
      </c>
      <c r="S91" s="5">
        <f t="shared" si="13"/>
        <v>17</v>
      </c>
      <c r="T91" s="247">
        <f t="shared" si="14"/>
        <v>14.3</v>
      </c>
      <c r="U91" s="5">
        <f t="shared" si="16"/>
        <v>0</v>
      </c>
      <c r="V91" s="247">
        <f t="shared" si="17"/>
        <v>0</v>
      </c>
      <c r="W91" s="276">
        <f t="shared" si="18"/>
        <v>0</v>
      </c>
      <c r="X91" s="277">
        <f t="shared" si="11"/>
        <v>0</v>
      </c>
    </row>
    <row r="92" spans="14:24" x14ac:dyDescent="0.25">
      <c r="N92" s="244">
        <f>Weather_Site!B98</f>
        <v>44552</v>
      </c>
      <c r="O92" s="245">
        <f>Weather_Site!C98</f>
        <v>0.75</v>
      </c>
      <c r="P92" s="5">
        <f>Weather_Site!E98</f>
        <v>14.3</v>
      </c>
      <c r="Q92" s="245">
        <f t="shared" si="12"/>
        <v>4.166666666666663E-2</v>
      </c>
      <c r="R92" s="5">
        <f t="shared" si="15"/>
        <v>1</v>
      </c>
      <c r="S92" s="5">
        <f t="shared" si="13"/>
        <v>18</v>
      </c>
      <c r="T92" s="247">
        <f t="shared" si="14"/>
        <v>14</v>
      </c>
      <c r="U92" s="5">
        <f t="shared" si="16"/>
        <v>0</v>
      </c>
      <c r="V92" s="247">
        <f t="shared" si="17"/>
        <v>0</v>
      </c>
      <c r="W92" s="276">
        <f t="shared" si="18"/>
        <v>0</v>
      </c>
      <c r="X92" s="277">
        <f t="shared" si="11"/>
        <v>0</v>
      </c>
    </row>
    <row r="93" spans="14:24" x14ac:dyDescent="0.25">
      <c r="N93" s="244">
        <f>Weather_Site!B99</f>
        <v>44552</v>
      </c>
      <c r="O93" s="245">
        <f>Weather_Site!C99</f>
        <v>0.79166666666666663</v>
      </c>
      <c r="P93" s="5">
        <f>Weather_Site!E99</f>
        <v>14.5</v>
      </c>
      <c r="Q93" s="245">
        <f t="shared" si="12"/>
        <v>4.166666666666663E-2</v>
      </c>
      <c r="R93" s="5">
        <f t="shared" si="15"/>
        <v>1</v>
      </c>
      <c r="S93" s="5">
        <f t="shared" si="13"/>
        <v>19</v>
      </c>
      <c r="T93" s="247">
        <f t="shared" si="14"/>
        <v>14.4</v>
      </c>
      <c r="U93" s="5">
        <f t="shared" si="16"/>
        <v>0</v>
      </c>
      <c r="V93" s="247">
        <f t="shared" si="17"/>
        <v>0</v>
      </c>
      <c r="W93" s="276">
        <f t="shared" si="18"/>
        <v>0</v>
      </c>
      <c r="X93" s="277">
        <f t="shared" si="11"/>
        <v>0</v>
      </c>
    </row>
    <row r="94" spans="14:24" x14ac:dyDescent="0.25">
      <c r="N94" s="244">
        <f>Weather_Site!B100</f>
        <v>44552</v>
      </c>
      <c r="O94" s="245">
        <f>Weather_Site!C100</f>
        <v>0.83333333333333337</v>
      </c>
      <c r="P94" s="5">
        <f>Weather_Site!E100</f>
        <v>16</v>
      </c>
      <c r="Q94" s="245">
        <f t="shared" si="12"/>
        <v>4.1666666666666741E-2</v>
      </c>
      <c r="R94" s="5">
        <f t="shared" si="15"/>
        <v>1</v>
      </c>
      <c r="S94" s="5">
        <f t="shared" si="13"/>
        <v>20</v>
      </c>
      <c r="T94" s="247">
        <f t="shared" si="14"/>
        <v>15.25</v>
      </c>
      <c r="U94" s="5">
        <f t="shared" si="16"/>
        <v>0</v>
      </c>
      <c r="V94" s="247">
        <f t="shared" si="17"/>
        <v>0</v>
      </c>
      <c r="W94" s="276">
        <f t="shared" si="18"/>
        <v>0</v>
      </c>
      <c r="X94" s="277">
        <f t="shared" si="11"/>
        <v>0</v>
      </c>
    </row>
    <row r="95" spans="14:24" x14ac:dyDescent="0.25">
      <c r="N95" s="244">
        <f>Weather_Site!B101</f>
        <v>44552</v>
      </c>
      <c r="O95" s="245">
        <f>Weather_Site!C101</f>
        <v>0.875</v>
      </c>
      <c r="P95" s="5">
        <f>Weather_Site!E101</f>
        <v>19.3</v>
      </c>
      <c r="Q95" s="245">
        <f t="shared" si="12"/>
        <v>4.166666666666663E-2</v>
      </c>
      <c r="R95" s="5">
        <f t="shared" si="15"/>
        <v>1</v>
      </c>
      <c r="S95" s="5">
        <f t="shared" si="13"/>
        <v>21</v>
      </c>
      <c r="T95" s="247">
        <f t="shared" si="14"/>
        <v>17.649999999999999</v>
      </c>
      <c r="U95" s="5">
        <f t="shared" si="16"/>
        <v>0</v>
      </c>
      <c r="V95" s="247">
        <f t="shared" si="17"/>
        <v>0</v>
      </c>
      <c r="W95" s="276">
        <f t="shared" si="18"/>
        <v>0</v>
      </c>
      <c r="X95" s="277">
        <f t="shared" si="11"/>
        <v>0</v>
      </c>
    </row>
    <row r="96" spans="14:24" x14ac:dyDescent="0.25">
      <c r="N96" s="244">
        <f>Weather_Site!B102</f>
        <v>44552</v>
      </c>
      <c r="O96" s="245">
        <f>Weather_Site!C102</f>
        <v>0.91666666666666663</v>
      </c>
      <c r="P96" s="5">
        <f>Weather_Site!E102</f>
        <v>23.5</v>
      </c>
      <c r="Q96" s="245">
        <f t="shared" si="12"/>
        <v>4.166666666666663E-2</v>
      </c>
      <c r="R96" s="5">
        <f t="shared" si="15"/>
        <v>1</v>
      </c>
      <c r="S96" s="5">
        <f t="shared" si="13"/>
        <v>22</v>
      </c>
      <c r="T96" s="247">
        <f t="shared" si="14"/>
        <v>21.4</v>
      </c>
      <c r="U96" s="5">
        <f t="shared" si="16"/>
        <v>0</v>
      </c>
      <c r="V96" s="247">
        <f t="shared" si="17"/>
        <v>0</v>
      </c>
      <c r="W96" s="276">
        <f t="shared" si="18"/>
        <v>0</v>
      </c>
      <c r="X96" s="277">
        <f t="shared" si="11"/>
        <v>0</v>
      </c>
    </row>
    <row r="97" spans="14:24" x14ac:dyDescent="0.25">
      <c r="N97" s="244">
        <f>Weather_Site!B103</f>
        <v>44552</v>
      </c>
      <c r="O97" s="245">
        <f>Weather_Site!C103</f>
        <v>0.95833333333333337</v>
      </c>
      <c r="P97" s="5">
        <f>Weather_Site!E103</f>
        <v>26.8</v>
      </c>
      <c r="Q97" s="245">
        <f t="shared" si="12"/>
        <v>4.1666666666666741E-2</v>
      </c>
      <c r="R97" s="5">
        <f t="shared" si="15"/>
        <v>1</v>
      </c>
      <c r="S97" s="5">
        <f t="shared" si="13"/>
        <v>23</v>
      </c>
      <c r="T97" s="247">
        <f t="shared" si="14"/>
        <v>25.15</v>
      </c>
      <c r="U97" s="5">
        <f t="shared" si="16"/>
        <v>0</v>
      </c>
      <c r="V97" s="247">
        <f t="shared" si="17"/>
        <v>0</v>
      </c>
      <c r="W97" s="276">
        <f t="shared" si="18"/>
        <v>0</v>
      </c>
      <c r="X97" s="277">
        <f t="shared" si="11"/>
        <v>0</v>
      </c>
    </row>
    <row r="98" spans="14:24" x14ac:dyDescent="0.25">
      <c r="N98" s="244">
        <f>Weather_Site!B104</f>
        <v>44553</v>
      </c>
      <c r="O98" s="245">
        <f>Weather_Site!C104</f>
        <v>0</v>
      </c>
      <c r="P98" s="5">
        <f>Weather_Site!E104</f>
        <v>27.3</v>
      </c>
      <c r="Q98" s="245">
        <f t="shared" si="12"/>
        <v>4.166666666666663E-2</v>
      </c>
      <c r="R98" s="5">
        <f t="shared" si="15"/>
        <v>1</v>
      </c>
      <c r="S98" s="5">
        <f t="shared" si="13"/>
        <v>0</v>
      </c>
      <c r="T98" s="247">
        <f t="shared" si="14"/>
        <v>27.05</v>
      </c>
      <c r="U98" s="5">
        <f t="shared" si="16"/>
        <v>0</v>
      </c>
      <c r="V98" s="247">
        <f t="shared" si="17"/>
        <v>0</v>
      </c>
      <c r="W98" s="276">
        <f t="shared" si="18"/>
        <v>0</v>
      </c>
      <c r="X98" s="277">
        <f t="shared" si="11"/>
        <v>0</v>
      </c>
    </row>
    <row r="99" spans="14:24" x14ac:dyDescent="0.25">
      <c r="N99" s="244">
        <f>Weather_Site!B105</f>
        <v>44553</v>
      </c>
      <c r="O99" s="245">
        <f>Weather_Site!C105</f>
        <v>4.1666666666666664E-2</v>
      </c>
      <c r="P99" s="5">
        <f>Weather_Site!E105</f>
        <v>28.2</v>
      </c>
      <c r="Q99" s="245">
        <f t="shared" si="12"/>
        <v>4.1666666666666664E-2</v>
      </c>
      <c r="R99" s="5">
        <f t="shared" si="15"/>
        <v>1</v>
      </c>
      <c r="S99" s="5">
        <f t="shared" si="13"/>
        <v>1</v>
      </c>
      <c r="T99" s="247">
        <f t="shared" si="14"/>
        <v>27.75</v>
      </c>
      <c r="U99" s="5">
        <f t="shared" si="16"/>
        <v>0</v>
      </c>
      <c r="V99" s="247">
        <f t="shared" si="17"/>
        <v>0</v>
      </c>
      <c r="W99" s="276">
        <f t="shared" si="18"/>
        <v>0</v>
      </c>
      <c r="X99" s="277">
        <f t="shared" si="11"/>
        <v>0</v>
      </c>
    </row>
    <row r="100" spans="14:24" x14ac:dyDescent="0.25">
      <c r="N100" s="244">
        <f>Weather_Site!B106</f>
        <v>44553</v>
      </c>
      <c r="O100" s="245">
        <f>Weather_Site!C106</f>
        <v>8.3333333333333329E-2</v>
      </c>
      <c r="P100" s="5">
        <f>Weather_Site!E106</f>
        <v>30.1</v>
      </c>
      <c r="Q100" s="245">
        <f t="shared" si="12"/>
        <v>4.1666666666666664E-2</v>
      </c>
      <c r="R100" s="5">
        <f t="shared" si="15"/>
        <v>1</v>
      </c>
      <c r="S100" s="5">
        <f t="shared" si="13"/>
        <v>2</v>
      </c>
      <c r="T100" s="247">
        <f t="shared" si="14"/>
        <v>29.15</v>
      </c>
      <c r="U100" s="5">
        <f t="shared" si="16"/>
        <v>0</v>
      </c>
      <c r="V100" s="247">
        <f t="shared" si="17"/>
        <v>0</v>
      </c>
      <c r="W100" s="276">
        <f t="shared" si="18"/>
        <v>0</v>
      </c>
      <c r="X100" s="277">
        <f t="shared" ref="X100:X163" si="19">IF(AND(O99&lt;0.333,O100&gt;=0.333),W100,X99)</f>
        <v>0</v>
      </c>
    </row>
    <row r="101" spans="14:24" x14ac:dyDescent="0.25">
      <c r="N101" s="244">
        <f>Weather_Site!B107</f>
        <v>44553</v>
      </c>
      <c r="O101" s="245">
        <f>Weather_Site!C107</f>
        <v>0.125</v>
      </c>
      <c r="P101" s="5">
        <f>Weather_Site!E107</f>
        <v>36.200000000000003</v>
      </c>
      <c r="Q101" s="245">
        <f t="shared" ref="Q101:Q164" si="20">IF((O101-O100)&lt;0,(1-MAX(O100,0.625))+MIN(O101,0.334),(IF(O100&lt;0.333,(MIN(O101,0.334)-O100),IF(O101&gt;0.625,MAX(O101,0.625)-O100,0))))</f>
        <v>4.1666666666666671E-2</v>
      </c>
      <c r="R101" s="5">
        <f t="shared" si="15"/>
        <v>1</v>
      </c>
      <c r="S101" s="5">
        <f t="shared" ref="S101:S164" si="21">HOUR(O101)</f>
        <v>3</v>
      </c>
      <c r="T101" s="247">
        <f t="shared" ref="T101:T164" si="22">(P101+P100)/2*R101</f>
        <v>33.150000000000006</v>
      </c>
      <c r="U101" s="5">
        <f t="shared" si="16"/>
        <v>0</v>
      </c>
      <c r="V101" s="247">
        <f t="shared" si="17"/>
        <v>0</v>
      </c>
      <c r="W101" s="276">
        <f t="shared" si="18"/>
        <v>0</v>
      </c>
      <c r="X101" s="277">
        <f t="shared" si="19"/>
        <v>0</v>
      </c>
    </row>
    <row r="102" spans="14:24" x14ac:dyDescent="0.25">
      <c r="N102" s="244">
        <f>Weather_Site!B108</f>
        <v>44553</v>
      </c>
      <c r="O102" s="245">
        <f>Weather_Site!C108</f>
        <v>0.16666666666666666</v>
      </c>
      <c r="P102" s="5">
        <f>Weather_Site!E108</f>
        <v>43.6</v>
      </c>
      <c r="Q102" s="245">
        <f t="shared" si="20"/>
        <v>4.1666666666666657E-2</v>
      </c>
      <c r="R102" s="5">
        <f t="shared" si="15"/>
        <v>1</v>
      </c>
      <c r="S102" s="5">
        <f t="shared" si="21"/>
        <v>4</v>
      </c>
      <c r="T102" s="247">
        <f t="shared" si="22"/>
        <v>39.900000000000006</v>
      </c>
      <c r="U102" s="5">
        <f t="shared" si="16"/>
        <v>0</v>
      </c>
      <c r="V102" s="247">
        <f t="shared" si="17"/>
        <v>0</v>
      </c>
      <c r="W102" s="276">
        <f t="shared" si="18"/>
        <v>0</v>
      </c>
      <c r="X102" s="277">
        <f t="shared" si="19"/>
        <v>0</v>
      </c>
    </row>
    <row r="103" spans="14:24" x14ac:dyDescent="0.25">
      <c r="N103" s="244">
        <f>Weather_Site!B109</f>
        <v>44553</v>
      </c>
      <c r="O103" s="245">
        <f>Weather_Site!C109</f>
        <v>0.20833333333333334</v>
      </c>
      <c r="P103" s="5">
        <f>Weather_Site!E109</f>
        <v>49.4</v>
      </c>
      <c r="Q103" s="245">
        <f t="shared" si="20"/>
        <v>4.1666666666666685E-2</v>
      </c>
      <c r="R103" s="5">
        <f t="shared" si="15"/>
        <v>1</v>
      </c>
      <c r="S103" s="5">
        <f t="shared" si="21"/>
        <v>5</v>
      </c>
      <c r="T103" s="247">
        <f t="shared" si="22"/>
        <v>46.5</v>
      </c>
      <c r="U103" s="5">
        <f t="shared" si="16"/>
        <v>0</v>
      </c>
      <c r="V103" s="247">
        <f t="shared" si="17"/>
        <v>0</v>
      </c>
      <c r="W103" s="276">
        <f t="shared" si="18"/>
        <v>0</v>
      </c>
      <c r="X103" s="277">
        <f t="shared" si="19"/>
        <v>0</v>
      </c>
    </row>
    <row r="104" spans="14:24" x14ac:dyDescent="0.25">
      <c r="N104" s="244">
        <f>Weather_Site!B110</f>
        <v>44553</v>
      </c>
      <c r="O104" s="245">
        <f>Weather_Site!C110</f>
        <v>0.25</v>
      </c>
      <c r="P104" s="5">
        <f>Weather_Site!E110</f>
        <v>51.8</v>
      </c>
      <c r="Q104" s="245">
        <f t="shared" si="20"/>
        <v>4.1666666666666657E-2</v>
      </c>
      <c r="R104" s="5">
        <f t="shared" si="15"/>
        <v>1</v>
      </c>
      <c r="S104" s="5">
        <f t="shared" si="21"/>
        <v>6</v>
      </c>
      <c r="T104" s="247">
        <f t="shared" si="22"/>
        <v>50.599999999999994</v>
      </c>
      <c r="U104" s="5">
        <f t="shared" si="16"/>
        <v>0</v>
      </c>
      <c r="V104" s="247">
        <f t="shared" si="17"/>
        <v>0</v>
      </c>
      <c r="W104" s="276">
        <f t="shared" si="18"/>
        <v>0</v>
      </c>
      <c r="X104" s="277">
        <f t="shared" si="19"/>
        <v>0</v>
      </c>
    </row>
    <row r="105" spans="14:24" x14ac:dyDescent="0.25">
      <c r="N105" s="244">
        <f>Weather_Site!B111</f>
        <v>44553</v>
      </c>
      <c r="O105" s="245">
        <f>Weather_Site!C111</f>
        <v>0.29166666666666669</v>
      </c>
      <c r="P105" s="5">
        <f>Weather_Site!E111</f>
        <v>48.5</v>
      </c>
      <c r="Q105" s="245">
        <f t="shared" si="20"/>
        <v>4.1666666666666685E-2</v>
      </c>
      <c r="R105" s="5">
        <f t="shared" si="15"/>
        <v>1</v>
      </c>
      <c r="S105" s="5">
        <f t="shared" si="21"/>
        <v>7</v>
      </c>
      <c r="T105" s="247">
        <f t="shared" si="22"/>
        <v>50.15</v>
      </c>
      <c r="U105" s="5">
        <f t="shared" si="16"/>
        <v>0</v>
      </c>
      <c r="V105" s="247">
        <f t="shared" si="17"/>
        <v>0</v>
      </c>
      <c r="W105" s="276">
        <f t="shared" si="18"/>
        <v>0</v>
      </c>
      <c r="X105" s="277">
        <f t="shared" si="19"/>
        <v>0</v>
      </c>
    </row>
    <row r="106" spans="14:24" x14ac:dyDescent="0.25">
      <c r="N106" s="244">
        <f>Weather_Site!B112</f>
        <v>44553</v>
      </c>
      <c r="O106" s="245">
        <f>Weather_Site!C112</f>
        <v>0.33333333333333331</v>
      </c>
      <c r="P106" s="5">
        <f>Weather_Site!E112</f>
        <v>41.5</v>
      </c>
      <c r="Q106" s="245">
        <f t="shared" si="20"/>
        <v>4.166666666666663E-2</v>
      </c>
      <c r="R106" s="5">
        <f t="shared" si="15"/>
        <v>1</v>
      </c>
      <c r="S106" s="5">
        <f t="shared" si="21"/>
        <v>8</v>
      </c>
      <c r="T106" s="247">
        <f t="shared" si="22"/>
        <v>45</v>
      </c>
      <c r="U106" s="5">
        <f t="shared" si="16"/>
        <v>0</v>
      </c>
      <c r="V106" s="247">
        <f t="shared" si="17"/>
        <v>0</v>
      </c>
      <c r="W106" s="276">
        <f t="shared" si="18"/>
        <v>0</v>
      </c>
      <c r="X106" s="277">
        <f t="shared" si="19"/>
        <v>0</v>
      </c>
    </row>
    <row r="107" spans="14:24" x14ac:dyDescent="0.25">
      <c r="N107" s="244">
        <f>Weather_Site!B113</f>
        <v>44553</v>
      </c>
      <c r="O107" s="245">
        <f>Weather_Site!C113</f>
        <v>0.375</v>
      </c>
      <c r="P107" s="5">
        <f>Weather_Site!E113</f>
        <v>37.5</v>
      </c>
      <c r="Q107" s="245">
        <f t="shared" si="20"/>
        <v>0</v>
      </c>
      <c r="R107" s="5">
        <f t="shared" si="15"/>
        <v>0</v>
      </c>
      <c r="S107" s="5">
        <f t="shared" si="21"/>
        <v>9</v>
      </c>
      <c r="T107" s="247">
        <f t="shared" si="22"/>
        <v>0</v>
      </c>
      <c r="U107" s="5">
        <f t="shared" si="16"/>
        <v>0</v>
      </c>
      <c r="V107" s="247">
        <f t="shared" si="17"/>
        <v>0</v>
      </c>
      <c r="W107" s="276">
        <f t="shared" si="18"/>
        <v>0</v>
      </c>
      <c r="X107" s="277">
        <f t="shared" si="19"/>
        <v>0</v>
      </c>
    </row>
    <row r="108" spans="14:24" x14ac:dyDescent="0.25">
      <c r="N108" s="244">
        <f>Weather_Site!B114</f>
        <v>44553</v>
      </c>
      <c r="O108" s="245">
        <f>Weather_Site!C114</f>
        <v>0.41666666666666669</v>
      </c>
      <c r="P108" s="5">
        <f>Weather_Site!E114</f>
        <v>31.3</v>
      </c>
      <c r="Q108" s="245">
        <f t="shared" si="20"/>
        <v>0</v>
      </c>
      <c r="R108" s="5">
        <f t="shared" si="15"/>
        <v>0</v>
      </c>
      <c r="S108" s="5">
        <f t="shared" si="21"/>
        <v>10</v>
      </c>
      <c r="T108" s="247">
        <f t="shared" si="22"/>
        <v>0</v>
      </c>
      <c r="U108" s="5">
        <f t="shared" si="16"/>
        <v>0</v>
      </c>
      <c r="V108" s="247">
        <f t="shared" si="17"/>
        <v>0</v>
      </c>
      <c r="W108" s="276">
        <f t="shared" si="18"/>
        <v>0</v>
      </c>
      <c r="X108" s="277">
        <f t="shared" si="19"/>
        <v>0</v>
      </c>
    </row>
    <row r="109" spans="14:24" x14ac:dyDescent="0.25">
      <c r="N109" s="244">
        <f>Weather_Site!B115</f>
        <v>44553</v>
      </c>
      <c r="O109" s="245">
        <f>Weather_Site!C115</f>
        <v>0.45833333333333331</v>
      </c>
      <c r="P109" s="5">
        <f>Weather_Site!E115</f>
        <v>28.1</v>
      </c>
      <c r="Q109" s="245">
        <f t="shared" si="20"/>
        <v>0</v>
      </c>
      <c r="R109" s="5">
        <f t="shared" si="15"/>
        <v>0</v>
      </c>
      <c r="S109" s="5">
        <f t="shared" si="21"/>
        <v>11</v>
      </c>
      <c r="T109" s="247">
        <f t="shared" si="22"/>
        <v>0</v>
      </c>
      <c r="U109" s="5">
        <f t="shared" si="16"/>
        <v>0</v>
      </c>
      <c r="V109" s="247">
        <f t="shared" si="17"/>
        <v>0</v>
      </c>
      <c r="W109" s="276">
        <f t="shared" si="18"/>
        <v>0</v>
      </c>
      <c r="X109" s="277">
        <f t="shared" si="19"/>
        <v>0</v>
      </c>
    </row>
    <row r="110" spans="14:24" x14ac:dyDescent="0.25">
      <c r="N110" s="244">
        <f>Weather_Site!B116</f>
        <v>44553</v>
      </c>
      <c r="O110" s="245">
        <f>Weather_Site!C116</f>
        <v>0.5</v>
      </c>
      <c r="P110" s="5">
        <f>Weather_Site!E116</f>
        <v>23.8</v>
      </c>
      <c r="Q110" s="245">
        <f t="shared" si="20"/>
        <v>0</v>
      </c>
      <c r="R110" s="5">
        <f t="shared" si="15"/>
        <v>0</v>
      </c>
      <c r="S110" s="5">
        <f t="shared" si="21"/>
        <v>12</v>
      </c>
      <c r="T110" s="247">
        <f t="shared" si="22"/>
        <v>0</v>
      </c>
      <c r="U110" s="5">
        <f t="shared" si="16"/>
        <v>0</v>
      </c>
      <c r="V110" s="247">
        <f t="shared" si="17"/>
        <v>0</v>
      </c>
      <c r="W110" s="276">
        <f t="shared" si="18"/>
        <v>0</v>
      </c>
      <c r="X110" s="277">
        <f t="shared" si="19"/>
        <v>0</v>
      </c>
    </row>
    <row r="111" spans="14:24" x14ac:dyDescent="0.25">
      <c r="N111" s="244">
        <f>Weather_Site!B117</f>
        <v>44553</v>
      </c>
      <c r="O111" s="245">
        <f>Weather_Site!C117</f>
        <v>0.54166666666666663</v>
      </c>
      <c r="P111" s="5">
        <f>Weather_Site!E117</f>
        <v>19.899999999999999</v>
      </c>
      <c r="Q111" s="245">
        <f t="shared" si="20"/>
        <v>0</v>
      </c>
      <c r="R111" s="5">
        <f t="shared" si="15"/>
        <v>0</v>
      </c>
      <c r="S111" s="5">
        <f t="shared" si="21"/>
        <v>13</v>
      </c>
      <c r="T111" s="247">
        <f t="shared" si="22"/>
        <v>0</v>
      </c>
      <c r="U111" s="5">
        <f t="shared" si="16"/>
        <v>0</v>
      </c>
      <c r="V111" s="247">
        <f t="shared" si="17"/>
        <v>0</v>
      </c>
      <c r="W111" s="276">
        <f t="shared" si="18"/>
        <v>0</v>
      </c>
      <c r="X111" s="277">
        <f t="shared" si="19"/>
        <v>0</v>
      </c>
    </row>
    <row r="112" spans="14:24" x14ac:dyDescent="0.25">
      <c r="N112" s="244">
        <f>Weather_Site!B118</f>
        <v>44553</v>
      </c>
      <c r="O112" s="245">
        <f>Weather_Site!C118</f>
        <v>0.58333333333333337</v>
      </c>
      <c r="P112" s="5">
        <f>Weather_Site!E118</f>
        <v>16.100000000000001</v>
      </c>
      <c r="Q112" s="245">
        <f t="shared" si="20"/>
        <v>0</v>
      </c>
      <c r="R112" s="5">
        <f t="shared" si="15"/>
        <v>0</v>
      </c>
      <c r="S112" s="5">
        <f t="shared" si="21"/>
        <v>14</v>
      </c>
      <c r="T112" s="247">
        <f t="shared" si="22"/>
        <v>0</v>
      </c>
      <c r="U112" s="5">
        <f t="shared" si="16"/>
        <v>0</v>
      </c>
      <c r="V112" s="247">
        <f t="shared" si="17"/>
        <v>0</v>
      </c>
      <c r="W112" s="276">
        <f t="shared" si="18"/>
        <v>0</v>
      </c>
      <c r="X112" s="277">
        <f t="shared" si="19"/>
        <v>0</v>
      </c>
    </row>
    <row r="113" spans="14:24" x14ac:dyDescent="0.25">
      <c r="N113" s="244">
        <f>Weather_Site!B119</f>
        <v>44553</v>
      </c>
      <c r="O113" s="245">
        <f>Weather_Site!C119</f>
        <v>0.625</v>
      </c>
      <c r="P113" s="5">
        <f>Weather_Site!E119</f>
        <v>14.1</v>
      </c>
      <c r="Q113" s="245">
        <f t="shared" si="20"/>
        <v>0</v>
      </c>
      <c r="R113" s="5">
        <f t="shared" si="15"/>
        <v>0</v>
      </c>
      <c r="S113" s="5">
        <f t="shared" si="21"/>
        <v>15</v>
      </c>
      <c r="T113" s="247">
        <f t="shared" si="22"/>
        <v>0</v>
      </c>
      <c r="U113" s="5">
        <f t="shared" si="16"/>
        <v>0</v>
      </c>
      <c r="V113" s="247">
        <f t="shared" si="17"/>
        <v>0</v>
      </c>
      <c r="W113" s="276">
        <f t="shared" si="18"/>
        <v>0</v>
      </c>
      <c r="X113" s="277">
        <f t="shared" si="19"/>
        <v>0</v>
      </c>
    </row>
    <row r="114" spans="14:24" x14ac:dyDescent="0.25">
      <c r="N114" s="244">
        <f>Weather_Site!B120</f>
        <v>44553</v>
      </c>
      <c r="O114" s="245">
        <f>Weather_Site!C120</f>
        <v>0.66666666666666663</v>
      </c>
      <c r="P114" s="5">
        <f>Weather_Site!E120</f>
        <v>12.8</v>
      </c>
      <c r="Q114" s="245">
        <f t="shared" si="20"/>
        <v>4.166666666666663E-2</v>
      </c>
      <c r="R114" s="5">
        <f t="shared" si="15"/>
        <v>1</v>
      </c>
      <c r="S114" s="5">
        <f t="shared" si="21"/>
        <v>16</v>
      </c>
      <c r="T114" s="247">
        <f t="shared" si="22"/>
        <v>13.45</v>
      </c>
      <c r="U114" s="5">
        <f t="shared" si="16"/>
        <v>0</v>
      </c>
      <c r="V114" s="247">
        <f t="shared" si="17"/>
        <v>0</v>
      </c>
      <c r="W114" s="276">
        <f t="shared" si="18"/>
        <v>0</v>
      </c>
      <c r="X114" s="277">
        <f t="shared" si="19"/>
        <v>0</v>
      </c>
    </row>
    <row r="115" spans="14:24" x14ac:dyDescent="0.25">
      <c r="N115" s="244">
        <f>Weather_Site!B121</f>
        <v>44553</v>
      </c>
      <c r="O115" s="245">
        <f>Weather_Site!C121</f>
        <v>0.70833333333333337</v>
      </c>
      <c r="P115" s="5">
        <f>Weather_Site!E121</f>
        <v>11.6</v>
      </c>
      <c r="Q115" s="245">
        <f t="shared" si="20"/>
        <v>4.1666666666666741E-2</v>
      </c>
      <c r="R115" s="5">
        <f t="shared" si="15"/>
        <v>1</v>
      </c>
      <c r="S115" s="5">
        <f t="shared" si="21"/>
        <v>17</v>
      </c>
      <c r="T115" s="247">
        <f t="shared" si="22"/>
        <v>12.2</v>
      </c>
      <c r="U115" s="5">
        <f t="shared" si="16"/>
        <v>0</v>
      </c>
      <c r="V115" s="247">
        <f t="shared" si="17"/>
        <v>0</v>
      </c>
      <c r="W115" s="276">
        <f t="shared" si="18"/>
        <v>0</v>
      </c>
      <c r="X115" s="277">
        <f t="shared" si="19"/>
        <v>0</v>
      </c>
    </row>
    <row r="116" spans="14:24" x14ac:dyDescent="0.25">
      <c r="N116" s="244">
        <f>Weather_Site!B122</f>
        <v>44553</v>
      </c>
      <c r="O116" s="245">
        <f>Weather_Site!C122</f>
        <v>0.75</v>
      </c>
      <c r="P116" s="5">
        <f>Weather_Site!E122</f>
        <v>11.8</v>
      </c>
      <c r="Q116" s="245">
        <f t="shared" si="20"/>
        <v>4.166666666666663E-2</v>
      </c>
      <c r="R116" s="5">
        <f t="shared" si="15"/>
        <v>1</v>
      </c>
      <c r="S116" s="5">
        <f t="shared" si="21"/>
        <v>18</v>
      </c>
      <c r="T116" s="247">
        <f t="shared" si="22"/>
        <v>11.7</v>
      </c>
      <c r="U116" s="5">
        <f t="shared" si="16"/>
        <v>0</v>
      </c>
      <c r="V116" s="247">
        <f t="shared" si="17"/>
        <v>0</v>
      </c>
      <c r="W116" s="276">
        <f t="shared" si="18"/>
        <v>0</v>
      </c>
      <c r="X116" s="277">
        <f t="shared" si="19"/>
        <v>0</v>
      </c>
    </row>
    <row r="117" spans="14:24" x14ac:dyDescent="0.25">
      <c r="N117" s="244">
        <f>Weather_Site!B123</f>
        <v>44553</v>
      </c>
      <c r="O117" s="245">
        <f>Weather_Site!C123</f>
        <v>0.79166666666666663</v>
      </c>
      <c r="P117" s="5">
        <f>Weather_Site!E123</f>
        <v>12</v>
      </c>
      <c r="Q117" s="245">
        <f t="shared" si="20"/>
        <v>4.166666666666663E-2</v>
      </c>
      <c r="R117" s="5">
        <f t="shared" si="15"/>
        <v>1</v>
      </c>
      <c r="S117" s="5">
        <f t="shared" si="21"/>
        <v>19</v>
      </c>
      <c r="T117" s="247">
        <f t="shared" si="22"/>
        <v>11.9</v>
      </c>
      <c r="U117" s="5">
        <f t="shared" si="16"/>
        <v>0</v>
      </c>
      <c r="V117" s="247">
        <f t="shared" si="17"/>
        <v>0</v>
      </c>
      <c r="W117" s="276">
        <f t="shared" si="18"/>
        <v>0</v>
      </c>
      <c r="X117" s="277">
        <f t="shared" si="19"/>
        <v>0</v>
      </c>
    </row>
    <row r="118" spans="14:24" x14ac:dyDescent="0.25">
      <c r="N118" s="244">
        <f>Weather_Site!B124</f>
        <v>44553</v>
      </c>
      <c r="O118" s="245">
        <f>Weather_Site!C124</f>
        <v>0.83333333333333337</v>
      </c>
      <c r="P118" s="5">
        <f>Weather_Site!E124</f>
        <v>14.3</v>
      </c>
      <c r="Q118" s="245">
        <f t="shared" si="20"/>
        <v>4.1666666666666741E-2</v>
      </c>
      <c r="R118" s="5">
        <f t="shared" si="15"/>
        <v>1</v>
      </c>
      <c r="S118" s="5">
        <f t="shared" si="21"/>
        <v>20</v>
      </c>
      <c r="T118" s="247">
        <f t="shared" si="22"/>
        <v>13.15</v>
      </c>
      <c r="U118" s="5">
        <f t="shared" si="16"/>
        <v>0</v>
      </c>
      <c r="V118" s="247">
        <f t="shared" si="17"/>
        <v>0</v>
      </c>
      <c r="W118" s="276">
        <f t="shared" si="18"/>
        <v>0</v>
      </c>
      <c r="X118" s="277">
        <f t="shared" si="19"/>
        <v>0</v>
      </c>
    </row>
    <row r="119" spans="14:24" x14ac:dyDescent="0.25">
      <c r="N119" s="244">
        <f>Weather_Site!B125</f>
        <v>44553</v>
      </c>
      <c r="O119" s="245">
        <f>Weather_Site!C125</f>
        <v>0.875</v>
      </c>
      <c r="P119" s="5">
        <f>Weather_Site!E125</f>
        <v>17.7</v>
      </c>
      <c r="Q119" s="245">
        <f t="shared" si="20"/>
        <v>4.166666666666663E-2</v>
      </c>
      <c r="R119" s="5">
        <f t="shared" si="15"/>
        <v>1</v>
      </c>
      <c r="S119" s="5">
        <f t="shared" si="21"/>
        <v>21</v>
      </c>
      <c r="T119" s="247">
        <f t="shared" si="22"/>
        <v>16</v>
      </c>
      <c r="U119" s="5">
        <f t="shared" si="16"/>
        <v>0</v>
      </c>
      <c r="V119" s="247">
        <f t="shared" si="17"/>
        <v>0</v>
      </c>
      <c r="W119" s="276">
        <f t="shared" si="18"/>
        <v>0</v>
      </c>
      <c r="X119" s="277">
        <f t="shared" si="19"/>
        <v>0</v>
      </c>
    </row>
    <row r="120" spans="14:24" x14ac:dyDescent="0.25">
      <c r="N120" s="244">
        <f>Weather_Site!B126</f>
        <v>44553</v>
      </c>
      <c r="O120" s="245">
        <f>Weather_Site!C126</f>
        <v>0.91666666666666663</v>
      </c>
      <c r="P120" s="5">
        <f>Weather_Site!E126</f>
        <v>22</v>
      </c>
      <c r="Q120" s="245">
        <f t="shared" si="20"/>
        <v>4.166666666666663E-2</v>
      </c>
      <c r="R120" s="5">
        <f t="shared" si="15"/>
        <v>1</v>
      </c>
      <c r="S120" s="5">
        <f t="shared" si="21"/>
        <v>22</v>
      </c>
      <c r="T120" s="247">
        <f t="shared" si="22"/>
        <v>19.850000000000001</v>
      </c>
      <c r="U120" s="5">
        <f t="shared" si="16"/>
        <v>0</v>
      </c>
      <c r="V120" s="247">
        <f t="shared" si="17"/>
        <v>0</v>
      </c>
      <c r="W120" s="276">
        <f t="shared" si="18"/>
        <v>0</v>
      </c>
      <c r="X120" s="277">
        <f t="shared" si="19"/>
        <v>0</v>
      </c>
    </row>
    <row r="121" spans="14:24" x14ac:dyDescent="0.25">
      <c r="N121" s="244">
        <f>Weather_Site!B127</f>
        <v>44553</v>
      </c>
      <c r="O121" s="245">
        <f>Weather_Site!C127</f>
        <v>0.95833333333333337</v>
      </c>
      <c r="P121" s="5">
        <f>Weather_Site!E127</f>
        <v>25.5</v>
      </c>
      <c r="Q121" s="245">
        <f t="shared" si="20"/>
        <v>4.1666666666666741E-2</v>
      </c>
      <c r="R121" s="5">
        <f t="shared" si="15"/>
        <v>1</v>
      </c>
      <c r="S121" s="5">
        <f t="shared" si="21"/>
        <v>23</v>
      </c>
      <c r="T121" s="247">
        <f t="shared" si="22"/>
        <v>23.75</v>
      </c>
      <c r="U121" s="5">
        <f t="shared" si="16"/>
        <v>0</v>
      </c>
      <c r="V121" s="247">
        <f t="shared" si="17"/>
        <v>0</v>
      </c>
      <c r="W121" s="276">
        <f t="shared" si="18"/>
        <v>0</v>
      </c>
      <c r="X121" s="277">
        <f t="shared" si="19"/>
        <v>0</v>
      </c>
    </row>
    <row r="122" spans="14:24" x14ac:dyDescent="0.25">
      <c r="N122" s="244">
        <f>Weather_Site!B128</f>
        <v>44554</v>
      </c>
      <c r="O122" s="245">
        <f>Weather_Site!C128</f>
        <v>0</v>
      </c>
      <c r="P122" s="5">
        <f>Weather_Site!E128</f>
        <v>26</v>
      </c>
      <c r="Q122" s="245">
        <f t="shared" si="20"/>
        <v>4.166666666666663E-2</v>
      </c>
      <c r="R122" s="5">
        <f t="shared" si="15"/>
        <v>1</v>
      </c>
      <c r="S122" s="5">
        <f t="shared" si="21"/>
        <v>0</v>
      </c>
      <c r="T122" s="247">
        <f t="shared" si="22"/>
        <v>25.75</v>
      </c>
      <c r="U122" s="5">
        <f t="shared" si="16"/>
        <v>0</v>
      </c>
      <c r="V122" s="247">
        <f t="shared" si="17"/>
        <v>0</v>
      </c>
      <c r="W122" s="276">
        <f t="shared" si="18"/>
        <v>0</v>
      </c>
      <c r="X122" s="277">
        <f t="shared" si="19"/>
        <v>0</v>
      </c>
    </row>
    <row r="123" spans="14:24" x14ac:dyDescent="0.25">
      <c r="N123" s="244">
        <f>Weather_Site!B129</f>
        <v>44554</v>
      </c>
      <c r="O123" s="245">
        <f>Weather_Site!C129</f>
        <v>4.1666666666666664E-2</v>
      </c>
      <c r="P123" s="5">
        <f>Weather_Site!E129</f>
        <v>27.7</v>
      </c>
      <c r="Q123" s="245">
        <f t="shared" si="20"/>
        <v>4.1666666666666664E-2</v>
      </c>
      <c r="R123" s="5">
        <f t="shared" si="15"/>
        <v>1</v>
      </c>
      <c r="S123" s="5">
        <f t="shared" si="21"/>
        <v>1</v>
      </c>
      <c r="T123" s="247">
        <f t="shared" si="22"/>
        <v>26.85</v>
      </c>
      <c r="U123" s="5">
        <f t="shared" si="16"/>
        <v>0</v>
      </c>
      <c r="V123" s="247">
        <f t="shared" si="17"/>
        <v>0</v>
      </c>
      <c r="W123" s="276">
        <f t="shared" si="18"/>
        <v>0</v>
      </c>
      <c r="X123" s="277">
        <f t="shared" si="19"/>
        <v>0</v>
      </c>
    </row>
    <row r="124" spans="14:24" x14ac:dyDescent="0.25">
      <c r="N124" s="244">
        <f>Weather_Site!B130</f>
        <v>44554</v>
      </c>
      <c r="O124" s="245">
        <f>Weather_Site!C130</f>
        <v>8.3333333333333329E-2</v>
      </c>
      <c r="P124" s="5">
        <f>Weather_Site!E130</f>
        <v>29.6</v>
      </c>
      <c r="Q124" s="245">
        <f t="shared" si="20"/>
        <v>4.1666666666666664E-2</v>
      </c>
      <c r="R124" s="5">
        <f t="shared" si="15"/>
        <v>1</v>
      </c>
      <c r="S124" s="5">
        <f t="shared" si="21"/>
        <v>2</v>
      </c>
      <c r="T124" s="247">
        <f t="shared" si="22"/>
        <v>28.65</v>
      </c>
      <c r="U124" s="5">
        <f t="shared" si="16"/>
        <v>0</v>
      </c>
      <c r="V124" s="247">
        <f t="shared" si="17"/>
        <v>0</v>
      </c>
      <c r="W124" s="276">
        <f t="shared" si="18"/>
        <v>0</v>
      </c>
      <c r="X124" s="277">
        <f t="shared" si="19"/>
        <v>0</v>
      </c>
    </row>
    <row r="125" spans="14:24" x14ac:dyDescent="0.25">
      <c r="N125" s="244">
        <f>Weather_Site!B131</f>
        <v>44554</v>
      </c>
      <c r="O125" s="245">
        <f>Weather_Site!C131</f>
        <v>0.125</v>
      </c>
      <c r="P125" s="5">
        <f>Weather_Site!E131</f>
        <v>32.1</v>
      </c>
      <c r="Q125" s="245">
        <f t="shared" si="20"/>
        <v>4.1666666666666671E-2</v>
      </c>
      <c r="R125" s="5">
        <f t="shared" si="15"/>
        <v>1</v>
      </c>
      <c r="S125" s="5">
        <f t="shared" si="21"/>
        <v>3</v>
      </c>
      <c r="T125" s="247">
        <f t="shared" si="22"/>
        <v>30.85</v>
      </c>
      <c r="U125" s="5">
        <f t="shared" si="16"/>
        <v>0</v>
      </c>
      <c r="V125" s="247">
        <f t="shared" si="17"/>
        <v>0</v>
      </c>
      <c r="W125" s="276">
        <f t="shared" si="18"/>
        <v>0</v>
      </c>
      <c r="X125" s="277">
        <f t="shared" si="19"/>
        <v>0</v>
      </c>
    </row>
    <row r="126" spans="14:24" x14ac:dyDescent="0.25">
      <c r="N126" s="244">
        <f>Weather_Site!B132</f>
        <v>44554</v>
      </c>
      <c r="O126" s="245">
        <f>Weather_Site!C132</f>
        <v>0.16666666666666666</v>
      </c>
      <c r="P126" s="5">
        <f>Weather_Site!E132</f>
        <v>34</v>
      </c>
      <c r="Q126" s="245">
        <f t="shared" si="20"/>
        <v>4.1666666666666657E-2</v>
      </c>
      <c r="R126" s="5">
        <f t="shared" si="15"/>
        <v>1</v>
      </c>
      <c r="S126" s="5">
        <f t="shared" si="21"/>
        <v>4</v>
      </c>
      <c r="T126" s="247">
        <f t="shared" si="22"/>
        <v>33.049999999999997</v>
      </c>
      <c r="U126" s="5">
        <f t="shared" si="16"/>
        <v>0</v>
      </c>
      <c r="V126" s="247">
        <f t="shared" si="17"/>
        <v>0</v>
      </c>
      <c r="W126" s="276">
        <f t="shared" si="18"/>
        <v>0</v>
      </c>
      <c r="X126" s="277">
        <f t="shared" si="19"/>
        <v>0</v>
      </c>
    </row>
    <row r="127" spans="14:24" x14ac:dyDescent="0.25">
      <c r="N127" s="244">
        <f>Weather_Site!B133</f>
        <v>44554</v>
      </c>
      <c r="O127" s="245">
        <f>Weather_Site!C133</f>
        <v>0.20833333333333334</v>
      </c>
      <c r="P127" s="5">
        <f>Weather_Site!E133</f>
        <v>34.5</v>
      </c>
      <c r="Q127" s="245">
        <f t="shared" si="20"/>
        <v>4.1666666666666685E-2</v>
      </c>
      <c r="R127" s="5">
        <f t="shared" si="15"/>
        <v>1</v>
      </c>
      <c r="S127" s="5">
        <f t="shared" si="21"/>
        <v>5</v>
      </c>
      <c r="T127" s="247">
        <f t="shared" si="22"/>
        <v>34.25</v>
      </c>
      <c r="U127" s="5">
        <f t="shared" si="16"/>
        <v>0</v>
      </c>
      <c r="V127" s="247">
        <f t="shared" si="17"/>
        <v>0</v>
      </c>
      <c r="W127" s="276">
        <f t="shared" si="18"/>
        <v>0</v>
      </c>
      <c r="X127" s="277">
        <f t="shared" si="19"/>
        <v>0</v>
      </c>
    </row>
    <row r="128" spans="14:24" x14ac:dyDescent="0.25">
      <c r="N128" s="244">
        <f>Weather_Site!B134</f>
        <v>44554</v>
      </c>
      <c r="O128" s="245">
        <f>Weather_Site!C134</f>
        <v>0.25</v>
      </c>
      <c r="P128" s="5">
        <f>Weather_Site!E134</f>
        <v>37.299999999999997</v>
      </c>
      <c r="Q128" s="245">
        <f t="shared" si="20"/>
        <v>4.1666666666666657E-2</v>
      </c>
      <c r="R128" s="5">
        <f t="shared" si="15"/>
        <v>1</v>
      </c>
      <c r="S128" s="5">
        <f t="shared" si="21"/>
        <v>6</v>
      </c>
      <c r="T128" s="247">
        <f t="shared" si="22"/>
        <v>35.9</v>
      </c>
      <c r="U128" s="5">
        <f t="shared" si="16"/>
        <v>0</v>
      </c>
      <c r="V128" s="247">
        <f t="shared" si="17"/>
        <v>0</v>
      </c>
      <c r="W128" s="276">
        <f t="shared" si="18"/>
        <v>0</v>
      </c>
      <c r="X128" s="277">
        <f t="shared" si="19"/>
        <v>0</v>
      </c>
    </row>
    <row r="129" spans="14:24" x14ac:dyDescent="0.25">
      <c r="N129" s="244">
        <f>Weather_Site!B135</f>
        <v>44554</v>
      </c>
      <c r="O129" s="245">
        <f>Weather_Site!C135</f>
        <v>0.29166666666666669</v>
      </c>
      <c r="P129" s="5">
        <f>Weather_Site!E135</f>
        <v>35.799999999999997</v>
      </c>
      <c r="Q129" s="245">
        <f t="shared" si="20"/>
        <v>4.1666666666666685E-2</v>
      </c>
      <c r="R129" s="5">
        <f t="shared" si="15"/>
        <v>1</v>
      </c>
      <c r="S129" s="5">
        <f t="shared" si="21"/>
        <v>7</v>
      </c>
      <c r="T129" s="247">
        <f t="shared" si="22"/>
        <v>36.549999999999997</v>
      </c>
      <c r="U129" s="5">
        <f t="shared" si="16"/>
        <v>0</v>
      </c>
      <c r="V129" s="247">
        <f t="shared" si="17"/>
        <v>0</v>
      </c>
      <c r="W129" s="276">
        <f t="shared" si="18"/>
        <v>0</v>
      </c>
      <c r="X129" s="277">
        <f t="shared" si="19"/>
        <v>0</v>
      </c>
    </row>
    <row r="130" spans="14:24" x14ac:dyDescent="0.25">
      <c r="N130" s="244">
        <f>Weather_Site!B136</f>
        <v>44554</v>
      </c>
      <c r="O130" s="245">
        <f>Weather_Site!C136</f>
        <v>0.33333333333333331</v>
      </c>
      <c r="P130" s="5">
        <f>Weather_Site!E136</f>
        <v>31.5</v>
      </c>
      <c r="Q130" s="245">
        <f t="shared" si="20"/>
        <v>4.166666666666663E-2</v>
      </c>
      <c r="R130" s="5">
        <f t="shared" si="15"/>
        <v>1</v>
      </c>
      <c r="S130" s="5">
        <f t="shared" si="21"/>
        <v>8</v>
      </c>
      <c r="T130" s="247">
        <f t="shared" si="22"/>
        <v>33.65</v>
      </c>
      <c r="U130" s="5">
        <f t="shared" si="16"/>
        <v>0</v>
      </c>
      <c r="V130" s="247">
        <f t="shared" si="17"/>
        <v>0</v>
      </c>
      <c r="W130" s="276">
        <f t="shared" si="18"/>
        <v>0</v>
      </c>
      <c r="X130" s="277">
        <f t="shared" si="19"/>
        <v>0</v>
      </c>
    </row>
    <row r="131" spans="14:24" x14ac:dyDescent="0.25">
      <c r="N131" s="244">
        <f>Weather_Site!B137</f>
        <v>44554</v>
      </c>
      <c r="O131" s="245">
        <f>Weather_Site!C137</f>
        <v>0.375</v>
      </c>
      <c r="P131" s="5">
        <f>Weather_Site!E137</f>
        <v>28</v>
      </c>
      <c r="Q131" s="245">
        <f t="shared" si="20"/>
        <v>0</v>
      </c>
      <c r="R131" s="5">
        <f t="shared" si="15"/>
        <v>0</v>
      </c>
      <c r="S131" s="5">
        <f t="shared" si="21"/>
        <v>9</v>
      </c>
      <c r="T131" s="247">
        <f t="shared" si="22"/>
        <v>0</v>
      </c>
      <c r="U131" s="5">
        <f t="shared" si="16"/>
        <v>0</v>
      </c>
      <c r="V131" s="247">
        <f t="shared" si="17"/>
        <v>0</v>
      </c>
      <c r="W131" s="276">
        <f t="shared" si="18"/>
        <v>0</v>
      </c>
      <c r="X131" s="277">
        <f t="shared" si="19"/>
        <v>0</v>
      </c>
    </row>
    <row r="132" spans="14:24" x14ac:dyDescent="0.25">
      <c r="N132" s="244">
        <f>Weather_Site!B138</f>
        <v>44554</v>
      </c>
      <c r="O132" s="245">
        <f>Weather_Site!C138</f>
        <v>0.41666666666666669</v>
      </c>
      <c r="P132" s="5">
        <f>Weather_Site!E138</f>
        <v>23.2</v>
      </c>
      <c r="Q132" s="245">
        <f t="shared" si="20"/>
        <v>0</v>
      </c>
      <c r="R132" s="5">
        <f t="shared" si="15"/>
        <v>0</v>
      </c>
      <c r="S132" s="5">
        <f t="shared" si="21"/>
        <v>10</v>
      </c>
      <c r="T132" s="247">
        <f t="shared" si="22"/>
        <v>0</v>
      </c>
      <c r="U132" s="5">
        <f t="shared" si="16"/>
        <v>0</v>
      </c>
      <c r="V132" s="247">
        <f t="shared" si="17"/>
        <v>0</v>
      </c>
      <c r="W132" s="276">
        <f t="shared" si="18"/>
        <v>0</v>
      </c>
      <c r="X132" s="277">
        <f t="shared" si="19"/>
        <v>0</v>
      </c>
    </row>
    <row r="133" spans="14:24" x14ac:dyDescent="0.25">
      <c r="N133" s="244">
        <f>Weather_Site!B139</f>
        <v>44554</v>
      </c>
      <c r="O133" s="245">
        <f>Weather_Site!C139</f>
        <v>0.45833333333333331</v>
      </c>
      <c r="P133" s="5">
        <f>Weather_Site!E139</f>
        <v>20.399999999999999</v>
      </c>
      <c r="Q133" s="245">
        <f t="shared" si="20"/>
        <v>0</v>
      </c>
      <c r="R133" s="5">
        <f t="shared" si="15"/>
        <v>0</v>
      </c>
      <c r="S133" s="5">
        <f t="shared" si="21"/>
        <v>11</v>
      </c>
      <c r="T133" s="247">
        <f t="shared" si="22"/>
        <v>0</v>
      </c>
      <c r="U133" s="5">
        <f t="shared" si="16"/>
        <v>0</v>
      </c>
      <c r="V133" s="247">
        <f t="shared" si="17"/>
        <v>0</v>
      </c>
      <c r="W133" s="276">
        <f t="shared" si="18"/>
        <v>0</v>
      </c>
      <c r="X133" s="277">
        <f t="shared" si="19"/>
        <v>0</v>
      </c>
    </row>
    <row r="134" spans="14:24" x14ac:dyDescent="0.25">
      <c r="N134" s="244">
        <f>Weather_Site!B140</f>
        <v>44554</v>
      </c>
      <c r="O134" s="245">
        <f>Weather_Site!C140</f>
        <v>0.5</v>
      </c>
      <c r="P134" s="5">
        <f>Weather_Site!E140</f>
        <v>17.600000000000001</v>
      </c>
      <c r="Q134" s="245">
        <f t="shared" si="20"/>
        <v>0</v>
      </c>
      <c r="R134" s="5">
        <f t="shared" si="15"/>
        <v>0</v>
      </c>
      <c r="S134" s="5">
        <f t="shared" si="21"/>
        <v>12</v>
      </c>
      <c r="T134" s="247">
        <f t="shared" si="22"/>
        <v>0</v>
      </c>
      <c r="U134" s="5">
        <f t="shared" si="16"/>
        <v>0</v>
      </c>
      <c r="V134" s="247">
        <f t="shared" si="17"/>
        <v>0</v>
      </c>
      <c r="W134" s="276">
        <f t="shared" si="18"/>
        <v>0</v>
      </c>
      <c r="X134" s="277">
        <f t="shared" si="19"/>
        <v>0</v>
      </c>
    </row>
    <row r="135" spans="14:24" x14ac:dyDescent="0.25">
      <c r="N135" s="244">
        <f>Weather_Site!B141</f>
        <v>44554</v>
      </c>
      <c r="O135" s="245">
        <f>Weather_Site!C141</f>
        <v>0.54166666666666663</v>
      </c>
      <c r="P135" s="5">
        <f>Weather_Site!E141</f>
        <v>15.3</v>
      </c>
      <c r="Q135" s="245">
        <f t="shared" si="20"/>
        <v>0</v>
      </c>
      <c r="R135" s="5">
        <f t="shared" si="15"/>
        <v>0</v>
      </c>
      <c r="S135" s="5">
        <f t="shared" si="21"/>
        <v>13</v>
      </c>
      <c r="T135" s="247">
        <f t="shared" si="22"/>
        <v>0</v>
      </c>
      <c r="U135" s="5">
        <f t="shared" si="16"/>
        <v>0</v>
      </c>
      <c r="V135" s="247">
        <f t="shared" si="17"/>
        <v>0</v>
      </c>
      <c r="W135" s="276">
        <f t="shared" si="18"/>
        <v>0</v>
      </c>
      <c r="X135" s="277">
        <f t="shared" si="19"/>
        <v>0</v>
      </c>
    </row>
    <row r="136" spans="14:24" x14ac:dyDescent="0.25">
      <c r="N136" s="244">
        <f>Weather_Site!B142</f>
        <v>44554</v>
      </c>
      <c r="O136" s="245">
        <f>Weather_Site!C142</f>
        <v>0.58333333333333337</v>
      </c>
      <c r="P136" s="5">
        <f>Weather_Site!E142</f>
        <v>13.4</v>
      </c>
      <c r="Q136" s="245">
        <f t="shared" si="20"/>
        <v>0</v>
      </c>
      <c r="R136" s="5">
        <f t="shared" ref="R136:R199" si="23">HOUR(Q136)</f>
        <v>0</v>
      </c>
      <c r="S136" s="5">
        <f t="shared" si="21"/>
        <v>14</v>
      </c>
      <c r="T136" s="247">
        <f t="shared" si="22"/>
        <v>0</v>
      </c>
      <c r="U136" s="5">
        <f t="shared" ref="U136:U199" si="24">MAX((T136-70*R136),0)</f>
        <v>0</v>
      </c>
      <c r="V136" s="247">
        <f t="shared" ref="V136:V199" si="25">IF(OR(AND((N136-N135)=0,O135&gt;0.5),AND((N136-N135)=1,O136&lt;0.5),AND(N136-N135)=0,O136&lt;0.5),U136+V135,U136)</f>
        <v>0</v>
      </c>
      <c r="W136" s="276">
        <f t="shared" ref="W136:W199" si="26">IF(O136&lt;0.75,MAX(V136,W135),V136)</f>
        <v>0</v>
      </c>
      <c r="X136" s="277">
        <f t="shared" si="19"/>
        <v>0</v>
      </c>
    </row>
    <row r="137" spans="14:24" x14ac:dyDescent="0.25">
      <c r="N137" s="244">
        <f>Weather_Site!B143</f>
        <v>44554</v>
      </c>
      <c r="O137" s="245">
        <f>Weather_Site!C143</f>
        <v>0.625</v>
      </c>
      <c r="P137" s="5">
        <f>Weather_Site!E143</f>
        <v>12.1</v>
      </c>
      <c r="Q137" s="245">
        <f t="shared" si="20"/>
        <v>0</v>
      </c>
      <c r="R137" s="5">
        <f t="shared" si="23"/>
        <v>0</v>
      </c>
      <c r="S137" s="5">
        <f t="shared" si="21"/>
        <v>15</v>
      </c>
      <c r="T137" s="247">
        <f t="shared" si="22"/>
        <v>0</v>
      </c>
      <c r="U137" s="5">
        <f t="shared" si="24"/>
        <v>0</v>
      </c>
      <c r="V137" s="247">
        <f t="shared" si="25"/>
        <v>0</v>
      </c>
      <c r="W137" s="276">
        <f t="shared" si="26"/>
        <v>0</v>
      </c>
      <c r="X137" s="277">
        <f t="shared" si="19"/>
        <v>0</v>
      </c>
    </row>
    <row r="138" spans="14:24" x14ac:dyDescent="0.25">
      <c r="N138" s="244">
        <f>Weather_Site!B144</f>
        <v>44554</v>
      </c>
      <c r="O138" s="245">
        <f>Weather_Site!C144</f>
        <v>0.66666666666666663</v>
      </c>
      <c r="P138" s="5">
        <f>Weather_Site!E144</f>
        <v>11.4</v>
      </c>
      <c r="Q138" s="245">
        <f t="shared" si="20"/>
        <v>4.166666666666663E-2</v>
      </c>
      <c r="R138" s="5">
        <f t="shared" si="23"/>
        <v>1</v>
      </c>
      <c r="S138" s="5">
        <f t="shared" si="21"/>
        <v>16</v>
      </c>
      <c r="T138" s="247">
        <f t="shared" si="22"/>
        <v>11.75</v>
      </c>
      <c r="U138" s="5">
        <f t="shared" si="24"/>
        <v>0</v>
      </c>
      <c r="V138" s="247">
        <f t="shared" si="25"/>
        <v>0</v>
      </c>
      <c r="W138" s="276">
        <f t="shared" si="26"/>
        <v>0</v>
      </c>
      <c r="X138" s="277">
        <f t="shared" si="19"/>
        <v>0</v>
      </c>
    </row>
    <row r="139" spans="14:24" x14ac:dyDescent="0.25">
      <c r="N139" s="244">
        <f>Weather_Site!B145</f>
        <v>44554</v>
      </c>
      <c r="O139" s="245">
        <f>Weather_Site!C145</f>
        <v>0.70833333333333337</v>
      </c>
      <c r="P139" s="5">
        <f>Weather_Site!E145</f>
        <v>10.8</v>
      </c>
      <c r="Q139" s="245">
        <f t="shared" si="20"/>
        <v>4.1666666666666741E-2</v>
      </c>
      <c r="R139" s="5">
        <f t="shared" si="23"/>
        <v>1</v>
      </c>
      <c r="S139" s="5">
        <f t="shared" si="21"/>
        <v>17</v>
      </c>
      <c r="T139" s="247">
        <f t="shared" si="22"/>
        <v>11.100000000000001</v>
      </c>
      <c r="U139" s="5">
        <f t="shared" si="24"/>
        <v>0</v>
      </c>
      <c r="V139" s="247">
        <f t="shared" si="25"/>
        <v>0</v>
      </c>
      <c r="W139" s="276">
        <f t="shared" si="26"/>
        <v>0</v>
      </c>
      <c r="X139" s="277">
        <f t="shared" si="19"/>
        <v>0</v>
      </c>
    </row>
    <row r="140" spans="14:24" x14ac:dyDescent="0.25">
      <c r="N140" s="244">
        <f>Weather_Site!B146</f>
        <v>44554</v>
      </c>
      <c r="O140" s="245">
        <f>Weather_Site!C146</f>
        <v>0.75</v>
      </c>
      <c r="P140" s="5">
        <f>Weather_Site!E146</f>
        <v>11.3</v>
      </c>
      <c r="Q140" s="245">
        <f t="shared" si="20"/>
        <v>4.166666666666663E-2</v>
      </c>
      <c r="R140" s="5">
        <f t="shared" si="23"/>
        <v>1</v>
      </c>
      <c r="S140" s="5">
        <f t="shared" si="21"/>
        <v>18</v>
      </c>
      <c r="T140" s="247">
        <f t="shared" si="22"/>
        <v>11.05</v>
      </c>
      <c r="U140" s="5">
        <f t="shared" si="24"/>
        <v>0</v>
      </c>
      <c r="V140" s="247">
        <f t="shared" si="25"/>
        <v>0</v>
      </c>
      <c r="W140" s="276">
        <f t="shared" si="26"/>
        <v>0</v>
      </c>
      <c r="X140" s="277">
        <f t="shared" si="19"/>
        <v>0</v>
      </c>
    </row>
    <row r="141" spans="14:24" x14ac:dyDescent="0.25">
      <c r="N141" s="244">
        <f>Weather_Site!B147</f>
        <v>44554</v>
      </c>
      <c r="O141" s="245">
        <f>Weather_Site!C147</f>
        <v>0.79166666666666663</v>
      </c>
      <c r="P141" s="5">
        <f>Weather_Site!E147</f>
        <v>11.5</v>
      </c>
      <c r="Q141" s="245">
        <f t="shared" si="20"/>
        <v>4.166666666666663E-2</v>
      </c>
      <c r="R141" s="5">
        <f t="shared" si="23"/>
        <v>1</v>
      </c>
      <c r="S141" s="5">
        <f t="shared" si="21"/>
        <v>19</v>
      </c>
      <c r="T141" s="247">
        <f t="shared" si="22"/>
        <v>11.4</v>
      </c>
      <c r="U141" s="5">
        <f t="shared" si="24"/>
        <v>0</v>
      </c>
      <c r="V141" s="247">
        <f t="shared" si="25"/>
        <v>0</v>
      </c>
      <c r="W141" s="276">
        <f t="shared" si="26"/>
        <v>0</v>
      </c>
      <c r="X141" s="277">
        <f t="shared" si="19"/>
        <v>0</v>
      </c>
    </row>
    <row r="142" spans="14:24" x14ac:dyDescent="0.25">
      <c r="N142" s="244">
        <f>Weather_Site!B148</f>
        <v>44554</v>
      </c>
      <c r="O142" s="245">
        <f>Weather_Site!C148</f>
        <v>0.83333333333333337</v>
      </c>
      <c r="P142" s="5">
        <f>Weather_Site!E148</f>
        <v>12.6</v>
      </c>
      <c r="Q142" s="245">
        <f t="shared" si="20"/>
        <v>4.1666666666666741E-2</v>
      </c>
      <c r="R142" s="5">
        <f t="shared" si="23"/>
        <v>1</v>
      </c>
      <c r="S142" s="5">
        <f t="shared" si="21"/>
        <v>20</v>
      </c>
      <c r="T142" s="247">
        <f t="shared" si="22"/>
        <v>12.05</v>
      </c>
      <c r="U142" s="5">
        <f t="shared" si="24"/>
        <v>0</v>
      </c>
      <c r="V142" s="247">
        <f t="shared" si="25"/>
        <v>0</v>
      </c>
      <c r="W142" s="276">
        <f t="shared" si="26"/>
        <v>0</v>
      </c>
      <c r="X142" s="277">
        <f t="shared" si="19"/>
        <v>0</v>
      </c>
    </row>
    <row r="143" spans="14:24" x14ac:dyDescent="0.25">
      <c r="N143" s="244">
        <f>Weather_Site!B149</f>
        <v>44554</v>
      </c>
      <c r="O143" s="245">
        <f>Weather_Site!C149</f>
        <v>0.875</v>
      </c>
      <c r="P143" s="5">
        <f>Weather_Site!E149</f>
        <v>16.3</v>
      </c>
      <c r="Q143" s="245">
        <f t="shared" si="20"/>
        <v>4.166666666666663E-2</v>
      </c>
      <c r="R143" s="5">
        <f t="shared" si="23"/>
        <v>1</v>
      </c>
      <c r="S143" s="5">
        <f t="shared" si="21"/>
        <v>21</v>
      </c>
      <c r="T143" s="247">
        <f t="shared" si="22"/>
        <v>14.45</v>
      </c>
      <c r="U143" s="5">
        <f t="shared" si="24"/>
        <v>0</v>
      </c>
      <c r="V143" s="247">
        <f t="shared" si="25"/>
        <v>0</v>
      </c>
      <c r="W143" s="276">
        <f t="shared" si="26"/>
        <v>0</v>
      </c>
      <c r="X143" s="277">
        <f t="shared" si="19"/>
        <v>0</v>
      </c>
    </row>
    <row r="144" spans="14:24" x14ac:dyDescent="0.25">
      <c r="N144" s="244">
        <f>Weather_Site!B150</f>
        <v>44554</v>
      </c>
      <c r="O144" s="245">
        <f>Weather_Site!C150</f>
        <v>0.91666666666666663</v>
      </c>
      <c r="P144" s="5">
        <f>Weather_Site!E150</f>
        <v>19.399999999999999</v>
      </c>
      <c r="Q144" s="245">
        <f t="shared" si="20"/>
        <v>4.166666666666663E-2</v>
      </c>
      <c r="R144" s="5">
        <f t="shared" si="23"/>
        <v>1</v>
      </c>
      <c r="S144" s="5">
        <f t="shared" si="21"/>
        <v>22</v>
      </c>
      <c r="T144" s="247">
        <f t="shared" si="22"/>
        <v>17.850000000000001</v>
      </c>
      <c r="U144" s="5">
        <f t="shared" si="24"/>
        <v>0</v>
      </c>
      <c r="V144" s="247">
        <f t="shared" si="25"/>
        <v>0</v>
      </c>
      <c r="W144" s="276">
        <f t="shared" si="26"/>
        <v>0</v>
      </c>
      <c r="X144" s="277">
        <f t="shared" si="19"/>
        <v>0</v>
      </c>
    </row>
    <row r="145" spans="14:24" x14ac:dyDescent="0.25">
      <c r="N145" s="244">
        <f>Weather_Site!B151</f>
        <v>44554</v>
      </c>
      <c r="O145" s="245">
        <f>Weather_Site!C151</f>
        <v>0.95833333333333337</v>
      </c>
      <c r="P145" s="5">
        <f>Weather_Site!E151</f>
        <v>22</v>
      </c>
      <c r="Q145" s="245">
        <f t="shared" si="20"/>
        <v>4.1666666666666741E-2</v>
      </c>
      <c r="R145" s="5">
        <f t="shared" si="23"/>
        <v>1</v>
      </c>
      <c r="S145" s="5">
        <f t="shared" si="21"/>
        <v>23</v>
      </c>
      <c r="T145" s="247">
        <f t="shared" si="22"/>
        <v>20.7</v>
      </c>
      <c r="U145" s="5">
        <f t="shared" si="24"/>
        <v>0</v>
      </c>
      <c r="V145" s="247">
        <f t="shared" si="25"/>
        <v>0</v>
      </c>
      <c r="W145" s="276">
        <f t="shared" si="26"/>
        <v>0</v>
      </c>
      <c r="X145" s="277">
        <f t="shared" si="19"/>
        <v>0</v>
      </c>
    </row>
    <row r="146" spans="14:24" x14ac:dyDescent="0.25">
      <c r="N146" s="244">
        <f>Weather_Site!B152</f>
        <v>44555</v>
      </c>
      <c r="O146" s="245">
        <f>Weather_Site!C152</f>
        <v>0</v>
      </c>
      <c r="P146" s="5">
        <f>Weather_Site!E152</f>
        <v>23.4</v>
      </c>
      <c r="Q146" s="245">
        <f t="shared" si="20"/>
        <v>4.166666666666663E-2</v>
      </c>
      <c r="R146" s="5">
        <f t="shared" si="23"/>
        <v>1</v>
      </c>
      <c r="S146" s="5">
        <f t="shared" si="21"/>
        <v>0</v>
      </c>
      <c r="T146" s="247">
        <f t="shared" si="22"/>
        <v>22.7</v>
      </c>
      <c r="U146" s="5">
        <f t="shared" si="24"/>
        <v>0</v>
      </c>
      <c r="V146" s="247">
        <f t="shared" si="25"/>
        <v>0</v>
      </c>
      <c r="W146" s="276">
        <f t="shared" si="26"/>
        <v>0</v>
      </c>
      <c r="X146" s="277">
        <f t="shared" si="19"/>
        <v>0</v>
      </c>
    </row>
    <row r="147" spans="14:24" x14ac:dyDescent="0.25">
      <c r="N147" s="244">
        <f>Weather_Site!B153</f>
        <v>44555</v>
      </c>
      <c r="O147" s="245">
        <f>Weather_Site!C153</f>
        <v>4.1666666666666664E-2</v>
      </c>
      <c r="P147" s="5">
        <f>Weather_Site!E153</f>
        <v>25</v>
      </c>
      <c r="Q147" s="245">
        <f t="shared" si="20"/>
        <v>4.1666666666666664E-2</v>
      </c>
      <c r="R147" s="5">
        <f t="shared" si="23"/>
        <v>1</v>
      </c>
      <c r="S147" s="5">
        <f t="shared" si="21"/>
        <v>1</v>
      </c>
      <c r="T147" s="247">
        <f t="shared" si="22"/>
        <v>24.2</v>
      </c>
      <c r="U147" s="5">
        <f t="shared" si="24"/>
        <v>0</v>
      </c>
      <c r="V147" s="247">
        <f t="shared" si="25"/>
        <v>0</v>
      </c>
      <c r="W147" s="276">
        <f t="shared" si="26"/>
        <v>0</v>
      </c>
      <c r="X147" s="277">
        <f t="shared" si="19"/>
        <v>0</v>
      </c>
    </row>
    <row r="148" spans="14:24" x14ac:dyDescent="0.25">
      <c r="N148" s="244">
        <f>Weather_Site!B154</f>
        <v>44555</v>
      </c>
      <c r="O148" s="245">
        <f>Weather_Site!C154</f>
        <v>8.3333333333333329E-2</v>
      </c>
      <c r="P148" s="5">
        <f>Weather_Site!E154</f>
        <v>26.7</v>
      </c>
      <c r="Q148" s="245">
        <f t="shared" si="20"/>
        <v>4.1666666666666664E-2</v>
      </c>
      <c r="R148" s="5">
        <f t="shared" si="23"/>
        <v>1</v>
      </c>
      <c r="S148" s="5">
        <f t="shared" si="21"/>
        <v>2</v>
      </c>
      <c r="T148" s="247">
        <f t="shared" si="22"/>
        <v>25.85</v>
      </c>
      <c r="U148" s="5">
        <f t="shared" si="24"/>
        <v>0</v>
      </c>
      <c r="V148" s="247">
        <f t="shared" si="25"/>
        <v>0</v>
      </c>
      <c r="W148" s="276">
        <f t="shared" si="26"/>
        <v>0</v>
      </c>
      <c r="X148" s="277">
        <f t="shared" si="19"/>
        <v>0</v>
      </c>
    </row>
    <row r="149" spans="14:24" x14ac:dyDescent="0.25">
      <c r="N149" s="244">
        <f>Weather_Site!B155</f>
        <v>44555</v>
      </c>
      <c r="O149" s="245">
        <f>Weather_Site!C155</f>
        <v>0.125</v>
      </c>
      <c r="P149" s="5">
        <f>Weather_Site!E155</f>
        <v>32.700000000000003</v>
      </c>
      <c r="Q149" s="245">
        <f t="shared" si="20"/>
        <v>4.1666666666666671E-2</v>
      </c>
      <c r="R149" s="5">
        <f t="shared" si="23"/>
        <v>1</v>
      </c>
      <c r="S149" s="5">
        <f t="shared" si="21"/>
        <v>3</v>
      </c>
      <c r="T149" s="247">
        <f t="shared" si="22"/>
        <v>29.700000000000003</v>
      </c>
      <c r="U149" s="5">
        <f t="shared" si="24"/>
        <v>0</v>
      </c>
      <c r="V149" s="247">
        <f t="shared" si="25"/>
        <v>0</v>
      </c>
      <c r="W149" s="276">
        <f t="shared" si="26"/>
        <v>0</v>
      </c>
      <c r="X149" s="277">
        <f t="shared" si="19"/>
        <v>0</v>
      </c>
    </row>
    <row r="150" spans="14:24" x14ac:dyDescent="0.25">
      <c r="N150" s="244">
        <f>Weather_Site!B156</f>
        <v>44555</v>
      </c>
      <c r="O150" s="245">
        <f>Weather_Site!C156</f>
        <v>0.16666666666666666</v>
      </c>
      <c r="P150" s="5">
        <f>Weather_Site!E156</f>
        <v>38.4</v>
      </c>
      <c r="Q150" s="245">
        <f t="shared" si="20"/>
        <v>4.1666666666666657E-2</v>
      </c>
      <c r="R150" s="5">
        <f t="shared" si="23"/>
        <v>1</v>
      </c>
      <c r="S150" s="5">
        <f t="shared" si="21"/>
        <v>4</v>
      </c>
      <c r="T150" s="247">
        <f t="shared" si="22"/>
        <v>35.549999999999997</v>
      </c>
      <c r="U150" s="5">
        <f t="shared" si="24"/>
        <v>0</v>
      </c>
      <c r="V150" s="247">
        <f t="shared" si="25"/>
        <v>0</v>
      </c>
      <c r="W150" s="276">
        <f t="shared" si="26"/>
        <v>0</v>
      </c>
      <c r="X150" s="277">
        <f t="shared" si="19"/>
        <v>0</v>
      </c>
    </row>
    <row r="151" spans="14:24" x14ac:dyDescent="0.25">
      <c r="N151" s="244">
        <f>Weather_Site!B157</f>
        <v>44555</v>
      </c>
      <c r="O151" s="245">
        <f>Weather_Site!C157</f>
        <v>0.20833333333333334</v>
      </c>
      <c r="P151" s="5">
        <f>Weather_Site!E157</f>
        <v>44.9</v>
      </c>
      <c r="Q151" s="245">
        <f t="shared" si="20"/>
        <v>4.1666666666666685E-2</v>
      </c>
      <c r="R151" s="5">
        <f t="shared" si="23"/>
        <v>1</v>
      </c>
      <c r="S151" s="5">
        <f t="shared" si="21"/>
        <v>5</v>
      </c>
      <c r="T151" s="247">
        <f t="shared" si="22"/>
        <v>41.65</v>
      </c>
      <c r="U151" s="5">
        <f t="shared" si="24"/>
        <v>0</v>
      </c>
      <c r="V151" s="247">
        <f t="shared" si="25"/>
        <v>0</v>
      </c>
      <c r="W151" s="276">
        <f t="shared" si="26"/>
        <v>0</v>
      </c>
      <c r="X151" s="277">
        <f t="shared" si="19"/>
        <v>0</v>
      </c>
    </row>
    <row r="152" spans="14:24" x14ac:dyDescent="0.25">
      <c r="N152" s="244">
        <f>Weather_Site!B158</f>
        <v>44555</v>
      </c>
      <c r="O152" s="245">
        <f>Weather_Site!C158</f>
        <v>0.25</v>
      </c>
      <c r="P152" s="5">
        <f>Weather_Site!E158</f>
        <v>46.4</v>
      </c>
      <c r="Q152" s="245">
        <f t="shared" si="20"/>
        <v>4.1666666666666657E-2</v>
      </c>
      <c r="R152" s="5">
        <f t="shared" si="23"/>
        <v>1</v>
      </c>
      <c r="S152" s="5">
        <f t="shared" si="21"/>
        <v>6</v>
      </c>
      <c r="T152" s="247">
        <f t="shared" si="22"/>
        <v>45.65</v>
      </c>
      <c r="U152" s="5">
        <f t="shared" si="24"/>
        <v>0</v>
      </c>
      <c r="V152" s="247">
        <f t="shared" si="25"/>
        <v>0</v>
      </c>
      <c r="W152" s="276">
        <f t="shared" si="26"/>
        <v>0</v>
      </c>
      <c r="X152" s="277">
        <f t="shared" si="19"/>
        <v>0</v>
      </c>
    </row>
    <row r="153" spans="14:24" x14ac:dyDescent="0.25">
      <c r="N153" s="244">
        <f>Weather_Site!B159</f>
        <v>44555</v>
      </c>
      <c r="O153" s="245">
        <f>Weather_Site!C159</f>
        <v>0.29166666666666669</v>
      </c>
      <c r="P153" s="5">
        <f>Weather_Site!E159</f>
        <v>42.7</v>
      </c>
      <c r="Q153" s="245">
        <f t="shared" si="20"/>
        <v>4.1666666666666685E-2</v>
      </c>
      <c r="R153" s="5">
        <f t="shared" si="23"/>
        <v>1</v>
      </c>
      <c r="S153" s="5">
        <f t="shared" si="21"/>
        <v>7</v>
      </c>
      <c r="T153" s="247">
        <f t="shared" si="22"/>
        <v>44.55</v>
      </c>
      <c r="U153" s="5">
        <f t="shared" si="24"/>
        <v>0</v>
      </c>
      <c r="V153" s="247">
        <f t="shared" si="25"/>
        <v>0</v>
      </c>
      <c r="W153" s="276">
        <f t="shared" si="26"/>
        <v>0</v>
      </c>
      <c r="X153" s="277">
        <f t="shared" si="19"/>
        <v>0</v>
      </c>
    </row>
    <row r="154" spans="14:24" x14ac:dyDescent="0.25">
      <c r="N154" s="244">
        <f>Weather_Site!B160</f>
        <v>44555</v>
      </c>
      <c r="O154" s="245">
        <f>Weather_Site!C160</f>
        <v>0.33333333333333331</v>
      </c>
      <c r="P154" s="5">
        <f>Weather_Site!E160</f>
        <v>35.700000000000003</v>
      </c>
      <c r="Q154" s="245">
        <f t="shared" si="20"/>
        <v>4.166666666666663E-2</v>
      </c>
      <c r="R154" s="5">
        <f t="shared" si="23"/>
        <v>1</v>
      </c>
      <c r="S154" s="5">
        <f t="shared" si="21"/>
        <v>8</v>
      </c>
      <c r="T154" s="247">
        <f t="shared" si="22"/>
        <v>39.200000000000003</v>
      </c>
      <c r="U154" s="5">
        <f t="shared" si="24"/>
        <v>0</v>
      </c>
      <c r="V154" s="247">
        <f t="shared" si="25"/>
        <v>0</v>
      </c>
      <c r="W154" s="276">
        <f t="shared" si="26"/>
        <v>0</v>
      </c>
      <c r="X154" s="277">
        <f t="shared" si="19"/>
        <v>0</v>
      </c>
    </row>
    <row r="155" spans="14:24" x14ac:dyDescent="0.25">
      <c r="N155" s="244">
        <f>Weather_Site!B161</f>
        <v>44555</v>
      </c>
      <c r="O155" s="245">
        <f>Weather_Site!C161</f>
        <v>0.375</v>
      </c>
      <c r="P155" s="5">
        <f>Weather_Site!E161</f>
        <v>31.8</v>
      </c>
      <c r="Q155" s="245">
        <f t="shared" si="20"/>
        <v>0</v>
      </c>
      <c r="R155" s="5">
        <f t="shared" si="23"/>
        <v>0</v>
      </c>
      <c r="S155" s="5">
        <f t="shared" si="21"/>
        <v>9</v>
      </c>
      <c r="T155" s="247">
        <f t="shared" si="22"/>
        <v>0</v>
      </c>
      <c r="U155" s="5">
        <f t="shared" si="24"/>
        <v>0</v>
      </c>
      <c r="V155" s="247">
        <f t="shared" si="25"/>
        <v>0</v>
      </c>
      <c r="W155" s="276">
        <f t="shared" si="26"/>
        <v>0</v>
      </c>
      <c r="X155" s="277">
        <f t="shared" si="19"/>
        <v>0</v>
      </c>
    </row>
    <row r="156" spans="14:24" x14ac:dyDescent="0.25">
      <c r="N156" s="244">
        <f>Weather_Site!B162</f>
        <v>44555</v>
      </c>
      <c r="O156" s="245">
        <f>Weather_Site!C162</f>
        <v>0.41666666666666669</v>
      </c>
      <c r="P156" s="5">
        <f>Weather_Site!E162</f>
        <v>24.7</v>
      </c>
      <c r="Q156" s="245">
        <f t="shared" si="20"/>
        <v>0</v>
      </c>
      <c r="R156" s="5">
        <f t="shared" si="23"/>
        <v>0</v>
      </c>
      <c r="S156" s="5">
        <f t="shared" si="21"/>
        <v>10</v>
      </c>
      <c r="T156" s="247">
        <f t="shared" si="22"/>
        <v>0</v>
      </c>
      <c r="U156" s="5">
        <f t="shared" si="24"/>
        <v>0</v>
      </c>
      <c r="V156" s="247">
        <f t="shared" si="25"/>
        <v>0</v>
      </c>
      <c r="W156" s="276">
        <f t="shared" si="26"/>
        <v>0</v>
      </c>
      <c r="X156" s="277">
        <f t="shared" si="19"/>
        <v>0</v>
      </c>
    </row>
    <row r="157" spans="14:24" x14ac:dyDescent="0.25">
      <c r="N157" s="244">
        <f>Weather_Site!B163</f>
        <v>44555</v>
      </c>
      <c r="O157" s="245">
        <f>Weather_Site!C163</f>
        <v>0.45833333333333331</v>
      </c>
      <c r="P157" s="5">
        <f>Weather_Site!E163</f>
        <v>20.3</v>
      </c>
      <c r="Q157" s="245">
        <f t="shared" si="20"/>
        <v>0</v>
      </c>
      <c r="R157" s="5">
        <f t="shared" si="23"/>
        <v>0</v>
      </c>
      <c r="S157" s="5">
        <f t="shared" si="21"/>
        <v>11</v>
      </c>
      <c r="T157" s="247">
        <f t="shared" si="22"/>
        <v>0</v>
      </c>
      <c r="U157" s="5">
        <f t="shared" si="24"/>
        <v>0</v>
      </c>
      <c r="V157" s="247">
        <f t="shared" si="25"/>
        <v>0</v>
      </c>
      <c r="W157" s="276">
        <f t="shared" si="26"/>
        <v>0</v>
      </c>
      <c r="X157" s="277">
        <f t="shared" si="19"/>
        <v>0</v>
      </c>
    </row>
    <row r="158" spans="14:24" x14ac:dyDescent="0.25">
      <c r="N158" s="244">
        <f>Weather_Site!B164</f>
        <v>44555</v>
      </c>
      <c r="O158" s="245">
        <f>Weather_Site!C164</f>
        <v>0.5</v>
      </c>
      <c r="P158" s="5">
        <f>Weather_Site!E164</f>
        <v>18.5</v>
      </c>
      <c r="Q158" s="245">
        <f t="shared" si="20"/>
        <v>0</v>
      </c>
      <c r="R158" s="5">
        <f t="shared" si="23"/>
        <v>0</v>
      </c>
      <c r="S158" s="5">
        <f t="shared" si="21"/>
        <v>12</v>
      </c>
      <c r="T158" s="247">
        <f t="shared" si="22"/>
        <v>0</v>
      </c>
      <c r="U158" s="5">
        <f t="shared" si="24"/>
        <v>0</v>
      </c>
      <c r="V158" s="247">
        <f t="shared" si="25"/>
        <v>0</v>
      </c>
      <c r="W158" s="276">
        <f t="shared" si="26"/>
        <v>0</v>
      </c>
      <c r="X158" s="277">
        <f t="shared" si="19"/>
        <v>0</v>
      </c>
    </row>
    <row r="159" spans="14:24" x14ac:dyDescent="0.25">
      <c r="N159" s="244">
        <f>Weather_Site!B165</f>
        <v>44555</v>
      </c>
      <c r="O159" s="245">
        <f>Weather_Site!C165</f>
        <v>0.54166666666666663</v>
      </c>
      <c r="P159" s="5">
        <f>Weather_Site!E165</f>
        <v>16.899999999999999</v>
      </c>
      <c r="Q159" s="245">
        <f t="shared" si="20"/>
        <v>0</v>
      </c>
      <c r="R159" s="5">
        <f t="shared" si="23"/>
        <v>0</v>
      </c>
      <c r="S159" s="5">
        <f t="shared" si="21"/>
        <v>13</v>
      </c>
      <c r="T159" s="247">
        <f t="shared" si="22"/>
        <v>0</v>
      </c>
      <c r="U159" s="5">
        <f t="shared" si="24"/>
        <v>0</v>
      </c>
      <c r="V159" s="247">
        <f t="shared" si="25"/>
        <v>0</v>
      </c>
      <c r="W159" s="276">
        <f t="shared" si="26"/>
        <v>0</v>
      </c>
      <c r="X159" s="277">
        <f t="shared" si="19"/>
        <v>0</v>
      </c>
    </row>
    <row r="160" spans="14:24" x14ac:dyDescent="0.25">
      <c r="N160" s="244">
        <f>Weather_Site!B166</f>
        <v>44555</v>
      </c>
      <c r="O160" s="245">
        <f>Weather_Site!C166</f>
        <v>0.58333333333333337</v>
      </c>
      <c r="P160" s="5">
        <f>Weather_Site!E166</f>
        <v>14.9</v>
      </c>
      <c r="Q160" s="245">
        <f t="shared" si="20"/>
        <v>0</v>
      </c>
      <c r="R160" s="5">
        <f t="shared" si="23"/>
        <v>0</v>
      </c>
      <c r="S160" s="5">
        <f t="shared" si="21"/>
        <v>14</v>
      </c>
      <c r="T160" s="247">
        <f t="shared" si="22"/>
        <v>0</v>
      </c>
      <c r="U160" s="5">
        <f t="shared" si="24"/>
        <v>0</v>
      </c>
      <c r="V160" s="247">
        <f t="shared" si="25"/>
        <v>0</v>
      </c>
      <c r="W160" s="276">
        <f t="shared" si="26"/>
        <v>0</v>
      </c>
      <c r="X160" s="277">
        <f t="shared" si="19"/>
        <v>0</v>
      </c>
    </row>
    <row r="161" spans="14:24" x14ac:dyDescent="0.25">
      <c r="N161" s="244">
        <f>Weather_Site!B167</f>
        <v>44555</v>
      </c>
      <c r="O161" s="245">
        <f>Weather_Site!C167</f>
        <v>0.625</v>
      </c>
      <c r="P161" s="5">
        <f>Weather_Site!E167</f>
        <v>14.2</v>
      </c>
      <c r="Q161" s="245">
        <f t="shared" si="20"/>
        <v>0</v>
      </c>
      <c r="R161" s="5">
        <f t="shared" si="23"/>
        <v>0</v>
      </c>
      <c r="S161" s="5">
        <f t="shared" si="21"/>
        <v>15</v>
      </c>
      <c r="T161" s="247">
        <f t="shared" si="22"/>
        <v>0</v>
      </c>
      <c r="U161" s="5">
        <f t="shared" si="24"/>
        <v>0</v>
      </c>
      <c r="V161" s="247">
        <f t="shared" si="25"/>
        <v>0</v>
      </c>
      <c r="W161" s="276">
        <f t="shared" si="26"/>
        <v>0</v>
      </c>
      <c r="X161" s="277">
        <f t="shared" si="19"/>
        <v>0</v>
      </c>
    </row>
    <row r="162" spans="14:24" x14ac:dyDescent="0.25">
      <c r="N162" s="244">
        <f>Weather_Site!B168</f>
        <v>44555</v>
      </c>
      <c r="O162" s="245">
        <f>Weather_Site!C168</f>
        <v>0.66666666666666663</v>
      </c>
      <c r="P162" s="5">
        <f>Weather_Site!E168</f>
        <v>13.4</v>
      </c>
      <c r="Q162" s="245">
        <f t="shared" si="20"/>
        <v>4.166666666666663E-2</v>
      </c>
      <c r="R162" s="5">
        <f t="shared" si="23"/>
        <v>1</v>
      </c>
      <c r="S162" s="5">
        <f t="shared" si="21"/>
        <v>16</v>
      </c>
      <c r="T162" s="247">
        <f t="shared" si="22"/>
        <v>13.8</v>
      </c>
      <c r="U162" s="5">
        <f t="shared" si="24"/>
        <v>0</v>
      </c>
      <c r="V162" s="247">
        <f t="shared" si="25"/>
        <v>0</v>
      </c>
      <c r="W162" s="276">
        <f t="shared" si="26"/>
        <v>0</v>
      </c>
      <c r="X162" s="277">
        <f t="shared" si="19"/>
        <v>0</v>
      </c>
    </row>
    <row r="163" spans="14:24" x14ac:dyDescent="0.25">
      <c r="N163" s="244">
        <f>Weather_Site!B169</f>
        <v>44555</v>
      </c>
      <c r="O163" s="245">
        <f>Weather_Site!C169</f>
        <v>0.70833333333333337</v>
      </c>
      <c r="P163" s="5">
        <f>Weather_Site!E169</f>
        <v>13.1</v>
      </c>
      <c r="Q163" s="245">
        <f t="shared" si="20"/>
        <v>4.1666666666666741E-2</v>
      </c>
      <c r="R163" s="5">
        <f t="shared" si="23"/>
        <v>1</v>
      </c>
      <c r="S163" s="5">
        <f t="shared" si="21"/>
        <v>17</v>
      </c>
      <c r="T163" s="247">
        <f t="shared" si="22"/>
        <v>13.25</v>
      </c>
      <c r="U163" s="5">
        <f t="shared" si="24"/>
        <v>0</v>
      </c>
      <c r="V163" s="247">
        <f t="shared" si="25"/>
        <v>0</v>
      </c>
      <c r="W163" s="276">
        <f t="shared" si="26"/>
        <v>0</v>
      </c>
      <c r="X163" s="277">
        <f t="shared" si="19"/>
        <v>0</v>
      </c>
    </row>
    <row r="164" spans="14:24" x14ac:dyDescent="0.25">
      <c r="N164" s="244">
        <f>Weather_Site!B170</f>
        <v>44555</v>
      </c>
      <c r="O164" s="245">
        <f>Weather_Site!C170</f>
        <v>0.75</v>
      </c>
      <c r="P164" s="5">
        <f>Weather_Site!E170</f>
        <v>13.6</v>
      </c>
      <c r="Q164" s="245">
        <f t="shared" si="20"/>
        <v>4.166666666666663E-2</v>
      </c>
      <c r="R164" s="5">
        <f t="shared" si="23"/>
        <v>1</v>
      </c>
      <c r="S164" s="5">
        <f t="shared" si="21"/>
        <v>18</v>
      </c>
      <c r="T164" s="247">
        <f t="shared" si="22"/>
        <v>13.35</v>
      </c>
      <c r="U164" s="5">
        <f t="shared" si="24"/>
        <v>0</v>
      </c>
      <c r="V164" s="247">
        <f t="shared" si="25"/>
        <v>0</v>
      </c>
      <c r="W164" s="276">
        <f t="shared" si="26"/>
        <v>0</v>
      </c>
      <c r="X164" s="277">
        <f t="shared" ref="X164:X227" si="27">IF(AND(O163&lt;0.333,O164&gt;=0.333),W164,X163)</f>
        <v>0</v>
      </c>
    </row>
    <row r="165" spans="14:24" x14ac:dyDescent="0.25">
      <c r="N165" s="244">
        <f>Weather_Site!B171</f>
        <v>44555</v>
      </c>
      <c r="O165" s="245">
        <f>Weather_Site!C171</f>
        <v>0.79166666666666663</v>
      </c>
      <c r="P165" s="5">
        <f>Weather_Site!E171</f>
        <v>14.3</v>
      </c>
      <c r="Q165" s="245">
        <f t="shared" ref="Q165:Q228" si="28">IF((O165-O164)&lt;0,(1-MAX(O164,0.625))+MIN(O165,0.334),(IF(O164&lt;0.333,(MIN(O165,0.334)-O164),IF(O165&gt;0.625,MAX(O165,0.625)-O164,0))))</f>
        <v>4.166666666666663E-2</v>
      </c>
      <c r="R165" s="5">
        <f t="shared" si="23"/>
        <v>1</v>
      </c>
      <c r="S165" s="5">
        <f t="shared" ref="S165:S228" si="29">HOUR(O165)</f>
        <v>19</v>
      </c>
      <c r="T165" s="247">
        <f t="shared" ref="T165:T228" si="30">(P165+P164)/2*R165</f>
        <v>13.95</v>
      </c>
      <c r="U165" s="5">
        <f t="shared" si="24"/>
        <v>0</v>
      </c>
      <c r="V165" s="247">
        <f t="shared" si="25"/>
        <v>0</v>
      </c>
      <c r="W165" s="276">
        <f t="shared" si="26"/>
        <v>0</v>
      </c>
      <c r="X165" s="277">
        <f t="shared" si="27"/>
        <v>0</v>
      </c>
    </row>
    <row r="166" spans="14:24" x14ac:dyDescent="0.25">
      <c r="N166" s="244">
        <f>Weather_Site!B172</f>
        <v>44555</v>
      </c>
      <c r="O166" s="245">
        <f>Weather_Site!C172</f>
        <v>0.83333333333333337</v>
      </c>
      <c r="P166" s="5">
        <f>Weather_Site!E172</f>
        <v>16.3</v>
      </c>
      <c r="Q166" s="245">
        <f t="shared" si="28"/>
        <v>4.1666666666666741E-2</v>
      </c>
      <c r="R166" s="5">
        <f t="shared" si="23"/>
        <v>1</v>
      </c>
      <c r="S166" s="5">
        <f t="shared" si="29"/>
        <v>20</v>
      </c>
      <c r="T166" s="247">
        <f t="shared" si="30"/>
        <v>15.3</v>
      </c>
      <c r="U166" s="5">
        <f t="shared" si="24"/>
        <v>0</v>
      </c>
      <c r="V166" s="247">
        <f t="shared" si="25"/>
        <v>0</v>
      </c>
      <c r="W166" s="276">
        <f t="shared" si="26"/>
        <v>0</v>
      </c>
      <c r="X166" s="277">
        <f t="shared" si="27"/>
        <v>0</v>
      </c>
    </row>
    <row r="167" spans="14:24" x14ac:dyDescent="0.25">
      <c r="N167" s="244">
        <f>Weather_Site!B173</f>
        <v>44555</v>
      </c>
      <c r="O167" s="245">
        <f>Weather_Site!C173</f>
        <v>0.875</v>
      </c>
      <c r="P167" s="5">
        <f>Weather_Site!E173</f>
        <v>19.899999999999999</v>
      </c>
      <c r="Q167" s="245">
        <f t="shared" si="28"/>
        <v>4.166666666666663E-2</v>
      </c>
      <c r="R167" s="5">
        <f t="shared" si="23"/>
        <v>1</v>
      </c>
      <c r="S167" s="5">
        <f t="shared" si="29"/>
        <v>21</v>
      </c>
      <c r="T167" s="247">
        <f t="shared" si="30"/>
        <v>18.100000000000001</v>
      </c>
      <c r="U167" s="5">
        <f t="shared" si="24"/>
        <v>0</v>
      </c>
      <c r="V167" s="247">
        <f t="shared" si="25"/>
        <v>0</v>
      </c>
      <c r="W167" s="276">
        <f t="shared" si="26"/>
        <v>0</v>
      </c>
      <c r="X167" s="277">
        <f t="shared" si="27"/>
        <v>0</v>
      </c>
    </row>
    <row r="168" spans="14:24" x14ac:dyDescent="0.25">
      <c r="N168" s="244">
        <f>Weather_Site!B174</f>
        <v>44555</v>
      </c>
      <c r="O168" s="245">
        <f>Weather_Site!C174</f>
        <v>0.91666666666666663</v>
      </c>
      <c r="P168" s="5">
        <f>Weather_Site!E174</f>
        <v>23.9</v>
      </c>
      <c r="Q168" s="245">
        <f t="shared" si="28"/>
        <v>4.166666666666663E-2</v>
      </c>
      <c r="R168" s="5">
        <f t="shared" si="23"/>
        <v>1</v>
      </c>
      <c r="S168" s="5">
        <f t="shared" si="29"/>
        <v>22</v>
      </c>
      <c r="T168" s="247">
        <f t="shared" si="30"/>
        <v>21.9</v>
      </c>
      <c r="U168" s="5">
        <f t="shared" si="24"/>
        <v>0</v>
      </c>
      <c r="V168" s="247">
        <f t="shared" si="25"/>
        <v>0</v>
      </c>
      <c r="W168" s="276">
        <f t="shared" si="26"/>
        <v>0</v>
      </c>
      <c r="X168" s="277">
        <f t="shared" si="27"/>
        <v>0</v>
      </c>
    </row>
    <row r="169" spans="14:24" x14ac:dyDescent="0.25">
      <c r="N169" s="244">
        <f>Weather_Site!B175</f>
        <v>44555</v>
      </c>
      <c r="O169" s="245">
        <f>Weather_Site!C175</f>
        <v>0.95833333333333337</v>
      </c>
      <c r="P169" s="5">
        <f>Weather_Site!E175</f>
        <v>27.7</v>
      </c>
      <c r="Q169" s="245">
        <f t="shared" si="28"/>
        <v>4.1666666666666741E-2</v>
      </c>
      <c r="R169" s="5">
        <f t="shared" si="23"/>
        <v>1</v>
      </c>
      <c r="S169" s="5">
        <f t="shared" si="29"/>
        <v>23</v>
      </c>
      <c r="T169" s="247">
        <f t="shared" si="30"/>
        <v>25.799999999999997</v>
      </c>
      <c r="U169" s="5">
        <f t="shared" si="24"/>
        <v>0</v>
      </c>
      <c r="V169" s="247">
        <f t="shared" si="25"/>
        <v>0</v>
      </c>
      <c r="W169" s="276">
        <f t="shared" si="26"/>
        <v>0</v>
      </c>
      <c r="X169" s="277">
        <f t="shared" si="27"/>
        <v>0</v>
      </c>
    </row>
    <row r="170" spans="14:24" x14ac:dyDescent="0.25">
      <c r="N170" s="244">
        <f>Weather_Site!B176</f>
        <v>44556</v>
      </c>
      <c r="O170" s="245">
        <f>Weather_Site!C176</f>
        <v>0</v>
      </c>
      <c r="P170" s="5">
        <f>Weather_Site!E176</f>
        <v>32</v>
      </c>
      <c r="Q170" s="245">
        <f t="shared" si="28"/>
        <v>4.166666666666663E-2</v>
      </c>
      <c r="R170" s="5">
        <f t="shared" si="23"/>
        <v>1</v>
      </c>
      <c r="S170" s="5">
        <f t="shared" si="29"/>
        <v>0</v>
      </c>
      <c r="T170" s="247">
        <f t="shared" si="30"/>
        <v>29.85</v>
      </c>
      <c r="U170" s="5">
        <f t="shared" si="24"/>
        <v>0</v>
      </c>
      <c r="V170" s="247">
        <f t="shared" si="25"/>
        <v>0</v>
      </c>
      <c r="W170" s="276">
        <f t="shared" si="26"/>
        <v>0</v>
      </c>
      <c r="X170" s="277">
        <f t="shared" si="27"/>
        <v>0</v>
      </c>
    </row>
    <row r="171" spans="14:24" x14ac:dyDescent="0.25">
      <c r="N171" s="244">
        <f>Weather_Site!B177</f>
        <v>44556</v>
      </c>
      <c r="O171" s="245">
        <f>Weather_Site!C177</f>
        <v>4.1666666666666664E-2</v>
      </c>
      <c r="P171" s="5">
        <f>Weather_Site!E177</f>
        <v>35.4</v>
      </c>
      <c r="Q171" s="245">
        <f t="shared" si="28"/>
        <v>4.1666666666666664E-2</v>
      </c>
      <c r="R171" s="5">
        <f t="shared" si="23"/>
        <v>1</v>
      </c>
      <c r="S171" s="5">
        <f t="shared" si="29"/>
        <v>1</v>
      </c>
      <c r="T171" s="247">
        <f t="shared" si="30"/>
        <v>33.700000000000003</v>
      </c>
      <c r="U171" s="5">
        <f t="shared" si="24"/>
        <v>0</v>
      </c>
      <c r="V171" s="247">
        <f t="shared" si="25"/>
        <v>0</v>
      </c>
      <c r="W171" s="276">
        <f t="shared" si="26"/>
        <v>0</v>
      </c>
      <c r="X171" s="277">
        <f t="shared" si="27"/>
        <v>0</v>
      </c>
    </row>
    <row r="172" spans="14:24" x14ac:dyDescent="0.25">
      <c r="N172" s="244">
        <f>Weather_Site!B178</f>
        <v>0</v>
      </c>
      <c r="O172" s="245">
        <f>Weather_Site!C178</f>
        <v>0</v>
      </c>
      <c r="P172" s="5">
        <f>Weather_Site!E178</f>
        <v>0</v>
      </c>
      <c r="Q172" s="245">
        <f t="shared" si="28"/>
        <v>0.375</v>
      </c>
      <c r="R172" s="5">
        <f t="shared" si="23"/>
        <v>9</v>
      </c>
      <c r="S172" s="5">
        <f t="shared" si="29"/>
        <v>0</v>
      </c>
      <c r="T172" s="247">
        <f t="shared" si="30"/>
        <v>159.29999999999998</v>
      </c>
      <c r="U172" s="5">
        <f t="shared" si="24"/>
        <v>0</v>
      </c>
      <c r="V172" s="247">
        <f t="shared" si="25"/>
        <v>0</v>
      </c>
      <c r="W172" s="276">
        <f t="shared" si="26"/>
        <v>0</v>
      </c>
      <c r="X172" s="277">
        <f t="shared" si="27"/>
        <v>0</v>
      </c>
    </row>
    <row r="173" spans="14:24" x14ac:dyDescent="0.25">
      <c r="N173" s="244">
        <f>Weather_Site!B179</f>
        <v>0</v>
      </c>
      <c r="O173" s="245">
        <f>Weather_Site!C179</f>
        <v>0</v>
      </c>
      <c r="P173" s="5">
        <f>Weather_Site!E179</f>
        <v>0</v>
      </c>
      <c r="Q173" s="245">
        <f t="shared" si="28"/>
        <v>0</v>
      </c>
      <c r="R173" s="5">
        <f t="shared" si="23"/>
        <v>0</v>
      </c>
      <c r="S173" s="5">
        <f t="shared" si="29"/>
        <v>0</v>
      </c>
      <c r="T173" s="247">
        <f t="shared" si="30"/>
        <v>0</v>
      </c>
      <c r="U173" s="5">
        <f t="shared" si="24"/>
        <v>0</v>
      </c>
      <c r="V173" s="247">
        <f t="shared" si="25"/>
        <v>0</v>
      </c>
      <c r="W173" s="276">
        <f t="shared" si="26"/>
        <v>0</v>
      </c>
      <c r="X173" s="277">
        <f t="shared" si="27"/>
        <v>0</v>
      </c>
    </row>
    <row r="174" spans="14:24" x14ac:dyDescent="0.25">
      <c r="N174" s="244">
        <f>Weather_Site!B180</f>
        <v>0</v>
      </c>
      <c r="O174" s="245">
        <f>Weather_Site!C180</f>
        <v>0</v>
      </c>
      <c r="P174" s="5">
        <f>Weather_Site!E180</f>
        <v>0</v>
      </c>
      <c r="Q174" s="245">
        <f t="shared" si="28"/>
        <v>0</v>
      </c>
      <c r="R174" s="5">
        <f t="shared" si="23"/>
        <v>0</v>
      </c>
      <c r="S174" s="5">
        <f t="shared" si="29"/>
        <v>0</v>
      </c>
      <c r="T174" s="247">
        <f t="shared" si="30"/>
        <v>0</v>
      </c>
      <c r="U174" s="5">
        <f t="shared" si="24"/>
        <v>0</v>
      </c>
      <c r="V174" s="247">
        <f t="shared" si="25"/>
        <v>0</v>
      </c>
      <c r="W174" s="276">
        <f t="shared" si="26"/>
        <v>0</v>
      </c>
      <c r="X174" s="277">
        <f t="shared" si="27"/>
        <v>0</v>
      </c>
    </row>
    <row r="175" spans="14:24" x14ac:dyDescent="0.25">
      <c r="N175" s="244">
        <f>Weather_Site!B181</f>
        <v>0</v>
      </c>
      <c r="O175" s="245">
        <f>Weather_Site!C181</f>
        <v>0</v>
      </c>
      <c r="P175" s="5">
        <f>Weather_Site!E181</f>
        <v>0</v>
      </c>
      <c r="Q175" s="245">
        <f t="shared" si="28"/>
        <v>0</v>
      </c>
      <c r="R175" s="5">
        <f t="shared" si="23"/>
        <v>0</v>
      </c>
      <c r="S175" s="5">
        <f t="shared" si="29"/>
        <v>0</v>
      </c>
      <c r="T175" s="247">
        <f t="shared" si="30"/>
        <v>0</v>
      </c>
      <c r="U175" s="5">
        <f t="shared" si="24"/>
        <v>0</v>
      </c>
      <c r="V175" s="247">
        <f t="shared" si="25"/>
        <v>0</v>
      </c>
      <c r="W175" s="276">
        <f t="shared" si="26"/>
        <v>0</v>
      </c>
      <c r="X175" s="277">
        <f t="shared" si="27"/>
        <v>0</v>
      </c>
    </row>
    <row r="176" spans="14:24" x14ac:dyDescent="0.25">
      <c r="N176" s="244">
        <f>Weather_Site!B182</f>
        <v>0</v>
      </c>
      <c r="O176" s="245">
        <f>Weather_Site!C182</f>
        <v>0</v>
      </c>
      <c r="P176" s="5">
        <f>Weather_Site!E182</f>
        <v>0</v>
      </c>
      <c r="Q176" s="245">
        <f t="shared" si="28"/>
        <v>0</v>
      </c>
      <c r="R176" s="5">
        <f t="shared" si="23"/>
        <v>0</v>
      </c>
      <c r="S176" s="5">
        <f t="shared" si="29"/>
        <v>0</v>
      </c>
      <c r="T176" s="247">
        <f t="shared" si="30"/>
        <v>0</v>
      </c>
      <c r="U176" s="5">
        <f t="shared" si="24"/>
        <v>0</v>
      </c>
      <c r="V176" s="247">
        <f t="shared" si="25"/>
        <v>0</v>
      </c>
      <c r="W176" s="276">
        <f t="shared" si="26"/>
        <v>0</v>
      </c>
      <c r="X176" s="277">
        <f t="shared" si="27"/>
        <v>0</v>
      </c>
    </row>
    <row r="177" spans="14:24" x14ac:dyDescent="0.25">
      <c r="N177" s="244">
        <f>Weather_Site!B183</f>
        <v>0</v>
      </c>
      <c r="O177" s="245">
        <f>Weather_Site!C183</f>
        <v>0</v>
      </c>
      <c r="P177" s="5">
        <f>Weather_Site!E183</f>
        <v>0</v>
      </c>
      <c r="Q177" s="245">
        <f t="shared" si="28"/>
        <v>0</v>
      </c>
      <c r="R177" s="5">
        <f t="shared" si="23"/>
        <v>0</v>
      </c>
      <c r="S177" s="5">
        <f t="shared" si="29"/>
        <v>0</v>
      </c>
      <c r="T177" s="247">
        <f t="shared" si="30"/>
        <v>0</v>
      </c>
      <c r="U177" s="5">
        <f t="shared" si="24"/>
        <v>0</v>
      </c>
      <c r="V177" s="247">
        <f t="shared" si="25"/>
        <v>0</v>
      </c>
      <c r="W177" s="276">
        <f t="shared" si="26"/>
        <v>0</v>
      </c>
      <c r="X177" s="277">
        <f t="shared" si="27"/>
        <v>0</v>
      </c>
    </row>
    <row r="178" spans="14:24" x14ac:dyDescent="0.25">
      <c r="N178" s="244">
        <f>Weather_Site!B184</f>
        <v>0</v>
      </c>
      <c r="O178" s="245">
        <f>Weather_Site!C184</f>
        <v>0</v>
      </c>
      <c r="P178" s="5">
        <f>Weather_Site!E184</f>
        <v>0</v>
      </c>
      <c r="Q178" s="245">
        <f t="shared" si="28"/>
        <v>0</v>
      </c>
      <c r="R178" s="5">
        <f t="shared" si="23"/>
        <v>0</v>
      </c>
      <c r="S178" s="5">
        <f t="shared" si="29"/>
        <v>0</v>
      </c>
      <c r="T178" s="247">
        <f t="shared" si="30"/>
        <v>0</v>
      </c>
      <c r="U178" s="5">
        <f t="shared" si="24"/>
        <v>0</v>
      </c>
      <c r="V178" s="247">
        <f t="shared" si="25"/>
        <v>0</v>
      </c>
      <c r="W178" s="276">
        <f t="shared" si="26"/>
        <v>0</v>
      </c>
      <c r="X178" s="277">
        <f t="shared" si="27"/>
        <v>0</v>
      </c>
    </row>
    <row r="179" spans="14:24" x14ac:dyDescent="0.25">
      <c r="N179" s="244">
        <f>Weather_Site!B185</f>
        <v>0</v>
      </c>
      <c r="O179" s="245">
        <f>Weather_Site!C185</f>
        <v>0</v>
      </c>
      <c r="P179" s="5">
        <f>Weather_Site!E185</f>
        <v>0</v>
      </c>
      <c r="Q179" s="245">
        <f t="shared" si="28"/>
        <v>0</v>
      </c>
      <c r="R179" s="5">
        <f t="shared" si="23"/>
        <v>0</v>
      </c>
      <c r="S179" s="5">
        <f t="shared" si="29"/>
        <v>0</v>
      </c>
      <c r="T179" s="247">
        <f t="shared" si="30"/>
        <v>0</v>
      </c>
      <c r="U179" s="5">
        <f t="shared" si="24"/>
        <v>0</v>
      </c>
      <c r="V179" s="247">
        <f t="shared" si="25"/>
        <v>0</v>
      </c>
      <c r="W179" s="276">
        <f t="shared" si="26"/>
        <v>0</v>
      </c>
      <c r="X179" s="277">
        <f t="shared" si="27"/>
        <v>0</v>
      </c>
    </row>
    <row r="180" spans="14:24" x14ac:dyDescent="0.25">
      <c r="N180" s="244">
        <f>Weather_Site!B186</f>
        <v>0</v>
      </c>
      <c r="O180" s="245">
        <f>Weather_Site!C186</f>
        <v>0</v>
      </c>
      <c r="P180" s="5">
        <f>Weather_Site!E186</f>
        <v>0</v>
      </c>
      <c r="Q180" s="245">
        <f t="shared" si="28"/>
        <v>0</v>
      </c>
      <c r="R180" s="5">
        <f t="shared" si="23"/>
        <v>0</v>
      </c>
      <c r="S180" s="5">
        <f t="shared" si="29"/>
        <v>0</v>
      </c>
      <c r="T180" s="247">
        <f t="shared" si="30"/>
        <v>0</v>
      </c>
      <c r="U180" s="5">
        <f t="shared" si="24"/>
        <v>0</v>
      </c>
      <c r="V180" s="247">
        <f t="shared" si="25"/>
        <v>0</v>
      </c>
      <c r="W180" s="276">
        <f t="shared" si="26"/>
        <v>0</v>
      </c>
      <c r="X180" s="277">
        <f t="shared" si="27"/>
        <v>0</v>
      </c>
    </row>
    <row r="181" spans="14:24" x14ac:dyDescent="0.25">
      <c r="N181" s="244">
        <f>Weather_Site!B187</f>
        <v>0</v>
      </c>
      <c r="O181" s="245">
        <f>Weather_Site!C187</f>
        <v>0</v>
      </c>
      <c r="P181" s="5">
        <f>Weather_Site!E187</f>
        <v>0</v>
      </c>
      <c r="Q181" s="245">
        <f t="shared" si="28"/>
        <v>0</v>
      </c>
      <c r="R181" s="5">
        <f t="shared" si="23"/>
        <v>0</v>
      </c>
      <c r="S181" s="5">
        <f t="shared" si="29"/>
        <v>0</v>
      </c>
      <c r="T181" s="247">
        <f t="shared" si="30"/>
        <v>0</v>
      </c>
      <c r="U181" s="5">
        <f t="shared" si="24"/>
        <v>0</v>
      </c>
      <c r="V181" s="247">
        <f t="shared" si="25"/>
        <v>0</v>
      </c>
      <c r="W181" s="276">
        <f t="shared" si="26"/>
        <v>0</v>
      </c>
      <c r="X181" s="277">
        <f t="shared" si="27"/>
        <v>0</v>
      </c>
    </row>
    <row r="182" spans="14:24" x14ac:dyDescent="0.25">
      <c r="N182" s="244">
        <f>Weather_Site!B188</f>
        <v>0</v>
      </c>
      <c r="O182" s="245">
        <f>Weather_Site!C188</f>
        <v>0</v>
      </c>
      <c r="P182" s="5">
        <f>Weather_Site!E188</f>
        <v>0</v>
      </c>
      <c r="Q182" s="245">
        <f t="shared" si="28"/>
        <v>0</v>
      </c>
      <c r="R182" s="5">
        <f t="shared" si="23"/>
        <v>0</v>
      </c>
      <c r="S182" s="5">
        <f t="shared" si="29"/>
        <v>0</v>
      </c>
      <c r="T182" s="247">
        <f t="shared" si="30"/>
        <v>0</v>
      </c>
      <c r="U182" s="5">
        <f t="shared" si="24"/>
        <v>0</v>
      </c>
      <c r="V182" s="247">
        <f t="shared" si="25"/>
        <v>0</v>
      </c>
      <c r="W182" s="276">
        <f t="shared" si="26"/>
        <v>0</v>
      </c>
      <c r="X182" s="277">
        <f t="shared" si="27"/>
        <v>0</v>
      </c>
    </row>
    <row r="183" spans="14:24" x14ac:dyDescent="0.25">
      <c r="N183" s="244">
        <f>Weather_Site!B189</f>
        <v>0</v>
      </c>
      <c r="O183" s="245">
        <f>Weather_Site!C189</f>
        <v>0</v>
      </c>
      <c r="P183" s="5">
        <f>Weather_Site!E189</f>
        <v>0</v>
      </c>
      <c r="Q183" s="245">
        <f t="shared" si="28"/>
        <v>0</v>
      </c>
      <c r="R183" s="5">
        <f t="shared" si="23"/>
        <v>0</v>
      </c>
      <c r="S183" s="5">
        <f t="shared" si="29"/>
        <v>0</v>
      </c>
      <c r="T183" s="247">
        <f t="shared" si="30"/>
        <v>0</v>
      </c>
      <c r="U183" s="5">
        <f t="shared" si="24"/>
        <v>0</v>
      </c>
      <c r="V183" s="247">
        <f t="shared" si="25"/>
        <v>0</v>
      </c>
      <c r="W183" s="276">
        <f t="shared" si="26"/>
        <v>0</v>
      </c>
      <c r="X183" s="277">
        <f t="shared" si="27"/>
        <v>0</v>
      </c>
    </row>
    <row r="184" spans="14:24" x14ac:dyDescent="0.25">
      <c r="N184" s="244">
        <f>Weather_Site!B190</f>
        <v>0</v>
      </c>
      <c r="O184" s="245">
        <f>Weather_Site!C190</f>
        <v>0</v>
      </c>
      <c r="P184" s="5">
        <f>Weather_Site!E190</f>
        <v>0</v>
      </c>
      <c r="Q184" s="245">
        <f t="shared" si="28"/>
        <v>0</v>
      </c>
      <c r="R184" s="5">
        <f t="shared" si="23"/>
        <v>0</v>
      </c>
      <c r="S184" s="5">
        <f t="shared" si="29"/>
        <v>0</v>
      </c>
      <c r="T184" s="247">
        <f t="shared" si="30"/>
        <v>0</v>
      </c>
      <c r="U184" s="5">
        <f t="shared" si="24"/>
        <v>0</v>
      </c>
      <c r="V184" s="247">
        <f t="shared" si="25"/>
        <v>0</v>
      </c>
      <c r="W184" s="276">
        <f t="shared" si="26"/>
        <v>0</v>
      </c>
      <c r="X184" s="277">
        <f t="shared" si="27"/>
        <v>0</v>
      </c>
    </row>
    <row r="185" spans="14:24" x14ac:dyDescent="0.25">
      <c r="N185" s="244">
        <f>Weather_Site!B191</f>
        <v>0</v>
      </c>
      <c r="O185" s="245">
        <f>Weather_Site!C191</f>
        <v>0</v>
      </c>
      <c r="P185" s="5">
        <f>Weather_Site!E191</f>
        <v>0</v>
      </c>
      <c r="Q185" s="245">
        <f t="shared" si="28"/>
        <v>0</v>
      </c>
      <c r="R185" s="5">
        <f t="shared" si="23"/>
        <v>0</v>
      </c>
      <c r="S185" s="5">
        <f t="shared" si="29"/>
        <v>0</v>
      </c>
      <c r="T185" s="247">
        <f t="shared" si="30"/>
        <v>0</v>
      </c>
      <c r="U185" s="5">
        <f t="shared" si="24"/>
        <v>0</v>
      </c>
      <c r="V185" s="247">
        <f t="shared" si="25"/>
        <v>0</v>
      </c>
      <c r="W185" s="276">
        <f t="shared" si="26"/>
        <v>0</v>
      </c>
      <c r="X185" s="277">
        <f t="shared" si="27"/>
        <v>0</v>
      </c>
    </row>
    <row r="186" spans="14:24" x14ac:dyDescent="0.25">
      <c r="N186" s="244">
        <f>Weather_Site!B192</f>
        <v>0</v>
      </c>
      <c r="O186" s="245">
        <f>Weather_Site!C192</f>
        <v>0</v>
      </c>
      <c r="P186" s="5">
        <f>Weather_Site!E192</f>
        <v>0</v>
      </c>
      <c r="Q186" s="245">
        <f t="shared" si="28"/>
        <v>0</v>
      </c>
      <c r="R186" s="5">
        <f t="shared" si="23"/>
        <v>0</v>
      </c>
      <c r="S186" s="5">
        <f t="shared" si="29"/>
        <v>0</v>
      </c>
      <c r="T186" s="247">
        <f t="shared" si="30"/>
        <v>0</v>
      </c>
      <c r="U186" s="5">
        <f t="shared" si="24"/>
        <v>0</v>
      </c>
      <c r="V186" s="247">
        <f t="shared" si="25"/>
        <v>0</v>
      </c>
      <c r="W186" s="276">
        <f t="shared" si="26"/>
        <v>0</v>
      </c>
      <c r="X186" s="277">
        <f t="shared" si="27"/>
        <v>0</v>
      </c>
    </row>
    <row r="187" spans="14:24" x14ac:dyDescent="0.25">
      <c r="N187" s="244">
        <f>Weather_Site!B193</f>
        <v>0</v>
      </c>
      <c r="O187" s="245">
        <f>Weather_Site!C193</f>
        <v>0</v>
      </c>
      <c r="P187" s="5">
        <f>Weather_Site!E193</f>
        <v>0</v>
      </c>
      <c r="Q187" s="245">
        <f t="shared" si="28"/>
        <v>0</v>
      </c>
      <c r="R187" s="5">
        <f t="shared" si="23"/>
        <v>0</v>
      </c>
      <c r="S187" s="5">
        <f t="shared" si="29"/>
        <v>0</v>
      </c>
      <c r="T187" s="247">
        <f t="shared" si="30"/>
        <v>0</v>
      </c>
      <c r="U187" s="5">
        <f t="shared" si="24"/>
        <v>0</v>
      </c>
      <c r="V187" s="247">
        <f t="shared" si="25"/>
        <v>0</v>
      </c>
      <c r="W187" s="276">
        <f t="shared" si="26"/>
        <v>0</v>
      </c>
      <c r="X187" s="277">
        <f t="shared" si="27"/>
        <v>0</v>
      </c>
    </row>
    <row r="188" spans="14:24" x14ac:dyDescent="0.25">
      <c r="N188" s="244">
        <f>Weather_Site!B194</f>
        <v>0</v>
      </c>
      <c r="O188" s="245">
        <f>Weather_Site!C194</f>
        <v>0</v>
      </c>
      <c r="P188" s="5">
        <f>Weather_Site!E194</f>
        <v>0</v>
      </c>
      <c r="Q188" s="245">
        <f t="shared" si="28"/>
        <v>0</v>
      </c>
      <c r="R188" s="5">
        <f t="shared" si="23"/>
        <v>0</v>
      </c>
      <c r="S188" s="5">
        <f t="shared" si="29"/>
        <v>0</v>
      </c>
      <c r="T188" s="247">
        <f t="shared" si="30"/>
        <v>0</v>
      </c>
      <c r="U188" s="5">
        <f t="shared" si="24"/>
        <v>0</v>
      </c>
      <c r="V188" s="247">
        <f t="shared" si="25"/>
        <v>0</v>
      </c>
      <c r="W188" s="276">
        <f t="shared" si="26"/>
        <v>0</v>
      </c>
      <c r="X188" s="277">
        <f t="shared" si="27"/>
        <v>0</v>
      </c>
    </row>
    <row r="189" spans="14:24" x14ac:dyDescent="0.25">
      <c r="N189" s="244">
        <f>Weather_Site!B195</f>
        <v>0</v>
      </c>
      <c r="O189" s="245">
        <f>Weather_Site!C195</f>
        <v>0</v>
      </c>
      <c r="P189" s="5">
        <f>Weather_Site!E195</f>
        <v>0</v>
      </c>
      <c r="Q189" s="245">
        <f t="shared" si="28"/>
        <v>0</v>
      </c>
      <c r="R189" s="5">
        <f t="shared" si="23"/>
        <v>0</v>
      </c>
      <c r="S189" s="5">
        <f t="shared" si="29"/>
        <v>0</v>
      </c>
      <c r="T189" s="247">
        <f t="shared" si="30"/>
        <v>0</v>
      </c>
      <c r="U189" s="5">
        <f t="shared" si="24"/>
        <v>0</v>
      </c>
      <c r="V189" s="247">
        <f t="shared" si="25"/>
        <v>0</v>
      </c>
      <c r="W189" s="276">
        <f t="shared" si="26"/>
        <v>0</v>
      </c>
      <c r="X189" s="277">
        <f t="shared" si="27"/>
        <v>0</v>
      </c>
    </row>
    <row r="190" spans="14:24" x14ac:dyDescent="0.25">
      <c r="N190" s="244">
        <f>Weather_Site!B196</f>
        <v>0</v>
      </c>
      <c r="O190" s="245">
        <f>Weather_Site!C196</f>
        <v>0</v>
      </c>
      <c r="P190" s="5">
        <f>Weather_Site!E196</f>
        <v>0</v>
      </c>
      <c r="Q190" s="245">
        <f t="shared" si="28"/>
        <v>0</v>
      </c>
      <c r="R190" s="5">
        <f t="shared" si="23"/>
        <v>0</v>
      </c>
      <c r="S190" s="5">
        <f t="shared" si="29"/>
        <v>0</v>
      </c>
      <c r="T190" s="247">
        <f t="shared" si="30"/>
        <v>0</v>
      </c>
      <c r="U190" s="5">
        <f t="shared" si="24"/>
        <v>0</v>
      </c>
      <c r="V190" s="247">
        <f t="shared" si="25"/>
        <v>0</v>
      </c>
      <c r="W190" s="276">
        <f t="shared" si="26"/>
        <v>0</v>
      </c>
      <c r="X190" s="277">
        <f t="shared" si="27"/>
        <v>0</v>
      </c>
    </row>
    <row r="191" spans="14:24" x14ac:dyDescent="0.25">
      <c r="N191" s="244">
        <f>Weather_Site!B197</f>
        <v>0</v>
      </c>
      <c r="O191" s="245">
        <f>Weather_Site!C197</f>
        <v>0</v>
      </c>
      <c r="P191" s="5">
        <f>Weather_Site!E197</f>
        <v>0</v>
      </c>
      <c r="Q191" s="245">
        <f t="shared" si="28"/>
        <v>0</v>
      </c>
      <c r="R191" s="5">
        <f t="shared" si="23"/>
        <v>0</v>
      </c>
      <c r="S191" s="5">
        <f t="shared" si="29"/>
        <v>0</v>
      </c>
      <c r="T191" s="247">
        <f t="shared" si="30"/>
        <v>0</v>
      </c>
      <c r="U191" s="5">
        <f t="shared" si="24"/>
        <v>0</v>
      </c>
      <c r="V191" s="247">
        <f t="shared" si="25"/>
        <v>0</v>
      </c>
      <c r="W191" s="276">
        <f t="shared" si="26"/>
        <v>0</v>
      </c>
      <c r="X191" s="277">
        <f t="shared" si="27"/>
        <v>0</v>
      </c>
    </row>
    <row r="192" spans="14:24" x14ac:dyDescent="0.25">
      <c r="N192" s="244">
        <f>Weather_Site!B198</f>
        <v>0</v>
      </c>
      <c r="O192" s="245">
        <f>Weather_Site!C198</f>
        <v>0</v>
      </c>
      <c r="P192" s="5">
        <f>Weather_Site!E198</f>
        <v>0</v>
      </c>
      <c r="Q192" s="245">
        <f t="shared" si="28"/>
        <v>0</v>
      </c>
      <c r="R192" s="5">
        <f t="shared" si="23"/>
        <v>0</v>
      </c>
      <c r="S192" s="5">
        <f t="shared" si="29"/>
        <v>0</v>
      </c>
      <c r="T192" s="247">
        <f t="shared" si="30"/>
        <v>0</v>
      </c>
      <c r="U192" s="5">
        <f t="shared" si="24"/>
        <v>0</v>
      </c>
      <c r="V192" s="247">
        <f t="shared" si="25"/>
        <v>0</v>
      </c>
      <c r="W192" s="276">
        <f t="shared" si="26"/>
        <v>0</v>
      </c>
      <c r="X192" s="277">
        <f t="shared" si="27"/>
        <v>0</v>
      </c>
    </row>
    <row r="193" spans="14:24" x14ac:dyDescent="0.25">
      <c r="N193" s="244">
        <f>Weather_Site!B199</f>
        <v>0</v>
      </c>
      <c r="O193" s="245">
        <f>Weather_Site!C199</f>
        <v>0</v>
      </c>
      <c r="P193" s="5">
        <f>Weather_Site!E199</f>
        <v>0</v>
      </c>
      <c r="Q193" s="245">
        <f t="shared" si="28"/>
        <v>0</v>
      </c>
      <c r="R193" s="5">
        <f t="shared" si="23"/>
        <v>0</v>
      </c>
      <c r="S193" s="5">
        <f t="shared" si="29"/>
        <v>0</v>
      </c>
      <c r="T193" s="247">
        <f t="shared" si="30"/>
        <v>0</v>
      </c>
      <c r="U193" s="5">
        <f t="shared" si="24"/>
        <v>0</v>
      </c>
      <c r="V193" s="247">
        <f t="shared" si="25"/>
        <v>0</v>
      </c>
      <c r="W193" s="276">
        <f t="shared" si="26"/>
        <v>0</v>
      </c>
      <c r="X193" s="277">
        <f t="shared" si="27"/>
        <v>0</v>
      </c>
    </row>
    <row r="194" spans="14:24" x14ac:dyDescent="0.25">
      <c r="N194" s="244">
        <f>Weather_Site!B200</f>
        <v>0</v>
      </c>
      <c r="O194" s="245">
        <f>Weather_Site!C200</f>
        <v>0</v>
      </c>
      <c r="P194" s="5">
        <f>Weather_Site!E200</f>
        <v>0</v>
      </c>
      <c r="Q194" s="245">
        <f t="shared" si="28"/>
        <v>0</v>
      </c>
      <c r="R194" s="5">
        <f t="shared" si="23"/>
        <v>0</v>
      </c>
      <c r="S194" s="5">
        <f t="shared" si="29"/>
        <v>0</v>
      </c>
      <c r="T194" s="247">
        <f t="shared" si="30"/>
        <v>0</v>
      </c>
      <c r="U194" s="5">
        <f t="shared" si="24"/>
        <v>0</v>
      </c>
      <c r="V194" s="247">
        <f t="shared" si="25"/>
        <v>0</v>
      </c>
      <c r="W194" s="276">
        <f t="shared" si="26"/>
        <v>0</v>
      </c>
      <c r="X194" s="277">
        <f t="shared" si="27"/>
        <v>0</v>
      </c>
    </row>
    <row r="195" spans="14:24" x14ac:dyDescent="0.25">
      <c r="N195" s="244">
        <f>Weather_Site!B201</f>
        <v>0</v>
      </c>
      <c r="O195" s="245">
        <f>Weather_Site!C201</f>
        <v>0</v>
      </c>
      <c r="P195" s="5">
        <f>Weather_Site!E201</f>
        <v>0</v>
      </c>
      <c r="Q195" s="245">
        <f t="shared" si="28"/>
        <v>0</v>
      </c>
      <c r="R195" s="5">
        <f t="shared" si="23"/>
        <v>0</v>
      </c>
      <c r="S195" s="5">
        <f t="shared" si="29"/>
        <v>0</v>
      </c>
      <c r="T195" s="247">
        <f t="shared" si="30"/>
        <v>0</v>
      </c>
      <c r="U195" s="5">
        <f t="shared" si="24"/>
        <v>0</v>
      </c>
      <c r="V195" s="247">
        <f t="shared" si="25"/>
        <v>0</v>
      </c>
      <c r="W195" s="276">
        <f t="shared" si="26"/>
        <v>0</v>
      </c>
      <c r="X195" s="277">
        <f t="shared" si="27"/>
        <v>0</v>
      </c>
    </row>
    <row r="196" spans="14:24" x14ac:dyDescent="0.25">
      <c r="N196" s="244">
        <f>Weather_Site!B202</f>
        <v>0</v>
      </c>
      <c r="O196" s="245">
        <f>Weather_Site!C202</f>
        <v>0</v>
      </c>
      <c r="P196" s="5">
        <f>Weather_Site!E202</f>
        <v>0</v>
      </c>
      <c r="Q196" s="245">
        <f t="shared" si="28"/>
        <v>0</v>
      </c>
      <c r="R196" s="5">
        <f t="shared" si="23"/>
        <v>0</v>
      </c>
      <c r="S196" s="5">
        <f t="shared" si="29"/>
        <v>0</v>
      </c>
      <c r="T196" s="247">
        <f t="shared" si="30"/>
        <v>0</v>
      </c>
      <c r="U196" s="5">
        <f t="shared" si="24"/>
        <v>0</v>
      </c>
      <c r="V196" s="247">
        <f t="shared" si="25"/>
        <v>0</v>
      </c>
      <c r="W196" s="276">
        <f t="shared" si="26"/>
        <v>0</v>
      </c>
      <c r="X196" s="277">
        <f t="shared" si="27"/>
        <v>0</v>
      </c>
    </row>
    <row r="197" spans="14:24" x14ac:dyDescent="0.25">
      <c r="N197" s="244">
        <f>Weather_Site!B203</f>
        <v>0</v>
      </c>
      <c r="O197" s="245">
        <f>Weather_Site!C203</f>
        <v>0</v>
      </c>
      <c r="P197" s="5">
        <f>Weather_Site!E203</f>
        <v>0</v>
      </c>
      <c r="Q197" s="245">
        <f t="shared" si="28"/>
        <v>0</v>
      </c>
      <c r="R197" s="5">
        <f t="shared" si="23"/>
        <v>0</v>
      </c>
      <c r="S197" s="5">
        <f t="shared" si="29"/>
        <v>0</v>
      </c>
      <c r="T197" s="247">
        <f t="shared" si="30"/>
        <v>0</v>
      </c>
      <c r="U197" s="5">
        <f t="shared" si="24"/>
        <v>0</v>
      </c>
      <c r="V197" s="247">
        <f t="shared" si="25"/>
        <v>0</v>
      </c>
      <c r="W197" s="276">
        <f t="shared" si="26"/>
        <v>0</v>
      </c>
      <c r="X197" s="277">
        <f t="shared" si="27"/>
        <v>0</v>
      </c>
    </row>
    <row r="198" spans="14:24" x14ac:dyDescent="0.25">
      <c r="N198" s="244">
        <f>Weather_Site!B204</f>
        <v>0</v>
      </c>
      <c r="O198" s="245">
        <f>Weather_Site!C204</f>
        <v>0</v>
      </c>
      <c r="P198" s="5">
        <f>Weather_Site!E204</f>
        <v>0</v>
      </c>
      <c r="Q198" s="245">
        <f t="shared" si="28"/>
        <v>0</v>
      </c>
      <c r="R198" s="5">
        <f t="shared" si="23"/>
        <v>0</v>
      </c>
      <c r="S198" s="5">
        <f t="shared" si="29"/>
        <v>0</v>
      </c>
      <c r="T198" s="247">
        <f t="shared" si="30"/>
        <v>0</v>
      </c>
      <c r="U198" s="5">
        <f t="shared" si="24"/>
        <v>0</v>
      </c>
      <c r="V198" s="247">
        <f t="shared" si="25"/>
        <v>0</v>
      </c>
      <c r="W198" s="276">
        <f t="shared" si="26"/>
        <v>0</v>
      </c>
      <c r="X198" s="277">
        <f t="shared" si="27"/>
        <v>0</v>
      </c>
    </row>
    <row r="199" spans="14:24" x14ac:dyDescent="0.25">
      <c r="N199" s="244">
        <f>Weather_Site!B205</f>
        <v>0</v>
      </c>
      <c r="O199" s="245">
        <f>Weather_Site!C205</f>
        <v>0</v>
      </c>
      <c r="P199" s="5">
        <f>Weather_Site!E205</f>
        <v>0</v>
      </c>
      <c r="Q199" s="245">
        <f t="shared" si="28"/>
        <v>0</v>
      </c>
      <c r="R199" s="5">
        <f t="shared" si="23"/>
        <v>0</v>
      </c>
      <c r="S199" s="5">
        <f t="shared" si="29"/>
        <v>0</v>
      </c>
      <c r="T199" s="247">
        <f t="shared" si="30"/>
        <v>0</v>
      </c>
      <c r="U199" s="5">
        <f t="shared" si="24"/>
        <v>0</v>
      </c>
      <c r="V199" s="247">
        <f t="shared" si="25"/>
        <v>0</v>
      </c>
      <c r="W199" s="276">
        <f t="shared" si="26"/>
        <v>0</v>
      </c>
      <c r="X199" s="277">
        <f t="shared" si="27"/>
        <v>0</v>
      </c>
    </row>
    <row r="200" spans="14:24" x14ac:dyDescent="0.25">
      <c r="N200" s="244">
        <f>Weather_Site!B206</f>
        <v>0</v>
      </c>
      <c r="O200" s="245">
        <f>Weather_Site!C206</f>
        <v>0</v>
      </c>
      <c r="P200" s="5">
        <f>Weather_Site!E206</f>
        <v>0</v>
      </c>
      <c r="Q200" s="245">
        <f t="shared" si="28"/>
        <v>0</v>
      </c>
      <c r="R200" s="5">
        <f t="shared" ref="R200:R263" si="31">HOUR(Q200)</f>
        <v>0</v>
      </c>
      <c r="S200" s="5">
        <f t="shared" si="29"/>
        <v>0</v>
      </c>
      <c r="T200" s="247">
        <f t="shared" si="30"/>
        <v>0</v>
      </c>
      <c r="U200" s="5">
        <f t="shared" ref="U200:U263" si="32">MAX((T200-70*R200),0)</f>
        <v>0</v>
      </c>
      <c r="V200" s="247">
        <f t="shared" ref="V200:V263" si="33">IF(OR(AND((N200-N199)=0,O199&gt;0.5),AND((N200-N199)=1,O200&lt;0.5),AND(N200-N199)=0,O200&lt;0.5),U200+V199,U200)</f>
        <v>0</v>
      </c>
      <c r="W200" s="276">
        <f t="shared" ref="W200:W263" si="34">IF(O200&lt;0.75,MAX(V200,W199),V200)</f>
        <v>0</v>
      </c>
      <c r="X200" s="277">
        <f t="shared" si="27"/>
        <v>0</v>
      </c>
    </row>
    <row r="201" spans="14:24" x14ac:dyDescent="0.25">
      <c r="N201" s="244">
        <f>Weather_Site!B207</f>
        <v>0</v>
      </c>
      <c r="O201" s="245">
        <f>Weather_Site!C207</f>
        <v>0</v>
      </c>
      <c r="P201" s="5">
        <f>Weather_Site!E207</f>
        <v>0</v>
      </c>
      <c r="Q201" s="245">
        <f t="shared" si="28"/>
        <v>0</v>
      </c>
      <c r="R201" s="5">
        <f t="shared" si="31"/>
        <v>0</v>
      </c>
      <c r="S201" s="5">
        <f t="shared" si="29"/>
        <v>0</v>
      </c>
      <c r="T201" s="247">
        <f t="shared" si="30"/>
        <v>0</v>
      </c>
      <c r="U201" s="5">
        <f t="shared" si="32"/>
        <v>0</v>
      </c>
      <c r="V201" s="247">
        <f t="shared" si="33"/>
        <v>0</v>
      </c>
      <c r="W201" s="276">
        <f t="shared" si="34"/>
        <v>0</v>
      </c>
      <c r="X201" s="277">
        <f t="shared" si="27"/>
        <v>0</v>
      </c>
    </row>
    <row r="202" spans="14:24" x14ac:dyDescent="0.25">
      <c r="N202" s="244">
        <f>Weather_Site!B208</f>
        <v>0</v>
      </c>
      <c r="O202" s="245">
        <f>Weather_Site!C208</f>
        <v>0</v>
      </c>
      <c r="P202" s="5">
        <f>Weather_Site!E208</f>
        <v>0</v>
      </c>
      <c r="Q202" s="245">
        <f t="shared" si="28"/>
        <v>0</v>
      </c>
      <c r="R202" s="5">
        <f t="shared" si="31"/>
        <v>0</v>
      </c>
      <c r="S202" s="5">
        <f t="shared" si="29"/>
        <v>0</v>
      </c>
      <c r="T202" s="247">
        <f t="shared" si="30"/>
        <v>0</v>
      </c>
      <c r="U202" s="5">
        <f t="shared" si="32"/>
        <v>0</v>
      </c>
      <c r="V202" s="247">
        <f t="shared" si="33"/>
        <v>0</v>
      </c>
      <c r="W202" s="276">
        <f t="shared" si="34"/>
        <v>0</v>
      </c>
      <c r="X202" s="277">
        <f t="shared" si="27"/>
        <v>0</v>
      </c>
    </row>
    <row r="203" spans="14:24" x14ac:dyDescent="0.25">
      <c r="N203" s="244">
        <f>Weather_Site!B209</f>
        <v>0</v>
      </c>
      <c r="O203" s="245">
        <f>Weather_Site!C209</f>
        <v>0</v>
      </c>
      <c r="P203" s="5">
        <f>Weather_Site!E209</f>
        <v>0</v>
      </c>
      <c r="Q203" s="245">
        <f t="shared" si="28"/>
        <v>0</v>
      </c>
      <c r="R203" s="5">
        <f t="shared" si="31"/>
        <v>0</v>
      </c>
      <c r="S203" s="5">
        <f t="shared" si="29"/>
        <v>0</v>
      </c>
      <c r="T203" s="247">
        <f t="shared" si="30"/>
        <v>0</v>
      </c>
      <c r="U203" s="5">
        <f t="shared" si="32"/>
        <v>0</v>
      </c>
      <c r="V203" s="247">
        <f t="shared" si="33"/>
        <v>0</v>
      </c>
      <c r="W203" s="276">
        <f t="shared" si="34"/>
        <v>0</v>
      </c>
      <c r="X203" s="277">
        <f t="shared" si="27"/>
        <v>0</v>
      </c>
    </row>
    <row r="204" spans="14:24" x14ac:dyDescent="0.25">
      <c r="N204" s="244">
        <f>Weather_Site!B210</f>
        <v>0</v>
      </c>
      <c r="O204" s="245">
        <f>Weather_Site!C210</f>
        <v>0</v>
      </c>
      <c r="P204" s="5">
        <f>Weather_Site!E210</f>
        <v>0</v>
      </c>
      <c r="Q204" s="245">
        <f t="shared" si="28"/>
        <v>0</v>
      </c>
      <c r="R204" s="5">
        <f t="shared" si="31"/>
        <v>0</v>
      </c>
      <c r="S204" s="5">
        <f t="shared" si="29"/>
        <v>0</v>
      </c>
      <c r="T204" s="247">
        <f t="shared" si="30"/>
        <v>0</v>
      </c>
      <c r="U204" s="5">
        <f t="shared" si="32"/>
        <v>0</v>
      </c>
      <c r="V204" s="247">
        <f t="shared" si="33"/>
        <v>0</v>
      </c>
      <c r="W204" s="276">
        <f t="shared" si="34"/>
        <v>0</v>
      </c>
      <c r="X204" s="277">
        <f t="shared" si="27"/>
        <v>0</v>
      </c>
    </row>
    <row r="205" spans="14:24" x14ac:dyDescent="0.25">
      <c r="N205" s="244">
        <f>Weather_Site!B211</f>
        <v>0</v>
      </c>
      <c r="O205" s="245">
        <f>Weather_Site!C211</f>
        <v>0</v>
      </c>
      <c r="P205" s="5">
        <f>Weather_Site!E211</f>
        <v>0</v>
      </c>
      <c r="Q205" s="245">
        <f t="shared" si="28"/>
        <v>0</v>
      </c>
      <c r="R205" s="5">
        <f t="shared" si="31"/>
        <v>0</v>
      </c>
      <c r="S205" s="5">
        <f t="shared" si="29"/>
        <v>0</v>
      </c>
      <c r="T205" s="247">
        <f t="shared" si="30"/>
        <v>0</v>
      </c>
      <c r="U205" s="5">
        <f t="shared" si="32"/>
        <v>0</v>
      </c>
      <c r="V205" s="247">
        <f t="shared" si="33"/>
        <v>0</v>
      </c>
      <c r="W205" s="276">
        <f t="shared" si="34"/>
        <v>0</v>
      </c>
      <c r="X205" s="277">
        <f t="shared" si="27"/>
        <v>0</v>
      </c>
    </row>
    <row r="206" spans="14:24" x14ac:dyDescent="0.25">
      <c r="N206" s="244">
        <f>Weather_Site!B212</f>
        <v>0</v>
      </c>
      <c r="O206" s="245">
        <f>Weather_Site!C212</f>
        <v>0</v>
      </c>
      <c r="P206" s="5">
        <f>Weather_Site!E212</f>
        <v>0</v>
      </c>
      <c r="Q206" s="245">
        <f t="shared" si="28"/>
        <v>0</v>
      </c>
      <c r="R206" s="5">
        <f t="shared" si="31"/>
        <v>0</v>
      </c>
      <c r="S206" s="5">
        <f t="shared" si="29"/>
        <v>0</v>
      </c>
      <c r="T206" s="247">
        <f t="shared" si="30"/>
        <v>0</v>
      </c>
      <c r="U206" s="5">
        <f t="shared" si="32"/>
        <v>0</v>
      </c>
      <c r="V206" s="247">
        <f t="shared" si="33"/>
        <v>0</v>
      </c>
      <c r="W206" s="276">
        <f t="shared" si="34"/>
        <v>0</v>
      </c>
      <c r="X206" s="277">
        <f t="shared" si="27"/>
        <v>0</v>
      </c>
    </row>
    <row r="207" spans="14:24" x14ac:dyDescent="0.25">
      <c r="N207" s="244">
        <f>Weather_Site!B213</f>
        <v>0</v>
      </c>
      <c r="O207" s="245">
        <f>Weather_Site!C213</f>
        <v>0</v>
      </c>
      <c r="P207" s="5">
        <f>Weather_Site!E213</f>
        <v>0</v>
      </c>
      <c r="Q207" s="245">
        <f t="shared" si="28"/>
        <v>0</v>
      </c>
      <c r="R207" s="5">
        <f t="shared" si="31"/>
        <v>0</v>
      </c>
      <c r="S207" s="5">
        <f t="shared" si="29"/>
        <v>0</v>
      </c>
      <c r="T207" s="247">
        <f t="shared" si="30"/>
        <v>0</v>
      </c>
      <c r="U207" s="5">
        <f t="shared" si="32"/>
        <v>0</v>
      </c>
      <c r="V207" s="247">
        <f t="shared" si="33"/>
        <v>0</v>
      </c>
      <c r="W207" s="276">
        <f t="shared" si="34"/>
        <v>0</v>
      </c>
      <c r="X207" s="277">
        <f t="shared" si="27"/>
        <v>0</v>
      </c>
    </row>
    <row r="208" spans="14:24" x14ac:dyDescent="0.25">
      <c r="N208" s="244">
        <f>Weather_Site!B214</f>
        <v>0</v>
      </c>
      <c r="O208" s="245">
        <f>Weather_Site!C214</f>
        <v>0</v>
      </c>
      <c r="P208" s="5">
        <f>Weather_Site!E214</f>
        <v>0</v>
      </c>
      <c r="Q208" s="245">
        <f t="shared" si="28"/>
        <v>0</v>
      </c>
      <c r="R208" s="5">
        <f t="shared" si="31"/>
        <v>0</v>
      </c>
      <c r="S208" s="5">
        <f t="shared" si="29"/>
        <v>0</v>
      </c>
      <c r="T208" s="247">
        <f t="shared" si="30"/>
        <v>0</v>
      </c>
      <c r="U208" s="5">
        <f t="shared" si="32"/>
        <v>0</v>
      </c>
      <c r="V208" s="247">
        <f t="shared" si="33"/>
        <v>0</v>
      </c>
      <c r="W208" s="276">
        <f t="shared" si="34"/>
        <v>0</v>
      </c>
      <c r="X208" s="277">
        <f t="shared" si="27"/>
        <v>0</v>
      </c>
    </row>
    <row r="209" spans="14:24" x14ac:dyDescent="0.25">
      <c r="N209" s="244">
        <f>Weather_Site!B215</f>
        <v>0</v>
      </c>
      <c r="O209" s="245">
        <f>Weather_Site!C215</f>
        <v>0</v>
      </c>
      <c r="P209" s="5">
        <f>Weather_Site!E215</f>
        <v>0</v>
      </c>
      <c r="Q209" s="245">
        <f t="shared" si="28"/>
        <v>0</v>
      </c>
      <c r="R209" s="5">
        <f t="shared" si="31"/>
        <v>0</v>
      </c>
      <c r="S209" s="5">
        <f t="shared" si="29"/>
        <v>0</v>
      </c>
      <c r="T209" s="247">
        <f t="shared" si="30"/>
        <v>0</v>
      </c>
      <c r="U209" s="5">
        <f t="shared" si="32"/>
        <v>0</v>
      </c>
      <c r="V209" s="247">
        <f t="shared" si="33"/>
        <v>0</v>
      </c>
      <c r="W209" s="276">
        <f t="shared" si="34"/>
        <v>0</v>
      </c>
      <c r="X209" s="277">
        <f t="shared" si="27"/>
        <v>0</v>
      </c>
    </row>
    <row r="210" spans="14:24" x14ac:dyDescent="0.25">
      <c r="N210" s="244">
        <f>Weather_Site!B216</f>
        <v>0</v>
      </c>
      <c r="O210" s="245">
        <f>Weather_Site!C216</f>
        <v>0</v>
      </c>
      <c r="P210" s="5">
        <f>Weather_Site!E216</f>
        <v>0</v>
      </c>
      <c r="Q210" s="245">
        <f t="shared" si="28"/>
        <v>0</v>
      </c>
      <c r="R210" s="5">
        <f t="shared" si="31"/>
        <v>0</v>
      </c>
      <c r="S210" s="5">
        <f t="shared" si="29"/>
        <v>0</v>
      </c>
      <c r="T210" s="247">
        <f t="shared" si="30"/>
        <v>0</v>
      </c>
      <c r="U210" s="5">
        <f t="shared" si="32"/>
        <v>0</v>
      </c>
      <c r="V210" s="247">
        <f t="shared" si="33"/>
        <v>0</v>
      </c>
      <c r="W210" s="276">
        <f t="shared" si="34"/>
        <v>0</v>
      </c>
      <c r="X210" s="277">
        <f t="shared" si="27"/>
        <v>0</v>
      </c>
    </row>
    <row r="211" spans="14:24" x14ac:dyDescent="0.25">
      <c r="N211" s="244">
        <f>Weather_Site!B217</f>
        <v>0</v>
      </c>
      <c r="O211" s="245">
        <f>Weather_Site!C217</f>
        <v>0</v>
      </c>
      <c r="P211" s="5">
        <f>Weather_Site!E217</f>
        <v>0</v>
      </c>
      <c r="Q211" s="245">
        <f t="shared" si="28"/>
        <v>0</v>
      </c>
      <c r="R211" s="5">
        <f t="shared" si="31"/>
        <v>0</v>
      </c>
      <c r="S211" s="5">
        <f t="shared" si="29"/>
        <v>0</v>
      </c>
      <c r="T211" s="247">
        <f t="shared" si="30"/>
        <v>0</v>
      </c>
      <c r="U211" s="5">
        <f t="shared" si="32"/>
        <v>0</v>
      </c>
      <c r="V211" s="247">
        <f t="shared" si="33"/>
        <v>0</v>
      </c>
      <c r="W211" s="276">
        <f t="shared" si="34"/>
        <v>0</v>
      </c>
      <c r="X211" s="277">
        <f t="shared" si="27"/>
        <v>0</v>
      </c>
    </row>
    <row r="212" spans="14:24" x14ac:dyDescent="0.25">
      <c r="N212" s="244">
        <f>Weather_Site!B218</f>
        <v>0</v>
      </c>
      <c r="O212" s="245">
        <f>Weather_Site!C218</f>
        <v>0</v>
      </c>
      <c r="P212" s="5">
        <f>Weather_Site!E218</f>
        <v>0</v>
      </c>
      <c r="Q212" s="245">
        <f t="shared" si="28"/>
        <v>0</v>
      </c>
      <c r="R212" s="5">
        <f t="shared" si="31"/>
        <v>0</v>
      </c>
      <c r="S212" s="5">
        <f t="shared" si="29"/>
        <v>0</v>
      </c>
      <c r="T212" s="247">
        <f t="shared" si="30"/>
        <v>0</v>
      </c>
      <c r="U212" s="5">
        <f t="shared" si="32"/>
        <v>0</v>
      </c>
      <c r="V212" s="247">
        <f t="shared" si="33"/>
        <v>0</v>
      </c>
      <c r="W212" s="276">
        <f t="shared" si="34"/>
        <v>0</v>
      </c>
      <c r="X212" s="277">
        <f t="shared" si="27"/>
        <v>0</v>
      </c>
    </row>
    <row r="213" spans="14:24" x14ac:dyDescent="0.25">
      <c r="N213" s="244">
        <f>Weather_Site!B219</f>
        <v>0</v>
      </c>
      <c r="O213" s="245">
        <f>Weather_Site!C219</f>
        <v>0</v>
      </c>
      <c r="P213" s="5">
        <f>Weather_Site!E219</f>
        <v>0</v>
      </c>
      <c r="Q213" s="245">
        <f t="shared" si="28"/>
        <v>0</v>
      </c>
      <c r="R213" s="5">
        <f t="shared" si="31"/>
        <v>0</v>
      </c>
      <c r="S213" s="5">
        <f t="shared" si="29"/>
        <v>0</v>
      </c>
      <c r="T213" s="247">
        <f t="shared" si="30"/>
        <v>0</v>
      </c>
      <c r="U213" s="5">
        <f t="shared" si="32"/>
        <v>0</v>
      </c>
      <c r="V213" s="247">
        <f t="shared" si="33"/>
        <v>0</v>
      </c>
      <c r="W213" s="276">
        <f t="shared" si="34"/>
        <v>0</v>
      </c>
      <c r="X213" s="277">
        <f t="shared" si="27"/>
        <v>0</v>
      </c>
    </row>
    <row r="214" spans="14:24" x14ac:dyDescent="0.25">
      <c r="N214" s="244">
        <f>Weather_Site!B220</f>
        <v>0</v>
      </c>
      <c r="O214" s="245">
        <f>Weather_Site!C220</f>
        <v>0</v>
      </c>
      <c r="P214" s="5">
        <f>Weather_Site!E220</f>
        <v>0</v>
      </c>
      <c r="Q214" s="245">
        <f t="shared" si="28"/>
        <v>0</v>
      </c>
      <c r="R214" s="5">
        <f t="shared" si="31"/>
        <v>0</v>
      </c>
      <c r="S214" s="5">
        <f t="shared" si="29"/>
        <v>0</v>
      </c>
      <c r="T214" s="247">
        <f t="shared" si="30"/>
        <v>0</v>
      </c>
      <c r="U214" s="5">
        <f t="shared" si="32"/>
        <v>0</v>
      </c>
      <c r="V214" s="247">
        <f t="shared" si="33"/>
        <v>0</v>
      </c>
      <c r="W214" s="276">
        <f t="shared" si="34"/>
        <v>0</v>
      </c>
      <c r="X214" s="277">
        <f t="shared" si="27"/>
        <v>0</v>
      </c>
    </row>
    <row r="215" spans="14:24" x14ac:dyDescent="0.25">
      <c r="N215" s="244">
        <f>Weather_Site!B221</f>
        <v>0</v>
      </c>
      <c r="O215" s="245">
        <f>Weather_Site!C221</f>
        <v>0</v>
      </c>
      <c r="P215" s="5">
        <f>Weather_Site!E221</f>
        <v>0</v>
      </c>
      <c r="Q215" s="245">
        <f t="shared" si="28"/>
        <v>0</v>
      </c>
      <c r="R215" s="5">
        <f t="shared" si="31"/>
        <v>0</v>
      </c>
      <c r="S215" s="5">
        <f t="shared" si="29"/>
        <v>0</v>
      </c>
      <c r="T215" s="247">
        <f t="shared" si="30"/>
        <v>0</v>
      </c>
      <c r="U215" s="5">
        <f t="shared" si="32"/>
        <v>0</v>
      </c>
      <c r="V215" s="247">
        <f t="shared" si="33"/>
        <v>0</v>
      </c>
      <c r="W215" s="276">
        <f t="shared" si="34"/>
        <v>0</v>
      </c>
      <c r="X215" s="277">
        <f t="shared" si="27"/>
        <v>0</v>
      </c>
    </row>
    <row r="216" spans="14:24" x14ac:dyDescent="0.25">
      <c r="N216" s="244">
        <f>Weather_Site!B222</f>
        <v>0</v>
      </c>
      <c r="O216" s="245">
        <f>Weather_Site!C222</f>
        <v>0</v>
      </c>
      <c r="P216" s="5">
        <f>Weather_Site!E222</f>
        <v>0</v>
      </c>
      <c r="Q216" s="245">
        <f t="shared" si="28"/>
        <v>0</v>
      </c>
      <c r="R216" s="5">
        <f t="shared" si="31"/>
        <v>0</v>
      </c>
      <c r="S216" s="5">
        <f t="shared" si="29"/>
        <v>0</v>
      </c>
      <c r="T216" s="247">
        <f t="shared" si="30"/>
        <v>0</v>
      </c>
      <c r="U216" s="5">
        <f t="shared" si="32"/>
        <v>0</v>
      </c>
      <c r="V216" s="247">
        <f t="shared" si="33"/>
        <v>0</v>
      </c>
      <c r="W216" s="276">
        <f t="shared" si="34"/>
        <v>0</v>
      </c>
      <c r="X216" s="277">
        <f t="shared" si="27"/>
        <v>0</v>
      </c>
    </row>
    <row r="217" spans="14:24" x14ac:dyDescent="0.25">
      <c r="N217" s="244">
        <f>Weather_Site!B223</f>
        <v>0</v>
      </c>
      <c r="O217" s="245">
        <f>Weather_Site!C223</f>
        <v>0</v>
      </c>
      <c r="P217" s="5">
        <f>Weather_Site!E223</f>
        <v>0</v>
      </c>
      <c r="Q217" s="245">
        <f t="shared" si="28"/>
        <v>0</v>
      </c>
      <c r="R217" s="5">
        <f t="shared" si="31"/>
        <v>0</v>
      </c>
      <c r="S217" s="5">
        <f t="shared" si="29"/>
        <v>0</v>
      </c>
      <c r="T217" s="247">
        <f t="shared" si="30"/>
        <v>0</v>
      </c>
      <c r="U217" s="5">
        <f t="shared" si="32"/>
        <v>0</v>
      </c>
      <c r="V217" s="247">
        <f t="shared" si="33"/>
        <v>0</v>
      </c>
      <c r="W217" s="276">
        <f t="shared" si="34"/>
        <v>0</v>
      </c>
      <c r="X217" s="277">
        <f t="shared" si="27"/>
        <v>0</v>
      </c>
    </row>
    <row r="218" spans="14:24" x14ac:dyDescent="0.25">
      <c r="N218" s="244">
        <f>Weather_Site!B224</f>
        <v>0</v>
      </c>
      <c r="O218" s="245">
        <f>Weather_Site!C224</f>
        <v>0</v>
      </c>
      <c r="P218" s="5">
        <f>Weather_Site!E224</f>
        <v>0</v>
      </c>
      <c r="Q218" s="245">
        <f t="shared" si="28"/>
        <v>0</v>
      </c>
      <c r="R218" s="5">
        <f t="shared" si="31"/>
        <v>0</v>
      </c>
      <c r="S218" s="5">
        <f t="shared" si="29"/>
        <v>0</v>
      </c>
      <c r="T218" s="247">
        <f t="shared" si="30"/>
        <v>0</v>
      </c>
      <c r="U218" s="5">
        <f t="shared" si="32"/>
        <v>0</v>
      </c>
      <c r="V218" s="247">
        <f t="shared" si="33"/>
        <v>0</v>
      </c>
      <c r="W218" s="276">
        <f t="shared" si="34"/>
        <v>0</v>
      </c>
      <c r="X218" s="277">
        <f t="shared" si="27"/>
        <v>0</v>
      </c>
    </row>
    <row r="219" spans="14:24" x14ac:dyDescent="0.25">
      <c r="N219" s="244">
        <f>Weather_Site!B225</f>
        <v>0</v>
      </c>
      <c r="O219" s="245">
        <f>Weather_Site!C225</f>
        <v>0</v>
      </c>
      <c r="P219" s="5">
        <f>Weather_Site!E225</f>
        <v>0</v>
      </c>
      <c r="Q219" s="245">
        <f t="shared" si="28"/>
        <v>0</v>
      </c>
      <c r="R219" s="5">
        <f t="shared" si="31"/>
        <v>0</v>
      </c>
      <c r="S219" s="5">
        <f t="shared" si="29"/>
        <v>0</v>
      </c>
      <c r="T219" s="247">
        <f t="shared" si="30"/>
        <v>0</v>
      </c>
      <c r="U219" s="5">
        <f t="shared" si="32"/>
        <v>0</v>
      </c>
      <c r="V219" s="247">
        <f t="shared" si="33"/>
        <v>0</v>
      </c>
      <c r="W219" s="276">
        <f t="shared" si="34"/>
        <v>0</v>
      </c>
      <c r="X219" s="277">
        <f t="shared" si="27"/>
        <v>0</v>
      </c>
    </row>
    <row r="220" spans="14:24" x14ac:dyDescent="0.25">
      <c r="N220" s="244">
        <f>Weather_Site!B226</f>
        <v>0</v>
      </c>
      <c r="O220" s="245">
        <f>Weather_Site!C226</f>
        <v>0</v>
      </c>
      <c r="P220" s="5">
        <f>Weather_Site!E226</f>
        <v>0</v>
      </c>
      <c r="Q220" s="245">
        <f t="shared" si="28"/>
        <v>0</v>
      </c>
      <c r="R220" s="5">
        <f t="shared" si="31"/>
        <v>0</v>
      </c>
      <c r="S220" s="5">
        <f t="shared" si="29"/>
        <v>0</v>
      </c>
      <c r="T220" s="247">
        <f t="shared" si="30"/>
        <v>0</v>
      </c>
      <c r="U220" s="5">
        <f t="shared" si="32"/>
        <v>0</v>
      </c>
      <c r="V220" s="247">
        <f t="shared" si="33"/>
        <v>0</v>
      </c>
      <c r="W220" s="276">
        <f t="shared" si="34"/>
        <v>0</v>
      </c>
      <c r="X220" s="277">
        <f t="shared" si="27"/>
        <v>0</v>
      </c>
    </row>
    <row r="221" spans="14:24" x14ac:dyDescent="0.25">
      <c r="N221" s="244">
        <f>Weather_Site!B227</f>
        <v>0</v>
      </c>
      <c r="O221" s="245">
        <f>Weather_Site!C227</f>
        <v>0</v>
      </c>
      <c r="P221" s="5">
        <f>Weather_Site!E227</f>
        <v>0</v>
      </c>
      <c r="Q221" s="245">
        <f t="shared" si="28"/>
        <v>0</v>
      </c>
      <c r="R221" s="5">
        <f t="shared" si="31"/>
        <v>0</v>
      </c>
      <c r="S221" s="5">
        <f t="shared" si="29"/>
        <v>0</v>
      </c>
      <c r="T221" s="247">
        <f t="shared" si="30"/>
        <v>0</v>
      </c>
      <c r="U221" s="5">
        <f t="shared" si="32"/>
        <v>0</v>
      </c>
      <c r="V221" s="247">
        <f t="shared" si="33"/>
        <v>0</v>
      </c>
      <c r="W221" s="276">
        <f t="shared" si="34"/>
        <v>0</v>
      </c>
      <c r="X221" s="277">
        <f t="shared" si="27"/>
        <v>0</v>
      </c>
    </row>
    <row r="222" spans="14:24" x14ac:dyDescent="0.25">
      <c r="N222" s="244">
        <f>Weather_Site!B228</f>
        <v>0</v>
      </c>
      <c r="O222" s="245">
        <f>Weather_Site!C228</f>
        <v>0</v>
      </c>
      <c r="P222" s="5">
        <f>Weather_Site!E228</f>
        <v>0</v>
      </c>
      <c r="Q222" s="245">
        <f t="shared" si="28"/>
        <v>0</v>
      </c>
      <c r="R222" s="5">
        <f t="shared" si="31"/>
        <v>0</v>
      </c>
      <c r="S222" s="5">
        <f t="shared" si="29"/>
        <v>0</v>
      </c>
      <c r="T222" s="247">
        <f t="shared" si="30"/>
        <v>0</v>
      </c>
      <c r="U222" s="5">
        <f t="shared" si="32"/>
        <v>0</v>
      </c>
      <c r="V222" s="247">
        <f t="shared" si="33"/>
        <v>0</v>
      </c>
      <c r="W222" s="276">
        <f t="shared" si="34"/>
        <v>0</v>
      </c>
      <c r="X222" s="277">
        <f t="shared" si="27"/>
        <v>0</v>
      </c>
    </row>
    <row r="223" spans="14:24" x14ac:dyDescent="0.25">
      <c r="N223" s="244">
        <f>Weather_Site!B229</f>
        <v>0</v>
      </c>
      <c r="O223" s="245">
        <f>Weather_Site!C229</f>
        <v>0</v>
      </c>
      <c r="P223" s="5">
        <f>Weather_Site!E229</f>
        <v>0</v>
      </c>
      <c r="Q223" s="245">
        <f t="shared" si="28"/>
        <v>0</v>
      </c>
      <c r="R223" s="5">
        <f t="shared" si="31"/>
        <v>0</v>
      </c>
      <c r="S223" s="5">
        <f t="shared" si="29"/>
        <v>0</v>
      </c>
      <c r="T223" s="247">
        <f t="shared" si="30"/>
        <v>0</v>
      </c>
      <c r="U223" s="5">
        <f t="shared" si="32"/>
        <v>0</v>
      </c>
      <c r="V223" s="247">
        <f t="shared" si="33"/>
        <v>0</v>
      </c>
      <c r="W223" s="276">
        <f t="shared" si="34"/>
        <v>0</v>
      </c>
      <c r="X223" s="277">
        <f t="shared" si="27"/>
        <v>0</v>
      </c>
    </row>
    <row r="224" spans="14:24" x14ac:dyDescent="0.25">
      <c r="N224" s="244">
        <f>Weather_Site!B230</f>
        <v>0</v>
      </c>
      <c r="O224" s="245">
        <f>Weather_Site!C230</f>
        <v>0</v>
      </c>
      <c r="P224" s="5">
        <f>Weather_Site!E230</f>
        <v>0</v>
      </c>
      <c r="Q224" s="245">
        <f t="shared" si="28"/>
        <v>0</v>
      </c>
      <c r="R224" s="5">
        <f t="shared" si="31"/>
        <v>0</v>
      </c>
      <c r="S224" s="5">
        <f t="shared" si="29"/>
        <v>0</v>
      </c>
      <c r="T224" s="247">
        <f t="shared" si="30"/>
        <v>0</v>
      </c>
      <c r="U224" s="5">
        <f t="shared" si="32"/>
        <v>0</v>
      </c>
      <c r="V224" s="247">
        <f t="shared" si="33"/>
        <v>0</v>
      </c>
      <c r="W224" s="276">
        <f t="shared" si="34"/>
        <v>0</v>
      </c>
      <c r="X224" s="277">
        <f t="shared" si="27"/>
        <v>0</v>
      </c>
    </row>
    <row r="225" spans="14:24" x14ac:dyDescent="0.25">
      <c r="N225" s="244">
        <f>Weather_Site!B231</f>
        <v>0</v>
      </c>
      <c r="O225" s="245">
        <f>Weather_Site!C231</f>
        <v>0</v>
      </c>
      <c r="P225" s="5">
        <f>Weather_Site!E231</f>
        <v>0</v>
      </c>
      <c r="Q225" s="245">
        <f t="shared" si="28"/>
        <v>0</v>
      </c>
      <c r="R225" s="5">
        <f t="shared" si="31"/>
        <v>0</v>
      </c>
      <c r="S225" s="5">
        <f t="shared" si="29"/>
        <v>0</v>
      </c>
      <c r="T225" s="247">
        <f t="shared" si="30"/>
        <v>0</v>
      </c>
      <c r="U225" s="5">
        <f t="shared" si="32"/>
        <v>0</v>
      </c>
      <c r="V225" s="247">
        <f t="shared" si="33"/>
        <v>0</v>
      </c>
      <c r="W225" s="276">
        <f t="shared" si="34"/>
        <v>0</v>
      </c>
      <c r="X225" s="277">
        <f t="shared" si="27"/>
        <v>0</v>
      </c>
    </row>
    <row r="226" spans="14:24" x14ac:dyDescent="0.25">
      <c r="N226" s="244">
        <f>Weather_Site!B232</f>
        <v>0</v>
      </c>
      <c r="O226" s="245">
        <f>Weather_Site!C232</f>
        <v>0</v>
      </c>
      <c r="P226" s="5">
        <f>Weather_Site!E232</f>
        <v>0</v>
      </c>
      <c r="Q226" s="245">
        <f t="shared" si="28"/>
        <v>0</v>
      </c>
      <c r="R226" s="5">
        <f t="shared" si="31"/>
        <v>0</v>
      </c>
      <c r="S226" s="5">
        <f t="shared" si="29"/>
        <v>0</v>
      </c>
      <c r="T226" s="247">
        <f t="shared" si="30"/>
        <v>0</v>
      </c>
      <c r="U226" s="5">
        <f t="shared" si="32"/>
        <v>0</v>
      </c>
      <c r="V226" s="247">
        <f t="shared" si="33"/>
        <v>0</v>
      </c>
      <c r="W226" s="276">
        <f t="shared" si="34"/>
        <v>0</v>
      </c>
      <c r="X226" s="277">
        <f t="shared" si="27"/>
        <v>0</v>
      </c>
    </row>
    <row r="227" spans="14:24" x14ac:dyDescent="0.25">
      <c r="N227" s="244">
        <f>Weather_Site!B233</f>
        <v>0</v>
      </c>
      <c r="O227" s="245">
        <f>Weather_Site!C233</f>
        <v>0</v>
      </c>
      <c r="P227" s="5">
        <f>Weather_Site!E233</f>
        <v>0</v>
      </c>
      <c r="Q227" s="245">
        <f t="shared" si="28"/>
        <v>0</v>
      </c>
      <c r="R227" s="5">
        <f t="shared" si="31"/>
        <v>0</v>
      </c>
      <c r="S227" s="5">
        <f t="shared" si="29"/>
        <v>0</v>
      </c>
      <c r="T227" s="247">
        <f t="shared" si="30"/>
        <v>0</v>
      </c>
      <c r="U227" s="5">
        <f t="shared" si="32"/>
        <v>0</v>
      </c>
      <c r="V227" s="247">
        <f t="shared" si="33"/>
        <v>0</v>
      </c>
      <c r="W227" s="276">
        <f t="shared" si="34"/>
        <v>0</v>
      </c>
      <c r="X227" s="277">
        <f t="shared" si="27"/>
        <v>0</v>
      </c>
    </row>
    <row r="228" spans="14:24" x14ac:dyDescent="0.25">
      <c r="N228" s="244">
        <f>Weather_Site!B234</f>
        <v>0</v>
      </c>
      <c r="O228" s="245">
        <f>Weather_Site!C234</f>
        <v>0</v>
      </c>
      <c r="P228" s="5">
        <f>Weather_Site!E234</f>
        <v>0</v>
      </c>
      <c r="Q228" s="245">
        <f t="shared" si="28"/>
        <v>0</v>
      </c>
      <c r="R228" s="5">
        <f t="shared" si="31"/>
        <v>0</v>
      </c>
      <c r="S228" s="5">
        <f t="shared" si="29"/>
        <v>0</v>
      </c>
      <c r="T228" s="247">
        <f t="shared" si="30"/>
        <v>0</v>
      </c>
      <c r="U228" s="5">
        <f t="shared" si="32"/>
        <v>0</v>
      </c>
      <c r="V228" s="247">
        <f t="shared" si="33"/>
        <v>0</v>
      </c>
      <c r="W228" s="276">
        <f t="shared" si="34"/>
        <v>0</v>
      </c>
      <c r="X228" s="277">
        <f t="shared" ref="X228:X291" si="35">IF(AND(O227&lt;0.333,O228&gt;=0.333),W228,X227)</f>
        <v>0</v>
      </c>
    </row>
    <row r="229" spans="14:24" x14ac:dyDescent="0.25">
      <c r="N229" s="244">
        <f>Weather_Site!B235</f>
        <v>0</v>
      </c>
      <c r="O229" s="245">
        <f>Weather_Site!C235</f>
        <v>0</v>
      </c>
      <c r="P229" s="5">
        <f>Weather_Site!E235</f>
        <v>0</v>
      </c>
      <c r="Q229" s="245">
        <f t="shared" ref="Q229:Q292" si="36">IF((O229-O228)&lt;0,(1-MAX(O228,0.625))+MIN(O229,0.334),(IF(O228&lt;0.333,(MIN(O229,0.334)-O228),IF(O229&gt;0.625,MAX(O229,0.625)-O228,0))))</f>
        <v>0</v>
      </c>
      <c r="R229" s="5">
        <f t="shared" si="31"/>
        <v>0</v>
      </c>
      <c r="S229" s="5">
        <f t="shared" ref="S229:S292" si="37">HOUR(O229)</f>
        <v>0</v>
      </c>
      <c r="T229" s="247">
        <f t="shared" ref="T229:T292" si="38">(P229+P228)/2*R229</f>
        <v>0</v>
      </c>
      <c r="U229" s="5">
        <f t="shared" si="32"/>
        <v>0</v>
      </c>
      <c r="V229" s="247">
        <f t="shared" si="33"/>
        <v>0</v>
      </c>
      <c r="W229" s="276">
        <f t="shared" si="34"/>
        <v>0</v>
      </c>
      <c r="X229" s="277">
        <f t="shared" si="35"/>
        <v>0</v>
      </c>
    </row>
    <row r="230" spans="14:24" x14ac:dyDescent="0.25">
      <c r="N230" s="244">
        <f>Weather_Site!B236</f>
        <v>0</v>
      </c>
      <c r="O230" s="245">
        <f>Weather_Site!C236</f>
        <v>0</v>
      </c>
      <c r="P230" s="5">
        <f>Weather_Site!E236</f>
        <v>0</v>
      </c>
      <c r="Q230" s="245">
        <f t="shared" si="36"/>
        <v>0</v>
      </c>
      <c r="R230" s="5">
        <f t="shared" si="31"/>
        <v>0</v>
      </c>
      <c r="S230" s="5">
        <f t="shared" si="37"/>
        <v>0</v>
      </c>
      <c r="T230" s="247">
        <f t="shared" si="38"/>
        <v>0</v>
      </c>
      <c r="U230" s="5">
        <f t="shared" si="32"/>
        <v>0</v>
      </c>
      <c r="V230" s="247">
        <f t="shared" si="33"/>
        <v>0</v>
      </c>
      <c r="W230" s="276">
        <f t="shared" si="34"/>
        <v>0</v>
      </c>
      <c r="X230" s="277">
        <f t="shared" si="35"/>
        <v>0</v>
      </c>
    </row>
    <row r="231" spans="14:24" x14ac:dyDescent="0.25">
      <c r="N231" s="244">
        <f>Weather_Site!B237</f>
        <v>0</v>
      </c>
      <c r="O231" s="245">
        <f>Weather_Site!C237</f>
        <v>0</v>
      </c>
      <c r="P231" s="5">
        <f>Weather_Site!E237</f>
        <v>0</v>
      </c>
      <c r="Q231" s="245">
        <f t="shared" si="36"/>
        <v>0</v>
      </c>
      <c r="R231" s="5">
        <f t="shared" si="31"/>
        <v>0</v>
      </c>
      <c r="S231" s="5">
        <f t="shared" si="37"/>
        <v>0</v>
      </c>
      <c r="T231" s="247">
        <f t="shared" si="38"/>
        <v>0</v>
      </c>
      <c r="U231" s="5">
        <f t="shared" si="32"/>
        <v>0</v>
      </c>
      <c r="V231" s="247">
        <f t="shared" si="33"/>
        <v>0</v>
      </c>
      <c r="W231" s="276">
        <f t="shared" si="34"/>
        <v>0</v>
      </c>
      <c r="X231" s="277">
        <f t="shared" si="35"/>
        <v>0</v>
      </c>
    </row>
    <row r="232" spans="14:24" x14ac:dyDescent="0.25">
      <c r="N232" s="244">
        <f>Weather_Site!B238</f>
        <v>0</v>
      </c>
      <c r="O232" s="245">
        <f>Weather_Site!C238</f>
        <v>0</v>
      </c>
      <c r="P232" s="5">
        <f>Weather_Site!E238</f>
        <v>0</v>
      </c>
      <c r="Q232" s="245">
        <f t="shared" si="36"/>
        <v>0</v>
      </c>
      <c r="R232" s="5">
        <f t="shared" si="31"/>
        <v>0</v>
      </c>
      <c r="S232" s="5">
        <f t="shared" si="37"/>
        <v>0</v>
      </c>
      <c r="T232" s="247">
        <f t="shared" si="38"/>
        <v>0</v>
      </c>
      <c r="U232" s="5">
        <f t="shared" si="32"/>
        <v>0</v>
      </c>
      <c r="V232" s="247">
        <f t="shared" si="33"/>
        <v>0</v>
      </c>
      <c r="W232" s="276">
        <f t="shared" si="34"/>
        <v>0</v>
      </c>
      <c r="X232" s="277">
        <f t="shared" si="35"/>
        <v>0</v>
      </c>
    </row>
    <row r="233" spans="14:24" x14ac:dyDescent="0.25">
      <c r="N233" s="244">
        <f>Weather_Site!B239</f>
        <v>0</v>
      </c>
      <c r="O233" s="245">
        <f>Weather_Site!C239</f>
        <v>0</v>
      </c>
      <c r="P233" s="5">
        <f>Weather_Site!E239</f>
        <v>0</v>
      </c>
      <c r="Q233" s="245">
        <f t="shared" si="36"/>
        <v>0</v>
      </c>
      <c r="R233" s="5">
        <f t="shared" si="31"/>
        <v>0</v>
      </c>
      <c r="S233" s="5">
        <f t="shared" si="37"/>
        <v>0</v>
      </c>
      <c r="T233" s="247">
        <f t="shared" si="38"/>
        <v>0</v>
      </c>
      <c r="U233" s="5">
        <f t="shared" si="32"/>
        <v>0</v>
      </c>
      <c r="V233" s="247">
        <f t="shared" si="33"/>
        <v>0</v>
      </c>
      <c r="W233" s="276">
        <f t="shared" si="34"/>
        <v>0</v>
      </c>
      <c r="X233" s="277">
        <f t="shared" si="35"/>
        <v>0</v>
      </c>
    </row>
    <row r="234" spans="14:24" x14ac:dyDescent="0.25">
      <c r="N234" s="244">
        <f>Weather_Site!B240</f>
        <v>0</v>
      </c>
      <c r="O234" s="245">
        <f>Weather_Site!C240</f>
        <v>0</v>
      </c>
      <c r="P234" s="5">
        <f>Weather_Site!E240</f>
        <v>0</v>
      </c>
      <c r="Q234" s="245">
        <f t="shared" si="36"/>
        <v>0</v>
      </c>
      <c r="R234" s="5">
        <f t="shared" si="31"/>
        <v>0</v>
      </c>
      <c r="S234" s="5">
        <f t="shared" si="37"/>
        <v>0</v>
      </c>
      <c r="T234" s="247">
        <f t="shared" si="38"/>
        <v>0</v>
      </c>
      <c r="U234" s="5">
        <f t="shared" si="32"/>
        <v>0</v>
      </c>
      <c r="V234" s="247">
        <f t="shared" si="33"/>
        <v>0</v>
      </c>
      <c r="W234" s="276">
        <f t="shared" si="34"/>
        <v>0</v>
      </c>
      <c r="X234" s="277">
        <f t="shared" si="35"/>
        <v>0</v>
      </c>
    </row>
    <row r="235" spans="14:24" x14ac:dyDescent="0.25">
      <c r="N235" s="244">
        <f>Weather_Site!B241</f>
        <v>0</v>
      </c>
      <c r="O235" s="245">
        <f>Weather_Site!C241</f>
        <v>0</v>
      </c>
      <c r="P235" s="5">
        <f>Weather_Site!E241</f>
        <v>0</v>
      </c>
      <c r="Q235" s="245">
        <f t="shared" si="36"/>
        <v>0</v>
      </c>
      <c r="R235" s="5">
        <f t="shared" si="31"/>
        <v>0</v>
      </c>
      <c r="S235" s="5">
        <f t="shared" si="37"/>
        <v>0</v>
      </c>
      <c r="T235" s="247">
        <f t="shared" si="38"/>
        <v>0</v>
      </c>
      <c r="U235" s="5">
        <f t="shared" si="32"/>
        <v>0</v>
      </c>
      <c r="V235" s="247">
        <f t="shared" si="33"/>
        <v>0</v>
      </c>
      <c r="W235" s="276">
        <f t="shared" si="34"/>
        <v>0</v>
      </c>
      <c r="X235" s="277">
        <f t="shared" si="35"/>
        <v>0</v>
      </c>
    </row>
    <row r="236" spans="14:24" x14ac:dyDescent="0.25">
      <c r="N236" s="244">
        <f>Weather_Site!B242</f>
        <v>0</v>
      </c>
      <c r="O236" s="245">
        <f>Weather_Site!C242</f>
        <v>0</v>
      </c>
      <c r="P236" s="5">
        <f>Weather_Site!E242</f>
        <v>0</v>
      </c>
      <c r="Q236" s="245">
        <f t="shared" si="36"/>
        <v>0</v>
      </c>
      <c r="R236" s="5">
        <f t="shared" si="31"/>
        <v>0</v>
      </c>
      <c r="S236" s="5">
        <f t="shared" si="37"/>
        <v>0</v>
      </c>
      <c r="T236" s="247">
        <f t="shared" si="38"/>
        <v>0</v>
      </c>
      <c r="U236" s="5">
        <f t="shared" si="32"/>
        <v>0</v>
      </c>
      <c r="V236" s="247">
        <f t="shared" si="33"/>
        <v>0</v>
      </c>
      <c r="W236" s="276">
        <f t="shared" si="34"/>
        <v>0</v>
      </c>
      <c r="X236" s="277">
        <f t="shared" si="35"/>
        <v>0</v>
      </c>
    </row>
    <row r="237" spans="14:24" x14ac:dyDescent="0.25">
      <c r="N237" s="244">
        <f>Weather_Site!B243</f>
        <v>0</v>
      </c>
      <c r="O237" s="245">
        <f>Weather_Site!C243</f>
        <v>0</v>
      </c>
      <c r="P237" s="5">
        <f>Weather_Site!E243</f>
        <v>0</v>
      </c>
      <c r="Q237" s="245">
        <f t="shared" si="36"/>
        <v>0</v>
      </c>
      <c r="R237" s="5">
        <f t="shared" si="31"/>
        <v>0</v>
      </c>
      <c r="S237" s="5">
        <f t="shared" si="37"/>
        <v>0</v>
      </c>
      <c r="T237" s="247">
        <f t="shared" si="38"/>
        <v>0</v>
      </c>
      <c r="U237" s="5">
        <f t="shared" si="32"/>
        <v>0</v>
      </c>
      <c r="V237" s="247">
        <f t="shared" si="33"/>
        <v>0</v>
      </c>
      <c r="W237" s="276">
        <f t="shared" si="34"/>
        <v>0</v>
      </c>
      <c r="X237" s="277">
        <f t="shared" si="35"/>
        <v>0</v>
      </c>
    </row>
    <row r="238" spans="14:24" x14ac:dyDescent="0.25">
      <c r="N238" s="244">
        <f>Weather_Site!B244</f>
        <v>0</v>
      </c>
      <c r="O238" s="245">
        <f>Weather_Site!C244</f>
        <v>0</v>
      </c>
      <c r="P238" s="5">
        <f>Weather_Site!E244</f>
        <v>0</v>
      </c>
      <c r="Q238" s="245">
        <f t="shared" si="36"/>
        <v>0</v>
      </c>
      <c r="R238" s="5">
        <f t="shared" si="31"/>
        <v>0</v>
      </c>
      <c r="S238" s="5">
        <f t="shared" si="37"/>
        <v>0</v>
      </c>
      <c r="T238" s="247">
        <f t="shared" si="38"/>
        <v>0</v>
      </c>
      <c r="U238" s="5">
        <f t="shared" si="32"/>
        <v>0</v>
      </c>
      <c r="V238" s="247">
        <f t="shared" si="33"/>
        <v>0</v>
      </c>
      <c r="W238" s="276">
        <f t="shared" si="34"/>
        <v>0</v>
      </c>
      <c r="X238" s="277">
        <f t="shared" si="35"/>
        <v>0</v>
      </c>
    </row>
    <row r="239" spans="14:24" x14ac:dyDescent="0.25">
      <c r="N239" s="244">
        <f>Weather_Site!B245</f>
        <v>0</v>
      </c>
      <c r="O239" s="245">
        <f>Weather_Site!C245</f>
        <v>0</v>
      </c>
      <c r="P239" s="5">
        <f>Weather_Site!E245</f>
        <v>0</v>
      </c>
      <c r="Q239" s="245">
        <f t="shared" si="36"/>
        <v>0</v>
      </c>
      <c r="R239" s="5">
        <f t="shared" si="31"/>
        <v>0</v>
      </c>
      <c r="S239" s="5">
        <f t="shared" si="37"/>
        <v>0</v>
      </c>
      <c r="T239" s="247">
        <f t="shared" si="38"/>
        <v>0</v>
      </c>
      <c r="U239" s="5">
        <f t="shared" si="32"/>
        <v>0</v>
      </c>
      <c r="V239" s="247">
        <f t="shared" si="33"/>
        <v>0</v>
      </c>
      <c r="W239" s="276">
        <f t="shared" si="34"/>
        <v>0</v>
      </c>
      <c r="X239" s="277">
        <f t="shared" si="35"/>
        <v>0</v>
      </c>
    </row>
    <row r="240" spans="14:24" x14ac:dyDescent="0.25">
      <c r="N240" s="244">
        <f>Weather_Site!B246</f>
        <v>0</v>
      </c>
      <c r="O240" s="245">
        <f>Weather_Site!C246</f>
        <v>0</v>
      </c>
      <c r="P240" s="5">
        <f>Weather_Site!E246</f>
        <v>0</v>
      </c>
      <c r="Q240" s="245">
        <f t="shared" si="36"/>
        <v>0</v>
      </c>
      <c r="R240" s="5">
        <f t="shared" si="31"/>
        <v>0</v>
      </c>
      <c r="S240" s="5">
        <f t="shared" si="37"/>
        <v>0</v>
      </c>
      <c r="T240" s="247">
        <f t="shared" si="38"/>
        <v>0</v>
      </c>
      <c r="U240" s="5">
        <f t="shared" si="32"/>
        <v>0</v>
      </c>
      <c r="V240" s="247">
        <f t="shared" si="33"/>
        <v>0</v>
      </c>
      <c r="W240" s="276">
        <f t="shared" si="34"/>
        <v>0</v>
      </c>
      <c r="X240" s="277">
        <f t="shared" si="35"/>
        <v>0</v>
      </c>
    </row>
    <row r="241" spans="14:24" x14ac:dyDescent="0.25">
      <c r="N241" s="244">
        <f>Weather_Site!B247</f>
        <v>0</v>
      </c>
      <c r="O241" s="245">
        <f>Weather_Site!C247</f>
        <v>0</v>
      </c>
      <c r="P241" s="5">
        <f>Weather_Site!E247</f>
        <v>0</v>
      </c>
      <c r="Q241" s="245">
        <f t="shared" si="36"/>
        <v>0</v>
      </c>
      <c r="R241" s="5">
        <f t="shared" si="31"/>
        <v>0</v>
      </c>
      <c r="S241" s="5">
        <f t="shared" si="37"/>
        <v>0</v>
      </c>
      <c r="T241" s="247">
        <f t="shared" si="38"/>
        <v>0</v>
      </c>
      <c r="U241" s="5">
        <f t="shared" si="32"/>
        <v>0</v>
      </c>
      <c r="V241" s="247">
        <f t="shared" si="33"/>
        <v>0</v>
      </c>
      <c r="W241" s="276">
        <f t="shared" si="34"/>
        <v>0</v>
      </c>
      <c r="X241" s="277">
        <f t="shared" si="35"/>
        <v>0</v>
      </c>
    </row>
    <row r="242" spans="14:24" x14ac:dyDescent="0.25">
      <c r="N242" s="244">
        <f>Weather_Site!B248</f>
        <v>0</v>
      </c>
      <c r="O242" s="245">
        <f>Weather_Site!C248</f>
        <v>0</v>
      </c>
      <c r="P242" s="5">
        <f>Weather_Site!E248</f>
        <v>0</v>
      </c>
      <c r="Q242" s="245">
        <f t="shared" si="36"/>
        <v>0</v>
      </c>
      <c r="R242" s="5">
        <f t="shared" si="31"/>
        <v>0</v>
      </c>
      <c r="S242" s="5">
        <f t="shared" si="37"/>
        <v>0</v>
      </c>
      <c r="T242" s="247">
        <f t="shared" si="38"/>
        <v>0</v>
      </c>
      <c r="U242" s="5">
        <f t="shared" si="32"/>
        <v>0</v>
      </c>
      <c r="V242" s="247">
        <f t="shared" si="33"/>
        <v>0</v>
      </c>
      <c r="W242" s="276">
        <f t="shared" si="34"/>
        <v>0</v>
      </c>
      <c r="X242" s="277">
        <f t="shared" si="35"/>
        <v>0</v>
      </c>
    </row>
    <row r="243" spans="14:24" x14ac:dyDescent="0.25">
      <c r="N243" s="244">
        <f>Weather_Site!B249</f>
        <v>0</v>
      </c>
      <c r="O243" s="245">
        <f>Weather_Site!C249</f>
        <v>0</v>
      </c>
      <c r="P243" s="5">
        <f>Weather_Site!E249</f>
        <v>0</v>
      </c>
      <c r="Q243" s="245">
        <f t="shared" si="36"/>
        <v>0</v>
      </c>
      <c r="R243" s="5">
        <f t="shared" si="31"/>
        <v>0</v>
      </c>
      <c r="S243" s="5">
        <f t="shared" si="37"/>
        <v>0</v>
      </c>
      <c r="T243" s="247">
        <f t="shared" si="38"/>
        <v>0</v>
      </c>
      <c r="U243" s="5">
        <f t="shared" si="32"/>
        <v>0</v>
      </c>
      <c r="V243" s="247">
        <f t="shared" si="33"/>
        <v>0</v>
      </c>
      <c r="W243" s="276">
        <f t="shared" si="34"/>
        <v>0</v>
      </c>
      <c r="X243" s="277">
        <f t="shared" si="35"/>
        <v>0</v>
      </c>
    </row>
    <row r="244" spans="14:24" x14ac:dyDescent="0.25">
      <c r="N244" s="244">
        <f>Weather_Site!B250</f>
        <v>0</v>
      </c>
      <c r="O244" s="245">
        <f>Weather_Site!C250</f>
        <v>0</v>
      </c>
      <c r="P244" s="5">
        <f>Weather_Site!E250</f>
        <v>0</v>
      </c>
      <c r="Q244" s="245">
        <f t="shared" si="36"/>
        <v>0</v>
      </c>
      <c r="R244" s="5">
        <f t="shared" si="31"/>
        <v>0</v>
      </c>
      <c r="S244" s="5">
        <f t="shared" si="37"/>
        <v>0</v>
      </c>
      <c r="T244" s="247">
        <f t="shared" si="38"/>
        <v>0</v>
      </c>
      <c r="U244" s="5">
        <f t="shared" si="32"/>
        <v>0</v>
      </c>
      <c r="V244" s="247">
        <f t="shared" si="33"/>
        <v>0</v>
      </c>
      <c r="W244" s="276">
        <f t="shared" si="34"/>
        <v>0</v>
      </c>
      <c r="X244" s="277">
        <f t="shared" si="35"/>
        <v>0</v>
      </c>
    </row>
    <row r="245" spans="14:24" x14ac:dyDescent="0.25">
      <c r="N245" s="244">
        <f>Weather_Site!B251</f>
        <v>0</v>
      </c>
      <c r="O245" s="245">
        <f>Weather_Site!C251</f>
        <v>0</v>
      </c>
      <c r="P245" s="5">
        <f>Weather_Site!E251</f>
        <v>0</v>
      </c>
      <c r="Q245" s="245">
        <f t="shared" si="36"/>
        <v>0</v>
      </c>
      <c r="R245" s="5">
        <f t="shared" si="31"/>
        <v>0</v>
      </c>
      <c r="S245" s="5">
        <f t="shared" si="37"/>
        <v>0</v>
      </c>
      <c r="T245" s="247">
        <f t="shared" si="38"/>
        <v>0</v>
      </c>
      <c r="U245" s="5">
        <f t="shared" si="32"/>
        <v>0</v>
      </c>
      <c r="V245" s="247">
        <f t="shared" si="33"/>
        <v>0</v>
      </c>
      <c r="W245" s="276">
        <f t="shared" si="34"/>
        <v>0</v>
      </c>
      <c r="X245" s="277">
        <f t="shared" si="35"/>
        <v>0</v>
      </c>
    </row>
    <row r="246" spans="14:24" x14ac:dyDescent="0.25">
      <c r="N246" s="244">
        <f>Weather_Site!B252</f>
        <v>0</v>
      </c>
      <c r="O246" s="245">
        <f>Weather_Site!C252</f>
        <v>0</v>
      </c>
      <c r="P246" s="5">
        <f>Weather_Site!E252</f>
        <v>0</v>
      </c>
      <c r="Q246" s="245">
        <f t="shared" si="36"/>
        <v>0</v>
      </c>
      <c r="R246" s="5">
        <f t="shared" si="31"/>
        <v>0</v>
      </c>
      <c r="S246" s="5">
        <f t="shared" si="37"/>
        <v>0</v>
      </c>
      <c r="T246" s="247">
        <f t="shared" si="38"/>
        <v>0</v>
      </c>
      <c r="U246" s="5">
        <f t="shared" si="32"/>
        <v>0</v>
      </c>
      <c r="V246" s="247">
        <f t="shared" si="33"/>
        <v>0</v>
      </c>
      <c r="W246" s="276">
        <f t="shared" si="34"/>
        <v>0</v>
      </c>
      <c r="X246" s="277">
        <f t="shared" si="35"/>
        <v>0</v>
      </c>
    </row>
    <row r="247" spans="14:24" x14ac:dyDescent="0.25">
      <c r="N247" s="244">
        <f>Weather_Site!B253</f>
        <v>0</v>
      </c>
      <c r="O247" s="245">
        <f>Weather_Site!C253</f>
        <v>0</v>
      </c>
      <c r="P247" s="5">
        <f>Weather_Site!E253</f>
        <v>0</v>
      </c>
      <c r="Q247" s="245">
        <f t="shared" si="36"/>
        <v>0</v>
      </c>
      <c r="R247" s="5">
        <f t="shared" si="31"/>
        <v>0</v>
      </c>
      <c r="S247" s="5">
        <f t="shared" si="37"/>
        <v>0</v>
      </c>
      <c r="T247" s="247">
        <f t="shared" si="38"/>
        <v>0</v>
      </c>
      <c r="U247" s="5">
        <f t="shared" si="32"/>
        <v>0</v>
      </c>
      <c r="V247" s="247">
        <f t="shared" si="33"/>
        <v>0</v>
      </c>
      <c r="W247" s="276">
        <f t="shared" si="34"/>
        <v>0</v>
      </c>
      <c r="X247" s="277">
        <f t="shared" si="35"/>
        <v>0</v>
      </c>
    </row>
    <row r="248" spans="14:24" x14ac:dyDescent="0.25">
      <c r="N248" s="244">
        <f>Weather_Site!B254</f>
        <v>0</v>
      </c>
      <c r="O248" s="245">
        <f>Weather_Site!C254</f>
        <v>0</v>
      </c>
      <c r="P248" s="5">
        <f>Weather_Site!E254</f>
        <v>0</v>
      </c>
      <c r="Q248" s="245">
        <f t="shared" si="36"/>
        <v>0</v>
      </c>
      <c r="R248" s="5">
        <f t="shared" si="31"/>
        <v>0</v>
      </c>
      <c r="S248" s="5">
        <f t="shared" si="37"/>
        <v>0</v>
      </c>
      <c r="T248" s="247">
        <f t="shared" si="38"/>
        <v>0</v>
      </c>
      <c r="U248" s="5">
        <f t="shared" si="32"/>
        <v>0</v>
      </c>
      <c r="V248" s="247">
        <f t="shared" si="33"/>
        <v>0</v>
      </c>
      <c r="W248" s="276">
        <f t="shared" si="34"/>
        <v>0</v>
      </c>
      <c r="X248" s="277">
        <f t="shared" si="35"/>
        <v>0</v>
      </c>
    </row>
    <row r="249" spans="14:24" x14ac:dyDescent="0.25">
      <c r="N249" s="244">
        <f>Weather_Site!B255</f>
        <v>0</v>
      </c>
      <c r="O249" s="245">
        <f>Weather_Site!C255</f>
        <v>0</v>
      </c>
      <c r="P249" s="5">
        <f>Weather_Site!E255</f>
        <v>0</v>
      </c>
      <c r="Q249" s="245">
        <f t="shared" si="36"/>
        <v>0</v>
      </c>
      <c r="R249" s="5">
        <f t="shared" si="31"/>
        <v>0</v>
      </c>
      <c r="S249" s="5">
        <f t="shared" si="37"/>
        <v>0</v>
      </c>
      <c r="T249" s="247">
        <f t="shared" si="38"/>
        <v>0</v>
      </c>
      <c r="U249" s="5">
        <f t="shared" si="32"/>
        <v>0</v>
      </c>
      <c r="V249" s="247">
        <f t="shared" si="33"/>
        <v>0</v>
      </c>
      <c r="W249" s="276">
        <f t="shared" si="34"/>
        <v>0</v>
      </c>
      <c r="X249" s="277">
        <f t="shared" si="35"/>
        <v>0</v>
      </c>
    </row>
    <row r="250" spans="14:24" x14ac:dyDescent="0.25">
      <c r="N250" s="244">
        <f>Weather_Site!B256</f>
        <v>0</v>
      </c>
      <c r="O250" s="245">
        <f>Weather_Site!C256</f>
        <v>0</v>
      </c>
      <c r="P250" s="5">
        <f>Weather_Site!E256</f>
        <v>0</v>
      </c>
      <c r="Q250" s="245">
        <f t="shared" si="36"/>
        <v>0</v>
      </c>
      <c r="R250" s="5">
        <f t="shared" si="31"/>
        <v>0</v>
      </c>
      <c r="S250" s="5">
        <f t="shared" si="37"/>
        <v>0</v>
      </c>
      <c r="T250" s="247">
        <f t="shared" si="38"/>
        <v>0</v>
      </c>
      <c r="U250" s="5">
        <f t="shared" si="32"/>
        <v>0</v>
      </c>
      <c r="V250" s="247">
        <f t="shared" si="33"/>
        <v>0</v>
      </c>
      <c r="W250" s="276">
        <f t="shared" si="34"/>
        <v>0</v>
      </c>
      <c r="X250" s="277">
        <f t="shared" si="35"/>
        <v>0</v>
      </c>
    </row>
    <row r="251" spans="14:24" x14ac:dyDescent="0.25">
      <c r="N251" s="244">
        <f>Weather_Site!B257</f>
        <v>0</v>
      </c>
      <c r="O251" s="245">
        <f>Weather_Site!C257</f>
        <v>0</v>
      </c>
      <c r="P251" s="5">
        <f>Weather_Site!E257</f>
        <v>0</v>
      </c>
      <c r="Q251" s="245">
        <f t="shared" si="36"/>
        <v>0</v>
      </c>
      <c r="R251" s="5">
        <f t="shared" si="31"/>
        <v>0</v>
      </c>
      <c r="S251" s="5">
        <f t="shared" si="37"/>
        <v>0</v>
      </c>
      <c r="T251" s="247">
        <f t="shared" si="38"/>
        <v>0</v>
      </c>
      <c r="U251" s="5">
        <f t="shared" si="32"/>
        <v>0</v>
      </c>
      <c r="V251" s="247">
        <f t="shared" si="33"/>
        <v>0</v>
      </c>
      <c r="W251" s="276">
        <f t="shared" si="34"/>
        <v>0</v>
      </c>
      <c r="X251" s="277">
        <f t="shared" si="35"/>
        <v>0</v>
      </c>
    </row>
    <row r="252" spans="14:24" x14ac:dyDescent="0.25">
      <c r="N252" s="244">
        <f>Weather_Site!B258</f>
        <v>0</v>
      </c>
      <c r="O252" s="245">
        <f>Weather_Site!C258</f>
        <v>0</v>
      </c>
      <c r="P252" s="5">
        <f>Weather_Site!E258</f>
        <v>0</v>
      </c>
      <c r="Q252" s="245">
        <f t="shared" si="36"/>
        <v>0</v>
      </c>
      <c r="R252" s="5">
        <f t="shared" si="31"/>
        <v>0</v>
      </c>
      <c r="S252" s="5">
        <f t="shared" si="37"/>
        <v>0</v>
      </c>
      <c r="T252" s="247">
        <f t="shared" si="38"/>
        <v>0</v>
      </c>
      <c r="U252" s="5">
        <f t="shared" si="32"/>
        <v>0</v>
      </c>
      <c r="V252" s="247">
        <f t="shared" si="33"/>
        <v>0</v>
      </c>
      <c r="W252" s="276">
        <f t="shared" si="34"/>
        <v>0</v>
      </c>
      <c r="X252" s="277">
        <f t="shared" si="35"/>
        <v>0</v>
      </c>
    </row>
    <row r="253" spans="14:24" x14ac:dyDescent="0.25">
      <c r="N253" s="244">
        <f>Weather_Site!B259</f>
        <v>0</v>
      </c>
      <c r="O253" s="245">
        <f>Weather_Site!C259</f>
        <v>0</v>
      </c>
      <c r="P253" s="5">
        <f>Weather_Site!E259</f>
        <v>0</v>
      </c>
      <c r="Q253" s="245">
        <f t="shared" si="36"/>
        <v>0</v>
      </c>
      <c r="R253" s="5">
        <f t="shared" si="31"/>
        <v>0</v>
      </c>
      <c r="S253" s="5">
        <f t="shared" si="37"/>
        <v>0</v>
      </c>
      <c r="T253" s="247">
        <f t="shared" si="38"/>
        <v>0</v>
      </c>
      <c r="U253" s="5">
        <f t="shared" si="32"/>
        <v>0</v>
      </c>
      <c r="V253" s="247">
        <f t="shared" si="33"/>
        <v>0</v>
      </c>
      <c r="W253" s="276">
        <f t="shared" si="34"/>
        <v>0</v>
      </c>
      <c r="X253" s="277">
        <f t="shared" si="35"/>
        <v>0</v>
      </c>
    </row>
    <row r="254" spans="14:24" x14ac:dyDescent="0.25">
      <c r="N254" s="244">
        <f>Weather_Site!B260</f>
        <v>0</v>
      </c>
      <c r="O254" s="245">
        <f>Weather_Site!C260</f>
        <v>0</v>
      </c>
      <c r="P254" s="5">
        <f>Weather_Site!E260</f>
        <v>0</v>
      </c>
      <c r="Q254" s="245">
        <f t="shared" si="36"/>
        <v>0</v>
      </c>
      <c r="R254" s="5">
        <f t="shared" si="31"/>
        <v>0</v>
      </c>
      <c r="S254" s="5">
        <f t="shared" si="37"/>
        <v>0</v>
      </c>
      <c r="T254" s="247">
        <f t="shared" si="38"/>
        <v>0</v>
      </c>
      <c r="U254" s="5">
        <f t="shared" si="32"/>
        <v>0</v>
      </c>
      <c r="V254" s="247">
        <f t="shared" si="33"/>
        <v>0</v>
      </c>
      <c r="W254" s="276">
        <f t="shared" si="34"/>
        <v>0</v>
      </c>
      <c r="X254" s="277">
        <f t="shared" si="35"/>
        <v>0</v>
      </c>
    </row>
    <row r="255" spans="14:24" x14ac:dyDescent="0.25">
      <c r="N255" s="244">
        <f>Weather_Site!B261</f>
        <v>0</v>
      </c>
      <c r="O255" s="245">
        <f>Weather_Site!C261</f>
        <v>0</v>
      </c>
      <c r="P255" s="5">
        <f>Weather_Site!E261</f>
        <v>0</v>
      </c>
      <c r="Q255" s="245">
        <f t="shared" si="36"/>
        <v>0</v>
      </c>
      <c r="R255" s="5">
        <f t="shared" si="31"/>
        <v>0</v>
      </c>
      <c r="S255" s="5">
        <f t="shared" si="37"/>
        <v>0</v>
      </c>
      <c r="T255" s="247">
        <f t="shared" si="38"/>
        <v>0</v>
      </c>
      <c r="U255" s="5">
        <f t="shared" si="32"/>
        <v>0</v>
      </c>
      <c r="V255" s="247">
        <f t="shared" si="33"/>
        <v>0</v>
      </c>
      <c r="W255" s="276">
        <f t="shared" si="34"/>
        <v>0</v>
      </c>
      <c r="X255" s="277">
        <f t="shared" si="35"/>
        <v>0</v>
      </c>
    </row>
    <row r="256" spans="14:24" x14ac:dyDescent="0.25">
      <c r="N256" s="244">
        <f>Weather_Site!B262</f>
        <v>0</v>
      </c>
      <c r="O256" s="245">
        <f>Weather_Site!C262</f>
        <v>0</v>
      </c>
      <c r="P256" s="5">
        <f>Weather_Site!E262</f>
        <v>0</v>
      </c>
      <c r="Q256" s="245">
        <f t="shared" si="36"/>
        <v>0</v>
      </c>
      <c r="R256" s="5">
        <f t="shared" si="31"/>
        <v>0</v>
      </c>
      <c r="S256" s="5">
        <f t="shared" si="37"/>
        <v>0</v>
      </c>
      <c r="T256" s="247">
        <f t="shared" si="38"/>
        <v>0</v>
      </c>
      <c r="U256" s="5">
        <f t="shared" si="32"/>
        <v>0</v>
      </c>
      <c r="V256" s="247">
        <f t="shared" si="33"/>
        <v>0</v>
      </c>
      <c r="W256" s="276">
        <f t="shared" si="34"/>
        <v>0</v>
      </c>
      <c r="X256" s="277">
        <f t="shared" si="35"/>
        <v>0</v>
      </c>
    </row>
    <row r="257" spans="14:24" x14ac:dyDescent="0.25">
      <c r="N257" s="244">
        <f>Weather_Site!B263</f>
        <v>0</v>
      </c>
      <c r="O257" s="245">
        <f>Weather_Site!C263</f>
        <v>0</v>
      </c>
      <c r="P257" s="5">
        <f>Weather_Site!E263</f>
        <v>0</v>
      </c>
      <c r="Q257" s="245">
        <f t="shared" si="36"/>
        <v>0</v>
      </c>
      <c r="R257" s="5">
        <f t="shared" si="31"/>
        <v>0</v>
      </c>
      <c r="S257" s="5">
        <f t="shared" si="37"/>
        <v>0</v>
      </c>
      <c r="T257" s="247">
        <f t="shared" si="38"/>
        <v>0</v>
      </c>
      <c r="U257" s="5">
        <f t="shared" si="32"/>
        <v>0</v>
      </c>
      <c r="V257" s="247">
        <f t="shared" si="33"/>
        <v>0</v>
      </c>
      <c r="W257" s="276">
        <f t="shared" si="34"/>
        <v>0</v>
      </c>
      <c r="X257" s="277">
        <f t="shared" si="35"/>
        <v>0</v>
      </c>
    </row>
    <row r="258" spans="14:24" x14ac:dyDescent="0.25">
      <c r="N258" s="244">
        <f>Weather_Site!B264</f>
        <v>0</v>
      </c>
      <c r="O258" s="245">
        <f>Weather_Site!C264</f>
        <v>0</v>
      </c>
      <c r="P258" s="5">
        <f>Weather_Site!E264</f>
        <v>0</v>
      </c>
      <c r="Q258" s="245">
        <f t="shared" si="36"/>
        <v>0</v>
      </c>
      <c r="R258" s="5">
        <f t="shared" si="31"/>
        <v>0</v>
      </c>
      <c r="S258" s="5">
        <f t="shared" si="37"/>
        <v>0</v>
      </c>
      <c r="T258" s="247">
        <f t="shared" si="38"/>
        <v>0</v>
      </c>
      <c r="U258" s="5">
        <f t="shared" si="32"/>
        <v>0</v>
      </c>
      <c r="V258" s="247">
        <f t="shared" si="33"/>
        <v>0</v>
      </c>
      <c r="W258" s="276">
        <f t="shared" si="34"/>
        <v>0</v>
      </c>
      <c r="X258" s="277">
        <f t="shared" si="35"/>
        <v>0</v>
      </c>
    </row>
    <row r="259" spans="14:24" x14ac:dyDescent="0.25">
      <c r="N259" s="244">
        <f>Weather_Site!B265</f>
        <v>0</v>
      </c>
      <c r="O259" s="245">
        <f>Weather_Site!C265</f>
        <v>0</v>
      </c>
      <c r="P259" s="5">
        <f>Weather_Site!E265</f>
        <v>0</v>
      </c>
      <c r="Q259" s="245">
        <f t="shared" si="36"/>
        <v>0</v>
      </c>
      <c r="R259" s="5">
        <f t="shared" si="31"/>
        <v>0</v>
      </c>
      <c r="S259" s="5">
        <f t="shared" si="37"/>
        <v>0</v>
      </c>
      <c r="T259" s="247">
        <f t="shared" si="38"/>
        <v>0</v>
      </c>
      <c r="U259" s="5">
        <f t="shared" si="32"/>
        <v>0</v>
      </c>
      <c r="V259" s="247">
        <f t="shared" si="33"/>
        <v>0</v>
      </c>
      <c r="W259" s="276">
        <f t="shared" si="34"/>
        <v>0</v>
      </c>
      <c r="X259" s="277">
        <f t="shared" si="35"/>
        <v>0</v>
      </c>
    </row>
    <row r="260" spans="14:24" x14ac:dyDescent="0.25">
      <c r="N260" s="244">
        <f>Weather_Site!B266</f>
        <v>0</v>
      </c>
      <c r="O260" s="245">
        <f>Weather_Site!C266</f>
        <v>0</v>
      </c>
      <c r="P260" s="5">
        <f>Weather_Site!E266</f>
        <v>0</v>
      </c>
      <c r="Q260" s="245">
        <f t="shared" si="36"/>
        <v>0</v>
      </c>
      <c r="R260" s="5">
        <f t="shared" si="31"/>
        <v>0</v>
      </c>
      <c r="S260" s="5">
        <f t="shared" si="37"/>
        <v>0</v>
      </c>
      <c r="T260" s="247">
        <f t="shared" si="38"/>
        <v>0</v>
      </c>
      <c r="U260" s="5">
        <f t="shared" si="32"/>
        <v>0</v>
      </c>
      <c r="V260" s="247">
        <f t="shared" si="33"/>
        <v>0</v>
      </c>
      <c r="W260" s="276">
        <f t="shared" si="34"/>
        <v>0</v>
      </c>
      <c r="X260" s="277">
        <f t="shared" si="35"/>
        <v>0</v>
      </c>
    </row>
    <row r="261" spans="14:24" x14ac:dyDescent="0.25">
      <c r="N261" s="244">
        <f>Weather_Site!B267</f>
        <v>0</v>
      </c>
      <c r="O261" s="245">
        <f>Weather_Site!C267</f>
        <v>0</v>
      </c>
      <c r="P261" s="5">
        <f>Weather_Site!E267</f>
        <v>0</v>
      </c>
      <c r="Q261" s="245">
        <f t="shared" si="36"/>
        <v>0</v>
      </c>
      <c r="R261" s="5">
        <f t="shared" si="31"/>
        <v>0</v>
      </c>
      <c r="S261" s="5">
        <f t="shared" si="37"/>
        <v>0</v>
      </c>
      <c r="T261" s="247">
        <f t="shared" si="38"/>
        <v>0</v>
      </c>
      <c r="U261" s="5">
        <f t="shared" si="32"/>
        <v>0</v>
      </c>
      <c r="V261" s="247">
        <f t="shared" si="33"/>
        <v>0</v>
      </c>
      <c r="W261" s="276">
        <f t="shared" si="34"/>
        <v>0</v>
      </c>
      <c r="X261" s="277">
        <f t="shared" si="35"/>
        <v>0</v>
      </c>
    </row>
    <row r="262" spans="14:24" x14ac:dyDescent="0.25">
      <c r="N262" s="244">
        <f>Weather_Site!B268</f>
        <v>0</v>
      </c>
      <c r="O262" s="245">
        <f>Weather_Site!C268</f>
        <v>0</v>
      </c>
      <c r="P262" s="5">
        <f>Weather_Site!E268</f>
        <v>0</v>
      </c>
      <c r="Q262" s="245">
        <f t="shared" si="36"/>
        <v>0</v>
      </c>
      <c r="R262" s="5">
        <f t="shared" si="31"/>
        <v>0</v>
      </c>
      <c r="S262" s="5">
        <f t="shared" si="37"/>
        <v>0</v>
      </c>
      <c r="T262" s="247">
        <f t="shared" si="38"/>
        <v>0</v>
      </c>
      <c r="U262" s="5">
        <f t="shared" si="32"/>
        <v>0</v>
      </c>
      <c r="V262" s="247">
        <f t="shared" si="33"/>
        <v>0</v>
      </c>
      <c r="W262" s="276">
        <f t="shared" si="34"/>
        <v>0</v>
      </c>
      <c r="X262" s="277">
        <f t="shared" si="35"/>
        <v>0</v>
      </c>
    </row>
    <row r="263" spans="14:24" x14ac:dyDescent="0.25">
      <c r="N263" s="244">
        <f>Weather_Site!B269</f>
        <v>0</v>
      </c>
      <c r="O263" s="245">
        <f>Weather_Site!C269</f>
        <v>0</v>
      </c>
      <c r="P263" s="5">
        <f>Weather_Site!E269</f>
        <v>0</v>
      </c>
      <c r="Q263" s="245">
        <f t="shared" si="36"/>
        <v>0</v>
      </c>
      <c r="R263" s="5">
        <f t="shared" si="31"/>
        <v>0</v>
      </c>
      <c r="S263" s="5">
        <f t="shared" si="37"/>
        <v>0</v>
      </c>
      <c r="T263" s="247">
        <f t="shared" si="38"/>
        <v>0</v>
      </c>
      <c r="U263" s="5">
        <f t="shared" si="32"/>
        <v>0</v>
      </c>
      <c r="V263" s="247">
        <f t="shared" si="33"/>
        <v>0</v>
      </c>
      <c r="W263" s="276">
        <f t="shared" si="34"/>
        <v>0</v>
      </c>
      <c r="X263" s="277">
        <f t="shared" si="35"/>
        <v>0</v>
      </c>
    </row>
    <row r="264" spans="14:24" x14ac:dyDescent="0.25">
      <c r="N264" s="244">
        <f>Weather_Site!B270</f>
        <v>0</v>
      </c>
      <c r="O264" s="245">
        <f>Weather_Site!C270</f>
        <v>0</v>
      </c>
      <c r="P264" s="5">
        <f>Weather_Site!E270</f>
        <v>0</v>
      </c>
      <c r="Q264" s="245">
        <f t="shared" si="36"/>
        <v>0</v>
      </c>
      <c r="R264" s="5">
        <f t="shared" ref="R264:R327" si="39">HOUR(Q264)</f>
        <v>0</v>
      </c>
      <c r="S264" s="5">
        <f t="shared" si="37"/>
        <v>0</v>
      </c>
      <c r="T264" s="247">
        <f t="shared" si="38"/>
        <v>0</v>
      </c>
      <c r="U264" s="5">
        <f t="shared" ref="U264:U327" si="40">MAX((T264-70*R264),0)</f>
        <v>0</v>
      </c>
      <c r="V264" s="247">
        <f t="shared" ref="V264:V327" si="41">IF(OR(AND((N264-N263)=0,O263&gt;0.5),AND((N264-N263)=1,O264&lt;0.5),AND(N264-N263)=0,O264&lt;0.5),U264+V263,U264)</f>
        <v>0</v>
      </c>
      <c r="W264" s="276">
        <f t="shared" ref="W264:W327" si="42">IF(O264&lt;0.75,MAX(V264,W263),V264)</f>
        <v>0</v>
      </c>
      <c r="X264" s="277">
        <f t="shared" si="35"/>
        <v>0</v>
      </c>
    </row>
    <row r="265" spans="14:24" x14ac:dyDescent="0.25">
      <c r="N265" s="244">
        <f>Weather_Site!B271</f>
        <v>0</v>
      </c>
      <c r="O265" s="245">
        <f>Weather_Site!C271</f>
        <v>0</v>
      </c>
      <c r="P265" s="5">
        <f>Weather_Site!E271</f>
        <v>0</v>
      </c>
      <c r="Q265" s="245">
        <f t="shared" si="36"/>
        <v>0</v>
      </c>
      <c r="R265" s="5">
        <f t="shared" si="39"/>
        <v>0</v>
      </c>
      <c r="S265" s="5">
        <f t="shared" si="37"/>
        <v>0</v>
      </c>
      <c r="T265" s="247">
        <f t="shared" si="38"/>
        <v>0</v>
      </c>
      <c r="U265" s="5">
        <f t="shared" si="40"/>
        <v>0</v>
      </c>
      <c r="V265" s="247">
        <f t="shared" si="41"/>
        <v>0</v>
      </c>
      <c r="W265" s="276">
        <f t="shared" si="42"/>
        <v>0</v>
      </c>
      <c r="X265" s="277">
        <f t="shared" si="35"/>
        <v>0</v>
      </c>
    </row>
    <row r="266" spans="14:24" x14ac:dyDescent="0.25">
      <c r="N266" s="244">
        <f>Weather_Site!B272</f>
        <v>0</v>
      </c>
      <c r="O266" s="245">
        <f>Weather_Site!C272</f>
        <v>0</v>
      </c>
      <c r="P266" s="5">
        <f>Weather_Site!E272</f>
        <v>0</v>
      </c>
      <c r="Q266" s="245">
        <f t="shared" si="36"/>
        <v>0</v>
      </c>
      <c r="R266" s="5">
        <f t="shared" si="39"/>
        <v>0</v>
      </c>
      <c r="S266" s="5">
        <f t="shared" si="37"/>
        <v>0</v>
      </c>
      <c r="T266" s="247">
        <f t="shared" si="38"/>
        <v>0</v>
      </c>
      <c r="U266" s="5">
        <f t="shared" si="40"/>
        <v>0</v>
      </c>
      <c r="V266" s="247">
        <f t="shared" si="41"/>
        <v>0</v>
      </c>
      <c r="W266" s="276">
        <f t="shared" si="42"/>
        <v>0</v>
      </c>
      <c r="X266" s="277">
        <f t="shared" si="35"/>
        <v>0</v>
      </c>
    </row>
    <row r="267" spans="14:24" x14ac:dyDescent="0.25">
      <c r="N267" s="244">
        <f>Weather_Site!B273</f>
        <v>0</v>
      </c>
      <c r="O267" s="245">
        <f>Weather_Site!C273</f>
        <v>0</v>
      </c>
      <c r="P267" s="5">
        <f>Weather_Site!E273</f>
        <v>0</v>
      </c>
      <c r="Q267" s="245">
        <f t="shared" si="36"/>
        <v>0</v>
      </c>
      <c r="R267" s="5">
        <f t="shared" si="39"/>
        <v>0</v>
      </c>
      <c r="S267" s="5">
        <f t="shared" si="37"/>
        <v>0</v>
      </c>
      <c r="T267" s="247">
        <f t="shared" si="38"/>
        <v>0</v>
      </c>
      <c r="U267" s="5">
        <f t="shared" si="40"/>
        <v>0</v>
      </c>
      <c r="V267" s="247">
        <f t="shared" si="41"/>
        <v>0</v>
      </c>
      <c r="W267" s="276">
        <f t="shared" si="42"/>
        <v>0</v>
      </c>
      <c r="X267" s="277">
        <f t="shared" si="35"/>
        <v>0</v>
      </c>
    </row>
    <row r="268" spans="14:24" x14ac:dyDescent="0.25">
      <c r="N268" s="244">
        <f>Weather_Site!B274</f>
        <v>0</v>
      </c>
      <c r="O268" s="245">
        <f>Weather_Site!C274</f>
        <v>0</v>
      </c>
      <c r="P268" s="5">
        <f>Weather_Site!E274</f>
        <v>0</v>
      </c>
      <c r="Q268" s="245">
        <f t="shared" si="36"/>
        <v>0</v>
      </c>
      <c r="R268" s="5">
        <f t="shared" si="39"/>
        <v>0</v>
      </c>
      <c r="S268" s="5">
        <f t="shared" si="37"/>
        <v>0</v>
      </c>
      <c r="T268" s="247">
        <f t="shared" si="38"/>
        <v>0</v>
      </c>
      <c r="U268" s="5">
        <f t="shared" si="40"/>
        <v>0</v>
      </c>
      <c r="V268" s="247">
        <f t="shared" si="41"/>
        <v>0</v>
      </c>
      <c r="W268" s="276">
        <f t="shared" si="42"/>
        <v>0</v>
      </c>
      <c r="X268" s="277">
        <f t="shared" si="35"/>
        <v>0</v>
      </c>
    </row>
    <row r="269" spans="14:24" x14ac:dyDescent="0.25">
      <c r="N269" s="244">
        <f>Weather_Site!B275</f>
        <v>0</v>
      </c>
      <c r="O269" s="245">
        <f>Weather_Site!C275</f>
        <v>0</v>
      </c>
      <c r="P269" s="5">
        <f>Weather_Site!E275</f>
        <v>0</v>
      </c>
      <c r="Q269" s="245">
        <f t="shared" si="36"/>
        <v>0</v>
      </c>
      <c r="R269" s="5">
        <f t="shared" si="39"/>
        <v>0</v>
      </c>
      <c r="S269" s="5">
        <f t="shared" si="37"/>
        <v>0</v>
      </c>
      <c r="T269" s="247">
        <f t="shared" si="38"/>
        <v>0</v>
      </c>
      <c r="U269" s="5">
        <f t="shared" si="40"/>
        <v>0</v>
      </c>
      <c r="V269" s="247">
        <f t="shared" si="41"/>
        <v>0</v>
      </c>
      <c r="W269" s="276">
        <f t="shared" si="42"/>
        <v>0</v>
      </c>
      <c r="X269" s="277">
        <f t="shared" si="35"/>
        <v>0</v>
      </c>
    </row>
    <row r="270" spans="14:24" x14ac:dyDescent="0.25">
      <c r="N270" s="244">
        <f>Weather_Site!B276</f>
        <v>0</v>
      </c>
      <c r="O270" s="245">
        <f>Weather_Site!C276</f>
        <v>0</v>
      </c>
      <c r="P270" s="5">
        <f>Weather_Site!E276</f>
        <v>0</v>
      </c>
      <c r="Q270" s="245">
        <f t="shared" si="36"/>
        <v>0</v>
      </c>
      <c r="R270" s="5">
        <f t="shared" si="39"/>
        <v>0</v>
      </c>
      <c r="S270" s="5">
        <f t="shared" si="37"/>
        <v>0</v>
      </c>
      <c r="T270" s="247">
        <f t="shared" si="38"/>
        <v>0</v>
      </c>
      <c r="U270" s="5">
        <f t="shared" si="40"/>
        <v>0</v>
      </c>
      <c r="V270" s="247">
        <f t="shared" si="41"/>
        <v>0</v>
      </c>
      <c r="W270" s="276">
        <f t="shared" si="42"/>
        <v>0</v>
      </c>
      <c r="X270" s="277">
        <f t="shared" si="35"/>
        <v>0</v>
      </c>
    </row>
    <row r="271" spans="14:24" x14ac:dyDescent="0.25">
      <c r="N271" s="244">
        <f>Weather_Site!B277</f>
        <v>0</v>
      </c>
      <c r="O271" s="245">
        <f>Weather_Site!C277</f>
        <v>0</v>
      </c>
      <c r="P271" s="5">
        <f>Weather_Site!E277</f>
        <v>0</v>
      </c>
      <c r="Q271" s="245">
        <f t="shared" si="36"/>
        <v>0</v>
      </c>
      <c r="R271" s="5">
        <f t="shared" si="39"/>
        <v>0</v>
      </c>
      <c r="S271" s="5">
        <f t="shared" si="37"/>
        <v>0</v>
      </c>
      <c r="T271" s="247">
        <f t="shared" si="38"/>
        <v>0</v>
      </c>
      <c r="U271" s="5">
        <f t="shared" si="40"/>
        <v>0</v>
      </c>
      <c r="V271" s="247">
        <f t="shared" si="41"/>
        <v>0</v>
      </c>
      <c r="W271" s="276">
        <f t="shared" si="42"/>
        <v>0</v>
      </c>
      <c r="X271" s="277">
        <f t="shared" si="35"/>
        <v>0</v>
      </c>
    </row>
    <row r="272" spans="14:24" x14ac:dyDescent="0.25">
      <c r="N272" s="244">
        <f>Weather_Site!B278</f>
        <v>0</v>
      </c>
      <c r="O272" s="245">
        <f>Weather_Site!C278</f>
        <v>0</v>
      </c>
      <c r="P272" s="5">
        <f>Weather_Site!E278</f>
        <v>0</v>
      </c>
      <c r="Q272" s="245">
        <f t="shared" si="36"/>
        <v>0</v>
      </c>
      <c r="R272" s="5">
        <f t="shared" si="39"/>
        <v>0</v>
      </c>
      <c r="S272" s="5">
        <f t="shared" si="37"/>
        <v>0</v>
      </c>
      <c r="T272" s="247">
        <f t="shared" si="38"/>
        <v>0</v>
      </c>
      <c r="U272" s="5">
        <f t="shared" si="40"/>
        <v>0</v>
      </c>
      <c r="V272" s="247">
        <f t="shared" si="41"/>
        <v>0</v>
      </c>
      <c r="W272" s="276">
        <f t="shared" si="42"/>
        <v>0</v>
      </c>
      <c r="X272" s="277">
        <f t="shared" si="35"/>
        <v>0</v>
      </c>
    </row>
    <row r="273" spans="14:24" x14ac:dyDescent="0.25">
      <c r="N273" s="244">
        <f>Weather_Site!B279</f>
        <v>0</v>
      </c>
      <c r="O273" s="245">
        <f>Weather_Site!C279</f>
        <v>0</v>
      </c>
      <c r="P273" s="5">
        <f>Weather_Site!E279</f>
        <v>0</v>
      </c>
      <c r="Q273" s="245">
        <f t="shared" si="36"/>
        <v>0</v>
      </c>
      <c r="R273" s="5">
        <f t="shared" si="39"/>
        <v>0</v>
      </c>
      <c r="S273" s="5">
        <f t="shared" si="37"/>
        <v>0</v>
      </c>
      <c r="T273" s="247">
        <f t="shared" si="38"/>
        <v>0</v>
      </c>
      <c r="U273" s="5">
        <f t="shared" si="40"/>
        <v>0</v>
      </c>
      <c r="V273" s="247">
        <f t="shared" si="41"/>
        <v>0</v>
      </c>
      <c r="W273" s="276">
        <f t="shared" si="42"/>
        <v>0</v>
      </c>
      <c r="X273" s="277">
        <f t="shared" si="35"/>
        <v>0</v>
      </c>
    </row>
    <row r="274" spans="14:24" x14ac:dyDescent="0.25">
      <c r="N274" s="244">
        <f>Weather_Site!B280</f>
        <v>0</v>
      </c>
      <c r="O274" s="245">
        <f>Weather_Site!C280</f>
        <v>0</v>
      </c>
      <c r="P274" s="5">
        <f>Weather_Site!E280</f>
        <v>0</v>
      </c>
      <c r="Q274" s="245">
        <f t="shared" si="36"/>
        <v>0</v>
      </c>
      <c r="R274" s="5">
        <f t="shared" si="39"/>
        <v>0</v>
      </c>
      <c r="S274" s="5">
        <f t="shared" si="37"/>
        <v>0</v>
      </c>
      <c r="T274" s="247">
        <f t="shared" si="38"/>
        <v>0</v>
      </c>
      <c r="U274" s="5">
        <f t="shared" si="40"/>
        <v>0</v>
      </c>
      <c r="V274" s="247">
        <f t="shared" si="41"/>
        <v>0</v>
      </c>
      <c r="W274" s="276">
        <f t="shared" si="42"/>
        <v>0</v>
      </c>
      <c r="X274" s="277">
        <f t="shared" si="35"/>
        <v>0</v>
      </c>
    </row>
    <row r="275" spans="14:24" x14ac:dyDescent="0.25">
      <c r="N275" s="244">
        <f>Weather_Site!B281</f>
        <v>0</v>
      </c>
      <c r="O275" s="245">
        <f>Weather_Site!C281</f>
        <v>0</v>
      </c>
      <c r="P275" s="5">
        <f>Weather_Site!E281</f>
        <v>0</v>
      </c>
      <c r="Q275" s="245">
        <f t="shared" si="36"/>
        <v>0</v>
      </c>
      <c r="R275" s="5">
        <f t="shared" si="39"/>
        <v>0</v>
      </c>
      <c r="S275" s="5">
        <f t="shared" si="37"/>
        <v>0</v>
      </c>
      <c r="T275" s="247">
        <f t="shared" si="38"/>
        <v>0</v>
      </c>
      <c r="U275" s="5">
        <f t="shared" si="40"/>
        <v>0</v>
      </c>
      <c r="V275" s="247">
        <f t="shared" si="41"/>
        <v>0</v>
      </c>
      <c r="W275" s="276">
        <f t="shared" si="42"/>
        <v>0</v>
      </c>
      <c r="X275" s="277">
        <f t="shared" si="35"/>
        <v>0</v>
      </c>
    </row>
    <row r="276" spans="14:24" x14ac:dyDescent="0.25">
      <c r="N276" s="244">
        <f>Weather_Site!B282</f>
        <v>0</v>
      </c>
      <c r="O276" s="245">
        <f>Weather_Site!C282</f>
        <v>0</v>
      </c>
      <c r="P276" s="5">
        <f>Weather_Site!E282</f>
        <v>0</v>
      </c>
      <c r="Q276" s="245">
        <f t="shared" si="36"/>
        <v>0</v>
      </c>
      <c r="R276" s="5">
        <f t="shared" si="39"/>
        <v>0</v>
      </c>
      <c r="S276" s="5">
        <f t="shared" si="37"/>
        <v>0</v>
      </c>
      <c r="T276" s="247">
        <f t="shared" si="38"/>
        <v>0</v>
      </c>
      <c r="U276" s="5">
        <f t="shared" si="40"/>
        <v>0</v>
      </c>
      <c r="V276" s="247">
        <f t="shared" si="41"/>
        <v>0</v>
      </c>
      <c r="W276" s="276">
        <f t="shared" si="42"/>
        <v>0</v>
      </c>
      <c r="X276" s="277">
        <f t="shared" si="35"/>
        <v>0</v>
      </c>
    </row>
    <row r="277" spans="14:24" x14ac:dyDescent="0.25">
      <c r="N277" s="244">
        <f>Weather_Site!B283</f>
        <v>0</v>
      </c>
      <c r="O277" s="245">
        <f>Weather_Site!C283</f>
        <v>0</v>
      </c>
      <c r="P277" s="5">
        <f>Weather_Site!E283</f>
        <v>0</v>
      </c>
      <c r="Q277" s="245">
        <f t="shared" si="36"/>
        <v>0</v>
      </c>
      <c r="R277" s="5">
        <f t="shared" si="39"/>
        <v>0</v>
      </c>
      <c r="S277" s="5">
        <f t="shared" si="37"/>
        <v>0</v>
      </c>
      <c r="T277" s="247">
        <f t="shared" si="38"/>
        <v>0</v>
      </c>
      <c r="U277" s="5">
        <f t="shared" si="40"/>
        <v>0</v>
      </c>
      <c r="V277" s="247">
        <f t="shared" si="41"/>
        <v>0</v>
      </c>
      <c r="W277" s="276">
        <f t="shared" si="42"/>
        <v>0</v>
      </c>
      <c r="X277" s="277">
        <f t="shared" si="35"/>
        <v>0</v>
      </c>
    </row>
    <row r="278" spans="14:24" x14ac:dyDescent="0.25">
      <c r="N278" s="244">
        <f>Weather_Site!B284</f>
        <v>0</v>
      </c>
      <c r="O278" s="245">
        <f>Weather_Site!C284</f>
        <v>0</v>
      </c>
      <c r="P278" s="5">
        <f>Weather_Site!E284</f>
        <v>0</v>
      </c>
      <c r="Q278" s="245">
        <f t="shared" si="36"/>
        <v>0</v>
      </c>
      <c r="R278" s="5">
        <f t="shared" si="39"/>
        <v>0</v>
      </c>
      <c r="S278" s="5">
        <f t="shared" si="37"/>
        <v>0</v>
      </c>
      <c r="T278" s="247">
        <f t="shared" si="38"/>
        <v>0</v>
      </c>
      <c r="U278" s="5">
        <f t="shared" si="40"/>
        <v>0</v>
      </c>
      <c r="V278" s="247">
        <f t="shared" si="41"/>
        <v>0</v>
      </c>
      <c r="W278" s="276">
        <f t="shared" si="42"/>
        <v>0</v>
      </c>
      <c r="X278" s="277">
        <f t="shared" si="35"/>
        <v>0</v>
      </c>
    </row>
    <row r="279" spans="14:24" x14ac:dyDescent="0.25">
      <c r="N279" s="244">
        <f>Weather_Site!B285</f>
        <v>0</v>
      </c>
      <c r="O279" s="245">
        <f>Weather_Site!C285</f>
        <v>0</v>
      </c>
      <c r="P279" s="5">
        <f>Weather_Site!E285</f>
        <v>0</v>
      </c>
      <c r="Q279" s="245">
        <f t="shared" si="36"/>
        <v>0</v>
      </c>
      <c r="R279" s="5">
        <f t="shared" si="39"/>
        <v>0</v>
      </c>
      <c r="S279" s="5">
        <f t="shared" si="37"/>
        <v>0</v>
      </c>
      <c r="T279" s="247">
        <f t="shared" si="38"/>
        <v>0</v>
      </c>
      <c r="U279" s="5">
        <f t="shared" si="40"/>
        <v>0</v>
      </c>
      <c r="V279" s="247">
        <f t="shared" si="41"/>
        <v>0</v>
      </c>
      <c r="W279" s="276">
        <f t="shared" si="42"/>
        <v>0</v>
      </c>
      <c r="X279" s="277">
        <f t="shared" si="35"/>
        <v>0</v>
      </c>
    </row>
    <row r="280" spans="14:24" x14ac:dyDescent="0.25">
      <c r="N280" s="244">
        <f>Weather_Site!B286</f>
        <v>0</v>
      </c>
      <c r="O280" s="245">
        <f>Weather_Site!C286</f>
        <v>0</v>
      </c>
      <c r="P280" s="5">
        <f>Weather_Site!E286</f>
        <v>0</v>
      </c>
      <c r="Q280" s="245">
        <f t="shared" si="36"/>
        <v>0</v>
      </c>
      <c r="R280" s="5">
        <f t="shared" si="39"/>
        <v>0</v>
      </c>
      <c r="S280" s="5">
        <f t="shared" si="37"/>
        <v>0</v>
      </c>
      <c r="T280" s="247">
        <f t="shared" si="38"/>
        <v>0</v>
      </c>
      <c r="U280" s="5">
        <f t="shared" si="40"/>
        <v>0</v>
      </c>
      <c r="V280" s="247">
        <f t="shared" si="41"/>
        <v>0</v>
      </c>
      <c r="W280" s="276">
        <f t="shared" si="42"/>
        <v>0</v>
      </c>
      <c r="X280" s="277">
        <f t="shared" si="35"/>
        <v>0</v>
      </c>
    </row>
    <row r="281" spans="14:24" x14ac:dyDescent="0.25">
      <c r="N281" s="244">
        <f>Weather_Site!B287</f>
        <v>0</v>
      </c>
      <c r="O281" s="245">
        <f>Weather_Site!C287</f>
        <v>0</v>
      </c>
      <c r="P281" s="5">
        <f>Weather_Site!E287</f>
        <v>0</v>
      </c>
      <c r="Q281" s="245">
        <f t="shared" si="36"/>
        <v>0</v>
      </c>
      <c r="R281" s="5">
        <f t="shared" si="39"/>
        <v>0</v>
      </c>
      <c r="S281" s="5">
        <f t="shared" si="37"/>
        <v>0</v>
      </c>
      <c r="T281" s="247">
        <f t="shared" si="38"/>
        <v>0</v>
      </c>
      <c r="U281" s="5">
        <f t="shared" si="40"/>
        <v>0</v>
      </c>
      <c r="V281" s="247">
        <f t="shared" si="41"/>
        <v>0</v>
      </c>
      <c r="W281" s="276">
        <f t="shared" si="42"/>
        <v>0</v>
      </c>
      <c r="X281" s="277">
        <f t="shared" si="35"/>
        <v>0</v>
      </c>
    </row>
    <row r="282" spans="14:24" x14ac:dyDescent="0.25">
      <c r="N282" s="244">
        <f>Weather_Site!B288</f>
        <v>0</v>
      </c>
      <c r="O282" s="245">
        <f>Weather_Site!C288</f>
        <v>0</v>
      </c>
      <c r="P282" s="5">
        <f>Weather_Site!E288</f>
        <v>0</v>
      </c>
      <c r="Q282" s="245">
        <f t="shared" si="36"/>
        <v>0</v>
      </c>
      <c r="R282" s="5">
        <f t="shared" si="39"/>
        <v>0</v>
      </c>
      <c r="S282" s="5">
        <f t="shared" si="37"/>
        <v>0</v>
      </c>
      <c r="T282" s="247">
        <f t="shared" si="38"/>
        <v>0</v>
      </c>
      <c r="U282" s="5">
        <f t="shared" si="40"/>
        <v>0</v>
      </c>
      <c r="V282" s="247">
        <f t="shared" si="41"/>
        <v>0</v>
      </c>
      <c r="W282" s="276">
        <f t="shared" si="42"/>
        <v>0</v>
      </c>
      <c r="X282" s="277">
        <f t="shared" si="35"/>
        <v>0</v>
      </c>
    </row>
    <row r="283" spans="14:24" x14ac:dyDescent="0.25">
      <c r="N283" s="244">
        <f>Weather_Site!B289</f>
        <v>0</v>
      </c>
      <c r="O283" s="245">
        <f>Weather_Site!C289</f>
        <v>0</v>
      </c>
      <c r="P283" s="5">
        <f>Weather_Site!E289</f>
        <v>0</v>
      </c>
      <c r="Q283" s="245">
        <f t="shared" si="36"/>
        <v>0</v>
      </c>
      <c r="R283" s="5">
        <f t="shared" si="39"/>
        <v>0</v>
      </c>
      <c r="S283" s="5">
        <f t="shared" si="37"/>
        <v>0</v>
      </c>
      <c r="T283" s="247">
        <f t="shared" si="38"/>
        <v>0</v>
      </c>
      <c r="U283" s="5">
        <f t="shared" si="40"/>
        <v>0</v>
      </c>
      <c r="V283" s="247">
        <f t="shared" si="41"/>
        <v>0</v>
      </c>
      <c r="W283" s="276">
        <f t="shared" si="42"/>
        <v>0</v>
      </c>
      <c r="X283" s="277">
        <f t="shared" si="35"/>
        <v>0</v>
      </c>
    </row>
    <row r="284" spans="14:24" x14ac:dyDescent="0.25">
      <c r="N284" s="244">
        <f>Weather_Site!B290</f>
        <v>0</v>
      </c>
      <c r="O284" s="245">
        <f>Weather_Site!C290</f>
        <v>0</v>
      </c>
      <c r="P284" s="5">
        <f>Weather_Site!E290</f>
        <v>0</v>
      </c>
      <c r="Q284" s="245">
        <f t="shared" si="36"/>
        <v>0</v>
      </c>
      <c r="R284" s="5">
        <f t="shared" si="39"/>
        <v>0</v>
      </c>
      <c r="S284" s="5">
        <f t="shared" si="37"/>
        <v>0</v>
      </c>
      <c r="T284" s="247">
        <f t="shared" si="38"/>
        <v>0</v>
      </c>
      <c r="U284" s="5">
        <f t="shared" si="40"/>
        <v>0</v>
      </c>
      <c r="V284" s="247">
        <f t="shared" si="41"/>
        <v>0</v>
      </c>
      <c r="W284" s="276">
        <f t="shared" si="42"/>
        <v>0</v>
      </c>
      <c r="X284" s="277">
        <f t="shared" si="35"/>
        <v>0</v>
      </c>
    </row>
    <row r="285" spans="14:24" x14ac:dyDescent="0.25">
      <c r="N285" s="244">
        <f>Weather_Site!B291</f>
        <v>0</v>
      </c>
      <c r="O285" s="245">
        <f>Weather_Site!C291</f>
        <v>0</v>
      </c>
      <c r="P285" s="5">
        <f>Weather_Site!E291</f>
        <v>0</v>
      </c>
      <c r="Q285" s="245">
        <f t="shared" si="36"/>
        <v>0</v>
      </c>
      <c r="R285" s="5">
        <f t="shared" si="39"/>
        <v>0</v>
      </c>
      <c r="S285" s="5">
        <f t="shared" si="37"/>
        <v>0</v>
      </c>
      <c r="T285" s="247">
        <f t="shared" si="38"/>
        <v>0</v>
      </c>
      <c r="U285" s="5">
        <f t="shared" si="40"/>
        <v>0</v>
      </c>
      <c r="V285" s="247">
        <f t="shared" si="41"/>
        <v>0</v>
      </c>
      <c r="W285" s="276">
        <f t="shared" si="42"/>
        <v>0</v>
      </c>
      <c r="X285" s="277">
        <f t="shared" si="35"/>
        <v>0</v>
      </c>
    </row>
    <row r="286" spans="14:24" x14ac:dyDescent="0.25">
      <c r="N286" s="244">
        <f>Weather_Site!B292</f>
        <v>0</v>
      </c>
      <c r="O286" s="245">
        <f>Weather_Site!C292</f>
        <v>0</v>
      </c>
      <c r="P286" s="5">
        <f>Weather_Site!E292</f>
        <v>0</v>
      </c>
      <c r="Q286" s="245">
        <f t="shared" si="36"/>
        <v>0</v>
      </c>
      <c r="R286" s="5">
        <f t="shared" si="39"/>
        <v>0</v>
      </c>
      <c r="S286" s="5">
        <f t="shared" si="37"/>
        <v>0</v>
      </c>
      <c r="T286" s="247">
        <f t="shared" si="38"/>
        <v>0</v>
      </c>
      <c r="U286" s="5">
        <f t="shared" si="40"/>
        <v>0</v>
      </c>
      <c r="V286" s="247">
        <f t="shared" si="41"/>
        <v>0</v>
      </c>
      <c r="W286" s="276">
        <f t="shared" si="42"/>
        <v>0</v>
      </c>
      <c r="X286" s="277">
        <f t="shared" si="35"/>
        <v>0</v>
      </c>
    </row>
    <row r="287" spans="14:24" x14ac:dyDescent="0.25">
      <c r="N287" s="244">
        <f>Weather_Site!B293</f>
        <v>0</v>
      </c>
      <c r="O287" s="245">
        <f>Weather_Site!C293</f>
        <v>0</v>
      </c>
      <c r="P287" s="5">
        <f>Weather_Site!E293</f>
        <v>0</v>
      </c>
      <c r="Q287" s="245">
        <f t="shared" si="36"/>
        <v>0</v>
      </c>
      <c r="R287" s="5">
        <f t="shared" si="39"/>
        <v>0</v>
      </c>
      <c r="S287" s="5">
        <f t="shared" si="37"/>
        <v>0</v>
      </c>
      <c r="T287" s="247">
        <f t="shared" si="38"/>
        <v>0</v>
      </c>
      <c r="U287" s="5">
        <f t="shared" si="40"/>
        <v>0</v>
      </c>
      <c r="V287" s="247">
        <f t="shared" si="41"/>
        <v>0</v>
      </c>
      <c r="W287" s="276">
        <f t="shared" si="42"/>
        <v>0</v>
      </c>
      <c r="X287" s="277">
        <f t="shared" si="35"/>
        <v>0</v>
      </c>
    </row>
    <row r="288" spans="14:24" x14ac:dyDescent="0.25">
      <c r="N288" s="244">
        <f>Weather_Site!B294</f>
        <v>0</v>
      </c>
      <c r="O288" s="245">
        <f>Weather_Site!C294</f>
        <v>0</v>
      </c>
      <c r="P288" s="5">
        <f>Weather_Site!E294</f>
        <v>0</v>
      </c>
      <c r="Q288" s="245">
        <f t="shared" si="36"/>
        <v>0</v>
      </c>
      <c r="R288" s="5">
        <f t="shared" si="39"/>
        <v>0</v>
      </c>
      <c r="S288" s="5">
        <f t="shared" si="37"/>
        <v>0</v>
      </c>
      <c r="T288" s="247">
        <f t="shared" si="38"/>
        <v>0</v>
      </c>
      <c r="U288" s="5">
        <f t="shared" si="40"/>
        <v>0</v>
      </c>
      <c r="V288" s="247">
        <f t="shared" si="41"/>
        <v>0</v>
      </c>
      <c r="W288" s="276">
        <f t="shared" si="42"/>
        <v>0</v>
      </c>
      <c r="X288" s="277">
        <f t="shared" si="35"/>
        <v>0</v>
      </c>
    </row>
    <row r="289" spans="14:24" x14ac:dyDescent="0.25">
      <c r="N289" s="244">
        <f>Weather_Site!B295</f>
        <v>0</v>
      </c>
      <c r="O289" s="245">
        <f>Weather_Site!C295</f>
        <v>0</v>
      </c>
      <c r="P289" s="5">
        <f>Weather_Site!E295</f>
        <v>0</v>
      </c>
      <c r="Q289" s="245">
        <f t="shared" si="36"/>
        <v>0</v>
      </c>
      <c r="R289" s="5">
        <f t="shared" si="39"/>
        <v>0</v>
      </c>
      <c r="S289" s="5">
        <f t="shared" si="37"/>
        <v>0</v>
      </c>
      <c r="T289" s="247">
        <f t="shared" si="38"/>
        <v>0</v>
      </c>
      <c r="U289" s="5">
        <f t="shared" si="40"/>
        <v>0</v>
      </c>
      <c r="V289" s="247">
        <f t="shared" si="41"/>
        <v>0</v>
      </c>
      <c r="W289" s="276">
        <f t="shared" si="42"/>
        <v>0</v>
      </c>
      <c r="X289" s="277">
        <f t="shared" si="35"/>
        <v>0</v>
      </c>
    </row>
    <row r="290" spans="14:24" x14ac:dyDescent="0.25">
      <c r="N290" s="244">
        <f>Weather_Site!B296</f>
        <v>0</v>
      </c>
      <c r="O290" s="245">
        <f>Weather_Site!C296</f>
        <v>0</v>
      </c>
      <c r="P290" s="5">
        <f>Weather_Site!E296</f>
        <v>0</v>
      </c>
      <c r="Q290" s="245">
        <f t="shared" si="36"/>
        <v>0</v>
      </c>
      <c r="R290" s="5">
        <f t="shared" si="39"/>
        <v>0</v>
      </c>
      <c r="S290" s="5">
        <f t="shared" si="37"/>
        <v>0</v>
      </c>
      <c r="T290" s="247">
        <f t="shared" si="38"/>
        <v>0</v>
      </c>
      <c r="U290" s="5">
        <f t="shared" si="40"/>
        <v>0</v>
      </c>
      <c r="V290" s="247">
        <f t="shared" si="41"/>
        <v>0</v>
      </c>
      <c r="W290" s="276">
        <f t="shared" si="42"/>
        <v>0</v>
      </c>
      <c r="X290" s="277">
        <f t="shared" si="35"/>
        <v>0</v>
      </c>
    </row>
    <row r="291" spans="14:24" x14ac:dyDescent="0.25">
      <c r="N291" s="244">
        <f>Weather_Site!B297</f>
        <v>0</v>
      </c>
      <c r="O291" s="245">
        <f>Weather_Site!C297</f>
        <v>0</v>
      </c>
      <c r="P291" s="5">
        <f>Weather_Site!E297</f>
        <v>0</v>
      </c>
      <c r="Q291" s="245">
        <f t="shared" si="36"/>
        <v>0</v>
      </c>
      <c r="R291" s="5">
        <f t="shared" si="39"/>
        <v>0</v>
      </c>
      <c r="S291" s="5">
        <f t="shared" si="37"/>
        <v>0</v>
      </c>
      <c r="T291" s="247">
        <f t="shared" si="38"/>
        <v>0</v>
      </c>
      <c r="U291" s="5">
        <f t="shared" si="40"/>
        <v>0</v>
      </c>
      <c r="V291" s="247">
        <f t="shared" si="41"/>
        <v>0</v>
      </c>
      <c r="W291" s="276">
        <f t="shared" si="42"/>
        <v>0</v>
      </c>
      <c r="X291" s="277">
        <f t="shared" si="35"/>
        <v>0</v>
      </c>
    </row>
    <row r="292" spans="14:24" x14ac:dyDescent="0.25">
      <c r="N292" s="244">
        <f>Weather_Site!B298</f>
        <v>0</v>
      </c>
      <c r="O292" s="245">
        <f>Weather_Site!C298</f>
        <v>0</v>
      </c>
      <c r="P292" s="5">
        <f>Weather_Site!E298</f>
        <v>0</v>
      </c>
      <c r="Q292" s="245">
        <f t="shared" si="36"/>
        <v>0</v>
      </c>
      <c r="R292" s="5">
        <f t="shared" si="39"/>
        <v>0</v>
      </c>
      <c r="S292" s="5">
        <f t="shared" si="37"/>
        <v>0</v>
      </c>
      <c r="T292" s="247">
        <f t="shared" si="38"/>
        <v>0</v>
      </c>
      <c r="U292" s="5">
        <f t="shared" si="40"/>
        <v>0</v>
      </c>
      <c r="V292" s="247">
        <f t="shared" si="41"/>
        <v>0</v>
      </c>
      <c r="W292" s="276">
        <f t="shared" si="42"/>
        <v>0</v>
      </c>
      <c r="X292" s="277">
        <f t="shared" ref="X292:X355" si="43">IF(AND(O291&lt;0.333,O292&gt;=0.333),W292,X291)</f>
        <v>0</v>
      </c>
    </row>
    <row r="293" spans="14:24" x14ac:dyDescent="0.25">
      <c r="N293" s="244">
        <f>Weather_Site!B299</f>
        <v>0</v>
      </c>
      <c r="O293" s="245">
        <f>Weather_Site!C299</f>
        <v>0</v>
      </c>
      <c r="P293" s="5">
        <f>Weather_Site!E299</f>
        <v>0</v>
      </c>
      <c r="Q293" s="245">
        <f t="shared" ref="Q293:Q356" si="44">IF((O293-O292)&lt;0,(1-MAX(O292,0.625))+MIN(O293,0.334),(IF(O292&lt;0.333,(MIN(O293,0.334)-O292),IF(O293&gt;0.625,MAX(O293,0.625)-O292,0))))</f>
        <v>0</v>
      </c>
      <c r="R293" s="5">
        <f t="shared" si="39"/>
        <v>0</v>
      </c>
      <c r="S293" s="5">
        <f t="shared" ref="S293:S356" si="45">HOUR(O293)</f>
        <v>0</v>
      </c>
      <c r="T293" s="247">
        <f t="shared" ref="T293:T356" si="46">(P293+P292)/2*R293</f>
        <v>0</v>
      </c>
      <c r="U293" s="5">
        <f t="shared" si="40"/>
        <v>0</v>
      </c>
      <c r="V293" s="247">
        <f t="shared" si="41"/>
        <v>0</v>
      </c>
      <c r="W293" s="276">
        <f t="shared" si="42"/>
        <v>0</v>
      </c>
      <c r="X293" s="277">
        <f t="shared" si="43"/>
        <v>0</v>
      </c>
    </row>
    <row r="294" spans="14:24" x14ac:dyDescent="0.25">
      <c r="N294" s="244">
        <f>Weather_Site!B300</f>
        <v>0</v>
      </c>
      <c r="O294" s="245">
        <f>Weather_Site!C300</f>
        <v>0</v>
      </c>
      <c r="P294" s="5">
        <f>Weather_Site!E300</f>
        <v>0</v>
      </c>
      <c r="Q294" s="245">
        <f t="shared" si="44"/>
        <v>0</v>
      </c>
      <c r="R294" s="5">
        <f t="shared" si="39"/>
        <v>0</v>
      </c>
      <c r="S294" s="5">
        <f t="shared" si="45"/>
        <v>0</v>
      </c>
      <c r="T294" s="247">
        <f t="shared" si="46"/>
        <v>0</v>
      </c>
      <c r="U294" s="5">
        <f t="shared" si="40"/>
        <v>0</v>
      </c>
      <c r="V294" s="247">
        <f t="shared" si="41"/>
        <v>0</v>
      </c>
      <c r="W294" s="276">
        <f t="shared" si="42"/>
        <v>0</v>
      </c>
      <c r="X294" s="277">
        <f t="shared" si="43"/>
        <v>0</v>
      </c>
    </row>
    <row r="295" spans="14:24" x14ac:dyDescent="0.25">
      <c r="N295" s="244">
        <f>Weather_Site!B301</f>
        <v>0</v>
      </c>
      <c r="O295" s="245">
        <f>Weather_Site!C301</f>
        <v>0</v>
      </c>
      <c r="P295" s="5">
        <f>Weather_Site!E301</f>
        <v>0</v>
      </c>
      <c r="Q295" s="245">
        <f t="shared" si="44"/>
        <v>0</v>
      </c>
      <c r="R295" s="5">
        <f t="shared" si="39"/>
        <v>0</v>
      </c>
      <c r="S295" s="5">
        <f t="shared" si="45"/>
        <v>0</v>
      </c>
      <c r="T295" s="247">
        <f t="shared" si="46"/>
        <v>0</v>
      </c>
      <c r="U295" s="5">
        <f t="shared" si="40"/>
        <v>0</v>
      </c>
      <c r="V295" s="247">
        <f t="shared" si="41"/>
        <v>0</v>
      </c>
      <c r="W295" s="276">
        <f t="shared" si="42"/>
        <v>0</v>
      </c>
      <c r="X295" s="277">
        <f t="shared" si="43"/>
        <v>0</v>
      </c>
    </row>
    <row r="296" spans="14:24" x14ac:dyDescent="0.25">
      <c r="N296" s="244">
        <f>Weather_Site!B302</f>
        <v>0</v>
      </c>
      <c r="O296" s="245">
        <f>Weather_Site!C302</f>
        <v>0</v>
      </c>
      <c r="P296" s="5">
        <f>Weather_Site!E302</f>
        <v>0</v>
      </c>
      <c r="Q296" s="245">
        <f t="shared" si="44"/>
        <v>0</v>
      </c>
      <c r="R296" s="5">
        <f t="shared" si="39"/>
        <v>0</v>
      </c>
      <c r="S296" s="5">
        <f t="shared" si="45"/>
        <v>0</v>
      </c>
      <c r="T296" s="247">
        <f t="shared" si="46"/>
        <v>0</v>
      </c>
      <c r="U296" s="5">
        <f t="shared" si="40"/>
        <v>0</v>
      </c>
      <c r="V296" s="247">
        <f t="shared" si="41"/>
        <v>0</v>
      </c>
      <c r="W296" s="276">
        <f t="shared" si="42"/>
        <v>0</v>
      </c>
      <c r="X296" s="277">
        <f t="shared" si="43"/>
        <v>0</v>
      </c>
    </row>
    <row r="297" spans="14:24" x14ac:dyDescent="0.25">
      <c r="N297" s="244">
        <f>Weather_Site!B303</f>
        <v>0</v>
      </c>
      <c r="O297" s="245">
        <f>Weather_Site!C303</f>
        <v>0</v>
      </c>
      <c r="P297" s="5">
        <f>Weather_Site!E303</f>
        <v>0</v>
      </c>
      <c r="Q297" s="245">
        <f t="shared" si="44"/>
        <v>0</v>
      </c>
      <c r="R297" s="5">
        <f t="shared" si="39"/>
        <v>0</v>
      </c>
      <c r="S297" s="5">
        <f t="shared" si="45"/>
        <v>0</v>
      </c>
      <c r="T297" s="247">
        <f t="shared" si="46"/>
        <v>0</v>
      </c>
      <c r="U297" s="5">
        <f t="shared" si="40"/>
        <v>0</v>
      </c>
      <c r="V297" s="247">
        <f t="shared" si="41"/>
        <v>0</v>
      </c>
      <c r="W297" s="276">
        <f t="shared" si="42"/>
        <v>0</v>
      </c>
      <c r="X297" s="277">
        <f t="shared" si="43"/>
        <v>0</v>
      </c>
    </row>
    <row r="298" spans="14:24" x14ac:dyDescent="0.25">
      <c r="N298" s="244">
        <f>Weather_Site!B304</f>
        <v>0</v>
      </c>
      <c r="O298" s="245">
        <f>Weather_Site!C304</f>
        <v>0</v>
      </c>
      <c r="P298" s="5">
        <f>Weather_Site!E304</f>
        <v>0</v>
      </c>
      <c r="Q298" s="245">
        <f t="shared" si="44"/>
        <v>0</v>
      </c>
      <c r="R298" s="5">
        <f t="shared" si="39"/>
        <v>0</v>
      </c>
      <c r="S298" s="5">
        <f t="shared" si="45"/>
        <v>0</v>
      </c>
      <c r="T298" s="247">
        <f t="shared" si="46"/>
        <v>0</v>
      </c>
      <c r="U298" s="5">
        <f t="shared" si="40"/>
        <v>0</v>
      </c>
      <c r="V298" s="247">
        <f t="shared" si="41"/>
        <v>0</v>
      </c>
      <c r="W298" s="276">
        <f t="shared" si="42"/>
        <v>0</v>
      </c>
      <c r="X298" s="277">
        <f t="shared" si="43"/>
        <v>0</v>
      </c>
    </row>
    <row r="299" spans="14:24" x14ac:dyDescent="0.25">
      <c r="N299" s="244">
        <f>Weather_Site!B305</f>
        <v>0</v>
      </c>
      <c r="O299" s="245">
        <f>Weather_Site!C305</f>
        <v>0</v>
      </c>
      <c r="P299" s="5">
        <f>Weather_Site!E305</f>
        <v>0</v>
      </c>
      <c r="Q299" s="245">
        <f t="shared" si="44"/>
        <v>0</v>
      </c>
      <c r="R299" s="5">
        <f t="shared" si="39"/>
        <v>0</v>
      </c>
      <c r="S299" s="5">
        <f t="shared" si="45"/>
        <v>0</v>
      </c>
      <c r="T299" s="247">
        <f t="shared" si="46"/>
        <v>0</v>
      </c>
      <c r="U299" s="5">
        <f t="shared" si="40"/>
        <v>0</v>
      </c>
      <c r="V299" s="247">
        <f t="shared" si="41"/>
        <v>0</v>
      </c>
      <c r="W299" s="276">
        <f t="shared" si="42"/>
        <v>0</v>
      </c>
      <c r="X299" s="277">
        <f t="shared" si="43"/>
        <v>0</v>
      </c>
    </row>
    <row r="300" spans="14:24" x14ac:dyDescent="0.25">
      <c r="N300" s="244">
        <f>Weather_Site!B306</f>
        <v>0</v>
      </c>
      <c r="O300" s="245">
        <f>Weather_Site!C306</f>
        <v>0</v>
      </c>
      <c r="P300" s="5">
        <f>Weather_Site!E306</f>
        <v>0</v>
      </c>
      <c r="Q300" s="245">
        <f t="shared" si="44"/>
        <v>0</v>
      </c>
      <c r="R300" s="5">
        <f t="shared" si="39"/>
        <v>0</v>
      </c>
      <c r="S300" s="5">
        <f t="shared" si="45"/>
        <v>0</v>
      </c>
      <c r="T300" s="247">
        <f t="shared" si="46"/>
        <v>0</v>
      </c>
      <c r="U300" s="5">
        <f t="shared" si="40"/>
        <v>0</v>
      </c>
      <c r="V300" s="247">
        <f t="shared" si="41"/>
        <v>0</v>
      </c>
      <c r="W300" s="276">
        <f t="shared" si="42"/>
        <v>0</v>
      </c>
      <c r="X300" s="277">
        <f t="shared" si="43"/>
        <v>0</v>
      </c>
    </row>
    <row r="301" spans="14:24" x14ac:dyDescent="0.25">
      <c r="N301" s="244">
        <f>Weather_Site!B307</f>
        <v>0</v>
      </c>
      <c r="O301" s="245">
        <f>Weather_Site!C307</f>
        <v>0</v>
      </c>
      <c r="P301" s="5">
        <f>Weather_Site!E307</f>
        <v>0</v>
      </c>
      <c r="Q301" s="245">
        <f t="shared" si="44"/>
        <v>0</v>
      </c>
      <c r="R301" s="5">
        <f t="shared" si="39"/>
        <v>0</v>
      </c>
      <c r="S301" s="5">
        <f t="shared" si="45"/>
        <v>0</v>
      </c>
      <c r="T301" s="247">
        <f t="shared" si="46"/>
        <v>0</v>
      </c>
      <c r="U301" s="5">
        <f t="shared" si="40"/>
        <v>0</v>
      </c>
      <c r="V301" s="247">
        <f t="shared" si="41"/>
        <v>0</v>
      </c>
      <c r="W301" s="276">
        <f t="shared" si="42"/>
        <v>0</v>
      </c>
      <c r="X301" s="277">
        <f t="shared" si="43"/>
        <v>0</v>
      </c>
    </row>
    <row r="302" spans="14:24" x14ac:dyDescent="0.25">
      <c r="N302" s="244">
        <f>Weather_Site!B308</f>
        <v>0</v>
      </c>
      <c r="O302" s="245">
        <f>Weather_Site!C308</f>
        <v>0</v>
      </c>
      <c r="P302" s="5">
        <f>Weather_Site!E308</f>
        <v>0</v>
      </c>
      <c r="Q302" s="245">
        <f t="shared" si="44"/>
        <v>0</v>
      </c>
      <c r="R302" s="5">
        <f t="shared" si="39"/>
        <v>0</v>
      </c>
      <c r="S302" s="5">
        <f t="shared" si="45"/>
        <v>0</v>
      </c>
      <c r="T302" s="247">
        <f t="shared" si="46"/>
        <v>0</v>
      </c>
      <c r="U302" s="5">
        <f t="shared" si="40"/>
        <v>0</v>
      </c>
      <c r="V302" s="247">
        <f t="shared" si="41"/>
        <v>0</v>
      </c>
      <c r="W302" s="276">
        <f t="shared" si="42"/>
        <v>0</v>
      </c>
      <c r="X302" s="277">
        <f t="shared" si="43"/>
        <v>0</v>
      </c>
    </row>
    <row r="303" spans="14:24" x14ac:dyDescent="0.25">
      <c r="N303" s="244">
        <f>Weather_Site!B309</f>
        <v>0</v>
      </c>
      <c r="O303" s="245">
        <f>Weather_Site!C309</f>
        <v>0</v>
      </c>
      <c r="P303" s="5">
        <f>Weather_Site!E309</f>
        <v>0</v>
      </c>
      <c r="Q303" s="245">
        <f t="shared" si="44"/>
        <v>0</v>
      </c>
      <c r="R303" s="5">
        <f t="shared" si="39"/>
        <v>0</v>
      </c>
      <c r="S303" s="5">
        <f t="shared" si="45"/>
        <v>0</v>
      </c>
      <c r="T303" s="247">
        <f t="shared" si="46"/>
        <v>0</v>
      </c>
      <c r="U303" s="5">
        <f t="shared" si="40"/>
        <v>0</v>
      </c>
      <c r="V303" s="247">
        <f t="shared" si="41"/>
        <v>0</v>
      </c>
      <c r="W303" s="276">
        <f t="shared" si="42"/>
        <v>0</v>
      </c>
      <c r="X303" s="277">
        <f t="shared" si="43"/>
        <v>0</v>
      </c>
    </row>
    <row r="304" spans="14:24" x14ac:dyDescent="0.25">
      <c r="N304" s="244">
        <f>Weather_Site!B310</f>
        <v>0</v>
      </c>
      <c r="O304" s="245">
        <f>Weather_Site!C310</f>
        <v>0</v>
      </c>
      <c r="P304" s="5">
        <f>Weather_Site!E310</f>
        <v>0</v>
      </c>
      <c r="Q304" s="245">
        <f t="shared" si="44"/>
        <v>0</v>
      </c>
      <c r="R304" s="5">
        <f t="shared" si="39"/>
        <v>0</v>
      </c>
      <c r="S304" s="5">
        <f t="shared" si="45"/>
        <v>0</v>
      </c>
      <c r="T304" s="247">
        <f t="shared" si="46"/>
        <v>0</v>
      </c>
      <c r="U304" s="5">
        <f t="shared" si="40"/>
        <v>0</v>
      </c>
      <c r="V304" s="247">
        <f t="shared" si="41"/>
        <v>0</v>
      </c>
      <c r="W304" s="276">
        <f t="shared" si="42"/>
        <v>0</v>
      </c>
      <c r="X304" s="277">
        <f t="shared" si="43"/>
        <v>0</v>
      </c>
    </row>
    <row r="305" spans="14:24" x14ac:dyDescent="0.25">
      <c r="N305" s="244">
        <f>Weather_Site!B311</f>
        <v>0</v>
      </c>
      <c r="O305" s="245">
        <f>Weather_Site!C311</f>
        <v>0</v>
      </c>
      <c r="P305" s="5">
        <f>Weather_Site!E311</f>
        <v>0</v>
      </c>
      <c r="Q305" s="245">
        <f t="shared" si="44"/>
        <v>0</v>
      </c>
      <c r="R305" s="5">
        <f t="shared" si="39"/>
        <v>0</v>
      </c>
      <c r="S305" s="5">
        <f t="shared" si="45"/>
        <v>0</v>
      </c>
      <c r="T305" s="247">
        <f t="shared" si="46"/>
        <v>0</v>
      </c>
      <c r="U305" s="5">
        <f t="shared" si="40"/>
        <v>0</v>
      </c>
      <c r="V305" s="247">
        <f t="shared" si="41"/>
        <v>0</v>
      </c>
      <c r="W305" s="276">
        <f t="shared" si="42"/>
        <v>0</v>
      </c>
      <c r="X305" s="277">
        <f t="shared" si="43"/>
        <v>0</v>
      </c>
    </row>
    <row r="306" spans="14:24" x14ac:dyDescent="0.25">
      <c r="N306" s="244">
        <f>Weather_Site!B312</f>
        <v>0</v>
      </c>
      <c r="O306" s="245">
        <f>Weather_Site!C312</f>
        <v>0</v>
      </c>
      <c r="P306" s="5">
        <f>Weather_Site!E312</f>
        <v>0</v>
      </c>
      <c r="Q306" s="245">
        <f t="shared" si="44"/>
        <v>0</v>
      </c>
      <c r="R306" s="5">
        <f t="shared" si="39"/>
        <v>0</v>
      </c>
      <c r="S306" s="5">
        <f t="shared" si="45"/>
        <v>0</v>
      </c>
      <c r="T306" s="247">
        <f t="shared" si="46"/>
        <v>0</v>
      </c>
      <c r="U306" s="5">
        <f t="shared" si="40"/>
        <v>0</v>
      </c>
      <c r="V306" s="247">
        <f t="shared" si="41"/>
        <v>0</v>
      </c>
      <c r="W306" s="276">
        <f t="shared" si="42"/>
        <v>0</v>
      </c>
      <c r="X306" s="277">
        <f t="shared" si="43"/>
        <v>0</v>
      </c>
    </row>
    <row r="307" spans="14:24" x14ac:dyDescent="0.25">
      <c r="N307" s="244">
        <f>Weather_Site!B313</f>
        <v>0</v>
      </c>
      <c r="O307" s="245">
        <f>Weather_Site!C313</f>
        <v>0</v>
      </c>
      <c r="P307" s="5">
        <f>Weather_Site!E313</f>
        <v>0</v>
      </c>
      <c r="Q307" s="245">
        <f t="shared" si="44"/>
        <v>0</v>
      </c>
      <c r="R307" s="5">
        <f t="shared" si="39"/>
        <v>0</v>
      </c>
      <c r="S307" s="5">
        <f t="shared" si="45"/>
        <v>0</v>
      </c>
      <c r="T307" s="247">
        <f t="shared" si="46"/>
        <v>0</v>
      </c>
      <c r="U307" s="5">
        <f t="shared" si="40"/>
        <v>0</v>
      </c>
      <c r="V307" s="247">
        <f t="shared" si="41"/>
        <v>0</v>
      </c>
      <c r="W307" s="276">
        <f t="shared" si="42"/>
        <v>0</v>
      </c>
      <c r="X307" s="277">
        <f t="shared" si="43"/>
        <v>0</v>
      </c>
    </row>
    <row r="308" spans="14:24" x14ac:dyDescent="0.25">
      <c r="N308" s="244">
        <f>Weather_Site!B314</f>
        <v>0</v>
      </c>
      <c r="O308" s="245">
        <f>Weather_Site!C314</f>
        <v>0</v>
      </c>
      <c r="P308" s="5">
        <f>Weather_Site!E314</f>
        <v>0</v>
      </c>
      <c r="Q308" s="245">
        <f t="shared" si="44"/>
        <v>0</v>
      </c>
      <c r="R308" s="5">
        <f t="shared" si="39"/>
        <v>0</v>
      </c>
      <c r="S308" s="5">
        <f t="shared" si="45"/>
        <v>0</v>
      </c>
      <c r="T308" s="247">
        <f t="shared" si="46"/>
        <v>0</v>
      </c>
      <c r="U308" s="5">
        <f t="shared" si="40"/>
        <v>0</v>
      </c>
      <c r="V308" s="247">
        <f t="shared" si="41"/>
        <v>0</v>
      </c>
      <c r="W308" s="276">
        <f t="shared" si="42"/>
        <v>0</v>
      </c>
      <c r="X308" s="277">
        <f t="shared" si="43"/>
        <v>0</v>
      </c>
    </row>
    <row r="309" spans="14:24" x14ac:dyDescent="0.25">
      <c r="N309" s="244">
        <f>Weather_Site!B315</f>
        <v>0</v>
      </c>
      <c r="O309" s="245">
        <f>Weather_Site!C315</f>
        <v>0</v>
      </c>
      <c r="P309" s="5">
        <f>Weather_Site!E315</f>
        <v>0</v>
      </c>
      <c r="Q309" s="245">
        <f t="shared" si="44"/>
        <v>0</v>
      </c>
      <c r="R309" s="5">
        <f t="shared" si="39"/>
        <v>0</v>
      </c>
      <c r="S309" s="5">
        <f t="shared" si="45"/>
        <v>0</v>
      </c>
      <c r="T309" s="247">
        <f t="shared" si="46"/>
        <v>0</v>
      </c>
      <c r="U309" s="5">
        <f t="shared" si="40"/>
        <v>0</v>
      </c>
      <c r="V309" s="247">
        <f t="shared" si="41"/>
        <v>0</v>
      </c>
      <c r="W309" s="276">
        <f t="shared" si="42"/>
        <v>0</v>
      </c>
      <c r="X309" s="277">
        <f t="shared" si="43"/>
        <v>0</v>
      </c>
    </row>
    <row r="310" spans="14:24" x14ac:dyDescent="0.25">
      <c r="N310" s="244">
        <f>Weather_Site!B316</f>
        <v>0</v>
      </c>
      <c r="O310" s="245">
        <f>Weather_Site!C316</f>
        <v>0</v>
      </c>
      <c r="P310" s="5">
        <f>Weather_Site!E316</f>
        <v>0</v>
      </c>
      <c r="Q310" s="245">
        <f t="shared" si="44"/>
        <v>0</v>
      </c>
      <c r="R310" s="5">
        <f t="shared" si="39"/>
        <v>0</v>
      </c>
      <c r="S310" s="5">
        <f t="shared" si="45"/>
        <v>0</v>
      </c>
      <c r="T310" s="247">
        <f t="shared" si="46"/>
        <v>0</v>
      </c>
      <c r="U310" s="5">
        <f t="shared" si="40"/>
        <v>0</v>
      </c>
      <c r="V310" s="247">
        <f t="shared" si="41"/>
        <v>0</v>
      </c>
      <c r="W310" s="276">
        <f t="shared" si="42"/>
        <v>0</v>
      </c>
      <c r="X310" s="277">
        <f t="shared" si="43"/>
        <v>0</v>
      </c>
    </row>
    <row r="311" spans="14:24" x14ac:dyDescent="0.25">
      <c r="N311" s="244">
        <f>Weather_Site!B317</f>
        <v>0</v>
      </c>
      <c r="O311" s="245">
        <f>Weather_Site!C317</f>
        <v>0</v>
      </c>
      <c r="P311" s="5">
        <f>Weather_Site!E317</f>
        <v>0</v>
      </c>
      <c r="Q311" s="245">
        <f t="shared" si="44"/>
        <v>0</v>
      </c>
      <c r="R311" s="5">
        <f t="shared" si="39"/>
        <v>0</v>
      </c>
      <c r="S311" s="5">
        <f t="shared" si="45"/>
        <v>0</v>
      </c>
      <c r="T311" s="247">
        <f t="shared" si="46"/>
        <v>0</v>
      </c>
      <c r="U311" s="5">
        <f t="shared" si="40"/>
        <v>0</v>
      </c>
      <c r="V311" s="247">
        <f t="shared" si="41"/>
        <v>0</v>
      </c>
      <c r="W311" s="276">
        <f t="shared" si="42"/>
        <v>0</v>
      </c>
      <c r="X311" s="277">
        <f t="shared" si="43"/>
        <v>0</v>
      </c>
    </row>
    <row r="312" spans="14:24" x14ac:dyDescent="0.25">
      <c r="N312" s="244">
        <f>Weather_Site!B318</f>
        <v>0</v>
      </c>
      <c r="O312" s="245">
        <f>Weather_Site!C318</f>
        <v>0</v>
      </c>
      <c r="P312" s="5">
        <f>Weather_Site!E318</f>
        <v>0</v>
      </c>
      <c r="Q312" s="245">
        <f t="shared" si="44"/>
        <v>0</v>
      </c>
      <c r="R312" s="5">
        <f t="shared" si="39"/>
        <v>0</v>
      </c>
      <c r="S312" s="5">
        <f t="shared" si="45"/>
        <v>0</v>
      </c>
      <c r="T312" s="247">
        <f t="shared" si="46"/>
        <v>0</v>
      </c>
      <c r="U312" s="5">
        <f t="shared" si="40"/>
        <v>0</v>
      </c>
      <c r="V312" s="247">
        <f t="shared" si="41"/>
        <v>0</v>
      </c>
      <c r="W312" s="276">
        <f t="shared" si="42"/>
        <v>0</v>
      </c>
      <c r="X312" s="277">
        <f t="shared" si="43"/>
        <v>0</v>
      </c>
    </row>
    <row r="313" spans="14:24" x14ac:dyDescent="0.25">
      <c r="N313" s="244">
        <f>Weather_Site!B319</f>
        <v>0</v>
      </c>
      <c r="O313" s="245">
        <f>Weather_Site!C319</f>
        <v>0</v>
      </c>
      <c r="P313" s="5">
        <f>Weather_Site!E319</f>
        <v>0</v>
      </c>
      <c r="Q313" s="245">
        <f t="shared" si="44"/>
        <v>0</v>
      </c>
      <c r="R313" s="5">
        <f t="shared" si="39"/>
        <v>0</v>
      </c>
      <c r="S313" s="5">
        <f t="shared" si="45"/>
        <v>0</v>
      </c>
      <c r="T313" s="247">
        <f t="shared" si="46"/>
        <v>0</v>
      </c>
      <c r="U313" s="5">
        <f t="shared" si="40"/>
        <v>0</v>
      </c>
      <c r="V313" s="247">
        <f t="shared" si="41"/>
        <v>0</v>
      </c>
      <c r="W313" s="276">
        <f t="shared" si="42"/>
        <v>0</v>
      </c>
      <c r="X313" s="277">
        <f t="shared" si="43"/>
        <v>0</v>
      </c>
    </row>
    <row r="314" spans="14:24" x14ac:dyDescent="0.25">
      <c r="N314" s="244">
        <f>Weather_Site!B320</f>
        <v>0</v>
      </c>
      <c r="O314" s="245">
        <f>Weather_Site!C320</f>
        <v>0</v>
      </c>
      <c r="P314" s="5">
        <f>Weather_Site!E320</f>
        <v>0</v>
      </c>
      <c r="Q314" s="245">
        <f t="shared" si="44"/>
        <v>0</v>
      </c>
      <c r="R314" s="5">
        <f t="shared" si="39"/>
        <v>0</v>
      </c>
      <c r="S314" s="5">
        <f t="shared" si="45"/>
        <v>0</v>
      </c>
      <c r="T314" s="247">
        <f t="shared" si="46"/>
        <v>0</v>
      </c>
      <c r="U314" s="5">
        <f t="shared" si="40"/>
        <v>0</v>
      </c>
      <c r="V314" s="247">
        <f t="shared" si="41"/>
        <v>0</v>
      </c>
      <c r="W314" s="276">
        <f t="shared" si="42"/>
        <v>0</v>
      </c>
      <c r="X314" s="277">
        <f t="shared" si="43"/>
        <v>0</v>
      </c>
    </row>
    <row r="315" spans="14:24" x14ac:dyDescent="0.25">
      <c r="N315" s="244">
        <f>Weather_Site!B321</f>
        <v>0</v>
      </c>
      <c r="O315" s="245">
        <f>Weather_Site!C321</f>
        <v>0</v>
      </c>
      <c r="P315" s="5">
        <f>Weather_Site!E321</f>
        <v>0</v>
      </c>
      <c r="Q315" s="245">
        <f t="shared" si="44"/>
        <v>0</v>
      </c>
      <c r="R315" s="5">
        <f t="shared" si="39"/>
        <v>0</v>
      </c>
      <c r="S315" s="5">
        <f t="shared" si="45"/>
        <v>0</v>
      </c>
      <c r="T315" s="247">
        <f t="shared" si="46"/>
        <v>0</v>
      </c>
      <c r="U315" s="5">
        <f t="shared" si="40"/>
        <v>0</v>
      </c>
      <c r="V315" s="247">
        <f t="shared" si="41"/>
        <v>0</v>
      </c>
      <c r="W315" s="276">
        <f t="shared" si="42"/>
        <v>0</v>
      </c>
      <c r="X315" s="277">
        <f t="shared" si="43"/>
        <v>0</v>
      </c>
    </row>
    <row r="316" spans="14:24" x14ac:dyDescent="0.25">
      <c r="N316" s="244">
        <f>Weather_Site!B322</f>
        <v>0</v>
      </c>
      <c r="O316" s="245">
        <f>Weather_Site!C322</f>
        <v>0</v>
      </c>
      <c r="P316" s="5">
        <f>Weather_Site!E322</f>
        <v>0</v>
      </c>
      <c r="Q316" s="245">
        <f t="shared" si="44"/>
        <v>0</v>
      </c>
      <c r="R316" s="5">
        <f t="shared" si="39"/>
        <v>0</v>
      </c>
      <c r="S316" s="5">
        <f t="shared" si="45"/>
        <v>0</v>
      </c>
      <c r="T316" s="247">
        <f t="shared" si="46"/>
        <v>0</v>
      </c>
      <c r="U316" s="5">
        <f t="shared" si="40"/>
        <v>0</v>
      </c>
      <c r="V316" s="247">
        <f t="shared" si="41"/>
        <v>0</v>
      </c>
      <c r="W316" s="276">
        <f t="shared" si="42"/>
        <v>0</v>
      </c>
      <c r="X316" s="277">
        <f t="shared" si="43"/>
        <v>0</v>
      </c>
    </row>
    <row r="317" spans="14:24" x14ac:dyDescent="0.25">
      <c r="N317" s="244">
        <f>Weather_Site!B323</f>
        <v>0</v>
      </c>
      <c r="O317" s="245">
        <f>Weather_Site!C323</f>
        <v>0</v>
      </c>
      <c r="P317" s="5">
        <f>Weather_Site!E323</f>
        <v>0</v>
      </c>
      <c r="Q317" s="245">
        <f t="shared" si="44"/>
        <v>0</v>
      </c>
      <c r="R317" s="5">
        <f t="shared" si="39"/>
        <v>0</v>
      </c>
      <c r="S317" s="5">
        <f t="shared" si="45"/>
        <v>0</v>
      </c>
      <c r="T317" s="247">
        <f t="shared" si="46"/>
        <v>0</v>
      </c>
      <c r="U317" s="5">
        <f t="shared" si="40"/>
        <v>0</v>
      </c>
      <c r="V317" s="247">
        <f t="shared" si="41"/>
        <v>0</v>
      </c>
      <c r="W317" s="276">
        <f t="shared" si="42"/>
        <v>0</v>
      </c>
      <c r="X317" s="277">
        <f t="shared" si="43"/>
        <v>0</v>
      </c>
    </row>
    <row r="318" spans="14:24" x14ac:dyDescent="0.25">
      <c r="N318" s="244">
        <f>Weather_Site!B324</f>
        <v>0</v>
      </c>
      <c r="O318" s="245">
        <f>Weather_Site!C324</f>
        <v>0</v>
      </c>
      <c r="P318" s="5">
        <f>Weather_Site!E324</f>
        <v>0</v>
      </c>
      <c r="Q318" s="245">
        <f t="shared" si="44"/>
        <v>0</v>
      </c>
      <c r="R318" s="5">
        <f t="shared" si="39"/>
        <v>0</v>
      </c>
      <c r="S318" s="5">
        <f t="shared" si="45"/>
        <v>0</v>
      </c>
      <c r="T318" s="247">
        <f t="shared" si="46"/>
        <v>0</v>
      </c>
      <c r="U318" s="5">
        <f t="shared" si="40"/>
        <v>0</v>
      </c>
      <c r="V318" s="247">
        <f t="shared" si="41"/>
        <v>0</v>
      </c>
      <c r="W318" s="276">
        <f t="shared" si="42"/>
        <v>0</v>
      </c>
      <c r="X318" s="277">
        <f t="shared" si="43"/>
        <v>0</v>
      </c>
    </row>
    <row r="319" spans="14:24" x14ac:dyDescent="0.25">
      <c r="N319" s="244">
        <f>Weather_Site!B325</f>
        <v>0</v>
      </c>
      <c r="O319" s="245">
        <f>Weather_Site!C325</f>
        <v>0</v>
      </c>
      <c r="P319" s="5">
        <f>Weather_Site!E325</f>
        <v>0</v>
      </c>
      <c r="Q319" s="245">
        <f t="shared" si="44"/>
        <v>0</v>
      </c>
      <c r="R319" s="5">
        <f t="shared" si="39"/>
        <v>0</v>
      </c>
      <c r="S319" s="5">
        <f t="shared" si="45"/>
        <v>0</v>
      </c>
      <c r="T319" s="247">
        <f t="shared" si="46"/>
        <v>0</v>
      </c>
      <c r="U319" s="5">
        <f t="shared" si="40"/>
        <v>0</v>
      </c>
      <c r="V319" s="247">
        <f t="shared" si="41"/>
        <v>0</v>
      </c>
      <c r="W319" s="276">
        <f t="shared" si="42"/>
        <v>0</v>
      </c>
      <c r="X319" s="277">
        <f t="shared" si="43"/>
        <v>0</v>
      </c>
    </row>
    <row r="320" spans="14:24" x14ac:dyDescent="0.25">
      <c r="N320" s="244">
        <f>Weather_Site!B326</f>
        <v>0</v>
      </c>
      <c r="O320" s="245">
        <f>Weather_Site!C326</f>
        <v>0</v>
      </c>
      <c r="P320" s="5">
        <f>Weather_Site!E326</f>
        <v>0</v>
      </c>
      <c r="Q320" s="245">
        <f t="shared" si="44"/>
        <v>0</v>
      </c>
      <c r="R320" s="5">
        <f t="shared" si="39"/>
        <v>0</v>
      </c>
      <c r="S320" s="5">
        <f t="shared" si="45"/>
        <v>0</v>
      </c>
      <c r="T320" s="247">
        <f t="shared" si="46"/>
        <v>0</v>
      </c>
      <c r="U320" s="5">
        <f t="shared" si="40"/>
        <v>0</v>
      </c>
      <c r="V320" s="247">
        <f t="shared" si="41"/>
        <v>0</v>
      </c>
      <c r="W320" s="276">
        <f t="shared" si="42"/>
        <v>0</v>
      </c>
      <c r="X320" s="277">
        <f t="shared" si="43"/>
        <v>0</v>
      </c>
    </row>
    <row r="321" spans="14:24" x14ac:dyDescent="0.25">
      <c r="N321" s="244">
        <f>Weather_Site!B327</f>
        <v>0</v>
      </c>
      <c r="O321" s="245">
        <f>Weather_Site!C327</f>
        <v>0</v>
      </c>
      <c r="P321" s="5">
        <f>Weather_Site!E327</f>
        <v>0</v>
      </c>
      <c r="Q321" s="245">
        <f t="shared" si="44"/>
        <v>0</v>
      </c>
      <c r="R321" s="5">
        <f t="shared" si="39"/>
        <v>0</v>
      </c>
      <c r="S321" s="5">
        <f t="shared" si="45"/>
        <v>0</v>
      </c>
      <c r="T321" s="247">
        <f t="shared" si="46"/>
        <v>0</v>
      </c>
      <c r="U321" s="5">
        <f t="shared" si="40"/>
        <v>0</v>
      </c>
      <c r="V321" s="247">
        <f t="shared" si="41"/>
        <v>0</v>
      </c>
      <c r="W321" s="276">
        <f t="shared" si="42"/>
        <v>0</v>
      </c>
      <c r="X321" s="277">
        <f t="shared" si="43"/>
        <v>0</v>
      </c>
    </row>
    <row r="322" spans="14:24" x14ac:dyDescent="0.25">
      <c r="N322" s="244">
        <f>Weather_Site!B328</f>
        <v>0</v>
      </c>
      <c r="O322" s="245">
        <f>Weather_Site!C328</f>
        <v>0</v>
      </c>
      <c r="P322" s="5">
        <f>Weather_Site!E328</f>
        <v>0</v>
      </c>
      <c r="Q322" s="245">
        <f t="shared" si="44"/>
        <v>0</v>
      </c>
      <c r="R322" s="5">
        <f t="shared" si="39"/>
        <v>0</v>
      </c>
      <c r="S322" s="5">
        <f t="shared" si="45"/>
        <v>0</v>
      </c>
      <c r="T322" s="247">
        <f t="shared" si="46"/>
        <v>0</v>
      </c>
      <c r="U322" s="5">
        <f t="shared" si="40"/>
        <v>0</v>
      </c>
      <c r="V322" s="247">
        <f t="shared" si="41"/>
        <v>0</v>
      </c>
      <c r="W322" s="276">
        <f t="shared" si="42"/>
        <v>0</v>
      </c>
      <c r="X322" s="277">
        <f t="shared" si="43"/>
        <v>0</v>
      </c>
    </row>
    <row r="323" spans="14:24" x14ac:dyDescent="0.25">
      <c r="N323" s="244">
        <f>Weather_Site!B329</f>
        <v>0</v>
      </c>
      <c r="O323" s="245">
        <f>Weather_Site!C329</f>
        <v>0</v>
      </c>
      <c r="P323" s="5">
        <f>Weather_Site!E329</f>
        <v>0</v>
      </c>
      <c r="Q323" s="245">
        <f t="shared" si="44"/>
        <v>0</v>
      </c>
      <c r="R323" s="5">
        <f t="shared" si="39"/>
        <v>0</v>
      </c>
      <c r="S323" s="5">
        <f t="shared" si="45"/>
        <v>0</v>
      </c>
      <c r="T323" s="247">
        <f t="shared" si="46"/>
        <v>0</v>
      </c>
      <c r="U323" s="5">
        <f t="shared" si="40"/>
        <v>0</v>
      </c>
      <c r="V323" s="247">
        <f t="shared" si="41"/>
        <v>0</v>
      </c>
      <c r="W323" s="276">
        <f t="shared" si="42"/>
        <v>0</v>
      </c>
      <c r="X323" s="277">
        <f t="shared" si="43"/>
        <v>0</v>
      </c>
    </row>
    <row r="324" spans="14:24" x14ac:dyDescent="0.25">
      <c r="N324" s="244">
        <f>Weather_Site!B330</f>
        <v>0</v>
      </c>
      <c r="O324" s="245">
        <f>Weather_Site!C330</f>
        <v>0</v>
      </c>
      <c r="P324" s="5">
        <f>Weather_Site!E330</f>
        <v>0</v>
      </c>
      <c r="Q324" s="245">
        <f t="shared" si="44"/>
        <v>0</v>
      </c>
      <c r="R324" s="5">
        <f t="shared" si="39"/>
        <v>0</v>
      </c>
      <c r="S324" s="5">
        <f t="shared" si="45"/>
        <v>0</v>
      </c>
      <c r="T324" s="247">
        <f t="shared" si="46"/>
        <v>0</v>
      </c>
      <c r="U324" s="5">
        <f t="shared" si="40"/>
        <v>0</v>
      </c>
      <c r="V324" s="247">
        <f t="shared" si="41"/>
        <v>0</v>
      </c>
      <c r="W324" s="276">
        <f t="shared" si="42"/>
        <v>0</v>
      </c>
      <c r="X324" s="277">
        <f t="shared" si="43"/>
        <v>0</v>
      </c>
    </row>
    <row r="325" spans="14:24" x14ac:dyDescent="0.25">
      <c r="N325" s="244">
        <f>Weather_Site!B331</f>
        <v>0</v>
      </c>
      <c r="O325" s="245">
        <f>Weather_Site!C331</f>
        <v>0</v>
      </c>
      <c r="P325" s="5">
        <f>Weather_Site!E331</f>
        <v>0</v>
      </c>
      <c r="Q325" s="245">
        <f t="shared" si="44"/>
        <v>0</v>
      </c>
      <c r="R325" s="5">
        <f t="shared" si="39"/>
        <v>0</v>
      </c>
      <c r="S325" s="5">
        <f t="shared" si="45"/>
        <v>0</v>
      </c>
      <c r="T325" s="247">
        <f t="shared" si="46"/>
        <v>0</v>
      </c>
      <c r="U325" s="5">
        <f t="shared" si="40"/>
        <v>0</v>
      </c>
      <c r="V325" s="247">
        <f t="shared" si="41"/>
        <v>0</v>
      </c>
      <c r="W325" s="276">
        <f t="shared" si="42"/>
        <v>0</v>
      </c>
      <c r="X325" s="277">
        <f t="shared" si="43"/>
        <v>0</v>
      </c>
    </row>
    <row r="326" spans="14:24" x14ac:dyDescent="0.25">
      <c r="N326" s="244">
        <f>Weather_Site!B332</f>
        <v>0</v>
      </c>
      <c r="O326" s="245">
        <f>Weather_Site!C332</f>
        <v>0</v>
      </c>
      <c r="P326" s="5">
        <f>Weather_Site!E332</f>
        <v>0</v>
      </c>
      <c r="Q326" s="245">
        <f t="shared" si="44"/>
        <v>0</v>
      </c>
      <c r="R326" s="5">
        <f t="shared" si="39"/>
        <v>0</v>
      </c>
      <c r="S326" s="5">
        <f t="shared" si="45"/>
        <v>0</v>
      </c>
      <c r="T326" s="247">
        <f t="shared" si="46"/>
        <v>0</v>
      </c>
      <c r="U326" s="5">
        <f t="shared" si="40"/>
        <v>0</v>
      </c>
      <c r="V326" s="247">
        <f t="shared" si="41"/>
        <v>0</v>
      </c>
      <c r="W326" s="276">
        <f t="shared" si="42"/>
        <v>0</v>
      </c>
      <c r="X326" s="277">
        <f t="shared" si="43"/>
        <v>0</v>
      </c>
    </row>
    <row r="327" spans="14:24" x14ac:dyDescent="0.25">
      <c r="N327" s="244">
        <f>Weather_Site!B333</f>
        <v>0</v>
      </c>
      <c r="O327" s="245">
        <f>Weather_Site!C333</f>
        <v>0</v>
      </c>
      <c r="P327" s="5">
        <f>Weather_Site!E333</f>
        <v>0</v>
      </c>
      <c r="Q327" s="245">
        <f t="shared" si="44"/>
        <v>0</v>
      </c>
      <c r="R327" s="5">
        <f t="shared" si="39"/>
        <v>0</v>
      </c>
      <c r="S327" s="5">
        <f t="shared" si="45"/>
        <v>0</v>
      </c>
      <c r="T327" s="247">
        <f t="shared" si="46"/>
        <v>0</v>
      </c>
      <c r="U327" s="5">
        <f t="shared" si="40"/>
        <v>0</v>
      </c>
      <c r="V327" s="247">
        <f t="shared" si="41"/>
        <v>0</v>
      </c>
      <c r="W327" s="276">
        <f t="shared" si="42"/>
        <v>0</v>
      </c>
      <c r="X327" s="277">
        <f t="shared" si="43"/>
        <v>0</v>
      </c>
    </row>
    <row r="328" spans="14:24" x14ac:dyDescent="0.25">
      <c r="N328" s="244">
        <f>Weather_Site!B334</f>
        <v>0</v>
      </c>
      <c r="O328" s="245">
        <f>Weather_Site!C334</f>
        <v>0</v>
      </c>
      <c r="P328" s="5">
        <f>Weather_Site!E334</f>
        <v>0</v>
      </c>
      <c r="Q328" s="245">
        <f t="shared" si="44"/>
        <v>0</v>
      </c>
      <c r="R328" s="5">
        <f t="shared" ref="R328:R391" si="47">HOUR(Q328)</f>
        <v>0</v>
      </c>
      <c r="S328" s="5">
        <f t="shared" si="45"/>
        <v>0</v>
      </c>
      <c r="T328" s="247">
        <f t="shared" si="46"/>
        <v>0</v>
      </c>
      <c r="U328" s="5">
        <f t="shared" ref="U328:U391" si="48">MAX((T328-70*R328),0)</f>
        <v>0</v>
      </c>
      <c r="V328" s="247">
        <f t="shared" ref="V328:V391" si="49">IF(OR(AND((N328-N327)=0,O327&gt;0.5),AND((N328-N327)=1,O328&lt;0.5),AND(N328-N327)=0,O328&lt;0.5),U328+V327,U328)</f>
        <v>0</v>
      </c>
      <c r="W328" s="276">
        <f t="shared" ref="W328:W391" si="50">IF(O328&lt;0.75,MAX(V328,W327),V328)</f>
        <v>0</v>
      </c>
      <c r="X328" s="277">
        <f t="shared" si="43"/>
        <v>0</v>
      </c>
    </row>
    <row r="329" spans="14:24" x14ac:dyDescent="0.25">
      <c r="N329" s="244">
        <f>Weather_Site!B335</f>
        <v>0</v>
      </c>
      <c r="O329" s="245">
        <f>Weather_Site!C335</f>
        <v>0</v>
      </c>
      <c r="P329" s="5">
        <f>Weather_Site!E335</f>
        <v>0</v>
      </c>
      <c r="Q329" s="245">
        <f t="shared" si="44"/>
        <v>0</v>
      </c>
      <c r="R329" s="5">
        <f t="shared" si="47"/>
        <v>0</v>
      </c>
      <c r="S329" s="5">
        <f t="shared" si="45"/>
        <v>0</v>
      </c>
      <c r="T329" s="247">
        <f t="shared" si="46"/>
        <v>0</v>
      </c>
      <c r="U329" s="5">
        <f t="shared" si="48"/>
        <v>0</v>
      </c>
      <c r="V329" s="247">
        <f t="shared" si="49"/>
        <v>0</v>
      </c>
      <c r="W329" s="276">
        <f t="shared" si="50"/>
        <v>0</v>
      </c>
      <c r="X329" s="277">
        <f t="shared" si="43"/>
        <v>0</v>
      </c>
    </row>
    <row r="330" spans="14:24" x14ac:dyDescent="0.25">
      <c r="N330" s="244">
        <f>Weather_Site!B336</f>
        <v>0</v>
      </c>
      <c r="O330" s="245">
        <f>Weather_Site!C336</f>
        <v>0</v>
      </c>
      <c r="P330" s="5">
        <f>Weather_Site!E336</f>
        <v>0</v>
      </c>
      <c r="Q330" s="245">
        <f t="shared" si="44"/>
        <v>0</v>
      </c>
      <c r="R330" s="5">
        <f t="shared" si="47"/>
        <v>0</v>
      </c>
      <c r="S330" s="5">
        <f t="shared" si="45"/>
        <v>0</v>
      </c>
      <c r="T330" s="247">
        <f t="shared" si="46"/>
        <v>0</v>
      </c>
      <c r="U330" s="5">
        <f t="shared" si="48"/>
        <v>0</v>
      </c>
      <c r="V330" s="247">
        <f t="shared" si="49"/>
        <v>0</v>
      </c>
      <c r="W330" s="276">
        <f t="shared" si="50"/>
        <v>0</v>
      </c>
      <c r="X330" s="277">
        <f t="shared" si="43"/>
        <v>0</v>
      </c>
    </row>
    <row r="331" spans="14:24" x14ac:dyDescent="0.25">
      <c r="N331" s="244">
        <f>Weather_Site!B337</f>
        <v>0</v>
      </c>
      <c r="O331" s="245">
        <f>Weather_Site!C337</f>
        <v>0</v>
      </c>
      <c r="P331" s="5">
        <f>Weather_Site!E337</f>
        <v>0</v>
      </c>
      <c r="Q331" s="245">
        <f t="shared" si="44"/>
        <v>0</v>
      </c>
      <c r="R331" s="5">
        <f t="shared" si="47"/>
        <v>0</v>
      </c>
      <c r="S331" s="5">
        <f t="shared" si="45"/>
        <v>0</v>
      </c>
      <c r="T331" s="247">
        <f t="shared" si="46"/>
        <v>0</v>
      </c>
      <c r="U331" s="5">
        <f t="shared" si="48"/>
        <v>0</v>
      </c>
      <c r="V331" s="247">
        <f t="shared" si="49"/>
        <v>0</v>
      </c>
      <c r="W331" s="276">
        <f t="shared" si="50"/>
        <v>0</v>
      </c>
      <c r="X331" s="277">
        <f t="shared" si="43"/>
        <v>0</v>
      </c>
    </row>
    <row r="332" spans="14:24" x14ac:dyDescent="0.25">
      <c r="N332" s="244">
        <f>Weather_Site!B338</f>
        <v>0</v>
      </c>
      <c r="O332" s="245">
        <f>Weather_Site!C338</f>
        <v>0</v>
      </c>
      <c r="P332" s="5">
        <f>Weather_Site!E338</f>
        <v>0</v>
      </c>
      <c r="Q332" s="245">
        <f t="shared" si="44"/>
        <v>0</v>
      </c>
      <c r="R332" s="5">
        <f t="shared" si="47"/>
        <v>0</v>
      </c>
      <c r="S332" s="5">
        <f t="shared" si="45"/>
        <v>0</v>
      </c>
      <c r="T332" s="247">
        <f t="shared" si="46"/>
        <v>0</v>
      </c>
      <c r="U332" s="5">
        <f t="shared" si="48"/>
        <v>0</v>
      </c>
      <c r="V332" s="247">
        <f t="shared" si="49"/>
        <v>0</v>
      </c>
      <c r="W332" s="276">
        <f t="shared" si="50"/>
        <v>0</v>
      </c>
      <c r="X332" s="277">
        <f t="shared" si="43"/>
        <v>0</v>
      </c>
    </row>
    <row r="333" spans="14:24" x14ac:dyDescent="0.25">
      <c r="N333" s="244">
        <f>Weather_Site!B339</f>
        <v>0</v>
      </c>
      <c r="O333" s="245">
        <f>Weather_Site!C339</f>
        <v>0</v>
      </c>
      <c r="P333" s="5">
        <f>Weather_Site!E339</f>
        <v>0</v>
      </c>
      <c r="Q333" s="245">
        <f t="shared" si="44"/>
        <v>0</v>
      </c>
      <c r="R333" s="5">
        <f t="shared" si="47"/>
        <v>0</v>
      </c>
      <c r="S333" s="5">
        <f t="shared" si="45"/>
        <v>0</v>
      </c>
      <c r="T333" s="247">
        <f t="shared" si="46"/>
        <v>0</v>
      </c>
      <c r="U333" s="5">
        <f t="shared" si="48"/>
        <v>0</v>
      </c>
      <c r="V333" s="247">
        <f t="shared" si="49"/>
        <v>0</v>
      </c>
      <c r="W333" s="276">
        <f t="shared" si="50"/>
        <v>0</v>
      </c>
      <c r="X333" s="277">
        <f t="shared" si="43"/>
        <v>0</v>
      </c>
    </row>
    <row r="334" spans="14:24" x14ac:dyDescent="0.25">
      <c r="N334" s="244">
        <f>Weather_Site!B340</f>
        <v>0</v>
      </c>
      <c r="O334" s="245">
        <f>Weather_Site!C340</f>
        <v>0</v>
      </c>
      <c r="P334" s="5">
        <f>Weather_Site!E340</f>
        <v>0</v>
      </c>
      <c r="Q334" s="245">
        <f t="shared" si="44"/>
        <v>0</v>
      </c>
      <c r="R334" s="5">
        <f t="shared" si="47"/>
        <v>0</v>
      </c>
      <c r="S334" s="5">
        <f t="shared" si="45"/>
        <v>0</v>
      </c>
      <c r="T334" s="247">
        <f t="shared" si="46"/>
        <v>0</v>
      </c>
      <c r="U334" s="5">
        <f t="shared" si="48"/>
        <v>0</v>
      </c>
      <c r="V334" s="247">
        <f t="shared" si="49"/>
        <v>0</v>
      </c>
      <c r="W334" s="276">
        <f t="shared" si="50"/>
        <v>0</v>
      </c>
      <c r="X334" s="277">
        <f t="shared" si="43"/>
        <v>0</v>
      </c>
    </row>
    <row r="335" spans="14:24" x14ac:dyDescent="0.25">
      <c r="N335" s="244">
        <f>Weather_Site!B341</f>
        <v>0</v>
      </c>
      <c r="O335" s="245">
        <f>Weather_Site!C341</f>
        <v>0</v>
      </c>
      <c r="P335" s="5">
        <f>Weather_Site!E341</f>
        <v>0</v>
      </c>
      <c r="Q335" s="245">
        <f t="shared" si="44"/>
        <v>0</v>
      </c>
      <c r="R335" s="5">
        <f t="shared" si="47"/>
        <v>0</v>
      </c>
      <c r="S335" s="5">
        <f t="shared" si="45"/>
        <v>0</v>
      </c>
      <c r="T335" s="247">
        <f t="shared" si="46"/>
        <v>0</v>
      </c>
      <c r="U335" s="5">
        <f t="shared" si="48"/>
        <v>0</v>
      </c>
      <c r="V335" s="247">
        <f t="shared" si="49"/>
        <v>0</v>
      </c>
      <c r="W335" s="276">
        <f t="shared" si="50"/>
        <v>0</v>
      </c>
      <c r="X335" s="277">
        <f t="shared" si="43"/>
        <v>0</v>
      </c>
    </row>
    <row r="336" spans="14:24" x14ac:dyDescent="0.25">
      <c r="N336" s="244">
        <f>Weather_Site!B342</f>
        <v>0</v>
      </c>
      <c r="O336" s="245">
        <f>Weather_Site!C342</f>
        <v>0</v>
      </c>
      <c r="P336" s="5">
        <f>Weather_Site!E342</f>
        <v>0</v>
      </c>
      <c r="Q336" s="245">
        <f t="shared" si="44"/>
        <v>0</v>
      </c>
      <c r="R336" s="5">
        <f t="shared" si="47"/>
        <v>0</v>
      </c>
      <c r="S336" s="5">
        <f t="shared" si="45"/>
        <v>0</v>
      </c>
      <c r="T336" s="247">
        <f t="shared" si="46"/>
        <v>0</v>
      </c>
      <c r="U336" s="5">
        <f t="shared" si="48"/>
        <v>0</v>
      </c>
      <c r="V336" s="247">
        <f t="shared" si="49"/>
        <v>0</v>
      </c>
      <c r="W336" s="276">
        <f t="shared" si="50"/>
        <v>0</v>
      </c>
      <c r="X336" s="277">
        <f t="shared" si="43"/>
        <v>0</v>
      </c>
    </row>
    <row r="337" spans="14:24" x14ac:dyDescent="0.25">
      <c r="N337" s="244">
        <f>Weather_Site!B343</f>
        <v>0</v>
      </c>
      <c r="O337" s="245">
        <f>Weather_Site!C343</f>
        <v>0</v>
      </c>
      <c r="P337" s="5">
        <f>Weather_Site!E343</f>
        <v>0</v>
      </c>
      <c r="Q337" s="245">
        <f t="shared" si="44"/>
        <v>0</v>
      </c>
      <c r="R337" s="5">
        <f t="shared" si="47"/>
        <v>0</v>
      </c>
      <c r="S337" s="5">
        <f t="shared" si="45"/>
        <v>0</v>
      </c>
      <c r="T337" s="247">
        <f t="shared" si="46"/>
        <v>0</v>
      </c>
      <c r="U337" s="5">
        <f t="shared" si="48"/>
        <v>0</v>
      </c>
      <c r="V337" s="247">
        <f t="shared" si="49"/>
        <v>0</v>
      </c>
      <c r="W337" s="276">
        <f t="shared" si="50"/>
        <v>0</v>
      </c>
      <c r="X337" s="277">
        <f t="shared" si="43"/>
        <v>0</v>
      </c>
    </row>
    <row r="338" spans="14:24" x14ac:dyDescent="0.25">
      <c r="N338" s="244">
        <f>Weather_Site!B344</f>
        <v>0</v>
      </c>
      <c r="O338" s="245">
        <f>Weather_Site!C344</f>
        <v>0</v>
      </c>
      <c r="P338" s="5">
        <f>Weather_Site!E344</f>
        <v>0</v>
      </c>
      <c r="Q338" s="245">
        <f t="shared" si="44"/>
        <v>0</v>
      </c>
      <c r="R338" s="5">
        <f t="shared" si="47"/>
        <v>0</v>
      </c>
      <c r="S338" s="5">
        <f t="shared" si="45"/>
        <v>0</v>
      </c>
      <c r="T338" s="247">
        <f t="shared" si="46"/>
        <v>0</v>
      </c>
      <c r="U338" s="5">
        <f t="shared" si="48"/>
        <v>0</v>
      </c>
      <c r="V338" s="247">
        <f t="shared" si="49"/>
        <v>0</v>
      </c>
      <c r="W338" s="276">
        <f t="shared" si="50"/>
        <v>0</v>
      </c>
      <c r="X338" s="277">
        <f t="shared" si="43"/>
        <v>0</v>
      </c>
    </row>
    <row r="339" spans="14:24" x14ac:dyDescent="0.25">
      <c r="N339" s="244">
        <f>Weather_Site!B345</f>
        <v>0</v>
      </c>
      <c r="O339" s="245">
        <f>Weather_Site!C345</f>
        <v>0</v>
      </c>
      <c r="P339" s="5">
        <f>Weather_Site!E345</f>
        <v>0</v>
      </c>
      <c r="Q339" s="245">
        <f t="shared" si="44"/>
        <v>0</v>
      </c>
      <c r="R339" s="5">
        <f t="shared" si="47"/>
        <v>0</v>
      </c>
      <c r="S339" s="5">
        <f t="shared" si="45"/>
        <v>0</v>
      </c>
      <c r="T339" s="247">
        <f t="shared" si="46"/>
        <v>0</v>
      </c>
      <c r="U339" s="5">
        <f t="shared" si="48"/>
        <v>0</v>
      </c>
      <c r="V339" s="247">
        <f t="shared" si="49"/>
        <v>0</v>
      </c>
      <c r="W339" s="276">
        <f t="shared" si="50"/>
        <v>0</v>
      </c>
      <c r="X339" s="277">
        <f t="shared" si="43"/>
        <v>0</v>
      </c>
    </row>
    <row r="340" spans="14:24" x14ac:dyDescent="0.25">
      <c r="N340" s="244">
        <f>Weather_Site!B346</f>
        <v>0</v>
      </c>
      <c r="O340" s="245">
        <f>Weather_Site!C346</f>
        <v>0</v>
      </c>
      <c r="P340" s="5">
        <f>Weather_Site!E346</f>
        <v>0</v>
      </c>
      <c r="Q340" s="245">
        <f t="shared" si="44"/>
        <v>0</v>
      </c>
      <c r="R340" s="5">
        <f t="shared" si="47"/>
        <v>0</v>
      </c>
      <c r="S340" s="5">
        <f t="shared" si="45"/>
        <v>0</v>
      </c>
      <c r="T340" s="247">
        <f t="shared" si="46"/>
        <v>0</v>
      </c>
      <c r="U340" s="5">
        <f t="shared" si="48"/>
        <v>0</v>
      </c>
      <c r="V340" s="247">
        <f t="shared" si="49"/>
        <v>0</v>
      </c>
      <c r="W340" s="276">
        <f t="shared" si="50"/>
        <v>0</v>
      </c>
      <c r="X340" s="277">
        <f t="shared" si="43"/>
        <v>0</v>
      </c>
    </row>
    <row r="341" spans="14:24" x14ac:dyDescent="0.25">
      <c r="N341" s="244">
        <f>Weather_Site!B347</f>
        <v>0</v>
      </c>
      <c r="O341" s="245">
        <f>Weather_Site!C347</f>
        <v>0</v>
      </c>
      <c r="P341" s="5">
        <f>Weather_Site!E347</f>
        <v>0</v>
      </c>
      <c r="Q341" s="245">
        <f t="shared" si="44"/>
        <v>0</v>
      </c>
      <c r="R341" s="5">
        <f t="shared" si="47"/>
        <v>0</v>
      </c>
      <c r="S341" s="5">
        <f t="shared" si="45"/>
        <v>0</v>
      </c>
      <c r="T341" s="247">
        <f t="shared" si="46"/>
        <v>0</v>
      </c>
      <c r="U341" s="5">
        <f t="shared" si="48"/>
        <v>0</v>
      </c>
      <c r="V341" s="247">
        <f t="shared" si="49"/>
        <v>0</v>
      </c>
      <c r="W341" s="276">
        <f t="shared" si="50"/>
        <v>0</v>
      </c>
      <c r="X341" s="277">
        <f t="shared" si="43"/>
        <v>0</v>
      </c>
    </row>
    <row r="342" spans="14:24" x14ac:dyDescent="0.25">
      <c r="N342" s="244">
        <f>Weather_Site!B348</f>
        <v>0</v>
      </c>
      <c r="O342" s="245">
        <f>Weather_Site!C348</f>
        <v>0</v>
      </c>
      <c r="P342" s="5">
        <f>Weather_Site!E348</f>
        <v>0</v>
      </c>
      <c r="Q342" s="245">
        <f t="shared" si="44"/>
        <v>0</v>
      </c>
      <c r="R342" s="5">
        <f t="shared" si="47"/>
        <v>0</v>
      </c>
      <c r="S342" s="5">
        <f t="shared" si="45"/>
        <v>0</v>
      </c>
      <c r="T342" s="247">
        <f t="shared" si="46"/>
        <v>0</v>
      </c>
      <c r="U342" s="5">
        <f t="shared" si="48"/>
        <v>0</v>
      </c>
      <c r="V342" s="247">
        <f t="shared" si="49"/>
        <v>0</v>
      </c>
      <c r="W342" s="276">
        <f t="shared" si="50"/>
        <v>0</v>
      </c>
      <c r="X342" s="277">
        <f t="shared" si="43"/>
        <v>0</v>
      </c>
    </row>
    <row r="343" spans="14:24" x14ac:dyDescent="0.25">
      <c r="N343" s="244">
        <f>Weather_Site!B349</f>
        <v>0</v>
      </c>
      <c r="O343" s="245">
        <f>Weather_Site!C349</f>
        <v>0</v>
      </c>
      <c r="P343" s="5">
        <f>Weather_Site!E349</f>
        <v>0</v>
      </c>
      <c r="Q343" s="245">
        <f t="shared" si="44"/>
        <v>0</v>
      </c>
      <c r="R343" s="5">
        <f t="shared" si="47"/>
        <v>0</v>
      </c>
      <c r="S343" s="5">
        <f t="shared" si="45"/>
        <v>0</v>
      </c>
      <c r="T343" s="247">
        <f t="shared" si="46"/>
        <v>0</v>
      </c>
      <c r="U343" s="5">
        <f t="shared" si="48"/>
        <v>0</v>
      </c>
      <c r="V343" s="247">
        <f t="shared" si="49"/>
        <v>0</v>
      </c>
      <c r="W343" s="276">
        <f t="shared" si="50"/>
        <v>0</v>
      </c>
      <c r="X343" s="277">
        <f t="shared" si="43"/>
        <v>0</v>
      </c>
    </row>
    <row r="344" spans="14:24" x14ac:dyDescent="0.25">
      <c r="N344" s="244">
        <f>Weather_Site!B350</f>
        <v>0</v>
      </c>
      <c r="O344" s="245">
        <f>Weather_Site!C350</f>
        <v>0</v>
      </c>
      <c r="P344" s="5">
        <f>Weather_Site!E350</f>
        <v>0</v>
      </c>
      <c r="Q344" s="245">
        <f t="shared" si="44"/>
        <v>0</v>
      </c>
      <c r="R344" s="5">
        <f t="shared" si="47"/>
        <v>0</v>
      </c>
      <c r="S344" s="5">
        <f t="shared" si="45"/>
        <v>0</v>
      </c>
      <c r="T344" s="247">
        <f t="shared" si="46"/>
        <v>0</v>
      </c>
      <c r="U344" s="5">
        <f t="shared" si="48"/>
        <v>0</v>
      </c>
      <c r="V344" s="247">
        <f t="shared" si="49"/>
        <v>0</v>
      </c>
      <c r="W344" s="276">
        <f t="shared" si="50"/>
        <v>0</v>
      </c>
      <c r="X344" s="277">
        <f t="shared" si="43"/>
        <v>0</v>
      </c>
    </row>
    <row r="345" spans="14:24" x14ac:dyDescent="0.25">
      <c r="N345" s="244">
        <f>Weather_Site!B351</f>
        <v>0</v>
      </c>
      <c r="O345" s="245">
        <f>Weather_Site!C351</f>
        <v>0</v>
      </c>
      <c r="P345" s="5">
        <f>Weather_Site!E351</f>
        <v>0</v>
      </c>
      <c r="Q345" s="245">
        <f t="shared" si="44"/>
        <v>0</v>
      </c>
      <c r="R345" s="5">
        <f t="shared" si="47"/>
        <v>0</v>
      </c>
      <c r="S345" s="5">
        <f t="shared" si="45"/>
        <v>0</v>
      </c>
      <c r="T345" s="247">
        <f t="shared" si="46"/>
        <v>0</v>
      </c>
      <c r="U345" s="5">
        <f t="shared" si="48"/>
        <v>0</v>
      </c>
      <c r="V345" s="247">
        <f t="shared" si="49"/>
        <v>0</v>
      </c>
      <c r="W345" s="276">
        <f t="shared" si="50"/>
        <v>0</v>
      </c>
      <c r="X345" s="277">
        <f t="shared" si="43"/>
        <v>0</v>
      </c>
    </row>
    <row r="346" spans="14:24" x14ac:dyDescent="0.25">
      <c r="N346" s="244">
        <f>Weather_Site!B352</f>
        <v>0</v>
      </c>
      <c r="O346" s="245">
        <f>Weather_Site!C352</f>
        <v>0</v>
      </c>
      <c r="P346" s="5">
        <f>Weather_Site!E352</f>
        <v>0</v>
      </c>
      <c r="Q346" s="245">
        <f t="shared" si="44"/>
        <v>0</v>
      </c>
      <c r="R346" s="5">
        <f t="shared" si="47"/>
        <v>0</v>
      </c>
      <c r="S346" s="5">
        <f t="shared" si="45"/>
        <v>0</v>
      </c>
      <c r="T346" s="247">
        <f t="shared" si="46"/>
        <v>0</v>
      </c>
      <c r="U346" s="5">
        <f t="shared" si="48"/>
        <v>0</v>
      </c>
      <c r="V346" s="247">
        <f t="shared" si="49"/>
        <v>0</v>
      </c>
      <c r="W346" s="276">
        <f t="shared" si="50"/>
        <v>0</v>
      </c>
      <c r="X346" s="277">
        <f t="shared" si="43"/>
        <v>0</v>
      </c>
    </row>
    <row r="347" spans="14:24" x14ac:dyDescent="0.25">
      <c r="N347" s="244">
        <f>Weather_Site!B353</f>
        <v>0</v>
      </c>
      <c r="O347" s="245">
        <f>Weather_Site!C353</f>
        <v>0</v>
      </c>
      <c r="P347" s="5">
        <f>Weather_Site!E353</f>
        <v>0</v>
      </c>
      <c r="Q347" s="245">
        <f t="shared" si="44"/>
        <v>0</v>
      </c>
      <c r="R347" s="5">
        <f t="shared" si="47"/>
        <v>0</v>
      </c>
      <c r="S347" s="5">
        <f t="shared" si="45"/>
        <v>0</v>
      </c>
      <c r="T347" s="247">
        <f t="shared" si="46"/>
        <v>0</v>
      </c>
      <c r="U347" s="5">
        <f t="shared" si="48"/>
        <v>0</v>
      </c>
      <c r="V347" s="247">
        <f t="shared" si="49"/>
        <v>0</v>
      </c>
      <c r="W347" s="276">
        <f t="shared" si="50"/>
        <v>0</v>
      </c>
      <c r="X347" s="277">
        <f t="shared" si="43"/>
        <v>0</v>
      </c>
    </row>
    <row r="348" spans="14:24" x14ac:dyDescent="0.25">
      <c r="N348" s="244">
        <f>Weather_Site!B354</f>
        <v>0</v>
      </c>
      <c r="O348" s="245">
        <f>Weather_Site!C354</f>
        <v>0</v>
      </c>
      <c r="P348" s="5">
        <f>Weather_Site!E354</f>
        <v>0</v>
      </c>
      <c r="Q348" s="245">
        <f t="shared" si="44"/>
        <v>0</v>
      </c>
      <c r="R348" s="5">
        <f t="shared" si="47"/>
        <v>0</v>
      </c>
      <c r="S348" s="5">
        <f t="shared" si="45"/>
        <v>0</v>
      </c>
      <c r="T348" s="247">
        <f t="shared" si="46"/>
        <v>0</v>
      </c>
      <c r="U348" s="5">
        <f t="shared" si="48"/>
        <v>0</v>
      </c>
      <c r="V348" s="247">
        <f t="shared" si="49"/>
        <v>0</v>
      </c>
      <c r="W348" s="276">
        <f t="shared" si="50"/>
        <v>0</v>
      </c>
      <c r="X348" s="277">
        <f t="shared" si="43"/>
        <v>0</v>
      </c>
    </row>
    <row r="349" spans="14:24" x14ac:dyDescent="0.25">
      <c r="N349" s="244">
        <f>Weather_Site!B355</f>
        <v>0</v>
      </c>
      <c r="O349" s="245">
        <f>Weather_Site!C355</f>
        <v>0</v>
      </c>
      <c r="P349" s="5">
        <f>Weather_Site!E355</f>
        <v>0</v>
      </c>
      <c r="Q349" s="245">
        <f t="shared" si="44"/>
        <v>0</v>
      </c>
      <c r="R349" s="5">
        <f t="shared" si="47"/>
        <v>0</v>
      </c>
      <c r="S349" s="5">
        <f t="shared" si="45"/>
        <v>0</v>
      </c>
      <c r="T349" s="247">
        <f t="shared" si="46"/>
        <v>0</v>
      </c>
      <c r="U349" s="5">
        <f t="shared" si="48"/>
        <v>0</v>
      </c>
      <c r="V349" s="247">
        <f t="shared" si="49"/>
        <v>0</v>
      </c>
      <c r="W349" s="276">
        <f t="shared" si="50"/>
        <v>0</v>
      </c>
      <c r="X349" s="277">
        <f t="shared" si="43"/>
        <v>0</v>
      </c>
    </row>
    <row r="350" spans="14:24" x14ac:dyDescent="0.25">
      <c r="N350" s="244">
        <f>Weather_Site!B356</f>
        <v>0</v>
      </c>
      <c r="O350" s="245">
        <f>Weather_Site!C356</f>
        <v>0</v>
      </c>
      <c r="P350" s="5">
        <f>Weather_Site!E356</f>
        <v>0</v>
      </c>
      <c r="Q350" s="245">
        <f t="shared" si="44"/>
        <v>0</v>
      </c>
      <c r="R350" s="5">
        <f t="shared" si="47"/>
        <v>0</v>
      </c>
      <c r="S350" s="5">
        <f t="shared" si="45"/>
        <v>0</v>
      </c>
      <c r="T350" s="247">
        <f t="shared" si="46"/>
        <v>0</v>
      </c>
      <c r="U350" s="5">
        <f t="shared" si="48"/>
        <v>0</v>
      </c>
      <c r="V350" s="247">
        <f t="shared" si="49"/>
        <v>0</v>
      </c>
      <c r="W350" s="276">
        <f t="shared" si="50"/>
        <v>0</v>
      </c>
      <c r="X350" s="277">
        <f t="shared" si="43"/>
        <v>0</v>
      </c>
    </row>
    <row r="351" spans="14:24" x14ac:dyDescent="0.25">
      <c r="N351" s="244">
        <f>Weather_Site!B357</f>
        <v>0</v>
      </c>
      <c r="O351" s="245">
        <f>Weather_Site!C357</f>
        <v>0</v>
      </c>
      <c r="P351" s="5">
        <f>Weather_Site!E357</f>
        <v>0</v>
      </c>
      <c r="Q351" s="245">
        <f t="shared" si="44"/>
        <v>0</v>
      </c>
      <c r="R351" s="5">
        <f t="shared" si="47"/>
        <v>0</v>
      </c>
      <c r="S351" s="5">
        <f t="shared" si="45"/>
        <v>0</v>
      </c>
      <c r="T351" s="247">
        <f t="shared" si="46"/>
        <v>0</v>
      </c>
      <c r="U351" s="5">
        <f t="shared" si="48"/>
        <v>0</v>
      </c>
      <c r="V351" s="247">
        <f t="shared" si="49"/>
        <v>0</v>
      </c>
      <c r="W351" s="276">
        <f t="shared" si="50"/>
        <v>0</v>
      </c>
      <c r="X351" s="277">
        <f t="shared" si="43"/>
        <v>0</v>
      </c>
    </row>
    <row r="352" spans="14:24" x14ac:dyDescent="0.25">
      <c r="N352" s="244">
        <f>Weather_Site!B358</f>
        <v>0</v>
      </c>
      <c r="O352" s="245">
        <f>Weather_Site!C358</f>
        <v>0</v>
      </c>
      <c r="P352" s="5">
        <f>Weather_Site!E358</f>
        <v>0</v>
      </c>
      <c r="Q352" s="245">
        <f t="shared" si="44"/>
        <v>0</v>
      </c>
      <c r="R352" s="5">
        <f t="shared" si="47"/>
        <v>0</v>
      </c>
      <c r="S352" s="5">
        <f t="shared" si="45"/>
        <v>0</v>
      </c>
      <c r="T352" s="247">
        <f t="shared" si="46"/>
        <v>0</v>
      </c>
      <c r="U352" s="5">
        <f t="shared" si="48"/>
        <v>0</v>
      </c>
      <c r="V352" s="247">
        <f t="shared" si="49"/>
        <v>0</v>
      </c>
      <c r="W352" s="276">
        <f t="shared" si="50"/>
        <v>0</v>
      </c>
      <c r="X352" s="277">
        <f t="shared" si="43"/>
        <v>0</v>
      </c>
    </row>
    <row r="353" spans="14:24" x14ac:dyDescent="0.25">
      <c r="N353" s="244">
        <f>Weather_Site!B359</f>
        <v>0</v>
      </c>
      <c r="O353" s="245">
        <f>Weather_Site!C359</f>
        <v>0</v>
      </c>
      <c r="P353" s="5">
        <f>Weather_Site!E359</f>
        <v>0</v>
      </c>
      <c r="Q353" s="245">
        <f t="shared" si="44"/>
        <v>0</v>
      </c>
      <c r="R353" s="5">
        <f t="shared" si="47"/>
        <v>0</v>
      </c>
      <c r="S353" s="5">
        <f t="shared" si="45"/>
        <v>0</v>
      </c>
      <c r="T353" s="247">
        <f t="shared" si="46"/>
        <v>0</v>
      </c>
      <c r="U353" s="5">
        <f t="shared" si="48"/>
        <v>0</v>
      </c>
      <c r="V353" s="247">
        <f t="shared" si="49"/>
        <v>0</v>
      </c>
      <c r="W353" s="276">
        <f t="shared" si="50"/>
        <v>0</v>
      </c>
      <c r="X353" s="277">
        <f t="shared" si="43"/>
        <v>0</v>
      </c>
    </row>
    <row r="354" spans="14:24" x14ac:dyDescent="0.25">
      <c r="N354" s="244">
        <f>Weather_Site!B360</f>
        <v>0</v>
      </c>
      <c r="O354" s="245">
        <f>Weather_Site!C360</f>
        <v>0</v>
      </c>
      <c r="P354" s="5">
        <f>Weather_Site!E360</f>
        <v>0</v>
      </c>
      <c r="Q354" s="245">
        <f t="shared" si="44"/>
        <v>0</v>
      </c>
      <c r="R354" s="5">
        <f t="shared" si="47"/>
        <v>0</v>
      </c>
      <c r="S354" s="5">
        <f t="shared" si="45"/>
        <v>0</v>
      </c>
      <c r="T354" s="247">
        <f t="shared" si="46"/>
        <v>0</v>
      </c>
      <c r="U354" s="5">
        <f t="shared" si="48"/>
        <v>0</v>
      </c>
      <c r="V354" s="247">
        <f t="shared" si="49"/>
        <v>0</v>
      </c>
      <c r="W354" s="276">
        <f t="shared" si="50"/>
        <v>0</v>
      </c>
      <c r="X354" s="277">
        <f t="shared" si="43"/>
        <v>0</v>
      </c>
    </row>
    <row r="355" spans="14:24" x14ac:dyDescent="0.25">
      <c r="N355" s="244">
        <f>Weather_Site!B361</f>
        <v>0</v>
      </c>
      <c r="O355" s="245">
        <f>Weather_Site!C361</f>
        <v>0</v>
      </c>
      <c r="P355" s="5">
        <f>Weather_Site!E361</f>
        <v>0</v>
      </c>
      <c r="Q355" s="245">
        <f t="shared" si="44"/>
        <v>0</v>
      </c>
      <c r="R355" s="5">
        <f t="shared" si="47"/>
        <v>0</v>
      </c>
      <c r="S355" s="5">
        <f t="shared" si="45"/>
        <v>0</v>
      </c>
      <c r="T355" s="247">
        <f t="shared" si="46"/>
        <v>0</v>
      </c>
      <c r="U355" s="5">
        <f t="shared" si="48"/>
        <v>0</v>
      </c>
      <c r="V355" s="247">
        <f t="shared" si="49"/>
        <v>0</v>
      </c>
      <c r="W355" s="276">
        <f t="shared" si="50"/>
        <v>0</v>
      </c>
      <c r="X355" s="277">
        <f t="shared" si="43"/>
        <v>0</v>
      </c>
    </row>
    <row r="356" spans="14:24" x14ac:dyDescent="0.25">
      <c r="N356" s="244">
        <f>Weather_Site!B362</f>
        <v>0</v>
      </c>
      <c r="O356" s="245">
        <f>Weather_Site!C362</f>
        <v>0</v>
      </c>
      <c r="P356" s="5">
        <f>Weather_Site!E362</f>
        <v>0</v>
      </c>
      <c r="Q356" s="245">
        <f t="shared" si="44"/>
        <v>0</v>
      </c>
      <c r="R356" s="5">
        <f t="shared" si="47"/>
        <v>0</v>
      </c>
      <c r="S356" s="5">
        <f t="shared" si="45"/>
        <v>0</v>
      </c>
      <c r="T356" s="247">
        <f t="shared" si="46"/>
        <v>0</v>
      </c>
      <c r="U356" s="5">
        <f t="shared" si="48"/>
        <v>0</v>
      </c>
      <c r="V356" s="247">
        <f t="shared" si="49"/>
        <v>0</v>
      </c>
      <c r="W356" s="276">
        <f t="shared" si="50"/>
        <v>0</v>
      </c>
      <c r="X356" s="277">
        <f t="shared" ref="X356:X419" si="51">IF(AND(O355&lt;0.333,O356&gt;=0.333),W356,X355)</f>
        <v>0</v>
      </c>
    </row>
    <row r="357" spans="14:24" x14ac:dyDescent="0.25">
      <c r="N357" s="244">
        <f>Weather_Site!B363</f>
        <v>0</v>
      </c>
      <c r="O357" s="245">
        <f>Weather_Site!C363</f>
        <v>0</v>
      </c>
      <c r="P357" s="5">
        <f>Weather_Site!E363</f>
        <v>0</v>
      </c>
      <c r="Q357" s="245">
        <f t="shared" ref="Q357:Q420" si="52">IF((O357-O356)&lt;0,(1-MAX(O356,0.625))+MIN(O357,0.334),(IF(O356&lt;0.333,(MIN(O357,0.334)-O356),IF(O357&gt;0.625,MAX(O357,0.625)-O356,0))))</f>
        <v>0</v>
      </c>
      <c r="R357" s="5">
        <f t="shared" si="47"/>
        <v>0</v>
      </c>
      <c r="S357" s="5">
        <f t="shared" ref="S357:S420" si="53">HOUR(O357)</f>
        <v>0</v>
      </c>
      <c r="T357" s="247">
        <f t="shared" ref="T357:T420" si="54">(P357+P356)/2*R357</f>
        <v>0</v>
      </c>
      <c r="U357" s="5">
        <f t="shared" si="48"/>
        <v>0</v>
      </c>
      <c r="V357" s="247">
        <f t="shared" si="49"/>
        <v>0</v>
      </c>
      <c r="W357" s="276">
        <f t="shared" si="50"/>
        <v>0</v>
      </c>
      <c r="X357" s="277">
        <f t="shared" si="51"/>
        <v>0</v>
      </c>
    </row>
    <row r="358" spans="14:24" x14ac:dyDescent="0.25">
      <c r="N358" s="244">
        <f>Weather_Site!B364</f>
        <v>0</v>
      </c>
      <c r="O358" s="245">
        <f>Weather_Site!C364</f>
        <v>0</v>
      </c>
      <c r="P358" s="5">
        <f>Weather_Site!E364</f>
        <v>0</v>
      </c>
      <c r="Q358" s="245">
        <f t="shared" si="52"/>
        <v>0</v>
      </c>
      <c r="R358" s="5">
        <f t="shared" si="47"/>
        <v>0</v>
      </c>
      <c r="S358" s="5">
        <f t="shared" si="53"/>
        <v>0</v>
      </c>
      <c r="T358" s="247">
        <f t="shared" si="54"/>
        <v>0</v>
      </c>
      <c r="U358" s="5">
        <f t="shared" si="48"/>
        <v>0</v>
      </c>
      <c r="V358" s="247">
        <f t="shared" si="49"/>
        <v>0</v>
      </c>
      <c r="W358" s="276">
        <f t="shared" si="50"/>
        <v>0</v>
      </c>
      <c r="X358" s="277">
        <f t="shared" si="51"/>
        <v>0</v>
      </c>
    </row>
    <row r="359" spans="14:24" x14ac:dyDescent="0.25">
      <c r="N359" s="244">
        <f>Weather_Site!B365</f>
        <v>0</v>
      </c>
      <c r="O359" s="245">
        <f>Weather_Site!C365</f>
        <v>0</v>
      </c>
      <c r="P359" s="5">
        <f>Weather_Site!E365</f>
        <v>0</v>
      </c>
      <c r="Q359" s="245">
        <f t="shared" si="52"/>
        <v>0</v>
      </c>
      <c r="R359" s="5">
        <f t="shared" si="47"/>
        <v>0</v>
      </c>
      <c r="S359" s="5">
        <f t="shared" si="53"/>
        <v>0</v>
      </c>
      <c r="T359" s="247">
        <f t="shared" si="54"/>
        <v>0</v>
      </c>
      <c r="U359" s="5">
        <f t="shared" si="48"/>
        <v>0</v>
      </c>
      <c r="V359" s="247">
        <f t="shared" si="49"/>
        <v>0</v>
      </c>
      <c r="W359" s="276">
        <f t="shared" si="50"/>
        <v>0</v>
      </c>
      <c r="X359" s="277">
        <f t="shared" si="51"/>
        <v>0</v>
      </c>
    </row>
    <row r="360" spans="14:24" x14ac:dyDescent="0.25">
      <c r="N360" s="244">
        <f>Weather_Site!B366</f>
        <v>0</v>
      </c>
      <c r="O360" s="245">
        <f>Weather_Site!C366</f>
        <v>0</v>
      </c>
      <c r="P360" s="5">
        <f>Weather_Site!E366</f>
        <v>0</v>
      </c>
      <c r="Q360" s="245">
        <f t="shared" si="52"/>
        <v>0</v>
      </c>
      <c r="R360" s="5">
        <f t="shared" si="47"/>
        <v>0</v>
      </c>
      <c r="S360" s="5">
        <f t="shared" si="53"/>
        <v>0</v>
      </c>
      <c r="T360" s="247">
        <f t="shared" si="54"/>
        <v>0</v>
      </c>
      <c r="U360" s="5">
        <f t="shared" si="48"/>
        <v>0</v>
      </c>
      <c r="V360" s="247">
        <f t="shared" si="49"/>
        <v>0</v>
      </c>
      <c r="W360" s="276">
        <f t="shared" si="50"/>
        <v>0</v>
      </c>
      <c r="X360" s="277">
        <f t="shared" si="51"/>
        <v>0</v>
      </c>
    </row>
    <row r="361" spans="14:24" x14ac:dyDescent="0.25">
      <c r="N361" s="244">
        <f>Weather_Site!B367</f>
        <v>0</v>
      </c>
      <c r="O361" s="245">
        <f>Weather_Site!C367</f>
        <v>0</v>
      </c>
      <c r="P361" s="5">
        <f>Weather_Site!E367</f>
        <v>0</v>
      </c>
      <c r="Q361" s="245">
        <f t="shared" si="52"/>
        <v>0</v>
      </c>
      <c r="R361" s="5">
        <f t="shared" si="47"/>
        <v>0</v>
      </c>
      <c r="S361" s="5">
        <f t="shared" si="53"/>
        <v>0</v>
      </c>
      <c r="T361" s="247">
        <f t="shared" si="54"/>
        <v>0</v>
      </c>
      <c r="U361" s="5">
        <f t="shared" si="48"/>
        <v>0</v>
      </c>
      <c r="V361" s="247">
        <f t="shared" si="49"/>
        <v>0</v>
      </c>
      <c r="W361" s="276">
        <f t="shared" si="50"/>
        <v>0</v>
      </c>
      <c r="X361" s="277">
        <f t="shared" si="51"/>
        <v>0</v>
      </c>
    </row>
    <row r="362" spans="14:24" x14ac:dyDescent="0.25">
      <c r="N362" s="244">
        <f>Weather_Site!B368</f>
        <v>0</v>
      </c>
      <c r="O362" s="245">
        <f>Weather_Site!C368</f>
        <v>0</v>
      </c>
      <c r="P362" s="5">
        <f>Weather_Site!E368</f>
        <v>0</v>
      </c>
      <c r="Q362" s="245">
        <f t="shared" si="52"/>
        <v>0</v>
      </c>
      <c r="R362" s="5">
        <f t="shared" si="47"/>
        <v>0</v>
      </c>
      <c r="S362" s="5">
        <f t="shared" si="53"/>
        <v>0</v>
      </c>
      <c r="T362" s="247">
        <f t="shared" si="54"/>
        <v>0</v>
      </c>
      <c r="U362" s="5">
        <f t="shared" si="48"/>
        <v>0</v>
      </c>
      <c r="V362" s="247">
        <f t="shared" si="49"/>
        <v>0</v>
      </c>
      <c r="W362" s="276">
        <f t="shared" si="50"/>
        <v>0</v>
      </c>
      <c r="X362" s="277">
        <f t="shared" si="51"/>
        <v>0</v>
      </c>
    </row>
    <row r="363" spans="14:24" x14ac:dyDescent="0.25">
      <c r="N363" s="244">
        <f>Weather_Site!B369</f>
        <v>0</v>
      </c>
      <c r="O363" s="245">
        <f>Weather_Site!C369</f>
        <v>0</v>
      </c>
      <c r="P363" s="5">
        <f>Weather_Site!E369</f>
        <v>0</v>
      </c>
      <c r="Q363" s="245">
        <f t="shared" si="52"/>
        <v>0</v>
      </c>
      <c r="R363" s="5">
        <f t="shared" si="47"/>
        <v>0</v>
      </c>
      <c r="S363" s="5">
        <f t="shared" si="53"/>
        <v>0</v>
      </c>
      <c r="T363" s="247">
        <f t="shared" si="54"/>
        <v>0</v>
      </c>
      <c r="U363" s="5">
        <f t="shared" si="48"/>
        <v>0</v>
      </c>
      <c r="V363" s="247">
        <f t="shared" si="49"/>
        <v>0</v>
      </c>
      <c r="W363" s="276">
        <f t="shared" si="50"/>
        <v>0</v>
      </c>
      <c r="X363" s="277">
        <f t="shared" si="51"/>
        <v>0</v>
      </c>
    </row>
    <row r="364" spans="14:24" x14ac:dyDescent="0.25">
      <c r="N364" s="244">
        <f>Weather_Site!B370</f>
        <v>0</v>
      </c>
      <c r="O364" s="245">
        <f>Weather_Site!C370</f>
        <v>0</v>
      </c>
      <c r="P364" s="5">
        <f>Weather_Site!E370</f>
        <v>0</v>
      </c>
      <c r="Q364" s="245">
        <f t="shared" si="52"/>
        <v>0</v>
      </c>
      <c r="R364" s="5">
        <f t="shared" si="47"/>
        <v>0</v>
      </c>
      <c r="S364" s="5">
        <f t="shared" si="53"/>
        <v>0</v>
      </c>
      <c r="T364" s="247">
        <f t="shared" si="54"/>
        <v>0</v>
      </c>
      <c r="U364" s="5">
        <f t="shared" si="48"/>
        <v>0</v>
      </c>
      <c r="V364" s="247">
        <f t="shared" si="49"/>
        <v>0</v>
      </c>
      <c r="W364" s="276">
        <f t="shared" si="50"/>
        <v>0</v>
      </c>
      <c r="X364" s="277">
        <f t="shared" si="51"/>
        <v>0</v>
      </c>
    </row>
    <row r="365" spans="14:24" x14ac:dyDescent="0.25">
      <c r="N365" s="244">
        <f>Weather_Site!B371</f>
        <v>0</v>
      </c>
      <c r="O365" s="245">
        <f>Weather_Site!C371</f>
        <v>0</v>
      </c>
      <c r="P365" s="5">
        <f>Weather_Site!E371</f>
        <v>0</v>
      </c>
      <c r="Q365" s="245">
        <f t="shared" si="52"/>
        <v>0</v>
      </c>
      <c r="R365" s="5">
        <f t="shared" si="47"/>
        <v>0</v>
      </c>
      <c r="S365" s="5">
        <f t="shared" si="53"/>
        <v>0</v>
      </c>
      <c r="T365" s="247">
        <f t="shared" si="54"/>
        <v>0</v>
      </c>
      <c r="U365" s="5">
        <f t="shared" si="48"/>
        <v>0</v>
      </c>
      <c r="V365" s="247">
        <f t="shared" si="49"/>
        <v>0</v>
      </c>
      <c r="W365" s="276">
        <f t="shared" si="50"/>
        <v>0</v>
      </c>
      <c r="X365" s="277">
        <f t="shared" si="51"/>
        <v>0</v>
      </c>
    </row>
    <row r="366" spans="14:24" x14ac:dyDescent="0.25">
      <c r="N366" s="244">
        <f>Weather_Site!B372</f>
        <v>0</v>
      </c>
      <c r="O366" s="245">
        <f>Weather_Site!C372</f>
        <v>0</v>
      </c>
      <c r="P366" s="5">
        <f>Weather_Site!E372</f>
        <v>0</v>
      </c>
      <c r="Q366" s="245">
        <f t="shared" si="52"/>
        <v>0</v>
      </c>
      <c r="R366" s="5">
        <f t="shared" si="47"/>
        <v>0</v>
      </c>
      <c r="S366" s="5">
        <f t="shared" si="53"/>
        <v>0</v>
      </c>
      <c r="T366" s="247">
        <f t="shared" si="54"/>
        <v>0</v>
      </c>
      <c r="U366" s="5">
        <f t="shared" si="48"/>
        <v>0</v>
      </c>
      <c r="V366" s="247">
        <f t="shared" si="49"/>
        <v>0</v>
      </c>
      <c r="W366" s="276">
        <f t="shared" si="50"/>
        <v>0</v>
      </c>
      <c r="X366" s="277">
        <f t="shared" si="51"/>
        <v>0</v>
      </c>
    </row>
    <row r="367" spans="14:24" x14ac:dyDescent="0.25">
      <c r="N367" s="244">
        <f>Weather_Site!B373</f>
        <v>0</v>
      </c>
      <c r="O367" s="245">
        <f>Weather_Site!C373</f>
        <v>0</v>
      </c>
      <c r="P367" s="5">
        <f>Weather_Site!E373</f>
        <v>0</v>
      </c>
      <c r="Q367" s="245">
        <f t="shared" si="52"/>
        <v>0</v>
      </c>
      <c r="R367" s="5">
        <f t="shared" si="47"/>
        <v>0</v>
      </c>
      <c r="S367" s="5">
        <f t="shared" si="53"/>
        <v>0</v>
      </c>
      <c r="T367" s="247">
        <f t="shared" si="54"/>
        <v>0</v>
      </c>
      <c r="U367" s="5">
        <f t="shared" si="48"/>
        <v>0</v>
      </c>
      <c r="V367" s="247">
        <f t="shared" si="49"/>
        <v>0</v>
      </c>
      <c r="W367" s="276">
        <f t="shared" si="50"/>
        <v>0</v>
      </c>
      <c r="X367" s="277">
        <f t="shared" si="51"/>
        <v>0</v>
      </c>
    </row>
    <row r="368" spans="14:24" x14ac:dyDescent="0.25">
      <c r="N368" s="244">
        <f>Weather_Site!B374</f>
        <v>0</v>
      </c>
      <c r="O368" s="245">
        <f>Weather_Site!C374</f>
        <v>0</v>
      </c>
      <c r="P368" s="5">
        <f>Weather_Site!E374</f>
        <v>0</v>
      </c>
      <c r="Q368" s="245">
        <f t="shared" si="52"/>
        <v>0</v>
      </c>
      <c r="R368" s="5">
        <f t="shared" si="47"/>
        <v>0</v>
      </c>
      <c r="S368" s="5">
        <f t="shared" si="53"/>
        <v>0</v>
      </c>
      <c r="T368" s="247">
        <f t="shared" si="54"/>
        <v>0</v>
      </c>
      <c r="U368" s="5">
        <f t="shared" si="48"/>
        <v>0</v>
      </c>
      <c r="V368" s="247">
        <f t="shared" si="49"/>
        <v>0</v>
      </c>
      <c r="W368" s="276">
        <f t="shared" si="50"/>
        <v>0</v>
      </c>
      <c r="X368" s="277">
        <f t="shared" si="51"/>
        <v>0</v>
      </c>
    </row>
    <row r="369" spans="14:24" x14ac:dyDescent="0.25">
      <c r="N369" s="244">
        <f>Weather_Site!B375</f>
        <v>0</v>
      </c>
      <c r="O369" s="245">
        <f>Weather_Site!C375</f>
        <v>0</v>
      </c>
      <c r="P369" s="5">
        <f>Weather_Site!E375</f>
        <v>0</v>
      </c>
      <c r="Q369" s="245">
        <f t="shared" si="52"/>
        <v>0</v>
      </c>
      <c r="R369" s="5">
        <f t="shared" si="47"/>
        <v>0</v>
      </c>
      <c r="S369" s="5">
        <f t="shared" si="53"/>
        <v>0</v>
      </c>
      <c r="T369" s="247">
        <f t="shared" si="54"/>
        <v>0</v>
      </c>
      <c r="U369" s="5">
        <f t="shared" si="48"/>
        <v>0</v>
      </c>
      <c r="V369" s="247">
        <f t="shared" si="49"/>
        <v>0</v>
      </c>
      <c r="W369" s="276">
        <f t="shared" si="50"/>
        <v>0</v>
      </c>
      <c r="X369" s="277">
        <f t="shared" si="51"/>
        <v>0</v>
      </c>
    </row>
    <row r="370" spans="14:24" x14ac:dyDescent="0.25">
      <c r="N370" s="244">
        <f>Weather_Site!B376</f>
        <v>0</v>
      </c>
      <c r="O370" s="245">
        <f>Weather_Site!C376</f>
        <v>0</v>
      </c>
      <c r="P370" s="5">
        <f>Weather_Site!E376</f>
        <v>0</v>
      </c>
      <c r="Q370" s="245">
        <f t="shared" si="52"/>
        <v>0</v>
      </c>
      <c r="R370" s="5">
        <f t="shared" si="47"/>
        <v>0</v>
      </c>
      <c r="S370" s="5">
        <f t="shared" si="53"/>
        <v>0</v>
      </c>
      <c r="T370" s="247">
        <f t="shared" si="54"/>
        <v>0</v>
      </c>
      <c r="U370" s="5">
        <f t="shared" si="48"/>
        <v>0</v>
      </c>
      <c r="V370" s="247">
        <f t="shared" si="49"/>
        <v>0</v>
      </c>
      <c r="W370" s="276">
        <f t="shared" si="50"/>
        <v>0</v>
      </c>
      <c r="X370" s="277">
        <f t="shared" si="51"/>
        <v>0</v>
      </c>
    </row>
    <row r="371" spans="14:24" x14ac:dyDescent="0.25">
      <c r="N371" s="244">
        <f>Weather_Site!B377</f>
        <v>0</v>
      </c>
      <c r="O371" s="245">
        <f>Weather_Site!C377</f>
        <v>0</v>
      </c>
      <c r="P371" s="5">
        <f>Weather_Site!E377</f>
        <v>0</v>
      </c>
      <c r="Q371" s="245">
        <f t="shared" si="52"/>
        <v>0</v>
      </c>
      <c r="R371" s="5">
        <f t="shared" si="47"/>
        <v>0</v>
      </c>
      <c r="S371" s="5">
        <f t="shared" si="53"/>
        <v>0</v>
      </c>
      <c r="T371" s="247">
        <f t="shared" si="54"/>
        <v>0</v>
      </c>
      <c r="U371" s="5">
        <f t="shared" si="48"/>
        <v>0</v>
      </c>
      <c r="V371" s="247">
        <f t="shared" si="49"/>
        <v>0</v>
      </c>
      <c r="W371" s="276">
        <f t="shared" si="50"/>
        <v>0</v>
      </c>
      <c r="X371" s="277">
        <f t="shared" si="51"/>
        <v>0</v>
      </c>
    </row>
    <row r="372" spans="14:24" x14ac:dyDescent="0.25">
      <c r="N372" s="244">
        <f>Weather_Site!B378</f>
        <v>0</v>
      </c>
      <c r="O372" s="245">
        <f>Weather_Site!C378</f>
        <v>0</v>
      </c>
      <c r="P372" s="5">
        <f>Weather_Site!E378</f>
        <v>0</v>
      </c>
      <c r="Q372" s="245">
        <f t="shared" si="52"/>
        <v>0</v>
      </c>
      <c r="R372" s="5">
        <f t="shared" si="47"/>
        <v>0</v>
      </c>
      <c r="S372" s="5">
        <f t="shared" si="53"/>
        <v>0</v>
      </c>
      <c r="T372" s="247">
        <f t="shared" si="54"/>
        <v>0</v>
      </c>
      <c r="U372" s="5">
        <f t="shared" si="48"/>
        <v>0</v>
      </c>
      <c r="V372" s="247">
        <f t="shared" si="49"/>
        <v>0</v>
      </c>
      <c r="W372" s="276">
        <f t="shared" si="50"/>
        <v>0</v>
      </c>
      <c r="X372" s="277">
        <f t="shared" si="51"/>
        <v>0</v>
      </c>
    </row>
    <row r="373" spans="14:24" x14ac:dyDescent="0.25">
      <c r="N373" s="244">
        <f>Weather_Site!B379</f>
        <v>0</v>
      </c>
      <c r="O373" s="245">
        <f>Weather_Site!C379</f>
        <v>0</v>
      </c>
      <c r="P373" s="5">
        <f>Weather_Site!E379</f>
        <v>0</v>
      </c>
      <c r="Q373" s="245">
        <f t="shared" si="52"/>
        <v>0</v>
      </c>
      <c r="R373" s="5">
        <f t="shared" si="47"/>
        <v>0</v>
      </c>
      <c r="S373" s="5">
        <f t="shared" si="53"/>
        <v>0</v>
      </c>
      <c r="T373" s="247">
        <f t="shared" si="54"/>
        <v>0</v>
      </c>
      <c r="U373" s="5">
        <f t="shared" si="48"/>
        <v>0</v>
      </c>
      <c r="V373" s="247">
        <f t="shared" si="49"/>
        <v>0</v>
      </c>
      <c r="W373" s="276">
        <f t="shared" si="50"/>
        <v>0</v>
      </c>
      <c r="X373" s="277">
        <f t="shared" si="51"/>
        <v>0</v>
      </c>
    </row>
    <row r="374" spans="14:24" x14ac:dyDescent="0.25">
      <c r="N374" s="244">
        <f>Weather_Site!B380</f>
        <v>0</v>
      </c>
      <c r="O374" s="245">
        <f>Weather_Site!C380</f>
        <v>0</v>
      </c>
      <c r="P374" s="5">
        <f>Weather_Site!E380</f>
        <v>0</v>
      </c>
      <c r="Q374" s="245">
        <f t="shared" si="52"/>
        <v>0</v>
      </c>
      <c r="R374" s="5">
        <f t="shared" si="47"/>
        <v>0</v>
      </c>
      <c r="S374" s="5">
        <f t="shared" si="53"/>
        <v>0</v>
      </c>
      <c r="T374" s="247">
        <f t="shared" si="54"/>
        <v>0</v>
      </c>
      <c r="U374" s="5">
        <f t="shared" si="48"/>
        <v>0</v>
      </c>
      <c r="V374" s="247">
        <f t="shared" si="49"/>
        <v>0</v>
      </c>
      <c r="W374" s="276">
        <f t="shared" si="50"/>
        <v>0</v>
      </c>
      <c r="X374" s="277">
        <f t="shared" si="51"/>
        <v>0</v>
      </c>
    </row>
    <row r="375" spans="14:24" x14ac:dyDescent="0.25">
      <c r="N375" s="244">
        <f>Weather_Site!B381</f>
        <v>0</v>
      </c>
      <c r="O375" s="245">
        <f>Weather_Site!C381</f>
        <v>0</v>
      </c>
      <c r="P375" s="5">
        <f>Weather_Site!E381</f>
        <v>0</v>
      </c>
      <c r="Q375" s="245">
        <f t="shared" si="52"/>
        <v>0</v>
      </c>
      <c r="R375" s="5">
        <f t="shared" si="47"/>
        <v>0</v>
      </c>
      <c r="S375" s="5">
        <f t="shared" si="53"/>
        <v>0</v>
      </c>
      <c r="T375" s="247">
        <f t="shared" si="54"/>
        <v>0</v>
      </c>
      <c r="U375" s="5">
        <f t="shared" si="48"/>
        <v>0</v>
      </c>
      <c r="V375" s="247">
        <f t="shared" si="49"/>
        <v>0</v>
      </c>
      <c r="W375" s="276">
        <f t="shared" si="50"/>
        <v>0</v>
      </c>
      <c r="X375" s="277">
        <f t="shared" si="51"/>
        <v>0</v>
      </c>
    </row>
    <row r="376" spans="14:24" x14ac:dyDescent="0.25">
      <c r="N376" s="244">
        <f>Weather_Site!B382</f>
        <v>0</v>
      </c>
      <c r="O376" s="245">
        <f>Weather_Site!C382</f>
        <v>0</v>
      </c>
      <c r="P376" s="5">
        <f>Weather_Site!E382</f>
        <v>0</v>
      </c>
      <c r="Q376" s="245">
        <f t="shared" si="52"/>
        <v>0</v>
      </c>
      <c r="R376" s="5">
        <f t="shared" si="47"/>
        <v>0</v>
      </c>
      <c r="S376" s="5">
        <f t="shared" si="53"/>
        <v>0</v>
      </c>
      <c r="T376" s="247">
        <f t="shared" si="54"/>
        <v>0</v>
      </c>
      <c r="U376" s="5">
        <f t="shared" si="48"/>
        <v>0</v>
      </c>
      <c r="V376" s="247">
        <f t="shared" si="49"/>
        <v>0</v>
      </c>
      <c r="W376" s="276">
        <f t="shared" si="50"/>
        <v>0</v>
      </c>
      <c r="X376" s="277">
        <f t="shared" si="51"/>
        <v>0</v>
      </c>
    </row>
    <row r="377" spans="14:24" x14ac:dyDescent="0.25">
      <c r="N377" s="244">
        <f>Weather_Site!B383</f>
        <v>0</v>
      </c>
      <c r="O377" s="245">
        <f>Weather_Site!C383</f>
        <v>0</v>
      </c>
      <c r="P377" s="5">
        <f>Weather_Site!E383</f>
        <v>0</v>
      </c>
      <c r="Q377" s="245">
        <f t="shared" si="52"/>
        <v>0</v>
      </c>
      <c r="R377" s="5">
        <f t="shared" si="47"/>
        <v>0</v>
      </c>
      <c r="S377" s="5">
        <f t="shared" si="53"/>
        <v>0</v>
      </c>
      <c r="T377" s="247">
        <f t="shared" si="54"/>
        <v>0</v>
      </c>
      <c r="U377" s="5">
        <f t="shared" si="48"/>
        <v>0</v>
      </c>
      <c r="V377" s="247">
        <f t="shared" si="49"/>
        <v>0</v>
      </c>
      <c r="W377" s="276">
        <f t="shared" si="50"/>
        <v>0</v>
      </c>
      <c r="X377" s="277">
        <f t="shared" si="51"/>
        <v>0</v>
      </c>
    </row>
    <row r="378" spans="14:24" x14ac:dyDescent="0.25">
      <c r="N378" s="244">
        <f>Weather_Site!B384</f>
        <v>0</v>
      </c>
      <c r="O378" s="245">
        <f>Weather_Site!C384</f>
        <v>0</v>
      </c>
      <c r="P378" s="5">
        <f>Weather_Site!E384</f>
        <v>0</v>
      </c>
      <c r="Q378" s="245">
        <f t="shared" si="52"/>
        <v>0</v>
      </c>
      <c r="R378" s="5">
        <f t="shared" si="47"/>
        <v>0</v>
      </c>
      <c r="S378" s="5">
        <f t="shared" si="53"/>
        <v>0</v>
      </c>
      <c r="T378" s="247">
        <f t="shared" si="54"/>
        <v>0</v>
      </c>
      <c r="U378" s="5">
        <f t="shared" si="48"/>
        <v>0</v>
      </c>
      <c r="V378" s="247">
        <f t="shared" si="49"/>
        <v>0</v>
      </c>
      <c r="W378" s="276">
        <f t="shared" si="50"/>
        <v>0</v>
      </c>
      <c r="X378" s="277">
        <f t="shared" si="51"/>
        <v>0</v>
      </c>
    </row>
    <row r="379" spans="14:24" x14ac:dyDescent="0.25">
      <c r="N379" s="244">
        <f>Weather_Site!B385</f>
        <v>0</v>
      </c>
      <c r="O379" s="245">
        <f>Weather_Site!C385</f>
        <v>0</v>
      </c>
      <c r="P379" s="5">
        <f>Weather_Site!E385</f>
        <v>0</v>
      </c>
      <c r="Q379" s="245">
        <f t="shared" si="52"/>
        <v>0</v>
      </c>
      <c r="R379" s="5">
        <f t="shared" si="47"/>
        <v>0</v>
      </c>
      <c r="S379" s="5">
        <f t="shared" si="53"/>
        <v>0</v>
      </c>
      <c r="T379" s="247">
        <f t="shared" si="54"/>
        <v>0</v>
      </c>
      <c r="U379" s="5">
        <f t="shared" si="48"/>
        <v>0</v>
      </c>
      <c r="V379" s="247">
        <f t="shared" si="49"/>
        <v>0</v>
      </c>
      <c r="W379" s="276">
        <f t="shared" si="50"/>
        <v>0</v>
      </c>
      <c r="X379" s="277">
        <f t="shared" si="51"/>
        <v>0</v>
      </c>
    </row>
    <row r="380" spans="14:24" x14ac:dyDescent="0.25">
      <c r="N380" s="244">
        <f>Weather_Site!B386</f>
        <v>0</v>
      </c>
      <c r="O380" s="245">
        <f>Weather_Site!C386</f>
        <v>0</v>
      </c>
      <c r="P380" s="5">
        <f>Weather_Site!E386</f>
        <v>0</v>
      </c>
      <c r="Q380" s="245">
        <f t="shared" si="52"/>
        <v>0</v>
      </c>
      <c r="R380" s="5">
        <f t="shared" si="47"/>
        <v>0</v>
      </c>
      <c r="S380" s="5">
        <f t="shared" si="53"/>
        <v>0</v>
      </c>
      <c r="T380" s="247">
        <f t="shared" si="54"/>
        <v>0</v>
      </c>
      <c r="U380" s="5">
        <f t="shared" si="48"/>
        <v>0</v>
      </c>
      <c r="V380" s="247">
        <f t="shared" si="49"/>
        <v>0</v>
      </c>
      <c r="W380" s="276">
        <f t="shared" si="50"/>
        <v>0</v>
      </c>
      <c r="X380" s="277">
        <f t="shared" si="51"/>
        <v>0</v>
      </c>
    </row>
    <row r="381" spans="14:24" x14ac:dyDescent="0.25">
      <c r="N381" s="244">
        <f>Weather_Site!B387</f>
        <v>0</v>
      </c>
      <c r="O381" s="245">
        <f>Weather_Site!C387</f>
        <v>0</v>
      </c>
      <c r="P381" s="5">
        <f>Weather_Site!E387</f>
        <v>0</v>
      </c>
      <c r="Q381" s="245">
        <f t="shared" si="52"/>
        <v>0</v>
      </c>
      <c r="R381" s="5">
        <f t="shared" si="47"/>
        <v>0</v>
      </c>
      <c r="S381" s="5">
        <f t="shared" si="53"/>
        <v>0</v>
      </c>
      <c r="T381" s="247">
        <f t="shared" si="54"/>
        <v>0</v>
      </c>
      <c r="U381" s="5">
        <f t="shared" si="48"/>
        <v>0</v>
      </c>
      <c r="V381" s="247">
        <f t="shared" si="49"/>
        <v>0</v>
      </c>
      <c r="W381" s="276">
        <f t="shared" si="50"/>
        <v>0</v>
      </c>
      <c r="X381" s="277">
        <f t="shared" si="51"/>
        <v>0</v>
      </c>
    </row>
    <row r="382" spans="14:24" x14ac:dyDescent="0.25">
      <c r="N382" s="244">
        <f>Weather_Site!B388</f>
        <v>0</v>
      </c>
      <c r="O382" s="245">
        <f>Weather_Site!C388</f>
        <v>0</v>
      </c>
      <c r="P382" s="5">
        <f>Weather_Site!E388</f>
        <v>0</v>
      </c>
      <c r="Q382" s="245">
        <f t="shared" si="52"/>
        <v>0</v>
      </c>
      <c r="R382" s="5">
        <f t="shared" si="47"/>
        <v>0</v>
      </c>
      <c r="S382" s="5">
        <f t="shared" si="53"/>
        <v>0</v>
      </c>
      <c r="T382" s="247">
        <f t="shared" si="54"/>
        <v>0</v>
      </c>
      <c r="U382" s="5">
        <f t="shared" si="48"/>
        <v>0</v>
      </c>
      <c r="V382" s="247">
        <f t="shared" si="49"/>
        <v>0</v>
      </c>
      <c r="W382" s="276">
        <f t="shared" si="50"/>
        <v>0</v>
      </c>
      <c r="X382" s="277">
        <f t="shared" si="51"/>
        <v>0</v>
      </c>
    </row>
    <row r="383" spans="14:24" x14ac:dyDescent="0.25">
      <c r="N383" s="244">
        <f>Weather_Site!B389</f>
        <v>0</v>
      </c>
      <c r="O383" s="245">
        <f>Weather_Site!C389</f>
        <v>0</v>
      </c>
      <c r="P383" s="5">
        <f>Weather_Site!E389</f>
        <v>0</v>
      </c>
      <c r="Q383" s="245">
        <f t="shared" si="52"/>
        <v>0</v>
      </c>
      <c r="R383" s="5">
        <f t="shared" si="47"/>
        <v>0</v>
      </c>
      <c r="S383" s="5">
        <f t="shared" si="53"/>
        <v>0</v>
      </c>
      <c r="T383" s="247">
        <f t="shared" si="54"/>
        <v>0</v>
      </c>
      <c r="U383" s="5">
        <f t="shared" si="48"/>
        <v>0</v>
      </c>
      <c r="V383" s="247">
        <f t="shared" si="49"/>
        <v>0</v>
      </c>
      <c r="W383" s="276">
        <f t="shared" si="50"/>
        <v>0</v>
      </c>
      <c r="X383" s="277">
        <f t="shared" si="51"/>
        <v>0</v>
      </c>
    </row>
    <row r="384" spans="14:24" x14ac:dyDescent="0.25">
      <c r="N384" s="244">
        <f>Weather_Site!B390</f>
        <v>0</v>
      </c>
      <c r="O384" s="245">
        <f>Weather_Site!C390</f>
        <v>0</v>
      </c>
      <c r="P384" s="5">
        <f>Weather_Site!E390</f>
        <v>0</v>
      </c>
      <c r="Q384" s="245">
        <f t="shared" si="52"/>
        <v>0</v>
      </c>
      <c r="R384" s="5">
        <f t="shared" si="47"/>
        <v>0</v>
      </c>
      <c r="S384" s="5">
        <f t="shared" si="53"/>
        <v>0</v>
      </c>
      <c r="T384" s="247">
        <f t="shared" si="54"/>
        <v>0</v>
      </c>
      <c r="U384" s="5">
        <f t="shared" si="48"/>
        <v>0</v>
      </c>
      <c r="V384" s="247">
        <f t="shared" si="49"/>
        <v>0</v>
      </c>
      <c r="W384" s="276">
        <f t="shared" si="50"/>
        <v>0</v>
      </c>
      <c r="X384" s="277">
        <f t="shared" si="51"/>
        <v>0</v>
      </c>
    </row>
    <row r="385" spans="14:24" x14ac:dyDescent="0.25">
      <c r="N385" s="244">
        <f>Weather_Site!B391</f>
        <v>0</v>
      </c>
      <c r="O385" s="245">
        <f>Weather_Site!C391</f>
        <v>0</v>
      </c>
      <c r="P385" s="5">
        <f>Weather_Site!E391</f>
        <v>0</v>
      </c>
      <c r="Q385" s="245">
        <f t="shared" si="52"/>
        <v>0</v>
      </c>
      <c r="R385" s="5">
        <f t="shared" si="47"/>
        <v>0</v>
      </c>
      <c r="S385" s="5">
        <f t="shared" si="53"/>
        <v>0</v>
      </c>
      <c r="T385" s="247">
        <f t="shared" si="54"/>
        <v>0</v>
      </c>
      <c r="U385" s="5">
        <f t="shared" si="48"/>
        <v>0</v>
      </c>
      <c r="V385" s="247">
        <f t="shared" si="49"/>
        <v>0</v>
      </c>
      <c r="W385" s="276">
        <f t="shared" si="50"/>
        <v>0</v>
      </c>
      <c r="X385" s="277">
        <f t="shared" si="51"/>
        <v>0</v>
      </c>
    </row>
    <row r="386" spans="14:24" x14ac:dyDescent="0.25">
      <c r="N386" s="244">
        <f>Weather_Site!B392</f>
        <v>0</v>
      </c>
      <c r="O386" s="245">
        <f>Weather_Site!C392</f>
        <v>0</v>
      </c>
      <c r="P386" s="5">
        <f>Weather_Site!E392</f>
        <v>0</v>
      </c>
      <c r="Q386" s="245">
        <f t="shared" si="52"/>
        <v>0</v>
      </c>
      <c r="R386" s="5">
        <f t="shared" si="47"/>
        <v>0</v>
      </c>
      <c r="S386" s="5">
        <f t="shared" si="53"/>
        <v>0</v>
      </c>
      <c r="T386" s="247">
        <f t="shared" si="54"/>
        <v>0</v>
      </c>
      <c r="U386" s="5">
        <f t="shared" si="48"/>
        <v>0</v>
      </c>
      <c r="V386" s="247">
        <f t="shared" si="49"/>
        <v>0</v>
      </c>
      <c r="W386" s="276">
        <f t="shared" si="50"/>
        <v>0</v>
      </c>
      <c r="X386" s="277">
        <f t="shared" si="51"/>
        <v>0</v>
      </c>
    </row>
    <row r="387" spans="14:24" x14ac:dyDescent="0.25">
      <c r="N387" s="244">
        <f>Weather_Site!B393</f>
        <v>0</v>
      </c>
      <c r="O387" s="245">
        <f>Weather_Site!C393</f>
        <v>0</v>
      </c>
      <c r="P387" s="5">
        <f>Weather_Site!E393</f>
        <v>0</v>
      </c>
      <c r="Q387" s="245">
        <f t="shared" si="52"/>
        <v>0</v>
      </c>
      <c r="R387" s="5">
        <f t="shared" si="47"/>
        <v>0</v>
      </c>
      <c r="S387" s="5">
        <f t="shared" si="53"/>
        <v>0</v>
      </c>
      <c r="T387" s="247">
        <f t="shared" si="54"/>
        <v>0</v>
      </c>
      <c r="U387" s="5">
        <f t="shared" si="48"/>
        <v>0</v>
      </c>
      <c r="V387" s="247">
        <f t="shared" si="49"/>
        <v>0</v>
      </c>
      <c r="W387" s="276">
        <f t="shared" si="50"/>
        <v>0</v>
      </c>
      <c r="X387" s="277">
        <f t="shared" si="51"/>
        <v>0</v>
      </c>
    </row>
    <row r="388" spans="14:24" x14ac:dyDescent="0.25">
      <c r="N388" s="244">
        <f>Weather_Site!B394</f>
        <v>0</v>
      </c>
      <c r="O388" s="245">
        <f>Weather_Site!C394</f>
        <v>0</v>
      </c>
      <c r="P388" s="5">
        <f>Weather_Site!E394</f>
        <v>0</v>
      </c>
      <c r="Q388" s="245">
        <f t="shared" si="52"/>
        <v>0</v>
      </c>
      <c r="R388" s="5">
        <f t="shared" si="47"/>
        <v>0</v>
      </c>
      <c r="S388" s="5">
        <f t="shared" si="53"/>
        <v>0</v>
      </c>
      <c r="T388" s="247">
        <f t="shared" si="54"/>
        <v>0</v>
      </c>
      <c r="U388" s="5">
        <f t="shared" si="48"/>
        <v>0</v>
      </c>
      <c r="V388" s="247">
        <f t="shared" si="49"/>
        <v>0</v>
      </c>
      <c r="W388" s="276">
        <f t="shared" si="50"/>
        <v>0</v>
      </c>
      <c r="X388" s="277">
        <f t="shared" si="51"/>
        <v>0</v>
      </c>
    </row>
    <row r="389" spans="14:24" x14ac:dyDescent="0.25">
      <c r="N389" s="244">
        <f>Weather_Site!B395</f>
        <v>0</v>
      </c>
      <c r="O389" s="245">
        <f>Weather_Site!C395</f>
        <v>0</v>
      </c>
      <c r="P389" s="5">
        <f>Weather_Site!E395</f>
        <v>0</v>
      </c>
      <c r="Q389" s="245">
        <f t="shared" si="52"/>
        <v>0</v>
      </c>
      <c r="R389" s="5">
        <f t="shared" si="47"/>
        <v>0</v>
      </c>
      <c r="S389" s="5">
        <f t="shared" si="53"/>
        <v>0</v>
      </c>
      <c r="T389" s="247">
        <f t="shared" si="54"/>
        <v>0</v>
      </c>
      <c r="U389" s="5">
        <f t="shared" si="48"/>
        <v>0</v>
      </c>
      <c r="V389" s="247">
        <f t="shared" si="49"/>
        <v>0</v>
      </c>
      <c r="W389" s="276">
        <f t="shared" si="50"/>
        <v>0</v>
      </c>
      <c r="X389" s="277">
        <f t="shared" si="51"/>
        <v>0</v>
      </c>
    </row>
    <row r="390" spans="14:24" x14ac:dyDescent="0.25">
      <c r="N390" s="244">
        <f>Weather_Site!B396</f>
        <v>0</v>
      </c>
      <c r="O390" s="245">
        <f>Weather_Site!C396</f>
        <v>0</v>
      </c>
      <c r="P390" s="5">
        <f>Weather_Site!E396</f>
        <v>0</v>
      </c>
      <c r="Q390" s="245">
        <f t="shared" si="52"/>
        <v>0</v>
      </c>
      <c r="R390" s="5">
        <f t="shared" si="47"/>
        <v>0</v>
      </c>
      <c r="S390" s="5">
        <f t="shared" si="53"/>
        <v>0</v>
      </c>
      <c r="T390" s="247">
        <f t="shared" si="54"/>
        <v>0</v>
      </c>
      <c r="U390" s="5">
        <f t="shared" si="48"/>
        <v>0</v>
      </c>
      <c r="V390" s="247">
        <f t="shared" si="49"/>
        <v>0</v>
      </c>
      <c r="W390" s="276">
        <f t="shared" si="50"/>
        <v>0</v>
      </c>
      <c r="X390" s="277">
        <f t="shared" si="51"/>
        <v>0</v>
      </c>
    </row>
    <row r="391" spans="14:24" x14ac:dyDescent="0.25">
      <c r="N391" s="244">
        <f>Weather_Site!B397</f>
        <v>0</v>
      </c>
      <c r="O391" s="245">
        <f>Weather_Site!C397</f>
        <v>0</v>
      </c>
      <c r="P391" s="5">
        <f>Weather_Site!E397</f>
        <v>0</v>
      </c>
      <c r="Q391" s="245">
        <f t="shared" si="52"/>
        <v>0</v>
      </c>
      <c r="R391" s="5">
        <f t="shared" si="47"/>
        <v>0</v>
      </c>
      <c r="S391" s="5">
        <f t="shared" si="53"/>
        <v>0</v>
      </c>
      <c r="T391" s="247">
        <f t="shared" si="54"/>
        <v>0</v>
      </c>
      <c r="U391" s="5">
        <f t="shared" si="48"/>
        <v>0</v>
      </c>
      <c r="V391" s="247">
        <f t="shared" si="49"/>
        <v>0</v>
      </c>
      <c r="W391" s="276">
        <f t="shared" si="50"/>
        <v>0</v>
      </c>
      <c r="X391" s="277">
        <f t="shared" si="51"/>
        <v>0</v>
      </c>
    </row>
    <row r="392" spans="14:24" x14ac:dyDescent="0.25">
      <c r="N392" s="244">
        <f>Weather_Site!B398</f>
        <v>0</v>
      </c>
      <c r="O392" s="245">
        <f>Weather_Site!C398</f>
        <v>0</v>
      </c>
      <c r="P392" s="5">
        <f>Weather_Site!E398</f>
        <v>0</v>
      </c>
      <c r="Q392" s="245">
        <f t="shared" si="52"/>
        <v>0</v>
      </c>
      <c r="R392" s="5">
        <f t="shared" ref="R392:R455" si="55">HOUR(Q392)</f>
        <v>0</v>
      </c>
      <c r="S392" s="5">
        <f t="shared" si="53"/>
        <v>0</v>
      </c>
      <c r="T392" s="247">
        <f t="shared" si="54"/>
        <v>0</v>
      </c>
      <c r="U392" s="5">
        <f t="shared" ref="U392:U455" si="56">MAX((T392-70*R392),0)</f>
        <v>0</v>
      </c>
      <c r="V392" s="247">
        <f t="shared" ref="V392:V455" si="57">IF(OR(AND((N392-N391)=0,O391&gt;0.5),AND((N392-N391)=1,O392&lt;0.5),AND(N392-N391)=0,O392&lt;0.5),U392+V391,U392)</f>
        <v>0</v>
      </c>
      <c r="W392" s="276">
        <f t="shared" ref="W392:W455" si="58">IF(O392&lt;0.75,MAX(V392,W391),V392)</f>
        <v>0</v>
      </c>
      <c r="X392" s="277">
        <f t="shared" si="51"/>
        <v>0</v>
      </c>
    </row>
    <row r="393" spans="14:24" x14ac:dyDescent="0.25">
      <c r="N393" s="244">
        <f>Weather_Site!B399</f>
        <v>0</v>
      </c>
      <c r="O393" s="245">
        <f>Weather_Site!C399</f>
        <v>0</v>
      </c>
      <c r="P393" s="5">
        <f>Weather_Site!E399</f>
        <v>0</v>
      </c>
      <c r="Q393" s="245">
        <f t="shared" si="52"/>
        <v>0</v>
      </c>
      <c r="R393" s="5">
        <f t="shared" si="55"/>
        <v>0</v>
      </c>
      <c r="S393" s="5">
        <f t="shared" si="53"/>
        <v>0</v>
      </c>
      <c r="T393" s="247">
        <f t="shared" si="54"/>
        <v>0</v>
      </c>
      <c r="U393" s="5">
        <f t="shared" si="56"/>
        <v>0</v>
      </c>
      <c r="V393" s="247">
        <f t="shared" si="57"/>
        <v>0</v>
      </c>
      <c r="W393" s="276">
        <f t="shared" si="58"/>
        <v>0</v>
      </c>
      <c r="X393" s="277">
        <f t="shared" si="51"/>
        <v>0</v>
      </c>
    </row>
    <row r="394" spans="14:24" x14ac:dyDescent="0.25">
      <c r="N394" s="244">
        <f>Weather_Site!B400</f>
        <v>0</v>
      </c>
      <c r="O394" s="245">
        <f>Weather_Site!C400</f>
        <v>0</v>
      </c>
      <c r="P394" s="5">
        <f>Weather_Site!E400</f>
        <v>0</v>
      </c>
      <c r="Q394" s="245">
        <f t="shared" si="52"/>
        <v>0</v>
      </c>
      <c r="R394" s="5">
        <f t="shared" si="55"/>
        <v>0</v>
      </c>
      <c r="S394" s="5">
        <f t="shared" si="53"/>
        <v>0</v>
      </c>
      <c r="T394" s="247">
        <f t="shared" si="54"/>
        <v>0</v>
      </c>
      <c r="U394" s="5">
        <f t="shared" si="56"/>
        <v>0</v>
      </c>
      <c r="V394" s="247">
        <f t="shared" si="57"/>
        <v>0</v>
      </c>
      <c r="W394" s="276">
        <f t="shared" si="58"/>
        <v>0</v>
      </c>
      <c r="X394" s="277">
        <f t="shared" si="51"/>
        <v>0</v>
      </c>
    </row>
    <row r="395" spans="14:24" x14ac:dyDescent="0.25">
      <c r="N395" s="244">
        <f>Weather_Site!B401</f>
        <v>0</v>
      </c>
      <c r="O395" s="245">
        <f>Weather_Site!C401</f>
        <v>0</v>
      </c>
      <c r="P395" s="5">
        <f>Weather_Site!E401</f>
        <v>0</v>
      </c>
      <c r="Q395" s="245">
        <f t="shared" si="52"/>
        <v>0</v>
      </c>
      <c r="R395" s="5">
        <f t="shared" si="55"/>
        <v>0</v>
      </c>
      <c r="S395" s="5">
        <f t="shared" si="53"/>
        <v>0</v>
      </c>
      <c r="T395" s="247">
        <f t="shared" si="54"/>
        <v>0</v>
      </c>
      <c r="U395" s="5">
        <f t="shared" si="56"/>
        <v>0</v>
      </c>
      <c r="V395" s="247">
        <f t="shared" si="57"/>
        <v>0</v>
      </c>
      <c r="W395" s="276">
        <f t="shared" si="58"/>
        <v>0</v>
      </c>
      <c r="X395" s="277">
        <f t="shared" si="51"/>
        <v>0</v>
      </c>
    </row>
    <row r="396" spans="14:24" x14ac:dyDescent="0.25">
      <c r="N396" s="244">
        <f>Weather_Site!B402</f>
        <v>0</v>
      </c>
      <c r="O396" s="245">
        <f>Weather_Site!C402</f>
        <v>0</v>
      </c>
      <c r="P396" s="5">
        <f>Weather_Site!E402</f>
        <v>0</v>
      </c>
      <c r="Q396" s="245">
        <f t="shared" si="52"/>
        <v>0</v>
      </c>
      <c r="R396" s="5">
        <f t="shared" si="55"/>
        <v>0</v>
      </c>
      <c r="S396" s="5">
        <f t="shared" si="53"/>
        <v>0</v>
      </c>
      <c r="T396" s="247">
        <f t="shared" si="54"/>
        <v>0</v>
      </c>
      <c r="U396" s="5">
        <f t="shared" si="56"/>
        <v>0</v>
      </c>
      <c r="V396" s="247">
        <f t="shared" si="57"/>
        <v>0</v>
      </c>
      <c r="W396" s="276">
        <f t="shared" si="58"/>
        <v>0</v>
      </c>
      <c r="X396" s="277">
        <f t="shared" si="51"/>
        <v>0</v>
      </c>
    </row>
    <row r="397" spans="14:24" x14ac:dyDescent="0.25">
      <c r="N397" s="244">
        <f>Weather_Site!B403</f>
        <v>0</v>
      </c>
      <c r="O397" s="245">
        <f>Weather_Site!C403</f>
        <v>0</v>
      </c>
      <c r="P397" s="5">
        <f>Weather_Site!E403</f>
        <v>0</v>
      </c>
      <c r="Q397" s="245">
        <f t="shared" si="52"/>
        <v>0</v>
      </c>
      <c r="R397" s="5">
        <f t="shared" si="55"/>
        <v>0</v>
      </c>
      <c r="S397" s="5">
        <f t="shared" si="53"/>
        <v>0</v>
      </c>
      <c r="T397" s="247">
        <f t="shared" si="54"/>
        <v>0</v>
      </c>
      <c r="U397" s="5">
        <f t="shared" si="56"/>
        <v>0</v>
      </c>
      <c r="V397" s="247">
        <f t="shared" si="57"/>
        <v>0</v>
      </c>
      <c r="W397" s="276">
        <f t="shared" si="58"/>
        <v>0</v>
      </c>
      <c r="X397" s="277">
        <f t="shared" si="51"/>
        <v>0</v>
      </c>
    </row>
    <row r="398" spans="14:24" x14ac:dyDescent="0.25">
      <c r="N398" s="244">
        <f>Weather_Site!B404</f>
        <v>0</v>
      </c>
      <c r="O398" s="245">
        <f>Weather_Site!C404</f>
        <v>0</v>
      </c>
      <c r="P398" s="5">
        <f>Weather_Site!E404</f>
        <v>0</v>
      </c>
      <c r="Q398" s="245">
        <f t="shared" si="52"/>
        <v>0</v>
      </c>
      <c r="R398" s="5">
        <f t="shared" si="55"/>
        <v>0</v>
      </c>
      <c r="S398" s="5">
        <f t="shared" si="53"/>
        <v>0</v>
      </c>
      <c r="T398" s="247">
        <f t="shared" si="54"/>
        <v>0</v>
      </c>
      <c r="U398" s="5">
        <f t="shared" si="56"/>
        <v>0</v>
      </c>
      <c r="V398" s="247">
        <f t="shared" si="57"/>
        <v>0</v>
      </c>
      <c r="W398" s="276">
        <f t="shared" si="58"/>
        <v>0</v>
      </c>
      <c r="X398" s="277">
        <f t="shared" si="51"/>
        <v>0</v>
      </c>
    </row>
    <row r="399" spans="14:24" x14ac:dyDescent="0.25">
      <c r="N399" s="244">
        <f>Weather_Site!B405</f>
        <v>0</v>
      </c>
      <c r="O399" s="245">
        <f>Weather_Site!C405</f>
        <v>0</v>
      </c>
      <c r="P399" s="5">
        <f>Weather_Site!E405</f>
        <v>0</v>
      </c>
      <c r="Q399" s="245">
        <f t="shared" si="52"/>
        <v>0</v>
      </c>
      <c r="R399" s="5">
        <f t="shared" si="55"/>
        <v>0</v>
      </c>
      <c r="S399" s="5">
        <f t="shared" si="53"/>
        <v>0</v>
      </c>
      <c r="T399" s="247">
        <f t="shared" si="54"/>
        <v>0</v>
      </c>
      <c r="U399" s="5">
        <f t="shared" si="56"/>
        <v>0</v>
      </c>
      <c r="V399" s="247">
        <f t="shared" si="57"/>
        <v>0</v>
      </c>
      <c r="W399" s="276">
        <f t="shared" si="58"/>
        <v>0</v>
      </c>
      <c r="X399" s="277">
        <f t="shared" si="51"/>
        <v>0</v>
      </c>
    </row>
    <row r="400" spans="14:24" x14ac:dyDescent="0.25">
      <c r="N400" s="244">
        <f>Weather_Site!B406</f>
        <v>0</v>
      </c>
      <c r="O400" s="245">
        <f>Weather_Site!C406</f>
        <v>0</v>
      </c>
      <c r="P400" s="5">
        <f>Weather_Site!E406</f>
        <v>0</v>
      </c>
      <c r="Q400" s="245">
        <f t="shared" si="52"/>
        <v>0</v>
      </c>
      <c r="R400" s="5">
        <f t="shared" si="55"/>
        <v>0</v>
      </c>
      <c r="S400" s="5">
        <f t="shared" si="53"/>
        <v>0</v>
      </c>
      <c r="T400" s="247">
        <f t="shared" si="54"/>
        <v>0</v>
      </c>
      <c r="U400" s="5">
        <f t="shared" si="56"/>
        <v>0</v>
      </c>
      <c r="V400" s="247">
        <f t="shared" si="57"/>
        <v>0</v>
      </c>
      <c r="W400" s="276">
        <f t="shared" si="58"/>
        <v>0</v>
      </c>
      <c r="X400" s="277">
        <f t="shared" si="51"/>
        <v>0</v>
      </c>
    </row>
    <row r="401" spans="14:24" x14ac:dyDescent="0.25">
      <c r="N401" s="244">
        <f>Weather_Site!B407</f>
        <v>0</v>
      </c>
      <c r="O401" s="245">
        <f>Weather_Site!C407</f>
        <v>0</v>
      </c>
      <c r="P401" s="5">
        <f>Weather_Site!E407</f>
        <v>0</v>
      </c>
      <c r="Q401" s="245">
        <f t="shared" si="52"/>
        <v>0</v>
      </c>
      <c r="R401" s="5">
        <f t="shared" si="55"/>
        <v>0</v>
      </c>
      <c r="S401" s="5">
        <f t="shared" si="53"/>
        <v>0</v>
      </c>
      <c r="T401" s="247">
        <f t="shared" si="54"/>
        <v>0</v>
      </c>
      <c r="U401" s="5">
        <f t="shared" si="56"/>
        <v>0</v>
      </c>
      <c r="V401" s="247">
        <f t="shared" si="57"/>
        <v>0</v>
      </c>
      <c r="W401" s="276">
        <f t="shared" si="58"/>
        <v>0</v>
      </c>
      <c r="X401" s="277">
        <f t="shared" si="51"/>
        <v>0</v>
      </c>
    </row>
    <row r="402" spans="14:24" x14ac:dyDescent="0.25">
      <c r="N402" s="244">
        <f>Weather_Site!B408</f>
        <v>0</v>
      </c>
      <c r="O402" s="245">
        <f>Weather_Site!C408</f>
        <v>0</v>
      </c>
      <c r="P402" s="5">
        <f>Weather_Site!E408</f>
        <v>0</v>
      </c>
      <c r="Q402" s="245">
        <f t="shared" si="52"/>
        <v>0</v>
      </c>
      <c r="R402" s="5">
        <f t="shared" si="55"/>
        <v>0</v>
      </c>
      <c r="S402" s="5">
        <f t="shared" si="53"/>
        <v>0</v>
      </c>
      <c r="T402" s="247">
        <f t="shared" si="54"/>
        <v>0</v>
      </c>
      <c r="U402" s="5">
        <f t="shared" si="56"/>
        <v>0</v>
      </c>
      <c r="V402" s="247">
        <f t="shared" si="57"/>
        <v>0</v>
      </c>
      <c r="W402" s="276">
        <f t="shared" si="58"/>
        <v>0</v>
      </c>
      <c r="X402" s="277">
        <f t="shared" si="51"/>
        <v>0</v>
      </c>
    </row>
    <row r="403" spans="14:24" x14ac:dyDescent="0.25">
      <c r="N403" s="244">
        <f>Weather_Site!B409</f>
        <v>0</v>
      </c>
      <c r="O403" s="245">
        <f>Weather_Site!C409</f>
        <v>0</v>
      </c>
      <c r="P403" s="5">
        <f>Weather_Site!E409</f>
        <v>0</v>
      </c>
      <c r="Q403" s="245">
        <f t="shared" si="52"/>
        <v>0</v>
      </c>
      <c r="R403" s="5">
        <f t="shared" si="55"/>
        <v>0</v>
      </c>
      <c r="S403" s="5">
        <f t="shared" si="53"/>
        <v>0</v>
      </c>
      <c r="T403" s="247">
        <f t="shared" si="54"/>
        <v>0</v>
      </c>
      <c r="U403" s="5">
        <f t="shared" si="56"/>
        <v>0</v>
      </c>
      <c r="V403" s="247">
        <f t="shared" si="57"/>
        <v>0</v>
      </c>
      <c r="W403" s="276">
        <f t="shared" si="58"/>
        <v>0</v>
      </c>
      <c r="X403" s="277">
        <f t="shared" si="51"/>
        <v>0</v>
      </c>
    </row>
    <row r="404" spans="14:24" x14ac:dyDescent="0.25">
      <c r="N404" s="244">
        <f>Weather_Site!B410</f>
        <v>0</v>
      </c>
      <c r="O404" s="245">
        <f>Weather_Site!C410</f>
        <v>0</v>
      </c>
      <c r="P404" s="5">
        <f>Weather_Site!E410</f>
        <v>0</v>
      </c>
      <c r="Q404" s="245">
        <f t="shared" si="52"/>
        <v>0</v>
      </c>
      <c r="R404" s="5">
        <f t="shared" si="55"/>
        <v>0</v>
      </c>
      <c r="S404" s="5">
        <f t="shared" si="53"/>
        <v>0</v>
      </c>
      <c r="T404" s="247">
        <f t="shared" si="54"/>
        <v>0</v>
      </c>
      <c r="U404" s="5">
        <f t="shared" si="56"/>
        <v>0</v>
      </c>
      <c r="V404" s="247">
        <f t="shared" si="57"/>
        <v>0</v>
      </c>
      <c r="W404" s="276">
        <f t="shared" si="58"/>
        <v>0</v>
      </c>
      <c r="X404" s="277">
        <f t="shared" si="51"/>
        <v>0</v>
      </c>
    </row>
    <row r="405" spans="14:24" x14ac:dyDescent="0.25">
      <c r="N405" s="244">
        <f>Weather_Site!B411</f>
        <v>0</v>
      </c>
      <c r="O405" s="245">
        <f>Weather_Site!C411</f>
        <v>0</v>
      </c>
      <c r="P405" s="5">
        <f>Weather_Site!E411</f>
        <v>0</v>
      </c>
      <c r="Q405" s="245">
        <f t="shared" si="52"/>
        <v>0</v>
      </c>
      <c r="R405" s="5">
        <f t="shared" si="55"/>
        <v>0</v>
      </c>
      <c r="S405" s="5">
        <f t="shared" si="53"/>
        <v>0</v>
      </c>
      <c r="T405" s="247">
        <f t="shared" si="54"/>
        <v>0</v>
      </c>
      <c r="U405" s="5">
        <f t="shared" si="56"/>
        <v>0</v>
      </c>
      <c r="V405" s="247">
        <f t="shared" si="57"/>
        <v>0</v>
      </c>
      <c r="W405" s="276">
        <f t="shared" si="58"/>
        <v>0</v>
      </c>
      <c r="X405" s="277">
        <f t="shared" si="51"/>
        <v>0</v>
      </c>
    </row>
    <row r="406" spans="14:24" x14ac:dyDescent="0.25">
      <c r="N406" s="244">
        <f>Weather_Site!B412</f>
        <v>0</v>
      </c>
      <c r="O406" s="245">
        <f>Weather_Site!C412</f>
        <v>0</v>
      </c>
      <c r="P406" s="5">
        <f>Weather_Site!E412</f>
        <v>0</v>
      </c>
      <c r="Q406" s="245">
        <f t="shared" si="52"/>
        <v>0</v>
      </c>
      <c r="R406" s="5">
        <f t="shared" si="55"/>
        <v>0</v>
      </c>
      <c r="S406" s="5">
        <f t="shared" si="53"/>
        <v>0</v>
      </c>
      <c r="T406" s="247">
        <f t="shared" si="54"/>
        <v>0</v>
      </c>
      <c r="U406" s="5">
        <f t="shared" si="56"/>
        <v>0</v>
      </c>
      <c r="V406" s="247">
        <f t="shared" si="57"/>
        <v>0</v>
      </c>
      <c r="W406" s="276">
        <f t="shared" si="58"/>
        <v>0</v>
      </c>
      <c r="X406" s="277">
        <f t="shared" si="51"/>
        <v>0</v>
      </c>
    </row>
    <row r="407" spans="14:24" x14ac:dyDescent="0.25">
      <c r="N407" s="244">
        <f>Weather_Site!B413</f>
        <v>0</v>
      </c>
      <c r="O407" s="245">
        <f>Weather_Site!C413</f>
        <v>0</v>
      </c>
      <c r="P407" s="5">
        <f>Weather_Site!E413</f>
        <v>0</v>
      </c>
      <c r="Q407" s="245">
        <f t="shared" si="52"/>
        <v>0</v>
      </c>
      <c r="R407" s="5">
        <f t="shared" si="55"/>
        <v>0</v>
      </c>
      <c r="S407" s="5">
        <f t="shared" si="53"/>
        <v>0</v>
      </c>
      <c r="T407" s="247">
        <f t="shared" si="54"/>
        <v>0</v>
      </c>
      <c r="U407" s="5">
        <f t="shared" si="56"/>
        <v>0</v>
      </c>
      <c r="V407" s="247">
        <f t="shared" si="57"/>
        <v>0</v>
      </c>
      <c r="W407" s="276">
        <f t="shared" si="58"/>
        <v>0</v>
      </c>
      <c r="X407" s="277">
        <f t="shared" si="51"/>
        <v>0</v>
      </c>
    </row>
    <row r="408" spans="14:24" x14ac:dyDescent="0.25">
      <c r="N408" s="244">
        <f>Weather_Site!B414</f>
        <v>0</v>
      </c>
      <c r="O408" s="245">
        <f>Weather_Site!C414</f>
        <v>0</v>
      </c>
      <c r="P408" s="5">
        <f>Weather_Site!E414</f>
        <v>0</v>
      </c>
      <c r="Q408" s="245">
        <f t="shared" si="52"/>
        <v>0</v>
      </c>
      <c r="R408" s="5">
        <f t="shared" si="55"/>
        <v>0</v>
      </c>
      <c r="S408" s="5">
        <f t="shared" si="53"/>
        <v>0</v>
      </c>
      <c r="T408" s="247">
        <f t="shared" si="54"/>
        <v>0</v>
      </c>
      <c r="U408" s="5">
        <f t="shared" si="56"/>
        <v>0</v>
      </c>
      <c r="V408" s="247">
        <f t="shared" si="57"/>
        <v>0</v>
      </c>
      <c r="W408" s="276">
        <f t="shared" si="58"/>
        <v>0</v>
      </c>
      <c r="X408" s="277">
        <f t="shared" si="51"/>
        <v>0</v>
      </c>
    </row>
    <row r="409" spans="14:24" x14ac:dyDescent="0.25">
      <c r="N409" s="244">
        <f>Weather_Site!B415</f>
        <v>0</v>
      </c>
      <c r="O409" s="245">
        <f>Weather_Site!C415</f>
        <v>0</v>
      </c>
      <c r="P409" s="5">
        <f>Weather_Site!E415</f>
        <v>0</v>
      </c>
      <c r="Q409" s="245">
        <f t="shared" si="52"/>
        <v>0</v>
      </c>
      <c r="R409" s="5">
        <f t="shared" si="55"/>
        <v>0</v>
      </c>
      <c r="S409" s="5">
        <f t="shared" si="53"/>
        <v>0</v>
      </c>
      <c r="T409" s="247">
        <f t="shared" si="54"/>
        <v>0</v>
      </c>
      <c r="U409" s="5">
        <f t="shared" si="56"/>
        <v>0</v>
      </c>
      <c r="V409" s="247">
        <f t="shared" si="57"/>
        <v>0</v>
      </c>
      <c r="W409" s="276">
        <f t="shared" si="58"/>
        <v>0</v>
      </c>
      <c r="X409" s="277">
        <f t="shared" si="51"/>
        <v>0</v>
      </c>
    </row>
    <row r="410" spans="14:24" x14ac:dyDescent="0.25">
      <c r="N410" s="244">
        <f>Weather_Site!B416</f>
        <v>0</v>
      </c>
      <c r="O410" s="245">
        <f>Weather_Site!C416</f>
        <v>0</v>
      </c>
      <c r="P410" s="5">
        <f>Weather_Site!E416</f>
        <v>0</v>
      </c>
      <c r="Q410" s="245">
        <f t="shared" si="52"/>
        <v>0</v>
      </c>
      <c r="R410" s="5">
        <f t="shared" si="55"/>
        <v>0</v>
      </c>
      <c r="S410" s="5">
        <f t="shared" si="53"/>
        <v>0</v>
      </c>
      <c r="T410" s="247">
        <f t="shared" si="54"/>
        <v>0</v>
      </c>
      <c r="U410" s="5">
        <f t="shared" si="56"/>
        <v>0</v>
      </c>
      <c r="V410" s="247">
        <f t="shared" si="57"/>
        <v>0</v>
      </c>
      <c r="W410" s="276">
        <f t="shared" si="58"/>
        <v>0</v>
      </c>
      <c r="X410" s="277">
        <f t="shared" si="51"/>
        <v>0</v>
      </c>
    </row>
    <row r="411" spans="14:24" x14ac:dyDescent="0.25">
      <c r="N411" s="244">
        <f>Weather_Site!B417</f>
        <v>0</v>
      </c>
      <c r="O411" s="245">
        <f>Weather_Site!C417</f>
        <v>0</v>
      </c>
      <c r="P411" s="5">
        <f>Weather_Site!E417</f>
        <v>0</v>
      </c>
      <c r="Q411" s="245">
        <f t="shared" si="52"/>
        <v>0</v>
      </c>
      <c r="R411" s="5">
        <f t="shared" si="55"/>
        <v>0</v>
      </c>
      <c r="S411" s="5">
        <f t="shared" si="53"/>
        <v>0</v>
      </c>
      <c r="T411" s="247">
        <f t="shared" si="54"/>
        <v>0</v>
      </c>
      <c r="U411" s="5">
        <f t="shared" si="56"/>
        <v>0</v>
      </c>
      <c r="V411" s="247">
        <f t="shared" si="57"/>
        <v>0</v>
      </c>
      <c r="W411" s="276">
        <f t="shared" si="58"/>
        <v>0</v>
      </c>
      <c r="X411" s="277">
        <f t="shared" si="51"/>
        <v>0</v>
      </c>
    </row>
    <row r="412" spans="14:24" x14ac:dyDescent="0.25">
      <c r="N412" s="244">
        <f>Weather_Site!B418</f>
        <v>0</v>
      </c>
      <c r="O412" s="245">
        <f>Weather_Site!C418</f>
        <v>0</v>
      </c>
      <c r="P412" s="5">
        <f>Weather_Site!E418</f>
        <v>0</v>
      </c>
      <c r="Q412" s="245">
        <f t="shared" si="52"/>
        <v>0</v>
      </c>
      <c r="R412" s="5">
        <f t="shared" si="55"/>
        <v>0</v>
      </c>
      <c r="S412" s="5">
        <f t="shared" si="53"/>
        <v>0</v>
      </c>
      <c r="T412" s="247">
        <f t="shared" si="54"/>
        <v>0</v>
      </c>
      <c r="U412" s="5">
        <f t="shared" si="56"/>
        <v>0</v>
      </c>
      <c r="V412" s="247">
        <f t="shared" si="57"/>
        <v>0</v>
      </c>
      <c r="W412" s="276">
        <f t="shared" si="58"/>
        <v>0</v>
      </c>
      <c r="X412" s="277">
        <f t="shared" si="51"/>
        <v>0</v>
      </c>
    </row>
    <row r="413" spans="14:24" x14ac:dyDescent="0.25">
      <c r="N413" s="244">
        <f>Weather_Site!B419</f>
        <v>0</v>
      </c>
      <c r="O413" s="245">
        <f>Weather_Site!C419</f>
        <v>0</v>
      </c>
      <c r="P413" s="5">
        <f>Weather_Site!E419</f>
        <v>0</v>
      </c>
      <c r="Q413" s="245">
        <f t="shared" si="52"/>
        <v>0</v>
      </c>
      <c r="R413" s="5">
        <f t="shared" si="55"/>
        <v>0</v>
      </c>
      <c r="S413" s="5">
        <f t="shared" si="53"/>
        <v>0</v>
      </c>
      <c r="T413" s="247">
        <f t="shared" si="54"/>
        <v>0</v>
      </c>
      <c r="U413" s="5">
        <f t="shared" si="56"/>
        <v>0</v>
      </c>
      <c r="V413" s="247">
        <f t="shared" si="57"/>
        <v>0</v>
      </c>
      <c r="W413" s="276">
        <f t="shared" si="58"/>
        <v>0</v>
      </c>
      <c r="X413" s="277">
        <f t="shared" si="51"/>
        <v>0</v>
      </c>
    </row>
    <row r="414" spans="14:24" x14ac:dyDescent="0.25">
      <c r="N414" s="244">
        <f>Weather_Site!B420</f>
        <v>0</v>
      </c>
      <c r="O414" s="245">
        <f>Weather_Site!C420</f>
        <v>0</v>
      </c>
      <c r="P414" s="5">
        <f>Weather_Site!E420</f>
        <v>0</v>
      </c>
      <c r="Q414" s="245">
        <f t="shared" si="52"/>
        <v>0</v>
      </c>
      <c r="R414" s="5">
        <f t="shared" si="55"/>
        <v>0</v>
      </c>
      <c r="S414" s="5">
        <f t="shared" si="53"/>
        <v>0</v>
      </c>
      <c r="T414" s="247">
        <f t="shared" si="54"/>
        <v>0</v>
      </c>
      <c r="U414" s="5">
        <f t="shared" si="56"/>
        <v>0</v>
      </c>
      <c r="V414" s="247">
        <f t="shared" si="57"/>
        <v>0</v>
      </c>
      <c r="W414" s="276">
        <f t="shared" si="58"/>
        <v>0</v>
      </c>
      <c r="X414" s="277">
        <f t="shared" si="51"/>
        <v>0</v>
      </c>
    </row>
    <row r="415" spans="14:24" x14ac:dyDescent="0.25">
      <c r="N415" s="244">
        <f>Weather_Site!B421</f>
        <v>0</v>
      </c>
      <c r="O415" s="245">
        <f>Weather_Site!C421</f>
        <v>0</v>
      </c>
      <c r="P415" s="5">
        <f>Weather_Site!E421</f>
        <v>0</v>
      </c>
      <c r="Q415" s="245">
        <f t="shared" si="52"/>
        <v>0</v>
      </c>
      <c r="R415" s="5">
        <f t="shared" si="55"/>
        <v>0</v>
      </c>
      <c r="S415" s="5">
        <f t="shared" si="53"/>
        <v>0</v>
      </c>
      <c r="T415" s="247">
        <f t="shared" si="54"/>
        <v>0</v>
      </c>
      <c r="U415" s="5">
        <f t="shared" si="56"/>
        <v>0</v>
      </c>
      <c r="V415" s="247">
        <f t="shared" si="57"/>
        <v>0</v>
      </c>
      <c r="W415" s="276">
        <f t="shared" si="58"/>
        <v>0</v>
      </c>
      <c r="X415" s="277">
        <f t="shared" si="51"/>
        <v>0</v>
      </c>
    </row>
    <row r="416" spans="14:24" x14ac:dyDescent="0.25">
      <c r="N416" s="244">
        <f>Weather_Site!B422</f>
        <v>0</v>
      </c>
      <c r="O416" s="245">
        <f>Weather_Site!C422</f>
        <v>0</v>
      </c>
      <c r="P416" s="5">
        <f>Weather_Site!E422</f>
        <v>0</v>
      </c>
      <c r="Q416" s="245">
        <f t="shared" si="52"/>
        <v>0</v>
      </c>
      <c r="R416" s="5">
        <f t="shared" si="55"/>
        <v>0</v>
      </c>
      <c r="S416" s="5">
        <f t="shared" si="53"/>
        <v>0</v>
      </c>
      <c r="T416" s="247">
        <f t="shared" si="54"/>
        <v>0</v>
      </c>
      <c r="U416" s="5">
        <f t="shared" si="56"/>
        <v>0</v>
      </c>
      <c r="V416" s="247">
        <f t="shared" si="57"/>
        <v>0</v>
      </c>
      <c r="W416" s="276">
        <f t="shared" si="58"/>
        <v>0</v>
      </c>
      <c r="X416" s="277">
        <f t="shared" si="51"/>
        <v>0</v>
      </c>
    </row>
    <row r="417" spans="14:24" x14ac:dyDescent="0.25">
      <c r="N417" s="244">
        <f>Weather_Site!B423</f>
        <v>0</v>
      </c>
      <c r="O417" s="245">
        <f>Weather_Site!C423</f>
        <v>0</v>
      </c>
      <c r="P417" s="5">
        <f>Weather_Site!E423</f>
        <v>0</v>
      </c>
      <c r="Q417" s="245">
        <f t="shared" si="52"/>
        <v>0</v>
      </c>
      <c r="R417" s="5">
        <f t="shared" si="55"/>
        <v>0</v>
      </c>
      <c r="S417" s="5">
        <f t="shared" si="53"/>
        <v>0</v>
      </c>
      <c r="T417" s="247">
        <f t="shared" si="54"/>
        <v>0</v>
      </c>
      <c r="U417" s="5">
        <f t="shared" si="56"/>
        <v>0</v>
      </c>
      <c r="V417" s="247">
        <f t="shared" si="57"/>
        <v>0</v>
      </c>
      <c r="W417" s="276">
        <f t="shared" si="58"/>
        <v>0</v>
      </c>
      <c r="X417" s="277">
        <f t="shared" si="51"/>
        <v>0</v>
      </c>
    </row>
    <row r="418" spans="14:24" x14ac:dyDescent="0.25">
      <c r="N418" s="244">
        <f>Weather_Site!B424</f>
        <v>0</v>
      </c>
      <c r="O418" s="245">
        <f>Weather_Site!C424</f>
        <v>0</v>
      </c>
      <c r="P418" s="5">
        <f>Weather_Site!E424</f>
        <v>0</v>
      </c>
      <c r="Q418" s="245">
        <f t="shared" si="52"/>
        <v>0</v>
      </c>
      <c r="R418" s="5">
        <f t="shared" si="55"/>
        <v>0</v>
      </c>
      <c r="S418" s="5">
        <f t="shared" si="53"/>
        <v>0</v>
      </c>
      <c r="T418" s="247">
        <f t="shared" si="54"/>
        <v>0</v>
      </c>
      <c r="U418" s="5">
        <f t="shared" si="56"/>
        <v>0</v>
      </c>
      <c r="V418" s="247">
        <f t="shared" si="57"/>
        <v>0</v>
      </c>
      <c r="W418" s="276">
        <f t="shared" si="58"/>
        <v>0</v>
      </c>
      <c r="X418" s="277">
        <f t="shared" si="51"/>
        <v>0</v>
      </c>
    </row>
    <row r="419" spans="14:24" x14ac:dyDescent="0.25">
      <c r="N419" s="244">
        <f>Weather_Site!B425</f>
        <v>0</v>
      </c>
      <c r="O419" s="245">
        <f>Weather_Site!C425</f>
        <v>0</v>
      </c>
      <c r="P419" s="5">
        <f>Weather_Site!E425</f>
        <v>0</v>
      </c>
      <c r="Q419" s="245">
        <f t="shared" si="52"/>
        <v>0</v>
      </c>
      <c r="R419" s="5">
        <f t="shared" si="55"/>
        <v>0</v>
      </c>
      <c r="S419" s="5">
        <f t="shared" si="53"/>
        <v>0</v>
      </c>
      <c r="T419" s="247">
        <f t="shared" si="54"/>
        <v>0</v>
      </c>
      <c r="U419" s="5">
        <f t="shared" si="56"/>
        <v>0</v>
      </c>
      <c r="V419" s="247">
        <f t="shared" si="57"/>
        <v>0</v>
      </c>
      <c r="W419" s="276">
        <f t="shared" si="58"/>
        <v>0</v>
      </c>
      <c r="X419" s="277">
        <f t="shared" si="51"/>
        <v>0</v>
      </c>
    </row>
    <row r="420" spans="14:24" x14ac:dyDescent="0.25">
      <c r="N420" s="244">
        <f>Weather_Site!B426</f>
        <v>0</v>
      </c>
      <c r="O420" s="245">
        <f>Weather_Site!C426</f>
        <v>0</v>
      </c>
      <c r="P420" s="5">
        <f>Weather_Site!E426</f>
        <v>0</v>
      </c>
      <c r="Q420" s="245">
        <f t="shared" si="52"/>
        <v>0</v>
      </c>
      <c r="R420" s="5">
        <f t="shared" si="55"/>
        <v>0</v>
      </c>
      <c r="S420" s="5">
        <f t="shared" si="53"/>
        <v>0</v>
      </c>
      <c r="T420" s="247">
        <f t="shared" si="54"/>
        <v>0</v>
      </c>
      <c r="U420" s="5">
        <f t="shared" si="56"/>
        <v>0</v>
      </c>
      <c r="V420" s="247">
        <f t="shared" si="57"/>
        <v>0</v>
      </c>
      <c r="W420" s="276">
        <f t="shared" si="58"/>
        <v>0</v>
      </c>
      <c r="X420" s="277">
        <f t="shared" ref="X420:X483" si="59">IF(AND(O419&lt;0.333,O420&gt;=0.333),W420,X419)</f>
        <v>0</v>
      </c>
    </row>
    <row r="421" spans="14:24" x14ac:dyDescent="0.25">
      <c r="N421" s="244">
        <f>Weather_Site!B427</f>
        <v>0</v>
      </c>
      <c r="O421" s="245">
        <f>Weather_Site!C427</f>
        <v>0</v>
      </c>
      <c r="P421" s="5">
        <f>Weather_Site!E427</f>
        <v>0</v>
      </c>
      <c r="Q421" s="245">
        <f t="shared" ref="Q421:Q484" si="60">IF((O421-O420)&lt;0,(1-MAX(O420,0.625))+MIN(O421,0.334),(IF(O420&lt;0.333,(MIN(O421,0.334)-O420),IF(O421&gt;0.625,MAX(O421,0.625)-O420,0))))</f>
        <v>0</v>
      </c>
      <c r="R421" s="5">
        <f t="shared" si="55"/>
        <v>0</v>
      </c>
      <c r="S421" s="5">
        <f t="shared" ref="S421:S484" si="61">HOUR(O421)</f>
        <v>0</v>
      </c>
      <c r="T421" s="247">
        <f t="shared" ref="T421:T484" si="62">(P421+P420)/2*R421</f>
        <v>0</v>
      </c>
      <c r="U421" s="5">
        <f t="shared" si="56"/>
        <v>0</v>
      </c>
      <c r="V421" s="247">
        <f t="shared" si="57"/>
        <v>0</v>
      </c>
      <c r="W421" s="276">
        <f t="shared" si="58"/>
        <v>0</v>
      </c>
      <c r="X421" s="277">
        <f t="shared" si="59"/>
        <v>0</v>
      </c>
    </row>
    <row r="422" spans="14:24" x14ac:dyDescent="0.25">
      <c r="N422" s="244">
        <f>Weather_Site!B428</f>
        <v>0</v>
      </c>
      <c r="O422" s="245">
        <f>Weather_Site!C428</f>
        <v>0</v>
      </c>
      <c r="P422" s="5">
        <f>Weather_Site!E428</f>
        <v>0</v>
      </c>
      <c r="Q422" s="245">
        <f t="shared" si="60"/>
        <v>0</v>
      </c>
      <c r="R422" s="5">
        <f t="shared" si="55"/>
        <v>0</v>
      </c>
      <c r="S422" s="5">
        <f t="shared" si="61"/>
        <v>0</v>
      </c>
      <c r="T422" s="247">
        <f t="shared" si="62"/>
        <v>0</v>
      </c>
      <c r="U422" s="5">
        <f t="shared" si="56"/>
        <v>0</v>
      </c>
      <c r="V422" s="247">
        <f t="shared" si="57"/>
        <v>0</v>
      </c>
      <c r="W422" s="276">
        <f t="shared" si="58"/>
        <v>0</v>
      </c>
      <c r="X422" s="277">
        <f t="shared" si="59"/>
        <v>0</v>
      </c>
    </row>
    <row r="423" spans="14:24" x14ac:dyDescent="0.25">
      <c r="N423" s="244">
        <f>Weather_Site!B429</f>
        <v>0</v>
      </c>
      <c r="O423" s="245">
        <f>Weather_Site!C429</f>
        <v>0</v>
      </c>
      <c r="P423" s="5">
        <f>Weather_Site!E429</f>
        <v>0</v>
      </c>
      <c r="Q423" s="245">
        <f t="shared" si="60"/>
        <v>0</v>
      </c>
      <c r="R423" s="5">
        <f t="shared" si="55"/>
        <v>0</v>
      </c>
      <c r="S423" s="5">
        <f t="shared" si="61"/>
        <v>0</v>
      </c>
      <c r="T423" s="247">
        <f t="shared" si="62"/>
        <v>0</v>
      </c>
      <c r="U423" s="5">
        <f t="shared" si="56"/>
        <v>0</v>
      </c>
      <c r="V423" s="247">
        <f t="shared" si="57"/>
        <v>0</v>
      </c>
      <c r="W423" s="276">
        <f t="shared" si="58"/>
        <v>0</v>
      </c>
      <c r="X423" s="277">
        <f t="shared" si="59"/>
        <v>0</v>
      </c>
    </row>
    <row r="424" spans="14:24" x14ac:dyDescent="0.25">
      <c r="N424" s="244">
        <f>Weather_Site!B430</f>
        <v>0</v>
      </c>
      <c r="O424" s="245">
        <f>Weather_Site!C430</f>
        <v>0</v>
      </c>
      <c r="P424" s="5">
        <f>Weather_Site!E430</f>
        <v>0</v>
      </c>
      <c r="Q424" s="245">
        <f t="shared" si="60"/>
        <v>0</v>
      </c>
      <c r="R424" s="5">
        <f t="shared" si="55"/>
        <v>0</v>
      </c>
      <c r="S424" s="5">
        <f t="shared" si="61"/>
        <v>0</v>
      </c>
      <c r="T424" s="247">
        <f t="shared" si="62"/>
        <v>0</v>
      </c>
      <c r="U424" s="5">
        <f t="shared" si="56"/>
        <v>0</v>
      </c>
      <c r="V424" s="247">
        <f t="shared" si="57"/>
        <v>0</v>
      </c>
      <c r="W424" s="276">
        <f t="shared" si="58"/>
        <v>0</v>
      </c>
      <c r="X424" s="277">
        <f t="shared" si="59"/>
        <v>0</v>
      </c>
    </row>
    <row r="425" spans="14:24" x14ac:dyDescent="0.25">
      <c r="N425" s="244">
        <f>Weather_Site!B431</f>
        <v>0</v>
      </c>
      <c r="O425" s="245">
        <f>Weather_Site!C431</f>
        <v>0</v>
      </c>
      <c r="P425" s="5">
        <f>Weather_Site!E431</f>
        <v>0</v>
      </c>
      <c r="Q425" s="245">
        <f t="shared" si="60"/>
        <v>0</v>
      </c>
      <c r="R425" s="5">
        <f t="shared" si="55"/>
        <v>0</v>
      </c>
      <c r="S425" s="5">
        <f t="shared" si="61"/>
        <v>0</v>
      </c>
      <c r="T425" s="247">
        <f t="shared" si="62"/>
        <v>0</v>
      </c>
      <c r="U425" s="5">
        <f t="shared" si="56"/>
        <v>0</v>
      </c>
      <c r="V425" s="247">
        <f t="shared" si="57"/>
        <v>0</v>
      </c>
      <c r="W425" s="276">
        <f t="shared" si="58"/>
        <v>0</v>
      </c>
      <c r="X425" s="277">
        <f t="shared" si="59"/>
        <v>0</v>
      </c>
    </row>
    <row r="426" spans="14:24" x14ac:dyDescent="0.25">
      <c r="N426" s="244">
        <f>Weather_Site!B432</f>
        <v>0</v>
      </c>
      <c r="O426" s="245">
        <f>Weather_Site!C432</f>
        <v>0</v>
      </c>
      <c r="P426" s="5">
        <f>Weather_Site!E432</f>
        <v>0</v>
      </c>
      <c r="Q426" s="245">
        <f t="shared" si="60"/>
        <v>0</v>
      </c>
      <c r="R426" s="5">
        <f t="shared" si="55"/>
        <v>0</v>
      </c>
      <c r="S426" s="5">
        <f t="shared" si="61"/>
        <v>0</v>
      </c>
      <c r="T426" s="247">
        <f t="shared" si="62"/>
        <v>0</v>
      </c>
      <c r="U426" s="5">
        <f t="shared" si="56"/>
        <v>0</v>
      </c>
      <c r="V426" s="247">
        <f t="shared" si="57"/>
        <v>0</v>
      </c>
      <c r="W426" s="276">
        <f t="shared" si="58"/>
        <v>0</v>
      </c>
      <c r="X426" s="277">
        <f t="shared" si="59"/>
        <v>0</v>
      </c>
    </row>
    <row r="427" spans="14:24" x14ac:dyDescent="0.25">
      <c r="N427" s="244">
        <f>Weather_Site!B433</f>
        <v>0</v>
      </c>
      <c r="O427" s="245">
        <f>Weather_Site!C433</f>
        <v>0</v>
      </c>
      <c r="P427" s="5">
        <f>Weather_Site!E433</f>
        <v>0</v>
      </c>
      <c r="Q427" s="245">
        <f t="shared" si="60"/>
        <v>0</v>
      </c>
      <c r="R427" s="5">
        <f t="shared" si="55"/>
        <v>0</v>
      </c>
      <c r="S427" s="5">
        <f t="shared" si="61"/>
        <v>0</v>
      </c>
      <c r="T427" s="247">
        <f t="shared" si="62"/>
        <v>0</v>
      </c>
      <c r="U427" s="5">
        <f t="shared" si="56"/>
        <v>0</v>
      </c>
      <c r="V427" s="247">
        <f t="shared" si="57"/>
        <v>0</v>
      </c>
      <c r="W427" s="276">
        <f t="shared" si="58"/>
        <v>0</v>
      </c>
      <c r="X427" s="277">
        <f t="shared" si="59"/>
        <v>0</v>
      </c>
    </row>
    <row r="428" spans="14:24" x14ac:dyDescent="0.25">
      <c r="N428" s="244">
        <f>Weather_Site!B434</f>
        <v>0</v>
      </c>
      <c r="O428" s="245">
        <f>Weather_Site!C434</f>
        <v>0</v>
      </c>
      <c r="P428" s="5">
        <f>Weather_Site!E434</f>
        <v>0</v>
      </c>
      <c r="Q428" s="245">
        <f t="shared" si="60"/>
        <v>0</v>
      </c>
      <c r="R428" s="5">
        <f t="shared" si="55"/>
        <v>0</v>
      </c>
      <c r="S428" s="5">
        <f t="shared" si="61"/>
        <v>0</v>
      </c>
      <c r="T428" s="247">
        <f t="shared" si="62"/>
        <v>0</v>
      </c>
      <c r="U428" s="5">
        <f t="shared" si="56"/>
        <v>0</v>
      </c>
      <c r="V428" s="247">
        <f t="shared" si="57"/>
        <v>0</v>
      </c>
      <c r="W428" s="276">
        <f t="shared" si="58"/>
        <v>0</v>
      </c>
      <c r="X428" s="277">
        <f t="shared" si="59"/>
        <v>0</v>
      </c>
    </row>
    <row r="429" spans="14:24" x14ac:dyDescent="0.25">
      <c r="N429" s="244">
        <f>Weather_Site!B435</f>
        <v>0</v>
      </c>
      <c r="O429" s="245">
        <f>Weather_Site!C435</f>
        <v>0</v>
      </c>
      <c r="P429" s="5">
        <f>Weather_Site!E435</f>
        <v>0</v>
      </c>
      <c r="Q429" s="245">
        <f t="shared" si="60"/>
        <v>0</v>
      </c>
      <c r="R429" s="5">
        <f t="shared" si="55"/>
        <v>0</v>
      </c>
      <c r="S429" s="5">
        <f t="shared" si="61"/>
        <v>0</v>
      </c>
      <c r="T429" s="247">
        <f t="shared" si="62"/>
        <v>0</v>
      </c>
      <c r="U429" s="5">
        <f t="shared" si="56"/>
        <v>0</v>
      </c>
      <c r="V429" s="247">
        <f t="shared" si="57"/>
        <v>0</v>
      </c>
      <c r="W429" s="276">
        <f t="shared" si="58"/>
        <v>0</v>
      </c>
      <c r="X429" s="277">
        <f t="shared" si="59"/>
        <v>0</v>
      </c>
    </row>
    <row r="430" spans="14:24" x14ac:dyDescent="0.25">
      <c r="N430" s="244">
        <f>Weather_Site!B436</f>
        <v>0</v>
      </c>
      <c r="O430" s="245">
        <f>Weather_Site!C436</f>
        <v>0</v>
      </c>
      <c r="P430" s="5">
        <f>Weather_Site!E436</f>
        <v>0</v>
      </c>
      <c r="Q430" s="245">
        <f t="shared" si="60"/>
        <v>0</v>
      </c>
      <c r="R430" s="5">
        <f t="shared" si="55"/>
        <v>0</v>
      </c>
      <c r="S430" s="5">
        <f t="shared" si="61"/>
        <v>0</v>
      </c>
      <c r="T430" s="247">
        <f t="shared" si="62"/>
        <v>0</v>
      </c>
      <c r="U430" s="5">
        <f t="shared" si="56"/>
        <v>0</v>
      </c>
      <c r="V430" s="247">
        <f t="shared" si="57"/>
        <v>0</v>
      </c>
      <c r="W430" s="276">
        <f t="shared" si="58"/>
        <v>0</v>
      </c>
      <c r="X430" s="277">
        <f t="shared" si="59"/>
        <v>0</v>
      </c>
    </row>
    <row r="431" spans="14:24" x14ac:dyDescent="0.25">
      <c r="N431" s="244">
        <f>Weather_Site!B437</f>
        <v>0</v>
      </c>
      <c r="O431" s="245">
        <f>Weather_Site!C437</f>
        <v>0</v>
      </c>
      <c r="P431" s="5">
        <f>Weather_Site!E437</f>
        <v>0</v>
      </c>
      <c r="Q431" s="245">
        <f t="shared" si="60"/>
        <v>0</v>
      </c>
      <c r="R431" s="5">
        <f t="shared" si="55"/>
        <v>0</v>
      </c>
      <c r="S431" s="5">
        <f t="shared" si="61"/>
        <v>0</v>
      </c>
      <c r="T431" s="247">
        <f t="shared" si="62"/>
        <v>0</v>
      </c>
      <c r="U431" s="5">
        <f t="shared" si="56"/>
        <v>0</v>
      </c>
      <c r="V431" s="247">
        <f t="shared" si="57"/>
        <v>0</v>
      </c>
      <c r="W431" s="276">
        <f t="shared" si="58"/>
        <v>0</v>
      </c>
      <c r="X431" s="277">
        <f t="shared" si="59"/>
        <v>0</v>
      </c>
    </row>
    <row r="432" spans="14:24" x14ac:dyDescent="0.25">
      <c r="N432" s="244">
        <f>Weather_Site!B438</f>
        <v>0</v>
      </c>
      <c r="O432" s="245">
        <f>Weather_Site!C438</f>
        <v>0</v>
      </c>
      <c r="P432" s="5">
        <f>Weather_Site!E438</f>
        <v>0</v>
      </c>
      <c r="Q432" s="245">
        <f t="shared" si="60"/>
        <v>0</v>
      </c>
      <c r="R432" s="5">
        <f t="shared" si="55"/>
        <v>0</v>
      </c>
      <c r="S432" s="5">
        <f t="shared" si="61"/>
        <v>0</v>
      </c>
      <c r="T432" s="247">
        <f t="shared" si="62"/>
        <v>0</v>
      </c>
      <c r="U432" s="5">
        <f t="shared" si="56"/>
        <v>0</v>
      </c>
      <c r="V432" s="247">
        <f t="shared" si="57"/>
        <v>0</v>
      </c>
      <c r="W432" s="276">
        <f t="shared" si="58"/>
        <v>0</v>
      </c>
      <c r="X432" s="277">
        <f t="shared" si="59"/>
        <v>0</v>
      </c>
    </row>
    <row r="433" spans="14:24" x14ac:dyDescent="0.25">
      <c r="N433" s="244">
        <f>Weather_Site!B439</f>
        <v>0</v>
      </c>
      <c r="O433" s="245">
        <f>Weather_Site!C439</f>
        <v>0</v>
      </c>
      <c r="P433" s="5">
        <f>Weather_Site!E439</f>
        <v>0</v>
      </c>
      <c r="Q433" s="245">
        <f t="shared" si="60"/>
        <v>0</v>
      </c>
      <c r="R433" s="5">
        <f t="shared" si="55"/>
        <v>0</v>
      </c>
      <c r="S433" s="5">
        <f t="shared" si="61"/>
        <v>0</v>
      </c>
      <c r="T433" s="247">
        <f t="shared" si="62"/>
        <v>0</v>
      </c>
      <c r="U433" s="5">
        <f t="shared" si="56"/>
        <v>0</v>
      </c>
      <c r="V433" s="247">
        <f t="shared" si="57"/>
        <v>0</v>
      </c>
      <c r="W433" s="276">
        <f t="shared" si="58"/>
        <v>0</v>
      </c>
      <c r="X433" s="277">
        <f t="shared" si="59"/>
        <v>0</v>
      </c>
    </row>
    <row r="434" spans="14:24" x14ac:dyDescent="0.25">
      <c r="N434" s="244">
        <f>Weather_Site!B440</f>
        <v>0</v>
      </c>
      <c r="O434" s="245">
        <f>Weather_Site!C440</f>
        <v>0</v>
      </c>
      <c r="P434" s="5">
        <f>Weather_Site!E440</f>
        <v>0</v>
      </c>
      <c r="Q434" s="245">
        <f t="shared" si="60"/>
        <v>0</v>
      </c>
      <c r="R434" s="5">
        <f t="shared" si="55"/>
        <v>0</v>
      </c>
      <c r="S434" s="5">
        <f t="shared" si="61"/>
        <v>0</v>
      </c>
      <c r="T434" s="247">
        <f t="shared" si="62"/>
        <v>0</v>
      </c>
      <c r="U434" s="5">
        <f t="shared" si="56"/>
        <v>0</v>
      </c>
      <c r="V434" s="247">
        <f t="shared" si="57"/>
        <v>0</v>
      </c>
      <c r="W434" s="276">
        <f t="shared" si="58"/>
        <v>0</v>
      </c>
      <c r="X434" s="277">
        <f t="shared" si="59"/>
        <v>0</v>
      </c>
    </row>
    <row r="435" spans="14:24" x14ac:dyDescent="0.25">
      <c r="N435" s="244">
        <f>Weather_Site!B441</f>
        <v>0</v>
      </c>
      <c r="O435" s="245">
        <f>Weather_Site!C441</f>
        <v>0</v>
      </c>
      <c r="P435" s="5">
        <f>Weather_Site!E441</f>
        <v>0</v>
      </c>
      <c r="Q435" s="245">
        <f t="shared" si="60"/>
        <v>0</v>
      </c>
      <c r="R435" s="5">
        <f t="shared" si="55"/>
        <v>0</v>
      </c>
      <c r="S435" s="5">
        <f t="shared" si="61"/>
        <v>0</v>
      </c>
      <c r="T435" s="247">
        <f t="shared" si="62"/>
        <v>0</v>
      </c>
      <c r="U435" s="5">
        <f t="shared" si="56"/>
        <v>0</v>
      </c>
      <c r="V435" s="247">
        <f t="shared" si="57"/>
        <v>0</v>
      </c>
      <c r="W435" s="276">
        <f t="shared" si="58"/>
        <v>0</v>
      </c>
      <c r="X435" s="277">
        <f t="shared" si="59"/>
        <v>0</v>
      </c>
    </row>
    <row r="436" spans="14:24" x14ac:dyDescent="0.25">
      <c r="N436" s="244">
        <f>Weather_Site!B442</f>
        <v>0</v>
      </c>
      <c r="O436" s="245">
        <f>Weather_Site!C442</f>
        <v>0</v>
      </c>
      <c r="P436" s="5">
        <f>Weather_Site!E442</f>
        <v>0</v>
      </c>
      <c r="Q436" s="245">
        <f t="shared" si="60"/>
        <v>0</v>
      </c>
      <c r="R436" s="5">
        <f t="shared" si="55"/>
        <v>0</v>
      </c>
      <c r="S436" s="5">
        <f t="shared" si="61"/>
        <v>0</v>
      </c>
      <c r="T436" s="247">
        <f t="shared" si="62"/>
        <v>0</v>
      </c>
      <c r="U436" s="5">
        <f t="shared" si="56"/>
        <v>0</v>
      </c>
      <c r="V436" s="247">
        <f t="shared" si="57"/>
        <v>0</v>
      </c>
      <c r="W436" s="276">
        <f t="shared" si="58"/>
        <v>0</v>
      </c>
      <c r="X436" s="277">
        <f t="shared" si="59"/>
        <v>0</v>
      </c>
    </row>
    <row r="437" spans="14:24" x14ac:dyDescent="0.25">
      <c r="N437" s="244">
        <f>Weather_Site!B443</f>
        <v>0</v>
      </c>
      <c r="O437" s="245">
        <f>Weather_Site!C443</f>
        <v>0</v>
      </c>
      <c r="P437" s="5">
        <f>Weather_Site!E443</f>
        <v>0</v>
      </c>
      <c r="Q437" s="245">
        <f t="shared" si="60"/>
        <v>0</v>
      </c>
      <c r="R437" s="5">
        <f t="shared" si="55"/>
        <v>0</v>
      </c>
      <c r="S437" s="5">
        <f t="shared" si="61"/>
        <v>0</v>
      </c>
      <c r="T437" s="247">
        <f t="shared" si="62"/>
        <v>0</v>
      </c>
      <c r="U437" s="5">
        <f t="shared" si="56"/>
        <v>0</v>
      </c>
      <c r="V437" s="247">
        <f t="shared" si="57"/>
        <v>0</v>
      </c>
      <c r="W437" s="276">
        <f t="shared" si="58"/>
        <v>0</v>
      </c>
      <c r="X437" s="277">
        <f t="shared" si="59"/>
        <v>0</v>
      </c>
    </row>
    <row r="438" spans="14:24" x14ac:dyDescent="0.25">
      <c r="N438" s="244">
        <f>Weather_Site!B444</f>
        <v>0</v>
      </c>
      <c r="O438" s="245">
        <f>Weather_Site!C444</f>
        <v>0</v>
      </c>
      <c r="P438" s="5">
        <f>Weather_Site!E444</f>
        <v>0</v>
      </c>
      <c r="Q438" s="245">
        <f t="shared" si="60"/>
        <v>0</v>
      </c>
      <c r="R438" s="5">
        <f t="shared" si="55"/>
        <v>0</v>
      </c>
      <c r="S438" s="5">
        <f t="shared" si="61"/>
        <v>0</v>
      </c>
      <c r="T438" s="247">
        <f t="shared" si="62"/>
        <v>0</v>
      </c>
      <c r="U438" s="5">
        <f t="shared" si="56"/>
        <v>0</v>
      </c>
      <c r="V438" s="247">
        <f t="shared" si="57"/>
        <v>0</v>
      </c>
      <c r="W438" s="276">
        <f t="shared" si="58"/>
        <v>0</v>
      </c>
      <c r="X438" s="277">
        <f t="shared" si="59"/>
        <v>0</v>
      </c>
    </row>
    <row r="439" spans="14:24" x14ac:dyDescent="0.25">
      <c r="N439" s="244">
        <f>Weather_Site!B445</f>
        <v>0</v>
      </c>
      <c r="O439" s="245">
        <f>Weather_Site!C445</f>
        <v>0</v>
      </c>
      <c r="P439" s="5">
        <f>Weather_Site!E445</f>
        <v>0</v>
      </c>
      <c r="Q439" s="245">
        <f t="shared" si="60"/>
        <v>0</v>
      </c>
      <c r="R439" s="5">
        <f t="shared" si="55"/>
        <v>0</v>
      </c>
      <c r="S439" s="5">
        <f t="shared" si="61"/>
        <v>0</v>
      </c>
      <c r="T439" s="247">
        <f t="shared" si="62"/>
        <v>0</v>
      </c>
      <c r="U439" s="5">
        <f t="shared" si="56"/>
        <v>0</v>
      </c>
      <c r="V439" s="247">
        <f t="shared" si="57"/>
        <v>0</v>
      </c>
      <c r="W439" s="276">
        <f t="shared" si="58"/>
        <v>0</v>
      </c>
      <c r="X439" s="277">
        <f t="shared" si="59"/>
        <v>0</v>
      </c>
    </row>
    <row r="440" spans="14:24" x14ac:dyDescent="0.25">
      <c r="N440" s="244">
        <f>Weather_Site!B446</f>
        <v>0</v>
      </c>
      <c r="O440" s="245">
        <f>Weather_Site!C446</f>
        <v>0</v>
      </c>
      <c r="P440" s="5">
        <f>Weather_Site!E446</f>
        <v>0</v>
      </c>
      <c r="Q440" s="245">
        <f t="shared" si="60"/>
        <v>0</v>
      </c>
      <c r="R440" s="5">
        <f t="shared" si="55"/>
        <v>0</v>
      </c>
      <c r="S440" s="5">
        <f t="shared" si="61"/>
        <v>0</v>
      </c>
      <c r="T440" s="247">
        <f t="shared" si="62"/>
        <v>0</v>
      </c>
      <c r="U440" s="5">
        <f t="shared" si="56"/>
        <v>0</v>
      </c>
      <c r="V440" s="247">
        <f t="shared" si="57"/>
        <v>0</v>
      </c>
      <c r="W440" s="276">
        <f t="shared" si="58"/>
        <v>0</v>
      </c>
      <c r="X440" s="277">
        <f t="shared" si="59"/>
        <v>0</v>
      </c>
    </row>
    <row r="441" spans="14:24" x14ac:dyDescent="0.25">
      <c r="N441" s="244">
        <f>Weather_Site!B447</f>
        <v>0</v>
      </c>
      <c r="O441" s="245">
        <f>Weather_Site!C447</f>
        <v>0</v>
      </c>
      <c r="P441" s="5">
        <f>Weather_Site!E447</f>
        <v>0</v>
      </c>
      <c r="Q441" s="245">
        <f t="shared" si="60"/>
        <v>0</v>
      </c>
      <c r="R441" s="5">
        <f t="shared" si="55"/>
        <v>0</v>
      </c>
      <c r="S441" s="5">
        <f t="shared" si="61"/>
        <v>0</v>
      </c>
      <c r="T441" s="247">
        <f t="shared" si="62"/>
        <v>0</v>
      </c>
      <c r="U441" s="5">
        <f t="shared" si="56"/>
        <v>0</v>
      </c>
      <c r="V441" s="247">
        <f t="shared" si="57"/>
        <v>0</v>
      </c>
      <c r="W441" s="276">
        <f t="shared" si="58"/>
        <v>0</v>
      </c>
      <c r="X441" s="277">
        <f t="shared" si="59"/>
        <v>0</v>
      </c>
    </row>
    <row r="442" spans="14:24" x14ac:dyDescent="0.25">
      <c r="N442" s="244">
        <f>Weather_Site!B448</f>
        <v>0</v>
      </c>
      <c r="O442" s="245">
        <f>Weather_Site!C448</f>
        <v>0</v>
      </c>
      <c r="P442" s="5">
        <f>Weather_Site!E448</f>
        <v>0</v>
      </c>
      <c r="Q442" s="245">
        <f t="shared" si="60"/>
        <v>0</v>
      </c>
      <c r="R442" s="5">
        <f t="shared" si="55"/>
        <v>0</v>
      </c>
      <c r="S442" s="5">
        <f t="shared" si="61"/>
        <v>0</v>
      </c>
      <c r="T442" s="247">
        <f t="shared" si="62"/>
        <v>0</v>
      </c>
      <c r="U442" s="5">
        <f t="shared" si="56"/>
        <v>0</v>
      </c>
      <c r="V442" s="247">
        <f t="shared" si="57"/>
        <v>0</v>
      </c>
      <c r="W442" s="276">
        <f t="shared" si="58"/>
        <v>0</v>
      </c>
      <c r="X442" s="277">
        <f t="shared" si="59"/>
        <v>0</v>
      </c>
    </row>
    <row r="443" spans="14:24" x14ac:dyDescent="0.25">
      <c r="N443" s="244">
        <f>Weather_Site!B449</f>
        <v>0</v>
      </c>
      <c r="O443" s="245">
        <f>Weather_Site!C449</f>
        <v>0</v>
      </c>
      <c r="P443" s="5">
        <f>Weather_Site!E449</f>
        <v>0</v>
      </c>
      <c r="Q443" s="245">
        <f t="shared" si="60"/>
        <v>0</v>
      </c>
      <c r="R443" s="5">
        <f t="shared" si="55"/>
        <v>0</v>
      </c>
      <c r="S443" s="5">
        <f t="shared" si="61"/>
        <v>0</v>
      </c>
      <c r="T443" s="247">
        <f t="shared" si="62"/>
        <v>0</v>
      </c>
      <c r="U443" s="5">
        <f t="shared" si="56"/>
        <v>0</v>
      </c>
      <c r="V443" s="247">
        <f t="shared" si="57"/>
        <v>0</v>
      </c>
      <c r="W443" s="276">
        <f t="shared" si="58"/>
        <v>0</v>
      </c>
      <c r="X443" s="277">
        <f t="shared" si="59"/>
        <v>0</v>
      </c>
    </row>
    <row r="444" spans="14:24" x14ac:dyDescent="0.25">
      <c r="N444" s="244">
        <f>Weather_Site!B450</f>
        <v>0</v>
      </c>
      <c r="O444" s="245">
        <f>Weather_Site!C450</f>
        <v>0</v>
      </c>
      <c r="P444" s="5">
        <f>Weather_Site!E450</f>
        <v>0</v>
      </c>
      <c r="Q444" s="245">
        <f t="shared" si="60"/>
        <v>0</v>
      </c>
      <c r="R444" s="5">
        <f t="shared" si="55"/>
        <v>0</v>
      </c>
      <c r="S444" s="5">
        <f t="shared" si="61"/>
        <v>0</v>
      </c>
      <c r="T444" s="247">
        <f t="shared" si="62"/>
        <v>0</v>
      </c>
      <c r="U444" s="5">
        <f t="shared" si="56"/>
        <v>0</v>
      </c>
      <c r="V444" s="247">
        <f t="shared" si="57"/>
        <v>0</v>
      </c>
      <c r="W444" s="276">
        <f t="shared" si="58"/>
        <v>0</v>
      </c>
      <c r="X444" s="277">
        <f t="shared" si="59"/>
        <v>0</v>
      </c>
    </row>
    <row r="445" spans="14:24" x14ac:dyDescent="0.25">
      <c r="N445" s="244">
        <f>Weather_Site!B451</f>
        <v>0</v>
      </c>
      <c r="O445" s="245">
        <f>Weather_Site!C451</f>
        <v>0</v>
      </c>
      <c r="P445" s="5">
        <f>Weather_Site!E451</f>
        <v>0</v>
      </c>
      <c r="Q445" s="245">
        <f t="shared" si="60"/>
        <v>0</v>
      </c>
      <c r="R445" s="5">
        <f t="shared" si="55"/>
        <v>0</v>
      </c>
      <c r="S445" s="5">
        <f t="shared" si="61"/>
        <v>0</v>
      </c>
      <c r="T445" s="247">
        <f t="shared" si="62"/>
        <v>0</v>
      </c>
      <c r="U445" s="5">
        <f t="shared" si="56"/>
        <v>0</v>
      </c>
      <c r="V445" s="247">
        <f t="shared" si="57"/>
        <v>0</v>
      </c>
      <c r="W445" s="276">
        <f t="shared" si="58"/>
        <v>0</v>
      </c>
      <c r="X445" s="277">
        <f t="shared" si="59"/>
        <v>0</v>
      </c>
    </row>
    <row r="446" spans="14:24" x14ac:dyDescent="0.25">
      <c r="N446" s="244">
        <f>Weather_Site!B452</f>
        <v>0</v>
      </c>
      <c r="O446" s="245">
        <f>Weather_Site!C452</f>
        <v>0</v>
      </c>
      <c r="P446" s="5">
        <f>Weather_Site!E452</f>
        <v>0</v>
      </c>
      <c r="Q446" s="245">
        <f t="shared" si="60"/>
        <v>0</v>
      </c>
      <c r="R446" s="5">
        <f t="shared" si="55"/>
        <v>0</v>
      </c>
      <c r="S446" s="5">
        <f t="shared" si="61"/>
        <v>0</v>
      </c>
      <c r="T446" s="247">
        <f t="shared" si="62"/>
        <v>0</v>
      </c>
      <c r="U446" s="5">
        <f t="shared" si="56"/>
        <v>0</v>
      </c>
      <c r="V446" s="247">
        <f t="shared" si="57"/>
        <v>0</v>
      </c>
      <c r="W446" s="276">
        <f t="shared" si="58"/>
        <v>0</v>
      </c>
      <c r="X446" s="277">
        <f t="shared" si="59"/>
        <v>0</v>
      </c>
    </row>
    <row r="447" spans="14:24" x14ac:dyDescent="0.25">
      <c r="N447" s="244">
        <f>Weather_Site!B453</f>
        <v>0</v>
      </c>
      <c r="O447" s="245">
        <f>Weather_Site!C453</f>
        <v>0</v>
      </c>
      <c r="P447" s="5">
        <f>Weather_Site!E453</f>
        <v>0</v>
      </c>
      <c r="Q447" s="245">
        <f t="shared" si="60"/>
        <v>0</v>
      </c>
      <c r="R447" s="5">
        <f t="shared" si="55"/>
        <v>0</v>
      </c>
      <c r="S447" s="5">
        <f t="shared" si="61"/>
        <v>0</v>
      </c>
      <c r="T447" s="247">
        <f t="shared" si="62"/>
        <v>0</v>
      </c>
      <c r="U447" s="5">
        <f t="shared" si="56"/>
        <v>0</v>
      </c>
      <c r="V447" s="247">
        <f t="shared" si="57"/>
        <v>0</v>
      </c>
      <c r="W447" s="276">
        <f t="shared" si="58"/>
        <v>0</v>
      </c>
      <c r="X447" s="277">
        <f t="shared" si="59"/>
        <v>0</v>
      </c>
    </row>
    <row r="448" spans="14:24" x14ac:dyDescent="0.25">
      <c r="N448" s="244">
        <f>Weather_Site!B454</f>
        <v>0</v>
      </c>
      <c r="O448" s="245">
        <f>Weather_Site!C454</f>
        <v>0</v>
      </c>
      <c r="P448" s="5">
        <f>Weather_Site!E454</f>
        <v>0</v>
      </c>
      <c r="Q448" s="245">
        <f t="shared" si="60"/>
        <v>0</v>
      </c>
      <c r="R448" s="5">
        <f t="shared" si="55"/>
        <v>0</v>
      </c>
      <c r="S448" s="5">
        <f t="shared" si="61"/>
        <v>0</v>
      </c>
      <c r="T448" s="247">
        <f t="shared" si="62"/>
        <v>0</v>
      </c>
      <c r="U448" s="5">
        <f t="shared" si="56"/>
        <v>0</v>
      </c>
      <c r="V448" s="247">
        <f t="shared" si="57"/>
        <v>0</v>
      </c>
      <c r="W448" s="276">
        <f t="shared" si="58"/>
        <v>0</v>
      </c>
      <c r="X448" s="277">
        <f t="shared" si="59"/>
        <v>0</v>
      </c>
    </row>
    <row r="449" spans="14:24" x14ac:dyDescent="0.25">
      <c r="N449" s="244">
        <f>Weather_Site!B455</f>
        <v>0</v>
      </c>
      <c r="O449" s="245">
        <f>Weather_Site!C455</f>
        <v>0</v>
      </c>
      <c r="P449" s="5">
        <f>Weather_Site!E455</f>
        <v>0</v>
      </c>
      <c r="Q449" s="245">
        <f t="shared" si="60"/>
        <v>0</v>
      </c>
      <c r="R449" s="5">
        <f t="shared" si="55"/>
        <v>0</v>
      </c>
      <c r="S449" s="5">
        <f t="shared" si="61"/>
        <v>0</v>
      </c>
      <c r="T449" s="247">
        <f t="shared" si="62"/>
        <v>0</v>
      </c>
      <c r="U449" s="5">
        <f t="shared" si="56"/>
        <v>0</v>
      </c>
      <c r="V449" s="247">
        <f t="shared" si="57"/>
        <v>0</v>
      </c>
      <c r="W449" s="276">
        <f t="shared" si="58"/>
        <v>0</v>
      </c>
      <c r="X449" s="277">
        <f t="shared" si="59"/>
        <v>0</v>
      </c>
    </row>
    <row r="450" spans="14:24" x14ac:dyDescent="0.25">
      <c r="N450" s="244">
        <f>Weather_Site!B456</f>
        <v>0</v>
      </c>
      <c r="O450" s="245">
        <f>Weather_Site!C456</f>
        <v>0</v>
      </c>
      <c r="P450" s="5">
        <f>Weather_Site!E456</f>
        <v>0</v>
      </c>
      <c r="Q450" s="245">
        <f t="shared" si="60"/>
        <v>0</v>
      </c>
      <c r="R450" s="5">
        <f t="shared" si="55"/>
        <v>0</v>
      </c>
      <c r="S450" s="5">
        <f t="shared" si="61"/>
        <v>0</v>
      </c>
      <c r="T450" s="247">
        <f t="shared" si="62"/>
        <v>0</v>
      </c>
      <c r="U450" s="5">
        <f t="shared" si="56"/>
        <v>0</v>
      </c>
      <c r="V450" s="247">
        <f t="shared" si="57"/>
        <v>0</v>
      </c>
      <c r="W450" s="276">
        <f t="shared" si="58"/>
        <v>0</v>
      </c>
      <c r="X450" s="277">
        <f t="shared" si="59"/>
        <v>0</v>
      </c>
    </row>
    <row r="451" spans="14:24" x14ac:dyDescent="0.25">
      <c r="N451" s="244">
        <f>Weather_Site!B457</f>
        <v>0</v>
      </c>
      <c r="O451" s="245">
        <f>Weather_Site!C457</f>
        <v>0</v>
      </c>
      <c r="P451" s="5">
        <f>Weather_Site!E457</f>
        <v>0</v>
      </c>
      <c r="Q451" s="245">
        <f t="shared" si="60"/>
        <v>0</v>
      </c>
      <c r="R451" s="5">
        <f t="shared" si="55"/>
        <v>0</v>
      </c>
      <c r="S451" s="5">
        <f t="shared" si="61"/>
        <v>0</v>
      </c>
      <c r="T451" s="247">
        <f t="shared" si="62"/>
        <v>0</v>
      </c>
      <c r="U451" s="5">
        <f t="shared" si="56"/>
        <v>0</v>
      </c>
      <c r="V451" s="247">
        <f t="shared" si="57"/>
        <v>0</v>
      </c>
      <c r="W451" s="276">
        <f t="shared" si="58"/>
        <v>0</v>
      </c>
      <c r="X451" s="277">
        <f t="shared" si="59"/>
        <v>0</v>
      </c>
    </row>
    <row r="452" spans="14:24" x14ac:dyDescent="0.25">
      <c r="N452" s="244">
        <f>Weather_Site!B458</f>
        <v>0</v>
      </c>
      <c r="O452" s="245">
        <f>Weather_Site!C458</f>
        <v>0</v>
      </c>
      <c r="P452" s="5">
        <f>Weather_Site!E458</f>
        <v>0</v>
      </c>
      <c r="Q452" s="245">
        <f t="shared" si="60"/>
        <v>0</v>
      </c>
      <c r="R452" s="5">
        <f t="shared" si="55"/>
        <v>0</v>
      </c>
      <c r="S452" s="5">
        <f t="shared" si="61"/>
        <v>0</v>
      </c>
      <c r="T452" s="247">
        <f t="shared" si="62"/>
        <v>0</v>
      </c>
      <c r="U452" s="5">
        <f t="shared" si="56"/>
        <v>0</v>
      </c>
      <c r="V452" s="247">
        <f t="shared" si="57"/>
        <v>0</v>
      </c>
      <c r="W452" s="276">
        <f t="shared" si="58"/>
        <v>0</v>
      </c>
      <c r="X452" s="277">
        <f t="shared" si="59"/>
        <v>0</v>
      </c>
    </row>
    <row r="453" spans="14:24" x14ac:dyDescent="0.25">
      <c r="N453" s="244">
        <f>Weather_Site!B459</f>
        <v>0</v>
      </c>
      <c r="O453" s="245">
        <f>Weather_Site!C459</f>
        <v>0</v>
      </c>
      <c r="P453" s="5">
        <f>Weather_Site!E459</f>
        <v>0</v>
      </c>
      <c r="Q453" s="245">
        <f t="shared" si="60"/>
        <v>0</v>
      </c>
      <c r="R453" s="5">
        <f t="shared" si="55"/>
        <v>0</v>
      </c>
      <c r="S453" s="5">
        <f t="shared" si="61"/>
        <v>0</v>
      </c>
      <c r="T453" s="247">
        <f t="shared" si="62"/>
        <v>0</v>
      </c>
      <c r="U453" s="5">
        <f t="shared" si="56"/>
        <v>0</v>
      </c>
      <c r="V453" s="247">
        <f t="shared" si="57"/>
        <v>0</v>
      </c>
      <c r="W453" s="276">
        <f t="shared" si="58"/>
        <v>0</v>
      </c>
      <c r="X453" s="277">
        <f t="shared" si="59"/>
        <v>0</v>
      </c>
    </row>
    <row r="454" spans="14:24" x14ac:dyDescent="0.25">
      <c r="N454" s="244">
        <f>Weather_Site!B460</f>
        <v>0</v>
      </c>
      <c r="O454" s="245">
        <f>Weather_Site!C460</f>
        <v>0</v>
      </c>
      <c r="P454" s="5">
        <f>Weather_Site!E460</f>
        <v>0</v>
      </c>
      <c r="Q454" s="245">
        <f t="shared" si="60"/>
        <v>0</v>
      </c>
      <c r="R454" s="5">
        <f t="shared" si="55"/>
        <v>0</v>
      </c>
      <c r="S454" s="5">
        <f t="shared" si="61"/>
        <v>0</v>
      </c>
      <c r="T454" s="247">
        <f t="shared" si="62"/>
        <v>0</v>
      </c>
      <c r="U454" s="5">
        <f t="shared" si="56"/>
        <v>0</v>
      </c>
      <c r="V454" s="247">
        <f t="shared" si="57"/>
        <v>0</v>
      </c>
      <c r="W454" s="276">
        <f t="shared" si="58"/>
        <v>0</v>
      </c>
      <c r="X454" s="277">
        <f t="shared" si="59"/>
        <v>0</v>
      </c>
    </row>
    <row r="455" spans="14:24" x14ac:dyDescent="0.25">
      <c r="N455" s="244">
        <f>Weather_Site!B461</f>
        <v>0</v>
      </c>
      <c r="O455" s="245">
        <f>Weather_Site!C461</f>
        <v>0</v>
      </c>
      <c r="P455" s="5">
        <f>Weather_Site!E461</f>
        <v>0</v>
      </c>
      <c r="Q455" s="245">
        <f t="shared" si="60"/>
        <v>0</v>
      </c>
      <c r="R455" s="5">
        <f t="shared" si="55"/>
        <v>0</v>
      </c>
      <c r="S455" s="5">
        <f t="shared" si="61"/>
        <v>0</v>
      </c>
      <c r="T455" s="247">
        <f t="shared" si="62"/>
        <v>0</v>
      </c>
      <c r="U455" s="5">
        <f t="shared" si="56"/>
        <v>0</v>
      </c>
      <c r="V455" s="247">
        <f t="shared" si="57"/>
        <v>0</v>
      </c>
      <c r="W455" s="276">
        <f t="shared" si="58"/>
        <v>0</v>
      </c>
      <c r="X455" s="277">
        <f t="shared" si="59"/>
        <v>0</v>
      </c>
    </row>
    <row r="456" spans="14:24" x14ac:dyDescent="0.25">
      <c r="N456" s="244">
        <f>Weather_Site!B462</f>
        <v>0</v>
      </c>
      <c r="O456" s="245">
        <f>Weather_Site!C462</f>
        <v>0</v>
      </c>
      <c r="P456" s="5">
        <f>Weather_Site!E462</f>
        <v>0</v>
      </c>
      <c r="Q456" s="245">
        <f t="shared" si="60"/>
        <v>0</v>
      </c>
      <c r="R456" s="5">
        <f t="shared" ref="R456:R519" si="63">HOUR(Q456)</f>
        <v>0</v>
      </c>
      <c r="S456" s="5">
        <f t="shared" si="61"/>
        <v>0</v>
      </c>
      <c r="T456" s="247">
        <f t="shared" si="62"/>
        <v>0</v>
      </c>
      <c r="U456" s="5">
        <f t="shared" ref="U456:U519" si="64">MAX((T456-70*R456),0)</f>
        <v>0</v>
      </c>
      <c r="V456" s="247">
        <f t="shared" ref="V456:V519" si="65">IF(OR(AND((N456-N455)=0,O455&gt;0.5),AND((N456-N455)=1,O456&lt;0.5),AND(N456-N455)=0,O456&lt;0.5),U456+V455,U456)</f>
        <v>0</v>
      </c>
      <c r="W456" s="276">
        <f t="shared" ref="W456:W519" si="66">IF(O456&lt;0.75,MAX(V456,W455),V456)</f>
        <v>0</v>
      </c>
      <c r="X456" s="277">
        <f t="shared" si="59"/>
        <v>0</v>
      </c>
    </row>
    <row r="457" spans="14:24" x14ac:dyDescent="0.25">
      <c r="N457" s="244">
        <f>Weather_Site!B463</f>
        <v>0</v>
      </c>
      <c r="O457" s="245">
        <f>Weather_Site!C463</f>
        <v>0</v>
      </c>
      <c r="P457" s="5">
        <f>Weather_Site!E463</f>
        <v>0</v>
      </c>
      <c r="Q457" s="245">
        <f t="shared" si="60"/>
        <v>0</v>
      </c>
      <c r="R457" s="5">
        <f t="shared" si="63"/>
        <v>0</v>
      </c>
      <c r="S457" s="5">
        <f t="shared" si="61"/>
        <v>0</v>
      </c>
      <c r="T457" s="247">
        <f t="shared" si="62"/>
        <v>0</v>
      </c>
      <c r="U457" s="5">
        <f t="shared" si="64"/>
        <v>0</v>
      </c>
      <c r="V457" s="247">
        <f t="shared" si="65"/>
        <v>0</v>
      </c>
      <c r="W457" s="276">
        <f t="shared" si="66"/>
        <v>0</v>
      </c>
      <c r="X457" s="277">
        <f t="shared" si="59"/>
        <v>0</v>
      </c>
    </row>
    <row r="458" spans="14:24" x14ac:dyDescent="0.25">
      <c r="N458" s="244">
        <f>Weather_Site!B464</f>
        <v>0</v>
      </c>
      <c r="O458" s="245">
        <f>Weather_Site!C464</f>
        <v>0</v>
      </c>
      <c r="P458" s="5">
        <f>Weather_Site!E464</f>
        <v>0</v>
      </c>
      <c r="Q458" s="245">
        <f t="shared" si="60"/>
        <v>0</v>
      </c>
      <c r="R458" s="5">
        <f t="shared" si="63"/>
        <v>0</v>
      </c>
      <c r="S458" s="5">
        <f t="shared" si="61"/>
        <v>0</v>
      </c>
      <c r="T458" s="247">
        <f t="shared" si="62"/>
        <v>0</v>
      </c>
      <c r="U458" s="5">
        <f t="shared" si="64"/>
        <v>0</v>
      </c>
      <c r="V458" s="247">
        <f t="shared" si="65"/>
        <v>0</v>
      </c>
      <c r="W458" s="276">
        <f t="shared" si="66"/>
        <v>0</v>
      </c>
      <c r="X458" s="277">
        <f t="shared" si="59"/>
        <v>0</v>
      </c>
    </row>
    <row r="459" spans="14:24" x14ac:dyDescent="0.25">
      <c r="N459" s="244">
        <f>Weather_Site!B465</f>
        <v>0</v>
      </c>
      <c r="O459" s="245">
        <f>Weather_Site!C465</f>
        <v>0</v>
      </c>
      <c r="P459" s="5">
        <f>Weather_Site!E465</f>
        <v>0</v>
      </c>
      <c r="Q459" s="245">
        <f t="shared" si="60"/>
        <v>0</v>
      </c>
      <c r="R459" s="5">
        <f t="shared" si="63"/>
        <v>0</v>
      </c>
      <c r="S459" s="5">
        <f t="shared" si="61"/>
        <v>0</v>
      </c>
      <c r="T459" s="247">
        <f t="shared" si="62"/>
        <v>0</v>
      </c>
      <c r="U459" s="5">
        <f t="shared" si="64"/>
        <v>0</v>
      </c>
      <c r="V459" s="247">
        <f t="shared" si="65"/>
        <v>0</v>
      </c>
      <c r="W459" s="276">
        <f t="shared" si="66"/>
        <v>0</v>
      </c>
      <c r="X459" s="277">
        <f t="shared" si="59"/>
        <v>0</v>
      </c>
    </row>
    <row r="460" spans="14:24" x14ac:dyDescent="0.25">
      <c r="N460" s="244">
        <f>Weather_Site!B466</f>
        <v>0</v>
      </c>
      <c r="O460" s="245">
        <f>Weather_Site!C466</f>
        <v>0</v>
      </c>
      <c r="P460" s="5">
        <f>Weather_Site!E466</f>
        <v>0</v>
      </c>
      <c r="Q460" s="245">
        <f t="shared" si="60"/>
        <v>0</v>
      </c>
      <c r="R460" s="5">
        <f t="shared" si="63"/>
        <v>0</v>
      </c>
      <c r="S460" s="5">
        <f t="shared" si="61"/>
        <v>0</v>
      </c>
      <c r="T460" s="247">
        <f t="shared" si="62"/>
        <v>0</v>
      </c>
      <c r="U460" s="5">
        <f t="shared" si="64"/>
        <v>0</v>
      </c>
      <c r="V460" s="247">
        <f t="shared" si="65"/>
        <v>0</v>
      </c>
      <c r="W460" s="276">
        <f t="shared" si="66"/>
        <v>0</v>
      </c>
      <c r="X460" s="277">
        <f t="shared" si="59"/>
        <v>0</v>
      </c>
    </row>
    <row r="461" spans="14:24" x14ac:dyDescent="0.25">
      <c r="N461" s="244">
        <f>Weather_Site!B467</f>
        <v>0</v>
      </c>
      <c r="O461" s="245">
        <f>Weather_Site!C467</f>
        <v>0</v>
      </c>
      <c r="P461" s="5">
        <f>Weather_Site!E467</f>
        <v>0</v>
      </c>
      <c r="Q461" s="245">
        <f t="shared" si="60"/>
        <v>0</v>
      </c>
      <c r="R461" s="5">
        <f t="shared" si="63"/>
        <v>0</v>
      </c>
      <c r="S461" s="5">
        <f t="shared" si="61"/>
        <v>0</v>
      </c>
      <c r="T461" s="247">
        <f t="shared" si="62"/>
        <v>0</v>
      </c>
      <c r="U461" s="5">
        <f t="shared" si="64"/>
        <v>0</v>
      </c>
      <c r="V461" s="247">
        <f t="shared" si="65"/>
        <v>0</v>
      </c>
      <c r="W461" s="276">
        <f t="shared" si="66"/>
        <v>0</v>
      </c>
      <c r="X461" s="277">
        <f t="shared" si="59"/>
        <v>0</v>
      </c>
    </row>
    <row r="462" spans="14:24" x14ac:dyDescent="0.25">
      <c r="N462" s="244">
        <f>Weather_Site!B468</f>
        <v>0</v>
      </c>
      <c r="O462" s="245">
        <f>Weather_Site!C468</f>
        <v>0</v>
      </c>
      <c r="P462" s="5">
        <f>Weather_Site!E468</f>
        <v>0</v>
      </c>
      <c r="Q462" s="245">
        <f t="shared" si="60"/>
        <v>0</v>
      </c>
      <c r="R462" s="5">
        <f t="shared" si="63"/>
        <v>0</v>
      </c>
      <c r="S462" s="5">
        <f t="shared" si="61"/>
        <v>0</v>
      </c>
      <c r="T462" s="247">
        <f t="shared" si="62"/>
        <v>0</v>
      </c>
      <c r="U462" s="5">
        <f t="shared" si="64"/>
        <v>0</v>
      </c>
      <c r="V462" s="247">
        <f t="shared" si="65"/>
        <v>0</v>
      </c>
      <c r="W462" s="276">
        <f t="shared" si="66"/>
        <v>0</v>
      </c>
      <c r="X462" s="277">
        <f t="shared" si="59"/>
        <v>0</v>
      </c>
    </row>
    <row r="463" spans="14:24" x14ac:dyDescent="0.25">
      <c r="N463" s="244">
        <f>Weather_Site!B469</f>
        <v>0</v>
      </c>
      <c r="O463" s="245">
        <f>Weather_Site!C469</f>
        <v>0</v>
      </c>
      <c r="P463" s="5">
        <f>Weather_Site!E469</f>
        <v>0</v>
      </c>
      <c r="Q463" s="245">
        <f t="shared" si="60"/>
        <v>0</v>
      </c>
      <c r="R463" s="5">
        <f t="shared" si="63"/>
        <v>0</v>
      </c>
      <c r="S463" s="5">
        <f t="shared" si="61"/>
        <v>0</v>
      </c>
      <c r="T463" s="247">
        <f t="shared" si="62"/>
        <v>0</v>
      </c>
      <c r="U463" s="5">
        <f t="shared" si="64"/>
        <v>0</v>
      </c>
      <c r="V463" s="247">
        <f t="shared" si="65"/>
        <v>0</v>
      </c>
      <c r="W463" s="276">
        <f t="shared" si="66"/>
        <v>0</v>
      </c>
      <c r="X463" s="277">
        <f t="shared" si="59"/>
        <v>0</v>
      </c>
    </row>
    <row r="464" spans="14:24" x14ac:dyDescent="0.25">
      <c r="N464" s="244">
        <f>Weather_Site!B470</f>
        <v>0</v>
      </c>
      <c r="O464" s="245">
        <f>Weather_Site!C470</f>
        <v>0</v>
      </c>
      <c r="P464" s="5">
        <f>Weather_Site!E470</f>
        <v>0</v>
      </c>
      <c r="Q464" s="245">
        <f t="shared" si="60"/>
        <v>0</v>
      </c>
      <c r="R464" s="5">
        <f t="shared" si="63"/>
        <v>0</v>
      </c>
      <c r="S464" s="5">
        <f t="shared" si="61"/>
        <v>0</v>
      </c>
      <c r="T464" s="247">
        <f t="shared" si="62"/>
        <v>0</v>
      </c>
      <c r="U464" s="5">
        <f t="shared" si="64"/>
        <v>0</v>
      </c>
      <c r="V464" s="247">
        <f t="shared" si="65"/>
        <v>0</v>
      </c>
      <c r="W464" s="276">
        <f t="shared" si="66"/>
        <v>0</v>
      </c>
      <c r="X464" s="277">
        <f t="shared" si="59"/>
        <v>0</v>
      </c>
    </row>
    <row r="465" spans="14:24" x14ac:dyDescent="0.25">
      <c r="N465" s="244">
        <f>Weather_Site!B471</f>
        <v>0</v>
      </c>
      <c r="O465" s="245">
        <f>Weather_Site!C471</f>
        <v>0</v>
      </c>
      <c r="P465" s="5">
        <f>Weather_Site!E471</f>
        <v>0</v>
      </c>
      <c r="Q465" s="245">
        <f t="shared" si="60"/>
        <v>0</v>
      </c>
      <c r="R465" s="5">
        <f t="shared" si="63"/>
        <v>0</v>
      </c>
      <c r="S465" s="5">
        <f t="shared" si="61"/>
        <v>0</v>
      </c>
      <c r="T465" s="247">
        <f t="shared" si="62"/>
        <v>0</v>
      </c>
      <c r="U465" s="5">
        <f t="shared" si="64"/>
        <v>0</v>
      </c>
      <c r="V465" s="247">
        <f t="shared" si="65"/>
        <v>0</v>
      </c>
      <c r="W465" s="276">
        <f t="shared" si="66"/>
        <v>0</v>
      </c>
      <c r="X465" s="277">
        <f t="shared" si="59"/>
        <v>0</v>
      </c>
    </row>
    <row r="466" spans="14:24" x14ac:dyDescent="0.25">
      <c r="N466" s="244">
        <f>Weather_Site!B472</f>
        <v>0</v>
      </c>
      <c r="O466" s="245">
        <f>Weather_Site!C472</f>
        <v>0</v>
      </c>
      <c r="P466" s="5">
        <f>Weather_Site!E472</f>
        <v>0</v>
      </c>
      <c r="Q466" s="245">
        <f t="shared" si="60"/>
        <v>0</v>
      </c>
      <c r="R466" s="5">
        <f t="shared" si="63"/>
        <v>0</v>
      </c>
      <c r="S466" s="5">
        <f t="shared" si="61"/>
        <v>0</v>
      </c>
      <c r="T466" s="247">
        <f t="shared" si="62"/>
        <v>0</v>
      </c>
      <c r="U466" s="5">
        <f t="shared" si="64"/>
        <v>0</v>
      </c>
      <c r="V466" s="247">
        <f t="shared" si="65"/>
        <v>0</v>
      </c>
      <c r="W466" s="276">
        <f t="shared" si="66"/>
        <v>0</v>
      </c>
      <c r="X466" s="277">
        <f t="shared" si="59"/>
        <v>0</v>
      </c>
    </row>
    <row r="467" spans="14:24" x14ac:dyDescent="0.25">
      <c r="N467" s="244">
        <f>Weather_Site!B473</f>
        <v>0</v>
      </c>
      <c r="O467" s="245">
        <f>Weather_Site!C473</f>
        <v>0</v>
      </c>
      <c r="P467" s="5">
        <f>Weather_Site!E473</f>
        <v>0</v>
      </c>
      <c r="Q467" s="245">
        <f t="shared" si="60"/>
        <v>0</v>
      </c>
      <c r="R467" s="5">
        <f t="shared" si="63"/>
        <v>0</v>
      </c>
      <c r="S467" s="5">
        <f t="shared" si="61"/>
        <v>0</v>
      </c>
      <c r="T467" s="247">
        <f t="shared" si="62"/>
        <v>0</v>
      </c>
      <c r="U467" s="5">
        <f t="shared" si="64"/>
        <v>0</v>
      </c>
      <c r="V467" s="247">
        <f t="shared" si="65"/>
        <v>0</v>
      </c>
      <c r="W467" s="276">
        <f t="shared" si="66"/>
        <v>0</v>
      </c>
      <c r="X467" s="277">
        <f t="shared" si="59"/>
        <v>0</v>
      </c>
    </row>
    <row r="468" spans="14:24" x14ac:dyDescent="0.25">
      <c r="N468" s="244">
        <f>Weather_Site!B474</f>
        <v>0</v>
      </c>
      <c r="O468" s="245">
        <f>Weather_Site!C474</f>
        <v>0</v>
      </c>
      <c r="P468" s="5">
        <f>Weather_Site!E474</f>
        <v>0</v>
      </c>
      <c r="Q468" s="245">
        <f t="shared" si="60"/>
        <v>0</v>
      </c>
      <c r="R468" s="5">
        <f t="shared" si="63"/>
        <v>0</v>
      </c>
      <c r="S468" s="5">
        <f t="shared" si="61"/>
        <v>0</v>
      </c>
      <c r="T468" s="247">
        <f t="shared" si="62"/>
        <v>0</v>
      </c>
      <c r="U468" s="5">
        <f t="shared" si="64"/>
        <v>0</v>
      </c>
      <c r="V468" s="247">
        <f t="shared" si="65"/>
        <v>0</v>
      </c>
      <c r="W468" s="276">
        <f t="shared" si="66"/>
        <v>0</v>
      </c>
      <c r="X468" s="277">
        <f t="shared" si="59"/>
        <v>0</v>
      </c>
    </row>
    <row r="469" spans="14:24" x14ac:dyDescent="0.25">
      <c r="N469" s="244">
        <f>Weather_Site!B475</f>
        <v>0</v>
      </c>
      <c r="O469" s="245">
        <f>Weather_Site!C475</f>
        <v>0</v>
      </c>
      <c r="P469" s="5">
        <f>Weather_Site!E475</f>
        <v>0</v>
      </c>
      <c r="Q469" s="245">
        <f t="shared" si="60"/>
        <v>0</v>
      </c>
      <c r="R469" s="5">
        <f t="shared" si="63"/>
        <v>0</v>
      </c>
      <c r="S469" s="5">
        <f t="shared" si="61"/>
        <v>0</v>
      </c>
      <c r="T469" s="247">
        <f t="shared" si="62"/>
        <v>0</v>
      </c>
      <c r="U469" s="5">
        <f t="shared" si="64"/>
        <v>0</v>
      </c>
      <c r="V469" s="247">
        <f t="shared" si="65"/>
        <v>0</v>
      </c>
      <c r="W469" s="276">
        <f t="shared" si="66"/>
        <v>0</v>
      </c>
      <c r="X469" s="277">
        <f t="shared" si="59"/>
        <v>0</v>
      </c>
    </row>
    <row r="470" spans="14:24" x14ac:dyDescent="0.25">
      <c r="N470" s="244">
        <f>Weather_Site!B476</f>
        <v>0</v>
      </c>
      <c r="O470" s="245">
        <f>Weather_Site!C476</f>
        <v>0</v>
      </c>
      <c r="P470" s="5">
        <f>Weather_Site!E476</f>
        <v>0</v>
      </c>
      <c r="Q470" s="245">
        <f t="shared" si="60"/>
        <v>0</v>
      </c>
      <c r="R470" s="5">
        <f t="shared" si="63"/>
        <v>0</v>
      </c>
      <c r="S470" s="5">
        <f t="shared" si="61"/>
        <v>0</v>
      </c>
      <c r="T470" s="247">
        <f t="shared" si="62"/>
        <v>0</v>
      </c>
      <c r="U470" s="5">
        <f t="shared" si="64"/>
        <v>0</v>
      </c>
      <c r="V470" s="247">
        <f t="shared" si="65"/>
        <v>0</v>
      </c>
      <c r="W470" s="276">
        <f t="shared" si="66"/>
        <v>0</v>
      </c>
      <c r="X470" s="277">
        <f t="shared" si="59"/>
        <v>0</v>
      </c>
    </row>
    <row r="471" spans="14:24" x14ac:dyDescent="0.25">
      <c r="N471" s="244">
        <f>Weather_Site!B477</f>
        <v>0</v>
      </c>
      <c r="O471" s="245">
        <f>Weather_Site!C477</f>
        <v>0</v>
      </c>
      <c r="P471" s="5">
        <f>Weather_Site!E477</f>
        <v>0</v>
      </c>
      <c r="Q471" s="245">
        <f t="shared" si="60"/>
        <v>0</v>
      </c>
      <c r="R471" s="5">
        <f t="shared" si="63"/>
        <v>0</v>
      </c>
      <c r="S471" s="5">
        <f t="shared" si="61"/>
        <v>0</v>
      </c>
      <c r="T471" s="247">
        <f t="shared" si="62"/>
        <v>0</v>
      </c>
      <c r="U471" s="5">
        <f t="shared" si="64"/>
        <v>0</v>
      </c>
      <c r="V471" s="247">
        <f t="shared" si="65"/>
        <v>0</v>
      </c>
      <c r="W471" s="276">
        <f t="shared" si="66"/>
        <v>0</v>
      </c>
      <c r="X471" s="277">
        <f t="shared" si="59"/>
        <v>0</v>
      </c>
    </row>
    <row r="472" spans="14:24" x14ac:dyDescent="0.25">
      <c r="N472" s="244">
        <f>Weather_Site!B478</f>
        <v>0</v>
      </c>
      <c r="O472" s="245">
        <f>Weather_Site!C478</f>
        <v>0</v>
      </c>
      <c r="P472" s="5">
        <f>Weather_Site!E478</f>
        <v>0</v>
      </c>
      <c r="Q472" s="245">
        <f t="shared" si="60"/>
        <v>0</v>
      </c>
      <c r="R472" s="5">
        <f t="shared" si="63"/>
        <v>0</v>
      </c>
      <c r="S472" s="5">
        <f t="shared" si="61"/>
        <v>0</v>
      </c>
      <c r="T472" s="247">
        <f t="shared" si="62"/>
        <v>0</v>
      </c>
      <c r="U472" s="5">
        <f t="shared" si="64"/>
        <v>0</v>
      </c>
      <c r="V472" s="247">
        <f t="shared" si="65"/>
        <v>0</v>
      </c>
      <c r="W472" s="276">
        <f t="shared" si="66"/>
        <v>0</v>
      </c>
      <c r="X472" s="277">
        <f t="shared" si="59"/>
        <v>0</v>
      </c>
    </row>
    <row r="473" spans="14:24" x14ac:dyDescent="0.25">
      <c r="N473" s="244">
        <f>Weather_Site!B479</f>
        <v>0</v>
      </c>
      <c r="O473" s="245">
        <f>Weather_Site!C479</f>
        <v>0</v>
      </c>
      <c r="P473" s="5">
        <f>Weather_Site!E479</f>
        <v>0</v>
      </c>
      <c r="Q473" s="245">
        <f t="shared" si="60"/>
        <v>0</v>
      </c>
      <c r="R473" s="5">
        <f t="shared" si="63"/>
        <v>0</v>
      </c>
      <c r="S473" s="5">
        <f t="shared" si="61"/>
        <v>0</v>
      </c>
      <c r="T473" s="247">
        <f t="shared" si="62"/>
        <v>0</v>
      </c>
      <c r="U473" s="5">
        <f t="shared" si="64"/>
        <v>0</v>
      </c>
      <c r="V473" s="247">
        <f t="shared" si="65"/>
        <v>0</v>
      </c>
      <c r="W473" s="276">
        <f t="shared" si="66"/>
        <v>0</v>
      </c>
      <c r="X473" s="277">
        <f t="shared" si="59"/>
        <v>0</v>
      </c>
    </row>
    <row r="474" spans="14:24" x14ac:dyDescent="0.25">
      <c r="N474" s="244">
        <f>Weather_Site!B480</f>
        <v>0</v>
      </c>
      <c r="O474" s="245">
        <f>Weather_Site!C480</f>
        <v>0</v>
      </c>
      <c r="P474" s="5">
        <f>Weather_Site!E480</f>
        <v>0</v>
      </c>
      <c r="Q474" s="245">
        <f t="shared" si="60"/>
        <v>0</v>
      </c>
      <c r="R474" s="5">
        <f t="shared" si="63"/>
        <v>0</v>
      </c>
      <c r="S474" s="5">
        <f t="shared" si="61"/>
        <v>0</v>
      </c>
      <c r="T474" s="247">
        <f t="shared" si="62"/>
        <v>0</v>
      </c>
      <c r="U474" s="5">
        <f t="shared" si="64"/>
        <v>0</v>
      </c>
      <c r="V474" s="247">
        <f t="shared" si="65"/>
        <v>0</v>
      </c>
      <c r="W474" s="276">
        <f t="shared" si="66"/>
        <v>0</v>
      </c>
      <c r="X474" s="277">
        <f t="shared" si="59"/>
        <v>0</v>
      </c>
    </row>
    <row r="475" spans="14:24" x14ac:dyDescent="0.25">
      <c r="N475" s="244">
        <f>Weather_Site!B481</f>
        <v>0</v>
      </c>
      <c r="O475" s="245">
        <f>Weather_Site!C481</f>
        <v>0</v>
      </c>
      <c r="P475" s="5">
        <f>Weather_Site!E481</f>
        <v>0</v>
      </c>
      <c r="Q475" s="245">
        <f t="shared" si="60"/>
        <v>0</v>
      </c>
      <c r="R475" s="5">
        <f t="shared" si="63"/>
        <v>0</v>
      </c>
      <c r="S475" s="5">
        <f t="shared" si="61"/>
        <v>0</v>
      </c>
      <c r="T475" s="247">
        <f t="shared" si="62"/>
        <v>0</v>
      </c>
      <c r="U475" s="5">
        <f t="shared" si="64"/>
        <v>0</v>
      </c>
      <c r="V475" s="247">
        <f t="shared" si="65"/>
        <v>0</v>
      </c>
      <c r="W475" s="276">
        <f t="shared" si="66"/>
        <v>0</v>
      </c>
      <c r="X475" s="277">
        <f t="shared" si="59"/>
        <v>0</v>
      </c>
    </row>
    <row r="476" spans="14:24" x14ac:dyDescent="0.25">
      <c r="N476" s="244">
        <f>Weather_Site!B482</f>
        <v>0</v>
      </c>
      <c r="O476" s="245">
        <f>Weather_Site!C482</f>
        <v>0</v>
      </c>
      <c r="P476" s="5">
        <f>Weather_Site!E482</f>
        <v>0</v>
      </c>
      <c r="Q476" s="245">
        <f t="shared" si="60"/>
        <v>0</v>
      </c>
      <c r="R476" s="5">
        <f t="shared" si="63"/>
        <v>0</v>
      </c>
      <c r="S476" s="5">
        <f t="shared" si="61"/>
        <v>0</v>
      </c>
      <c r="T476" s="247">
        <f t="shared" si="62"/>
        <v>0</v>
      </c>
      <c r="U476" s="5">
        <f t="shared" si="64"/>
        <v>0</v>
      </c>
      <c r="V476" s="247">
        <f t="shared" si="65"/>
        <v>0</v>
      </c>
      <c r="W476" s="276">
        <f t="shared" si="66"/>
        <v>0</v>
      </c>
      <c r="X476" s="277">
        <f t="shared" si="59"/>
        <v>0</v>
      </c>
    </row>
    <row r="477" spans="14:24" x14ac:dyDescent="0.25">
      <c r="N477" s="244">
        <f>Weather_Site!B483</f>
        <v>0</v>
      </c>
      <c r="O477" s="245">
        <f>Weather_Site!C483</f>
        <v>0</v>
      </c>
      <c r="P477" s="5">
        <f>Weather_Site!E483</f>
        <v>0</v>
      </c>
      <c r="Q477" s="245">
        <f t="shared" si="60"/>
        <v>0</v>
      </c>
      <c r="R477" s="5">
        <f t="shared" si="63"/>
        <v>0</v>
      </c>
      <c r="S477" s="5">
        <f t="shared" si="61"/>
        <v>0</v>
      </c>
      <c r="T477" s="247">
        <f t="shared" si="62"/>
        <v>0</v>
      </c>
      <c r="U477" s="5">
        <f t="shared" si="64"/>
        <v>0</v>
      </c>
      <c r="V477" s="247">
        <f t="shared" si="65"/>
        <v>0</v>
      </c>
      <c r="W477" s="276">
        <f t="shared" si="66"/>
        <v>0</v>
      </c>
      <c r="X477" s="277">
        <f t="shared" si="59"/>
        <v>0</v>
      </c>
    </row>
    <row r="478" spans="14:24" x14ac:dyDescent="0.25">
      <c r="N478" s="244">
        <f>Weather_Site!B484</f>
        <v>0</v>
      </c>
      <c r="O478" s="245">
        <f>Weather_Site!C484</f>
        <v>0</v>
      </c>
      <c r="P478" s="5">
        <f>Weather_Site!E484</f>
        <v>0</v>
      </c>
      <c r="Q478" s="245">
        <f t="shared" si="60"/>
        <v>0</v>
      </c>
      <c r="R478" s="5">
        <f t="shared" si="63"/>
        <v>0</v>
      </c>
      <c r="S478" s="5">
        <f t="shared" si="61"/>
        <v>0</v>
      </c>
      <c r="T478" s="247">
        <f t="shared" si="62"/>
        <v>0</v>
      </c>
      <c r="U478" s="5">
        <f t="shared" si="64"/>
        <v>0</v>
      </c>
      <c r="V478" s="247">
        <f t="shared" si="65"/>
        <v>0</v>
      </c>
      <c r="W478" s="276">
        <f t="shared" si="66"/>
        <v>0</v>
      </c>
      <c r="X478" s="277">
        <f t="shared" si="59"/>
        <v>0</v>
      </c>
    </row>
    <row r="479" spans="14:24" x14ac:dyDescent="0.25">
      <c r="N479" s="244">
        <f>Weather_Site!B485</f>
        <v>0</v>
      </c>
      <c r="O479" s="245">
        <f>Weather_Site!C485</f>
        <v>0</v>
      </c>
      <c r="P479" s="5">
        <f>Weather_Site!E485</f>
        <v>0</v>
      </c>
      <c r="Q479" s="245">
        <f t="shared" si="60"/>
        <v>0</v>
      </c>
      <c r="R479" s="5">
        <f t="shared" si="63"/>
        <v>0</v>
      </c>
      <c r="S479" s="5">
        <f t="shared" si="61"/>
        <v>0</v>
      </c>
      <c r="T479" s="247">
        <f t="shared" si="62"/>
        <v>0</v>
      </c>
      <c r="U479" s="5">
        <f t="shared" si="64"/>
        <v>0</v>
      </c>
      <c r="V479" s="247">
        <f t="shared" si="65"/>
        <v>0</v>
      </c>
      <c r="W479" s="276">
        <f t="shared" si="66"/>
        <v>0</v>
      </c>
      <c r="X479" s="277">
        <f t="shared" si="59"/>
        <v>0</v>
      </c>
    </row>
    <row r="480" spans="14:24" x14ac:dyDescent="0.25">
      <c r="N480" s="244">
        <f>Weather_Site!B486</f>
        <v>0</v>
      </c>
      <c r="O480" s="245">
        <f>Weather_Site!C486</f>
        <v>0</v>
      </c>
      <c r="P480" s="5">
        <f>Weather_Site!E486</f>
        <v>0</v>
      </c>
      <c r="Q480" s="245">
        <f t="shared" si="60"/>
        <v>0</v>
      </c>
      <c r="R480" s="5">
        <f t="shared" si="63"/>
        <v>0</v>
      </c>
      <c r="S480" s="5">
        <f t="shared" si="61"/>
        <v>0</v>
      </c>
      <c r="T480" s="247">
        <f t="shared" si="62"/>
        <v>0</v>
      </c>
      <c r="U480" s="5">
        <f t="shared" si="64"/>
        <v>0</v>
      </c>
      <c r="V480" s="247">
        <f t="shared" si="65"/>
        <v>0</v>
      </c>
      <c r="W480" s="276">
        <f t="shared" si="66"/>
        <v>0</v>
      </c>
      <c r="X480" s="277">
        <f t="shared" si="59"/>
        <v>0</v>
      </c>
    </row>
    <row r="481" spans="14:24" x14ac:dyDescent="0.25">
      <c r="N481" s="244">
        <f>Weather_Site!B487</f>
        <v>0</v>
      </c>
      <c r="O481" s="245">
        <f>Weather_Site!C487</f>
        <v>0</v>
      </c>
      <c r="P481" s="5">
        <f>Weather_Site!E487</f>
        <v>0</v>
      </c>
      <c r="Q481" s="245">
        <f t="shared" si="60"/>
        <v>0</v>
      </c>
      <c r="R481" s="5">
        <f t="shared" si="63"/>
        <v>0</v>
      </c>
      <c r="S481" s="5">
        <f t="shared" si="61"/>
        <v>0</v>
      </c>
      <c r="T481" s="247">
        <f t="shared" si="62"/>
        <v>0</v>
      </c>
      <c r="U481" s="5">
        <f t="shared" si="64"/>
        <v>0</v>
      </c>
      <c r="V481" s="247">
        <f t="shared" si="65"/>
        <v>0</v>
      </c>
      <c r="W481" s="276">
        <f t="shared" si="66"/>
        <v>0</v>
      </c>
      <c r="X481" s="277">
        <f t="shared" si="59"/>
        <v>0</v>
      </c>
    </row>
    <row r="482" spans="14:24" x14ac:dyDescent="0.25">
      <c r="N482" s="244">
        <f>Weather_Site!B488</f>
        <v>0</v>
      </c>
      <c r="O482" s="245">
        <f>Weather_Site!C488</f>
        <v>0</v>
      </c>
      <c r="P482" s="5">
        <f>Weather_Site!E488</f>
        <v>0</v>
      </c>
      <c r="Q482" s="245">
        <f t="shared" si="60"/>
        <v>0</v>
      </c>
      <c r="R482" s="5">
        <f t="shared" si="63"/>
        <v>0</v>
      </c>
      <c r="S482" s="5">
        <f t="shared" si="61"/>
        <v>0</v>
      </c>
      <c r="T482" s="247">
        <f t="shared" si="62"/>
        <v>0</v>
      </c>
      <c r="U482" s="5">
        <f t="shared" si="64"/>
        <v>0</v>
      </c>
      <c r="V482" s="247">
        <f t="shared" si="65"/>
        <v>0</v>
      </c>
      <c r="W482" s="276">
        <f t="shared" si="66"/>
        <v>0</v>
      </c>
      <c r="X482" s="277">
        <f t="shared" si="59"/>
        <v>0</v>
      </c>
    </row>
    <row r="483" spans="14:24" x14ac:dyDescent="0.25">
      <c r="N483" s="244">
        <f>Weather_Site!B489</f>
        <v>0</v>
      </c>
      <c r="O483" s="245">
        <f>Weather_Site!C489</f>
        <v>0</v>
      </c>
      <c r="P483" s="5">
        <f>Weather_Site!E489</f>
        <v>0</v>
      </c>
      <c r="Q483" s="245">
        <f t="shared" si="60"/>
        <v>0</v>
      </c>
      <c r="R483" s="5">
        <f t="shared" si="63"/>
        <v>0</v>
      </c>
      <c r="S483" s="5">
        <f t="shared" si="61"/>
        <v>0</v>
      </c>
      <c r="T483" s="247">
        <f t="shared" si="62"/>
        <v>0</v>
      </c>
      <c r="U483" s="5">
        <f t="shared" si="64"/>
        <v>0</v>
      </c>
      <c r="V483" s="247">
        <f t="shared" si="65"/>
        <v>0</v>
      </c>
      <c r="W483" s="276">
        <f t="shared" si="66"/>
        <v>0</v>
      </c>
      <c r="X483" s="277">
        <f t="shared" si="59"/>
        <v>0</v>
      </c>
    </row>
    <row r="484" spans="14:24" x14ac:dyDescent="0.25">
      <c r="N484" s="244">
        <f>Weather_Site!B490</f>
        <v>0</v>
      </c>
      <c r="O484" s="245">
        <f>Weather_Site!C490</f>
        <v>0</v>
      </c>
      <c r="P484" s="5">
        <f>Weather_Site!E490</f>
        <v>0</v>
      </c>
      <c r="Q484" s="245">
        <f t="shared" si="60"/>
        <v>0</v>
      </c>
      <c r="R484" s="5">
        <f t="shared" si="63"/>
        <v>0</v>
      </c>
      <c r="S484" s="5">
        <f t="shared" si="61"/>
        <v>0</v>
      </c>
      <c r="T484" s="247">
        <f t="shared" si="62"/>
        <v>0</v>
      </c>
      <c r="U484" s="5">
        <f t="shared" si="64"/>
        <v>0</v>
      </c>
      <c r="V484" s="247">
        <f t="shared" si="65"/>
        <v>0</v>
      </c>
      <c r="W484" s="276">
        <f t="shared" si="66"/>
        <v>0</v>
      </c>
      <c r="X484" s="277">
        <f t="shared" ref="X484:X547" si="67">IF(AND(O483&lt;0.333,O484&gt;=0.333),W484,X483)</f>
        <v>0</v>
      </c>
    </row>
    <row r="485" spans="14:24" x14ac:dyDescent="0.25">
      <c r="N485" s="244">
        <f>Weather_Site!B491</f>
        <v>0</v>
      </c>
      <c r="O485" s="245">
        <f>Weather_Site!C491</f>
        <v>0</v>
      </c>
      <c r="P485" s="5">
        <f>Weather_Site!E491</f>
        <v>0</v>
      </c>
      <c r="Q485" s="245">
        <f t="shared" ref="Q485:Q548" si="68">IF((O485-O484)&lt;0,(1-MAX(O484,0.625))+MIN(O485,0.334),(IF(O484&lt;0.333,(MIN(O485,0.334)-O484),IF(O485&gt;0.625,MAX(O485,0.625)-O484,0))))</f>
        <v>0</v>
      </c>
      <c r="R485" s="5">
        <f t="shared" si="63"/>
        <v>0</v>
      </c>
      <c r="S485" s="5">
        <f t="shared" ref="S485:S548" si="69">HOUR(O485)</f>
        <v>0</v>
      </c>
      <c r="T485" s="247">
        <f t="shared" ref="T485:T548" si="70">(P485+P484)/2*R485</f>
        <v>0</v>
      </c>
      <c r="U485" s="5">
        <f t="shared" si="64"/>
        <v>0</v>
      </c>
      <c r="V485" s="247">
        <f t="shared" si="65"/>
        <v>0</v>
      </c>
      <c r="W485" s="276">
        <f t="shared" si="66"/>
        <v>0</v>
      </c>
      <c r="X485" s="277">
        <f t="shared" si="67"/>
        <v>0</v>
      </c>
    </row>
    <row r="486" spans="14:24" x14ac:dyDescent="0.25">
      <c r="N486" s="244">
        <f>Weather_Site!B492</f>
        <v>0</v>
      </c>
      <c r="O486" s="245">
        <f>Weather_Site!C492</f>
        <v>0</v>
      </c>
      <c r="P486" s="5">
        <f>Weather_Site!E492</f>
        <v>0</v>
      </c>
      <c r="Q486" s="245">
        <f t="shared" si="68"/>
        <v>0</v>
      </c>
      <c r="R486" s="5">
        <f t="shared" si="63"/>
        <v>0</v>
      </c>
      <c r="S486" s="5">
        <f t="shared" si="69"/>
        <v>0</v>
      </c>
      <c r="T486" s="247">
        <f t="shared" si="70"/>
        <v>0</v>
      </c>
      <c r="U486" s="5">
        <f t="shared" si="64"/>
        <v>0</v>
      </c>
      <c r="V486" s="247">
        <f t="shared" si="65"/>
        <v>0</v>
      </c>
      <c r="W486" s="276">
        <f t="shared" si="66"/>
        <v>0</v>
      </c>
      <c r="X486" s="277">
        <f t="shared" si="67"/>
        <v>0</v>
      </c>
    </row>
    <row r="487" spans="14:24" x14ac:dyDescent="0.25">
      <c r="N487" s="244">
        <f>Weather_Site!B493</f>
        <v>0</v>
      </c>
      <c r="O487" s="245">
        <f>Weather_Site!C493</f>
        <v>0</v>
      </c>
      <c r="P487" s="5">
        <f>Weather_Site!E493</f>
        <v>0</v>
      </c>
      <c r="Q487" s="245">
        <f t="shared" si="68"/>
        <v>0</v>
      </c>
      <c r="R487" s="5">
        <f t="shared" si="63"/>
        <v>0</v>
      </c>
      <c r="S487" s="5">
        <f t="shared" si="69"/>
        <v>0</v>
      </c>
      <c r="T487" s="247">
        <f t="shared" si="70"/>
        <v>0</v>
      </c>
      <c r="U487" s="5">
        <f t="shared" si="64"/>
        <v>0</v>
      </c>
      <c r="V487" s="247">
        <f t="shared" si="65"/>
        <v>0</v>
      </c>
      <c r="W487" s="276">
        <f t="shared" si="66"/>
        <v>0</v>
      </c>
      <c r="X487" s="277">
        <f t="shared" si="67"/>
        <v>0</v>
      </c>
    </row>
    <row r="488" spans="14:24" x14ac:dyDescent="0.25">
      <c r="N488" s="244">
        <f>Weather_Site!B494</f>
        <v>0</v>
      </c>
      <c r="O488" s="245">
        <f>Weather_Site!C494</f>
        <v>0</v>
      </c>
      <c r="P488" s="5">
        <f>Weather_Site!E494</f>
        <v>0</v>
      </c>
      <c r="Q488" s="245">
        <f t="shared" si="68"/>
        <v>0</v>
      </c>
      <c r="R488" s="5">
        <f t="shared" si="63"/>
        <v>0</v>
      </c>
      <c r="S488" s="5">
        <f t="shared" si="69"/>
        <v>0</v>
      </c>
      <c r="T488" s="247">
        <f t="shared" si="70"/>
        <v>0</v>
      </c>
      <c r="U488" s="5">
        <f t="shared" si="64"/>
        <v>0</v>
      </c>
      <c r="V488" s="247">
        <f t="shared" si="65"/>
        <v>0</v>
      </c>
      <c r="W488" s="276">
        <f t="shared" si="66"/>
        <v>0</v>
      </c>
      <c r="X488" s="277">
        <f t="shared" si="67"/>
        <v>0</v>
      </c>
    </row>
    <row r="489" spans="14:24" x14ac:dyDescent="0.25">
      <c r="N489" s="244">
        <f>Weather_Site!B495</f>
        <v>0</v>
      </c>
      <c r="O489" s="245">
        <f>Weather_Site!C495</f>
        <v>0</v>
      </c>
      <c r="P489" s="5">
        <f>Weather_Site!E495</f>
        <v>0</v>
      </c>
      <c r="Q489" s="245">
        <f t="shared" si="68"/>
        <v>0</v>
      </c>
      <c r="R489" s="5">
        <f t="shared" si="63"/>
        <v>0</v>
      </c>
      <c r="S489" s="5">
        <f t="shared" si="69"/>
        <v>0</v>
      </c>
      <c r="T489" s="247">
        <f t="shared" si="70"/>
        <v>0</v>
      </c>
      <c r="U489" s="5">
        <f t="shared" si="64"/>
        <v>0</v>
      </c>
      <c r="V489" s="247">
        <f t="shared" si="65"/>
        <v>0</v>
      </c>
      <c r="W489" s="276">
        <f t="shared" si="66"/>
        <v>0</v>
      </c>
      <c r="X489" s="277">
        <f t="shared" si="67"/>
        <v>0</v>
      </c>
    </row>
    <row r="490" spans="14:24" x14ac:dyDescent="0.25">
      <c r="N490" s="244">
        <f>Weather_Site!B496</f>
        <v>0</v>
      </c>
      <c r="O490" s="245">
        <f>Weather_Site!C496</f>
        <v>0</v>
      </c>
      <c r="P490" s="5">
        <f>Weather_Site!E496</f>
        <v>0</v>
      </c>
      <c r="Q490" s="245">
        <f t="shared" si="68"/>
        <v>0</v>
      </c>
      <c r="R490" s="5">
        <f t="shared" si="63"/>
        <v>0</v>
      </c>
      <c r="S490" s="5">
        <f t="shared" si="69"/>
        <v>0</v>
      </c>
      <c r="T490" s="247">
        <f t="shared" si="70"/>
        <v>0</v>
      </c>
      <c r="U490" s="5">
        <f t="shared" si="64"/>
        <v>0</v>
      </c>
      <c r="V490" s="247">
        <f t="shared" si="65"/>
        <v>0</v>
      </c>
      <c r="W490" s="276">
        <f t="shared" si="66"/>
        <v>0</v>
      </c>
      <c r="X490" s="277">
        <f t="shared" si="67"/>
        <v>0</v>
      </c>
    </row>
    <row r="491" spans="14:24" x14ac:dyDescent="0.25">
      <c r="N491" s="244">
        <f>Weather_Site!B497</f>
        <v>0</v>
      </c>
      <c r="O491" s="245">
        <f>Weather_Site!C497</f>
        <v>0</v>
      </c>
      <c r="P491" s="5">
        <f>Weather_Site!E497</f>
        <v>0</v>
      </c>
      <c r="Q491" s="245">
        <f t="shared" si="68"/>
        <v>0</v>
      </c>
      <c r="R491" s="5">
        <f t="shared" si="63"/>
        <v>0</v>
      </c>
      <c r="S491" s="5">
        <f t="shared" si="69"/>
        <v>0</v>
      </c>
      <c r="T491" s="247">
        <f t="shared" si="70"/>
        <v>0</v>
      </c>
      <c r="U491" s="5">
        <f t="shared" si="64"/>
        <v>0</v>
      </c>
      <c r="V491" s="247">
        <f t="shared" si="65"/>
        <v>0</v>
      </c>
      <c r="W491" s="276">
        <f t="shared" si="66"/>
        <v>0</v>
      </c>
      <c r="X491" s="277">
        <f t="shared" si="67"/>
        <v>0</v>
      </c>
    </row>
    <row r="492" spans="14:24" x14ac:dyDescent="0.25">
      <c r="N492" s="244">
        <f>Weather_Site!B498</f>
        <v>0</v>
      </c>
      <c r="O492" s="245">
        <f>Weather_Site!C498</f>
        <v>0</v>
      </c>
      <c r="P492" s="5">
        <f>Weather_Site!E498</f>
        <v>0</v>
      </c>
      <c r="Q492" s="245">
        <f t="shared" si="68"/>
        <v>0</v>
      </c>
      <c r="R492" s="5">
        <f t="shared" si="63"/>
        <v>0</v>
      </c>
      <c r="S492" s="5">
        <f t="shared" si="69"/>
        <v>0</v>
      </c>
      <c r="T492" s="247">
        <f t="shared" si="70"/>
        <v>0</v>
      </c>
      <c r="U492" s="5">
        <f t="shared" si="64"/>
        <v>0</v>
      </c>
      <c r="V492" s="247">
        <f t="shared" si="65"/>
        <v>0</v>
      </c>
      <c r="W492" s="276">
        <f t="shared" si="66"/>
        <v>0</v>
      </c>
      <c r="X492" s="277">
        <f t="shared" si="67"/>
        <v>0</v>
      </c>
    </row>
    <row r="493" spans="14:24" x14ac:dyDescent="0.25">
      <c r="N493" s="244">
        <f>Weather_Site!B499</f>
        <v>0</v>
      </c>
      <c r="O493" s="245">
        <f>Weather_Site!C499</f>
        <v>0</v>
      </c>
      <c r="P493" s="5">
        <f>Weather_Site!E499</f>
        <v>0</v>
      </c>
      <c r="Q493" s="245">
        <f t="shared" si="68"/>
        <v>0</v>
      </c>
      <c r="R493" s="5">
        <f t="shared" si="63"/>
        <v>0</v>
      </c>
      <c r="S493" s="5">
        <f t="shared" si="69"/>
        <v>0</v>
      </c>
      <c r="T493" s="247">
        <f t="shared" si="70"/>
        <v>0</v>
      </c>
      <c r="U493" s="5">
        <f t="shared" si="64"/>
        <v>0</v>
      </c>
      <c r="V493" s="247">
        <f t="shared" si="65"/>
        <v>0</v>
      </c>
      <c r="W493" s="276">
        <f t="shared" si="66"/>
        <v>0</v>
      </c>
      <c r="X493" s="277">
        <f t="shared" si="67"/>
        <v>0</v>
      </c>
    </row>
    <row r="494" spans="14:24" x14ac:dyDescent="0.25">
      <c r="N494" s="244">
        <f>Weather_Site!B500</f>
        <v>0</v>
      </c>
      <c r="O494" s="245">
        <f>Weather_Site!C500</f>
        <v>0</v>
      </c>
      <c r="P494" s="5">
        <f>Weather_Site!E500</f>
        <v>0</v>
      </c>
      <c r="Q494" s="245">
        <f t="shared" si="68"/>
        <v>0</v>
      </c>
      <c r="R494" s="5">
        <f t="shared" si="63"/>
        <v>0</v>
      </c>
      <c r="S494" s="5">
        <f t="shared" si="69"/>
        <v>0</v>
      </c>
      <c r="T494" s="247">
        <f t="shared" si="70"/>
        <v>0</v>
      </c>
      <c r="U494" s="5">
        <f t="shared" si="64"/>
        <v>0</v>
      </c>
      <c r="V494" s="247">
        <f t="shared" si="65"/>
        <v>0</v>
      </c>
      <c r="W494" s="276">
        <f t="shared" si="66"/>
        <v>0</v>
      </c>
      <c r="X494" s="277">
        <f t="shared" si="67"/>
        <v>0</v>
      </c>
    </row>
    <row r="495" spans="14:24" x14ac:dyDescent="0.25">
      <c r="N495" s="244">
        <f>Weather_Site!B501</f>
        <v>0</v>
      </c>
      <c r="O495" s="245">
        <f>Weather_Site!C501</f>
        <v>0</v>
      </c>
      <c r="P495" s="5">
        <f>Weather_Site!E501</f>
        <v>0</v>
      </c>
      <c r="Q495" s="245">
        <f t="shared" si="68"/>
        <v>0</v>
      </c>
      <c r="R495" s="5">
        <f t="shared" si="63"/>
        <v>0</v>
      </c>
      <c r="S495" s="5">
        <f t="shared" si="69"/>
        <v>0</v>
      </c>
      <c r="T495" s="247">
        <f t="shared" si="70"/>
        <v>0</v>
      </c>
      <c r="U495" s="5">
        <f t="shared" si="64"/>
        <v>0</v>
      </c>
      <c r="V495" s="247">
        <f t="shared" si="65"/>
        <v>0</v>
      </c>
      <c r="W495" s="276">
        <f t="shared" si="66"/>
        <v>0</v>
      </c>
      <c r="X495" s="277">
        <f t="shared" si="67"/>
        <v>0</v>
      </c>
    </row>
    <row r="496" spans="14:24" x14ac:dyDescent="0.25">
      <c r="N496" s="244">
        <f>Weather_Site!B502</f>
        <v>0</v>
      </c>
      <c r="O496" s="245">
        <f>Weather_Site!C502</f>
        <v>0</v>
      </c>
      <c r="P496" s="5">
        <f>Weather_Site!E502</f>
        <v>0</v>
      </c>
      <c r="Q496" s="245">
        <f t="shared" si="68"/>
        <v>0</v>
      </c>
      <c r="R496" s="5">
        <f t="shared" si="63"/>
        <v>0</v>
      </c>
      <c r="S496" s="5">
        <f t="shared" si="69"/>
        <v>0</v>
      </c>
      <c r="T496" s="247">
        <f t="shared" si="70"/>
        <v>0</v>
      </c>
      <c r="U496" s="5">
        <f t="shared" si="64"/>
        <v>0</v>
      </c>
      <c r="V496" s="247">
        <f t="shared" si="65"/>
        <v>0</v>
      </c>
      <c r="W496" s="276">
        <f t="shared" si="66"/>
        <v>0</v>
      </c>
      <c r="X496" s="277">
        <f t="shared" si="67"/>
        <v>0</v>
      </c>
    </row>
    <row r="497" spans="14:24" x14ac:dyDescent="0.25">
      <c r="N497" s="244">
        <f>Weather_Site!B503</f>
        <v>0</v>
      </c>
      <c r="O497" s="245">
        <f>Weather_Site!C503</f>
        <v>0</v>
      </c>
      <c r="P497" s="5">
        <f>Weather_Site!E503</f>
        <v>0</v>
      </c>
      <c r="Q497" s="245">
        <f t="shared" si="68"/>
        <v>0</v>
      </c>
      <c r="R497" s="5">
        <f t="shared" si="63"/>
        <v>0</v>
      </c>
      <c r="S497" s="5">
        <f t="shared" si="69"/>
        <v>0</v>
      </c>
      <c r="T497" s="247">
        <f t="shared" si="70"/>
        <v>0</v>
      </c>
      <c r="U497" s="5">
        <f t="shared" si="64"/>
        <v>0</v>
      </c>
      <c r="V497" s="247">
        <f t="shared" si="65"/>
        <v>0</v>
      </c>
      <c r="W497" s="276">
        <f t="shared" si="66"/>
        <v>0</v>
      </c>
      <c r="X497" s="277">
        <f t="shared" si="67"/>
        <v>0</v>
      </c>
    </row>
    <row r="498" spans="14:24" x14ac:dyDescent="0.25">
      <c r="N498" s="244">
        <f>Weather_Site!B504</f>
        <v>0</v>
      </c>
      <c r="O498" s="245">
        <f>Weather_Site!C504</f>
        <v>0</v>
      </c>
      <c r="P498" s="5">
        <f>Weather_Site!E504</f>
        <v>0</v>
      </c>
      <c r="Q498" s="245">
        <f t="shared" si="68"/>
        <v>0</v>
      </c>
      <c r="R498" s="5">
        <f t="shared" si="63"/>
        <v>0</v>
      </c>
      <c r="S498" s="5">
        <f t="shared" si="69"/>
        <v>0</v>
      </c>
      <c r="T498" s="247">
        <f t="shared" si="70"/>
        <v>0</v>
      </c>
      <c r="U498" s="5">
        <f t="shared" si="64"/>
        <v>0</v>
      </c>
      <c r="V498" s="247">
        <f t="shared" si="65"/>
        <v>0</v>
      </c>
      <c r="W498" s="276">
        <f t="shared" si="66"/>
        <v>0</v>
      </c>
      <c r="X498" s="277">
        <f t="shared" si="67"/>
        <v>0</v>
      </c>
    </row>
    <row r="499" spans="14:24" x14ac:dyDescent="0.25">
      <c r="N499" s="244">
        <f>Weather_Site!B505</f>
        <v>0</v>
      </c>
      <c r="O499" s="245">
        <f>Weather_Site!C505</f>
        <v>0</v>
      </c>
      <c r="P499" s="5">
        <f>Weather_Site!E505</f>
        <v>0</v>
      </c>
      <c r="Q499" s="245">
        <f t="shared" si="68"/>
        <v>0</v>
      </c>
      <c r="R499" s="5">
        <f t="shared" si="63"/>
        <v>0</v>
      </c>
      <c r="S499" s="5">
        <f t="shared" si="69"/>
        <v>0</v>
      </c>
      <c r="T499" s="247">
        <f t="shared" si="70"/>
        <v>0</v>
      </c>
      <c r="U499" s="5">
        <f t="shared" si="64"/>
        <v>0</v>
      </c>
      <c r="V499" s="247">
        <f t="shared" si="65"/>
        <v>0</v>
      </c>
      <c r="W499" s="276">
        <f t="shared" si="66"/>
        <v>0</v>
      </c>
      <c r="X499" s="277">
        <f t="shared" si="67"/>
        <v>0</v>
      </c>
    </row>
    <row r="500" spans="14:24" x14ac:dyDescent="0.25">
      <c r="N500" s="244">
        <f>Weather_Site!B506</f>
        <v>0</v>
      </c>
      <c r="O500" s="245">
        <f>Weather_Site!C506</f>
        <v>0</v>
      </c>
      <c r="P500" s="5">
        <f>Weather_Site!E506</f>
        <v>0</v>
      </c>
      <c r="Q500" s="245">
        <f t="shared" si="68"/>
        <v>0</v>
      </c>
      <c r="R500" s="5">
        <f t="shared" si="63"/>
        <v>0</v>
      </c>
      <c r="S500" s="5">
        <f t="shared" si="69"/>
        <v>0</v>
      </c>
      <c r="T500" s="247">
        <f t="shared" si="70"/>
        <v>0</v>
      </c>
      <c r="U500" s="5">
        <f t="shared" si="64"/>
        <v>0</v>
      </c>
      <c r="V500" s="247">
        <f t="shared" si="65"/>
        <v>0</v>
      </c>
      <c r="W500" s="276">
        <f t="shared" si="66"/>
        <v>0</v>
      </c>
      <c r="X500" s="277">
        <f t="shared" si="67"/>
        <v>0</v>
      </c>
    </row>
    <row r="501" spans="14:24" x14ac:dyDescent="0.25">
      <c r="N501" s="244">
        <f>Weather_Site!B507</f>
        <v>0</v>
      </c>
      <c r="O501" s="245">
        <f>Weather_Site!C507</f>
        <v>0</v>
      </c>
      <c r="P501" s="5">
        <f>Weather_Site!E507</f>
        <v>0</v>
      </c>
      <c r="Q501" s="245">
        <f t="shared" si="68"/>
        <v>0</v>
      </c>
      <c r="R501" s="5">
        <f t="shared" si="63"/>
        <v>0</v>
      </c>
      <c r="S501" s="5">
        <f t="shared" si="69"/>
        <v>0</v>
      </c>
      <c r="T501" s="247">
        <f t="shared" si="70"/>
        <v>0</v>
      </c>
      <c r="U501" s="5">
        <f t="shared" si="64"/>
        <v>0</v>
      </c>
      <c r="V501" s="247">
        <f t="shared" si="65"/>
        <v>0</v>
      </c>
      <c r="W501" s="276">
        <f t="shared" si="66"/>
        <v>0</v>
      </c>
      <c r="X501" s="277">
        <f t="shared" si="67"/>
        <v>0</v>
      </c>
    </row>
    <row r="502" spans="14:24" x14ac:dyDescent="0.25">
      <c r="N502" s="244">
        <f>Weather_Site!B508</f>
        <v>0</v>
      </c>
      <c r="O502" s="245">
        <f>Weather_Site!C508</f>
        <v>0</v>
      </c>
      <c r="P502" s="5">
        <f>Weather_Site!E508</f>
        <v>0</v>
      </c>
      <c r="Q502" s="245">
        <f t="shared" si="68"/>
        <v>0</v>
      </c>
      <c r="R502" s="5">
        <f t="shared" si="63"/>
        <v>0</v>
      </c>
      <c r="S502" s="5">
        <f t="shared" si="69"/>
        <v>0</v>
      </c>
      <c r="T502" s="247">
        <f t="shared" si="70"/>
        <v>0</v>
      </c>
      <c r="U502" s="5">
        <f t="shared" si="64"/>
        <v>0</v>
      </c>
      <c r="V502" s="247">
        <f t="shared" si="65"/>
        <v>0</v>
      </c>
      <c r="W502" s="276">
        <f t="shared" si="66"/>
        <v>0</v>
      </c>
      <c r="X502" s="277">
        <f t="shared" si="67"/>
        <v>0</v>
      </c>
    </row>
    <row r="503" spans="14:24" x14ac:dyDescent="0.25">
      <c r="N503" s="244">
        <f>Weather_Site!B509</f>
        <v>0</v>
      </c>
      <c r="O503" s="245">
        <f>Weather_Site!C509</f>
        <v>0</v>
      </c>
      <c r="P503" s="5">
        <f>Weather_Site!E509</f>
        <v>0</v>
      </c>
      <c r="Q503" s="245">
        <f t="shared" si="68"/>
        <v>0</v>
      </c>
      <c r="R503" s="5">
        <f t="shared" si="63"/>
        <v>0</v>
      </c>
      <c r="S503" s="5">
        <f t="shared" si="69"/>
        <v>0</v>
      </c>
      <c r="T503" s="247">
        <f t="shared" si="70"/>
        <v>0</v>
      </c>
      <c r="U503" s="5">
        <f t="shared" si="64"/>
        <v>0</v>
      </c>
      <c r="V503" s="247">
        <f t="shared" si="65"/>
        <v>0</v>
      </c>
      <c r="W503" s="276">
        <f t="shared" si="66"/>
        <v>0</v>
      </c>
      <c r="X503" s="277">
        <f t="shared" si="67"/>
        <v>0</v>
      </c>
    </row>
    <row r="504" spans="14:24" x14ac:dyDescent="0.25">
      <c r="N504" s="244">
        <f>Weather_Site!B510</f>
        <v>0</v>
      </c>
      <c r="O504" s="245">
        <f>Weather_Site!C510</f>
        <v>0</v>
      </c>
      <c r="P504" s="5">
        <f>Weather_Site!E510</f>
        <v>0</v>
      </c>
      <c r="Q504" s="245">
        <f t="shared" si="68"/>
        <v>0</v>
      </c>
      <c r="R504" s="5">
        <f t="shared" si="63"/>
        <v>0</v>
      </c>
      <c r="S504" s="5">
        <f t="shared" si="69"/>
        <v>0</v>
      </c>
      <c r="T504" s="247">
        <f t="shared" si="70"/>
        <v>0</v>
      </c>
      <c r="U504" s="5">
        <f t="shared" si="64"/>
        <v>0</v>
      </c>
      <c r="V504" s="247">
        <f t="shared" si="65"/>
        <v>0</v>
      </c>
      <c r="W504" s="276">
        <f t="shared" si="66"/>
        <v>0</v>
      </c>
      <c r="X504" s="277">
        <f t="shared" si="67"/>
        <v>0</v>
      </c>
    </row>
    <row r="505" spans="14:24" x14ac:dyDescent="0.25">
      <c r="N505" s="244">
        <f>Weather_Site!B511</f>
        <v>0</v>
      </c>
      <c r="O505" s="245">
        <f>Weather_Site!C511</f>
        <v>0</v>
      </c>
      <c r="P505" s="5">
        <f>Weather_Site!E511</f>
        <v>0</v>
      </c>
      <c r="Q505" s="245">
        <f t="shared" si="68"/>
        <v>0</v>
      </c>
      <c r="R505" s="5">
        <f t="shared" si="63"/>
        <v>0</v>
      </c>
      <c r="S505" s="5">
        <f t="shared" si="69"/>
        <v>0</v>
      </c>
      <c r="T505" s="247">
        <f t="shared" si="70"/>
        <v>0</v>
      </c>
      <c r="U505" s="5">
        <f t="shared" si="64"/>
        <v>0</v>
      </c>
      <c r="V505" s="247">
        <f t="shared" si="65"/>
        <v>0</v>
      </c>
      <c r="W505" s="276">
        <f t="shared" si="66"/>
        <v>0</v>
      </c>
      <c r="X505" s="277">
        <f t="shared" si="67"/>
        <v>0</v>
      </c>
    </row>
    <row r="506" spans="14:24" x14ac:dyDescent="0.25">
      <c r="N506" s="244">
        <f>Weather_Site!B512</f>
        <v>0</v>
      </c>
      <c r="O506" s="245">
        <f>Weather_Site!C512</f>
        <v>0</v>
      </c>
      <c r="P506" s="5">
        <f>Weather_Site!E512</f>
        <v>0</v>
      </c>
      <c r="Q506" s="245">
        <f t="shared" si="68"/>
        <v>0</v>
      </c>
      <c r="R506" s="5">
        <f t="shared" si="63"/>
        <v>0</v>
      </c>
      <c r="S506" s="5">
        <f t="shared" si="69"/>
        <v>0</v>
      </c>
      <c r="T506" s="247">
        <f t="shared" si="70"/>
        <v>0</v>
      </c>
      <c r="U506" s="5">
        <f t="shared" si="64"/>
        <v>0</v>
      </c>
      <c r="V506" s="247">
        <f t="shared" si="65"/>
        <v>0</v>
      </c>
      <c r="W506" s="276">
        <f t="shared" si="66"/>
        <v>0</v>
      </c>
      <c r="X506" s="277">
        <f t="shared" si="67"/>
        <v>0</v>
      </c>
    </row>
    <row r="507" spans="14:24" x14ac:dyDescent="0.25">
      <c r="N507" s="244">
        <f>Weather_Site!B513</f>
        <v>0</v>
      </c>
      <c r="O507" s="245">
        <f>Weather_Site!C513</f>
        <v>0</v>
      </c>
      <c r="P507" s="5">
        <f>Weather_Site!E513</f>
        <v>0</v>
      </c>
      <c r="Q507" s="245">
        <f t="shared" si="68"/>
        <v>0</v>
      </c>
      <c r="R507" s="5">
        <f t="shared" si="63"/>
        <v>0</v>
      </c>
      <c r="S507" s="5">
        <f t="shared" si="69"/>
        <v>0</v>
      </c>
      <c r="T507" s="247">
        <f t="shared" si="70"/>
        <v>0</v>
      </c>
      <c r="U507" s="5">
        <f t="shared" si="64"/>
        <v>0</v>
      </c>
      <c r="V507" s="247">
        <f t="shared" si="65"/>
        <v>0</v>
      </c>
      <c r="W507" s="276">
        <f t="shared" si="66"/>
        <v>0</v>
      </c>
      <c r="X507" s="277">
        <f t="shared" si="67"/>
        <v>0</v>
      </c>
    </row>
    <row r="508" spans="14:24" x14ac:dyDescent="0.25">
      <c r="N508" s="244">
        <f>Weather_Site!B514</f>
        <v>0</v>
      </c>
      <c r="O508" s="245">
        <f>Weather_Site!C514</f>
        <v>0</v>
      </c>
      <c r="P508" s="5">
        <f>Weather_Site!E514</f>
        <v>0</v>
      </c>
      <c r="Q508" s="245">
        <f t="shared" si="68"/>
        <v>0</v>
      </c>
      <c r="R508" s="5">
        <f t="shared" si="63"/>
        <v>0</v>
      </c>
      <c r="S508" s="5">
        <f t="shared" si="69"/>
        <v>0</v>
      </c>
      <c r="T508" s="247">
        <f t="shared" si="70"/>
        <v>0</v>
      </c>
      <c r="U508" s="5">
        <f t="shared" si="64"/>
        <v>0</v>
      </c>
      <c r="V508" s="247">
        <f t="shared" si="65"/>
        <v>0</v>
      </c>
      <c r="W508" s="276">
        <f t="shared" si="66"/>
        <v>0</v>
      </c>
      <c r="X508" s="277">
        <f t="shared" si="67"/>
        <v>0</v>
      </c>
    </row>
    <row r="509" spans="14:24" x14ac:dyDescent="0.25">
      <c r="N509" s="244">
        <f>Weather_Site!B515</f>
        <v>0</v>
      </c>
      <c r="O509" s="245">
        <f>Weather_Site!C515</f>
        <v>0</v>
      </c>
      <c r="P509" s="5">
        <f>Weather_Site!E515</f>
        <v>0</v>
      </c>
      <c r="Q509" s="245">
        <f t="shared" si="68"/>
        <v>0</v>
      </c>
      <c r="R509" s="5">
        <f t="shared" si="63"/>
        <v>0</v>
      </c>
      <c r="S509" s="5">
        <f t="shared" si="69"/>
        <v>0</v>
      </c>
      <c r="T509" s="247">
        <f t="shared" si="70"/>
        <v>0</v>
      </c>
      <c r="U509" s="5">
        <f t="shared" si="64"/>
        <v>0</v>
      </c>
      <c r="V509" s="247">
        <f t="shared" si="65"/>
        <v>0</v>
      </c>
      <c r="W509" s="276">
        <f t="shared" si="66"/>
        <v>0</v>
      </c>
      <c r="X509" s="277">
        <f t="shared" si="67"/>
        <v>0</v>
      </c>
    </row>
    <row r="510" spans="14:24" x14ac:dyDescent="0.25">
      <c r="N510" s="244">
        <f>Weather_Site!B516</f>
        <v>0</v>
      </c>
      <c r="O510" s="245">
        <f>Weather_Site!C516</f>
        <v>0</v>
      </c>
      <c r="P510" s="5">
        <f>Weather_Site!E516</f>
        <v>0</v>
      </c>
      <c r="Q510" s="245">
        <f t="shared" si="68"/>
        <v>0</v>
      </c>
      <c r="R510" s="5">
        <f t="shared" si="63"/>
        <v>0</v>
      </c>
      <c r="S510" s="5">
        <f t="shared" si="69"/>
        <v>0</v>
      </c>
      <c r="T510" s="247">
        <f t="shared" si="70"/>
        <v>0</v>
      </c>
      <c r="U510" s="5">
        <f t="shared" si="64"/>
        <v>0</v>
      </c>
      <c r="V510" s="247">
        <f t="shared" si="65"/>
        <v>0</v>
      </c>
      <c r="W510" s="276">
        <f t="shared" si="66"/>
        <v>0</v>
      </c>
      <c r="X510" s="277">
        <f t="shared" si="67"/>
        <v>0</v>
      </c>
    </row>
    <row r="511" spans="14:24" x14ac:dyDescent="0.25">
      <c r="N511" s="244">
        <f>Weather_Site!B517</f>
        <v>0</v>
      </c>
      <c r="O511" s="245">
        <f>Weather_Site!C517</f>
        <v>0</v>
      </c>
      <c r="P511" s="5">
        <f>Weather_Site!E517</f>
        <v>0</v>
      </c>
      <c r="Q511" s="245">
        <f t="shared" si="68"/>
        <v>0</v>
      </c>
      <c r="R511" s="5">
        <f t="shared" si="63"/>
        <v>0</v>
      </c>
      <c r="S511" s="5">
        <f t="shared" si="69"/>
        <v>0</v>
      </c>
      <c r="T511" s="247">
        <f t="shared" si="70"/>
        <v>0</v>
      </c>
      <c r="U511" s="5">
        <f t="shared" si="64"/>
        <v>0</v>
      </c>
      <c r="V511" s="247">
        <f t="shared" si="65"/>
        <v>0</v>
      </c>
      <c r="W511" s="276">
        <f t="shared" si="66"/>
        <v>0</v>
      </c>
      <c r="X511" s="277">
        <f t="shared" si="67"/>
        <v>0</v>
      </c>
    </row>
    <row r="512" spans="14:24" x14ac:dyDescent="0.25">
      <c r="N512" s="244">
        <f>Weather_Site!B518</f>
        <v>0</v>
      </c>
      <c r="O512" s="245">
        <f>Weather_Site!C518</f>
        <v>0</v>
      </c>
      <c r="P512" s="5">
        <f>Weather_Site!E518</f>
        <v>0</v>
      </c>
      <c r="Q512" s="245">
        <f t="shared" si="68"/>
        <v>0</v>
      </c>
      <c r="R512" s="5">
        <f t="shared" si="63"/>
        <v>0</v>
      </c>
      <c r="S512" s="5">
        <f t="shared" si="69"/>
        <v>0</v>
      </c>
      <c r="T512" s="247">
        <f t="shared" si="70"/>
        <v>0</v>
      </c>
      <c r="U512" s="5">
        <f t="shared" si="64"/>
        <v>0</v>
      </c>
      <c r="V512" s="247">
        <f t="shared" si="65"/>
        <v>0</v>
      </c>
      <c r="W512" s="276">
        <f t="shared" si="66"/>
        <v>0</v>
      </c>
      <c r="X512" s="277">
        <f t="shared" si="67"/>
        <v>0</v>
      </c>
    </row>
    <row r="513" spans="14:24" x14ac:dyDescent="0.25">
      <c r="N513" s="244">
        <f>Weather_Site!B519</f>
        <v>0</v>
      </c>
      <c r="O513" s="245">
        <f>Weather_Site!C519</f>
        <v>0</v>
      </c>
      <c r="P513" s="5">
        <f>Weather_Site!E519</f>
        <v>0</v>
      </c>
      <c r="Q513" s="245">
        <f t="shared" si="68"/>
        <v>0</v>
      </c>
      <c r="R513" s="5">
        <f t="shared" si="63"/>
        <v>0</v>
      </c>
      <c r="S513" s="5">
        <f t="shared" si="69"/>
        <v>0</v>
      </c>
      <c r="T513" s="247">
        <f t="shared" si="70"/>
        <v>0</v>
      </c>
      <c r="U513" s="5">
        <f t="shared" si="64"/>
        <v>0</v>
      </c>
      <c r="V513" s="247">
        <f t="shared" si="65"/>
        <v>0</v>
      </c>
      <c r="W513" s="276">
        <f t="shared" si="66"/>
        <v>0</v>
      </c>
      <c r="X513" s="277">
        <f t="shared" si="67"/>
        <v>0</v>
      </c>
    </row>
    <row r="514" spans="14:24" x14ac:dyDescent="0.25">
      <c r="N514" s="244">
        <f>Weather_Site!B520</f>
        <v>0</v>
      </c>
      <c r="O514" s="245">
        <f>Weather_Site!C520</f>
        <v>0</v>
      </c>
      <c r="P514" s="5">
        <f>Weather_Site!E520</f>
        <v>0</v>
      </c>
      <c r="Q514" s="245">
        <f t="shared" si="68"/>
        <v>0</v>
      </c>
      <c r="R514" s="5">
        <f t="shared" si="63"/>
        <v>0</v>
      </c>
      <c r="S514" s="5">
        <f t="shared" si="69"/>
        <v>0</v>
      </c>
      <c r="T514" s="247">
        <f t="shared" si="70"/>
        <v>0</v>
      </c>
      <c r="U514" s="5">
        <f t="shared" si="64"/>
        <v>0</v>
      </c>
      <c r="V514" s="247">
        <f t="shared" si="65"/>
        <v>0</v>
      </c>
      <c r="W514" s="276">
        <f t="shared" si="66"/>
        <v>0</v>
      </c>
      <c r="X514" s="277">
        <f t="shared" si="67"/>
        <v>0</v>
      </c>
    </row>
    <row r="515" spans="14:24" x14ac:dyDescent="0.25">
      <c r="N515" s="244">
        <f>Weather_Site!B521</f>
        <v>0</v>
      </c>
      <c r="O515" s="245">
        <f>Weather_Site!C521</f>
        <v>0</v>
      </c>
      <c r="P515" s="5">
        <f>Weather_Site!E521</f>
        <v>0</v>
      </c>
      <c r="Q515" s="245">
        <f t="shared" si="68"/>
        <v>0</v>
      </c>
      <c r="R515" s="5">
        <f t="shared" si="63"/>
        <v>0</v>
      </c>
      <c r="S515" s="5">
        <f t="shared" si="69"/>
        <v>0</v>
      </c>
      <c r="T515" s="247">
        <f t="shared" si="70"/>
        <v>0</v>
      </c>
      <c r="U515" s="5">
        <f t="shared" si="64"/>
        <v>0</v>
      </c>
      <c r="V515" s="247">
        <f t="shared" si="65"/>
        <v>0</v>
      </c>
      <c r="W515" s="276">
        <f t="shared" si="66"/>
        <v>0</v>
      </c>
      <c r="X515" s="277">
        <f t="shared" si="67"/>
        <v>0</v>
      </c>
    </row>
    <row r="516" spans="14:24" x14ac:dyDescent="0.25">
      <c r="N516" s="244">
        <f>Weather_Site!B522</f>
        <v>0</v>
      </c>
      <c r="O516" s="245">
        <f>Weather_Site!C522</f>
        <v>0</v>
      </c>
      <c r="P516" s="5">
        <f>Weather_Site!E522</f>
        <v>0</v>
      </c>
      <c r="Q516" s="245">
        <f t="shared" si="68"/>
        <v>0</v>
      </c>
      <c r="R516" s="5">
        <f t="shared" si="63"/>
        <v>0</v>
      </c>
      <c r="S516" s="5">
        <f t="shared" si="69"/>
        <v>0</v>
      </c>
      <c r="T516" s="247">
        <f t="shared" si="70"/>
        <v>0</v>
      </c>
      <c r="U516" s="5">
        <f t="shared" si="64"/>
        <v>0</v>
      </c>
      <c r="V516" s="247">
        <f t="shared" si="65"/>
        <v>0</v>
      </c>
      <c r="W516" s="276">
        <f t="shared" si="66"/>
        <v>0</v>
      </c>
      <c r="X516" s="277">
        <f t="shared" si="67"/>
        <v>0</v>
      </c>
    </row>
    <row r="517" spans="14:24" x14ac:dyDescent="0.25">
      <c r="N517" s="244">
        <f>Weather_Site!B523</f>
        <v>0</v>
      </c>
      <c r="O517" s="245">
        <f>Weather_Site!C523</f>
        <v>0</v>
      </c>
      <c r="P517" s="5">
        <f>Weather_Site!E523</f>
        <v>0</v>
      </c>
      <c r="Q517" s="245">
        <f t="shared" si="68"/>
        <v>0</v>
      </c>
      <c r="R517" s="5">
        <f t="shared" si="63"/>
        <v>0</v>
      </c>
      <c r="S517" s="5">
        <f t="shared" si="69"/>
        <v>0</v>
      </c>
      <c r="T517" s="247">
        <f t="shared" si="70"/>
        <v>0</v>
      </c>
      <c r="U517" s="5">
        <f t="shared" si="64"/>
        <v>0</v>
      </c>
      <c r="V517" s="247">
        <f t="shared" si="65"/>
        <v>0</v>
      </c>
      <c r="W517" s="276">
        <f t="shared" si="66"/>
        <v>0</v>
      </c>
      <c r="X517" s="277">
        <f t="shared" si="67"/>
        <v>0</v>
      </c>
    </row>
    <row r="518" spans="14:24" x14ac:dyDescent="0.25">
      <c r="N518" s="244">
        <f>Weather_Site!B524</f>
        <v>0</v>
      </c>
      <c r="O518" s="245">
        <f>Weather_Site!C524</f>
        <v>0</v>
      </c>
      <c r="P518" s="5">
        <f>Weather_Site!E524</f>
        <v>0</v>
      </c>
      <c r="Q518" s="245">
        <f t="shared" si="68"/>
        <v>0</v>
      </c>
      <c r="R518" s="5">
        <f t="shared" si="63"/>
        <v>0</v>
      </c>
      <c r="S518" s="5">
        <f t="shared" si="69"/>
        <v>0</v>
      </c>
      <c r="T518" s="247">
        <f t="shared" si="70"/>
        <v>0</v>
      </c>
      <c r="U518" s="5">
        <f t="shared" si="64"/>
        <v>0</v>
      </c>
      <c r="V518" s="247">
        <f t="shared" si="65"/>
        <v>0</v>
      </c>
      <c r="W518" s="276">
        <f t="shared" si="66"/>
        <v>0</v>
      </c>
      <c r="X518" s="277">
        <f t="shared" si="67"/>
        <v>0</v>
      </c>
    </row>
    <row r="519" spans="14:24" x14ac:dyDescent="0.25">
      <c r="N519" s="244">
        <f>Weather_Site!B525</f>
        <v>0</v>
      </c>
      <c r="O519" s="245">
        <f>Weather_Site!C525</f>
        <v>0</v>
      </c>
      <c r="P519" s="5">
        <f>Weather_Site!E525</f>
        <v>0</v>
      </c>
      <c r="Q519" s="245">
        <f t="shared" si="68"/>
        <v>0</v>
      </c>
      <c r="R519" s="5">
        <f t="shared" si="63"/>
        <v>0</v>
      </c>
      <c r="S519" s="5">
        <f t="shared" si="69"/>
        <v>0</v>
      </c>
      <c r="T519" s="247">
        <f t="shared" si="70"/>
        <v>0</v>
      </c>
      <c r="U519" s="5">
        <f t="shared" si="64"/>
        <v>0</v>
      </c>
      <c r="V519" s="247">
        <f t="shared" si="65"/>
        <v>0</v>
      </c>
      <c r="W519" s="276">
        <f t="shared" si="66"/>
        <v>0</v>
      </c>
      <c r="X519" s="277">
        <f t="shared" si="67"/>
        <v>0</v>
      </c>
    </row>
    <row r="520" spans="14:24" x14ac:dyDescent="0.25">
      <c r="N520" s="244">
        <f>Weather_Site!B526</f>
        <v>0</v>
      </c>
      <c r="O520" s="245">
        <f>Weather_Site!C526</f>
        <v>0</v>
      </c>
      <c r="P520" s="5">
        <f>Weather_Site!E526</f>
        <v>0</v>
      </c>
      <c r="Q520" s="245">
        <f t="shared" si="68"/>
        <v>0</v>
      </c>
      <c r="R520" s="5">
        <f t="shared" ref="R520:R583" si="71">HOUR(Q520)</f>
        <v>0</v>
      </c>
      <c r="S520" s="5">
        <f t="shared" si="69"/>
        <v>0</v>
      </c>
      <c r="T520" s="247">
        <f t="shared" si="70"/>
        <v>0</v>
      </c>
      <c r="U520" s="5">
        <f t="shared" ref="U520:U583" si="72">MAX((T520-70*R520),0)</f>
        <v>0</v>
      </c>
      <c r="V520" s="247">
        <f t="shared" ref="V520:V583" si="73">IF(OR(AND((N520-N519)=0,O519&gt;0.5),AND((N520-N519)=1,O520&lt;0.5),AND(N520-N519)=0,O520&lt;0.5),U520+V519,U520)</f>
        <v>0</v>
      </c>
      <c r="W520" s="276">
        <f t="shared" ref="W520:W583" si="74">IF(O520&lt;0.75,MAX(V520,W519),V520)</f>
        <v>0</v>
      </c>
      <c r="X520" s="277">
        <f t="shared" si="67"/>
        <v>0</v>
      </c>
    </row>
    <row r="521" spans="14:24" x14ac:dyDescent="0.25">
      <c r="N521" s="244">
        <f>Weather_Site!B527</f>
        <v>0</v>
      </c>
      <c r="O521" s="245">
        <f>Weather_Site!C527</f>
        <v>0</v>
      </c>
      <c r="P521" s="5">
        <f>Weather_Site!E527</f>
        <v>0</v>
      </c>
      <c r="Q521" s="245">
        <f t="shared" si="68"/>
        <v>0</v>
      </c>
      <c r="R521" s="5">
        <f t="shared" si="71"/>
        <v>0</v>
      </c>
      <c r="S521" s="5">
        <f t="shared" si="69"/>
        <v>0</v>
      </c>
      <c r="T521" s="247">
        <f t="shared" si="70"/>
        <v>0</v>
      </c>
      <c r="U521" s="5">
        <f t="shared" si="72"/>
        <v>0</v>
      </c>
      <c r="V521" s="247">
        <f t="shared" si="73"/>
        <v>0</v>
      </c>
      <c r="W521" s="276">
        <f t="shared" si="74"/>
        <v>0</v>
      </c>
      <c r="X521" s="277">
        <f t="shared" si="67"/>
        <v>0</v>
      </c>
    </row>
    <row r="522" spans="14:24" x14ac:dyDescent="0.25">
      <c r="N522" s="244">
        <f>Weather_Site!B528</f>
        <v>0</v>
      </c>
      <c r="O522" s="245">
        <f>Weather_Site!C528</f>
        <v>0</v>
      </c>
      <c r="P522" s="5">
        <f>Weather_Site!E528</f>
        <v>0</v>
      </c>
      <c r="Q522" s="245">
        <f t="shared" si="68"/>
        <v>0</v>
      </c>
      <c r="R522" s="5">
        <f t="shared" si="71"/>
        <v>0</v>
      </c>
      <c r="S522" s="5">
        <f t="shared" si="69"/>
        <v>0</v>
      </c>
      <c r="T522" s="247">
        <f t="shared" si="70"/>
        <v>0</v>
      </c>
      <c r="U522" s="5">
        <f t="shared" si="72"/>
        <v>0</v>
      </c>
      <c r="V522" s="247">
        <f t="shared" si="73"/>
        <v>0</v>
      </c>
      <c r="W522" s="276">
        <f t="shared" si="74"/>
        <v>0</v>
      </c>
      <c r="X522" s="277">
        <f t="shared" si="67"/>
        <v>0</v>
      </c>
    </row>
    <row r="523" spans="14:24" x14ac:dyDescent="0.25">
      <c r="N523" s="244">
        <f>Weather_Site!B529</f>
        <v>0</v>
      </c>
      <c r="O523" s="245">
        <f>Weather_Site!C529</f>
        <v>0</v>
      </c>
      <c r="P523" s="5">
        <f>Weather_Site!E529</f>
        <v>0</v>
      </c>
      <c r="Q523" s="245">
        <f t="shared" si="68"/>
        <v>0</v>
      </c>
      <c r="R523" s="5">
        <f t="shared" si="71"/>
        <v>0</v>
      </c>
      <c r="S523" s="5">
        <f t="shared" si="69"/>
        <v>0</v>
      </c>
      <c r="T523" s="247">
        <f t="shared" si="70"/>
        <v>0</v>
      </c>
      <c r="U523" s="5">
        <f t="shared" si="72"/>
        <v>0</v>
      </c>
      <c r="V523" s="247">
        <f t="shared" si="73"/>
        <v>0</v>
      </c>
      <c r="W523" s="276">
        <f t="shared" si="74"/>
        <v>0</v>
      </c>
      <c r="X523" s="277">
        <f t="shared" si="67"/>
        <v>0</v>
      </c>
    </row>
    <row r="524" spans="14:24" x14ac:dyDescent="0.25">
      <c r="N524" s="244">
        <f>Weather_Site!B530</f>
        <v>0</v>
      </c>
      <c r="O524" s="245">
        <f>Weather_Site!C530</f>
        <v>0</v>
      </c>
      <c r="P524" s="5">
        <f>Weather_Site!E530</f>
        <v>0</v>
      </c>
      <c r="Q524" s="245">
        <f t="shared" si="68"/>
        <v>0</v>
      </c>
      <c r="R524" s="5">
        <f t="shared" si="71"/>
        <v>0</v>
      </c>
      <c r="S524" s="5">
        <f t="shared" si="69"/>
        <v>0</v>
      </c>
      <c r="T524" s="247">
        <f t="shared" si="70"/>
        <v>0</v>
      </c>
      <c r="U524" s="5">
        <f t="shared" si="72"/>
        <v>0</v>
      </c>
      <c r="V524" s="247">
        <f t="shared" si="73"/>
        <v>0</v>
      </c>
      <c r="W524" s="276">
        <f t="shared" si="74"/>
        <v>0</v>
      </c>
      <c r="X524" s="277">
        <f t="shared" si="67"/>
        <v>0</v>
      </c>
    </row>
    <row r="525" spans="14:24" x14ac:dyDescent="0.25">
      <c r="N525" s="244">
        <f>Weather_Site!B531</f>
        <v>0</v>
      </c>
      <c r="O525" s="245">
        <f>Weather_Site!C531</f>
        <v>0</v>
      </c>
      <c r="P525" s="5">
        <f>Weather_Site!E531</f>
        <v>0</v>
      </c>
      <c r="Q525" s="245">
        <f t="shared" si="68"/>
        <v>0</v>
      </c>
      <c r="R525" s="5">
        <f t="shared" si="71"/>
        <v>0</v>
      </c>
      <c r="S525" s="5">
        <f t="shared" si="69"/>
        <v>0</v>
      </c>
      <c r="T525" s="247">
        <f t="shared" si="70"/>
        <v>0</v>
      </c>
      <c r="U525" s="5">
        <f t="shared" si="72"/>
        <v>0</v>
      </c>
      <c r="V525" s="247">
        <f t="shared" si="73"/>
        <v>0</v>
      </c>
      <c r="W525" s="276">
        <f t="shared" si="74"/>
        <v>0</v>
      </c>
      <c r="X525" s="277">
        <f t="shared" si="67"/>
        <v>0</v>
      </c>
    </row>
    <row r="526" spans="14:24" x14ac:dyDescent="0.25">
      <c r="N526" s="244">
        <f>Weather_Site!B532</f>
        <v>0</v>
      </c>
      <c r="O526" s="245">
        <f>Weather_Site!C532</f>
        <v>0</v>
      </c>
      <c r="P526" s="5">
        <f>Weather_Site!E532</f>
        <v>0</v>
      </c>
      <c r="Q526" s="245">
        <f t="shared" si="68"/>
        <v>0</v>
      </c>
      <c r="R526" s="5">
        <f t="shared" si="71"/>
        <v>0</v>
      </c>
      <c r="S526" s="5">
        <f t="shared" si="69"/>
        <v>0</v>
      </c>
      <c r="T526" s="247">
        <f t="shared" si="70"/>
        <v>0</v>
      </c>
      <c r="U526" s="5">
        <f t="shared" si="72"/>
        <v>0</v>
      </c>
      <c r="V526" s="247">
        <f t="shared" si="73"/>
        <v>0</v>
      </c>
      <c r="W526" s="276">
        <f t="shared" si="74"/>
        <v>0</v>
      </c>
      <c r="X526" s="277">
        <f t="shared" si="67"/>
        <v>0</v>
      </c>
    </row>
    <row r="527" spans="14:24" x14ac:dyDescent="0.25">
      <c r="N527" s="244">
        <f>Weather_Site!B533</f>
        <v>0</v>
      </c>
      <c r="O527" s="245">
        <f>Weather_Site!C533</f>
        <v>0</v>
      </c>
      <c r="P527" s="5">
        <f>Weather_Site!E533</f>
        <v>0</v>
      </c>
      <c r="Q527" s="245">
        <f t="shared" si="68"/>
        <v>0</v>
      </c>
      <c r="R527" s="5">
        <f t="shared" si="71"/>
        <v>0</v>
      </c>
      <c r="S527" s="5">
        <f t="shared" si="69"/>
        <v>0</v>
      </c>
      <c r="T527" s="247">
        <f t="shared" si="70"/>
        <v>0</v>
      </c>
      <c r="U527" s="5">
        <f t="shared" si="72"/>
        <v>0</v>
      </c>
      <c r="V527" s="247">
        <f t="shared" si="73"/>
        <v>0</v>
      </c>
      <c r="W527" s="276">
        <f t="shared" si="74"/>
        <v>0</v>
      </c>
      <c r="X527" s="277">
        <f t="shared" si="67"/>
        <v>0</v>
      </c>
    </row>
    <row r="528" spans="14:24" x14ac:dyDescent="0.25">
      <c r="N528" s="244">
        <f>Weather_Site!B534</f>
        <v>0</v>
      </c>
      <c r="O528" s="245">
        <f>Weather_Site!C534</f>
        <v>0</v>
      </c>
      <c r="P528" s="5">
        <f>Weather_Site!E534</f>
        <v>0</v>
      </c>
      <c r="Q528" s="245">
        <f t="shared" si="68"/>
        <v>0</v>
      </c>
      <c r="R528" s="5">
        <f t="shared" si="71"/>
        <v>0</v>
      </c>
      <c r="S528" s="5">
        <f t="shared" si="69"/>
        <v>0</v>
      </c>
      <c r="T528" s="247">
        <f t="shared" si="70"/>
        <v>0</v>
      </c>
      <c r="U528" s="5">
        <f t="shared" si="72"/>
        <v>0</v>
      </c>
      <c r="V528" s="247">
        <f t="shared" si="73"/>
        <v>0</v>
      </c>
      <c r="W528" s="276">
        <f t="shared" si="74"/>
        <v>0</v>
      </c>
      <c r="X528" s="277">
        <f t="shared" si="67"/>
        <v>0</v>
      </c>
    </row>
    <row r="529" spans="14:24" x14ac:dyDescent="0.25">
      <c r="N529" s="244">
        <f>Weather_Site!B535</f>
        <v>0</v>
      </c>
      <c r="O529" s="245">
        <f>Weather_Site!C535</f>
        <v>0</v>
      </c>
      <c r="P529" s="5">
        <f>Weather_Site!E535</f>
        <v>0</v>
      </c>
      <c r="Q529" s="245">
        <f t="shared" si="68"/>
        <v>0</v>
      </c>
      <c r="R529" s="5">
        <f t="shared" si="71"/>
        <v>0</v>
      </c>
      <c r="S529" s="5">
        <f t="shared" si="69"/>
        <v>0</v>
      </c>
      <c r="T529" s="247">
        <f t="shared" si="70"/>
        <v>0</v>
      </c>
      <c r="U529" s="5">
        <f t="shared" si="72"/>
        <v>0</v>
      </c>
      <c r="V529" s="247">
        <f t="shared" si="73"/>
        <v>0</v>
      </c>
      <c r="W529" s="276">
        <f t="shared" si="74"/>
        <v>0</v>
      </c>
      <c r="X529" s="277">
        <f t="shared" si="67"/>
        <v>0</v>
      </c>
    </row>
    <row r="530" spans="14:24" x14ac:dyDescent="0.25">
      <c r="N530" s="244">
        <f>Weather_Site!B536</f>
        <v>0</v>
      </c>
      <c r="O530" s="245">
        <f>Weather_Site!C536</f>
        <v>0</v>
      </c>
      <c r="P530" s="5">
        <f>Weather_Site!E536</f>
        <v>0</v>
      </c>
      <c r="Q530" s="245">
        <f t="shared" si="68"/>
        <v>0</v>
      </c>
      <c r="R530" s="5">
        <f t="shared" si="71"/>
        <v>0</v>
      </c>
      <c r="S530" s="5">
        <f t="shared" si="69"/>
        <v>0</v>
      </c>
      <c r="T530" s="247">
        <f t="shared" si="70"/>
        <v>0</v>
      </c>
      <c r="U530" s="5">
        <f t="shared" si="72"/>
        <v>0</v>
      </c>
      <c r="V530" s="247">
        <f t="shared" si="73"/>
        <v>0</v>
      </c>
      <c r="W530" s="276">
        <f t="shared" si="74"/>
        <v>0</v>
      </c>
      <c r="X530" s="277">
        <f t="shared" si="67"/>
        <v>0</v>
      </c>
    </row>
    <row r="531" spans="14:24" x14ac:dyDescent="0.25">
      <c r="N531" s="244">
        <f>Weather_Site!B537</f>
        <v>0</v>
      </c>
      <c r="O531" s="245">
        <f>Weather_Site!C537</f>
        <v>0</v>
      </c>
      <c r="P531" s="5">
        <f>Weather_Site!E537</f>
        <v>0</v>
      </c>
      <c r="Q531" s="245">
        <f t="shared" si="68"/>
        <v>0</v>
      </c>
      <c r="R531" s="5">
        <f t="shared" si="71"/>
        <v>0</v>
      </c>
      <c r="S531" s="5">
        <f t="shared" si="69"/>
        <v>0</v>
      </c>
      <c r="T531" s="247">
        <f t="shared" si="70"/>
        <v>0</v>
      </c>
      <c r="U531" s="5">
        <f t="shared" si="72"/>
        <v>0</v>
      </c>
      <c r="V531" s="247">
        <f t="shared" si="73"/>
        <v>0</v>
      </c>
      <c r="W531" s="276">
        <f t="shared" si="74"/>
        <v>0</v>
      </c>
      <c r="X531" s="277">
        <f t="shared" si="67"/>
        <v>0</v>
      </c>
    </row>
    <row r="532" spans="14:24" x14ac:dyDescent="0.25">
      <c r="N532" s="244">
        <f>Weather_Site!B538</f>
        <v>0</v>
      </c>
      <c r="O532" s="245">
        <f>Weather_Site!C538</f>
        <v>0</v>
      </c>
      <c r="P532" s="5">
        <f>Weather_Site!E538</f>
        <v>0</v>
      </c>
      <c r="Q532" s="245">
        <f t="shared" si="68"/>
        <v>0</v>
      </c>
      <c r="R532" s="5">
        <f t="shared" si="71"/>
        <v>0</v>
      </c>
      <c r="S532" s="5">
        <f t="shared" si="69"/>
        <v>0</v>
      </c>
      <c r="T532" s="247">
        <f t="shared" si="70"/>
        <v>0</v>
      </c>
      <c r="U532" s="5">
        <f t="shared" si="72"/>
        <v>0</v>
      </c>
      <c r="V532" s="247">
        <f t="shared" si="73"/>
        <v>0</v>
      </c>
      <c r="W532" s="276">
        <f t="shared" si="74"/>
        <v>0</v>
      </c>
      <c r="X532" s="277">
        <f t="shared" si="67"/>
        <v>0</v>
      </c>
    </row>
    <row r="533" spans="14:24" x14ac:dyDescent="0.25">
      <c r="N533" s="244">
        <f>Weather_Site!B539</f>
        <v>0</v>
      </c>
      <c r="O533" s="245">
        <f>Weather_Site!C539</f>
        <v>0</v>
      </c>
      <c r="P533" s="5">
        <f>Weather_Site!E539</f>
        <v>0</v>
      </c>
      <c r="Q533" s="245">
        <f t="shared" si="68"/>
        <v>0</v>
      </c>
      <c r="R533" s="5">
        <f t="shared" si="71"/>
        <v>0</v>
      </c>
      <c r="S533" s="5">
        <f t="shared" si="69"/>
        <v>0</v>
      </c>
      <c r="T533" s="247">
        <f t="shared" si="70"/>
        <v>0</v>
      </c>
      <c r="U533" s="5">
        <f t="shared" si="72"/>
        <v>0</v>
      </c>
      <c r="V533" s="247">
        <f t="shared" si="73"/>
        <v>0</v>
      </c>
      <c r="W533" s="276">
        <f t="shared" si="74"/>
        <v>0</v>
      </c>
      <c r="X533" s="277">
        <f t="shared" si="67"/>
        <v>0</v>
      </c>
    </row>
    <row r="534" spans="14:24" x14ac:dyDescent="0.25">
      <c r="N534" s="244">
        <f>Weather_Site!B540</f>
        <v>0</v>
      </c>
      <c r="O534" s="245">
        <f>Weather_Site!C540</f>
        <v>0</v>
      </c>
      <c r="P534" s="5">
        <f>Weather_Site!E540</f>
        <v>0</v>
      </c>
      <c r="Q534" s="245">
        <f t="shared" si="68"/>
        <v>0</v>
      </c>
      <c r="R534" s="5">
        <f t="shared" si="71"/>
        <v>0</v>
      </c>
      <c r="S534" s="5">
        <f t="shared" si="69"/>
        <v>0</v>
      </c>
      <c r="T534" s="247">
        <f t="shared" si="70"/>
        <v>0</v>
      </c>
      <c r="U534" s="5">
        <f t="shared" si="72"/>
        <v>0</v>
      </c>
      <c r="V534" s="247">
        <f t="shared" si="73"/>
        <v>0</v>
      </c>
      <c r="W534" s="276">
        <f t="shared" si="74"/>
        <v>0</v>
      </c>
      <c r="X534" s="277">
        <f t="shared" si="67"/>
        <v>0</v>
      </c>
    </row>
    <row r="535" spans="14:24" x14ac:dyDescent="0.25">
      <c r="N535" s="244">
        <f>Weather_Site!B541</f>
        <v>0</v>
      </c>
      <c r="O535" s="245">
        <f>Weather_Site!C541</f>
        <v>0</v>
      </c>
      <c r="P535" s="5">
        <f>Weather_Site!E541</f>
        <v>0</v>
      </c>
      <c r="Q535" s="245">
        <f t="shared" si="68"/>
        <v>0</v>
      </c>
      <c r="R535" s="5">
        <f t="shared" si="71"/>
        <v>0</v>
      </c>
      <c r="S535" s="5">
        <f t="shared" si="69"/>
        <v>0</v>
      </c>
      <c r="T535" s="247">
        <f t="shared" si="70"/>
        <v>0</v>
      </c>
      <c r="U535" s="5">
        <f t="shared" si="72"/>
        <v>0</v>
      </c>
      <c r="V535" s="247">
        <f t="shared" si="73"/>
        <v>0</v>
      </c>
      <c r="W535" s="276">
        <f t="shared" si="74"/>
        <v>0</v>
      </c>
      <c r="X535" s="277">
        <f t="shared" si="67"/>
        <v>0</v>
      </c>
    </row>
    <row r="536" spans="14:24" x14ac:dyDescent="0.25">
      <c r="N536" s="244">
        <f>Weather_Site!B542</f>
        <v>0</v>
      </c>
      <c r="O536" s="245">
        <f>Weather_Site!C542</f>
        <v>0</v>
      </c>
      <c r="P536" s="5">
        <f>Weather_Site!E542</f>
        <v>0</v>
      </c>
      <c r="Q536" s="245">
        <f t="shared" si="68"/>
        <v>0</v>
      </c>
      <c r="R536" s="5">
        <f t="shared" si="71"/>
        <v>0</v>
      </c>
      <c r="S536" s="5">
        <f t="shared" si="69"/>
        <v>0</v>
      </c>
      <c r="T536" s="247">
        <f t="shared" si="70"/>
        <v>0</v>
      </c>
      <c r="U536" s="5">
        <f t="shared" si="72"/>
        <v>0</v>
      </c>
      <c r="V536" s="247">
        <f t="shared" si="73"/>
        <v>0</v>
      </c>
      <c r="W536" s="276">
        <f t="shared" si="74"/>
        <v>0</v>
      </c>
      <c r="X536" s="277">
        <f t="shared" si="67"/>
        <v>0</v>
      </c>
    </row>
    <row r="537" spans="14:24" x14ac:dyDescent="0.25">
      <c r="N537" s="244">
        <f>Weather_Site!B543</f>
        <v>0</v>
      </c>
      <c r="O537" s="245">
        <f>Weather_Site!C543</f>
        <v>0</v>
      </c>
      <c r="P537" s="5">
        <f>Weather_Site!E543</f>
        <v>0</v>
      </c>
      <c r="Q537" s="245">
        <f t="shared" si="68"/>
        <v>0</v>
      </c>
      <c r="R537" s="5">
        <f t="shared" si="71"/>
        <v>0</v>
      </c>
      <c r="S537" s="5">
        <f t="shared" si="69"/>
        <v>0</v>
      </c>
      <c r="T537" s="247">
        <f t="shared" si="70"/>
        <v>0</v>
      </c>
      <c r="U537" s="5">
        <f t="shared" si="72"/>
        <v>0</v>
      </c>
      <c r="V537" s="247">
        <f t="shared" si="73"/>
        <v>0</v>
      </c>
      <c r="W537" s="276">
        <f t="shared" si="74"/>
        <v>0</v>
      </c>
      <c r="X537" s="277">
        <f t="shared" si="67"/>
        <v>0</v>
      </c>
    </row>
    <row r="538" spans="14:24" x14ac:dyDescent="0.25">
      <c r="N538" s="244">
        <f>Weather_Site!B544</f>
        <v>0</v>
      </c>
      <c r="O538" s="245">
        <f>Weather_Site!C544</f>
        <v>0</v>
      </c>
      <c r="P538" s="5">
        <f>Weather_Site!E544</f>
        <v>0</v>
      </c>
      <c r="Q538" s="245">
        <f t="shared" si="68"/>
        <v>0</v>
      </c>
      <c r="R538" s="5">
        <f t="shared" si="71"/>
        <v>0</v>
      </c>
      <c r="S538" s="5">
        <f t="shared" si="69"/>
        <v>0</v>
      </c>
      <c r="T538" s="247">
        <f t="shared" si="70"/>
        <v>0</v>
      </c>
      <c r="U538" s="5">
        <f t="shared" si="72"/>
        <v>0</v>
      </c>
      <c r="V538" s="247">
        <f t="shared" si="73"/>
        <v>0</v>
      </c>
      <c r="W538" s="276">
        <f t="shared" si="74"/>
        <v>0</v>
      </c>
      <c r="X538" s="277">
        <f t="shared" si="67"/>
        <v>0</v>
      </c>
    </row>
    <row r="539" spans="14:24" x14ac:dyDescent="0.25">
      <c r="N539" s="244">
        <f>Weather_Site!B545</f>
        <v>0</v>
      </c>
      <c r="O539" s="245">
        <f>Weather_Site!C545</f>
        <v>0</v>
      </c>
      <c r="P539" s="5">
        <f>Weather_Site!E545</f>
        <v>0</v>
      </c>
      <c r="Q539" s="245">
        <f t="shared" si="68"/>
        <v>0</v>
      </c>
      <c r="R539" s="5">
        <f t="shared" si="71"/>
        <v>0</v>
      </c>
      <c r="S539" s="5">
        <f t="shared" si="69"/>
        <v>0</v>
      </c>
      <c r="T539" s="247">
        <f t="shared" si="70"/>
        <v>0</v>
      </c>
      <c r="U539" s="5">
        <f t="shared" si="72"/>
        <v>0</v>
      </c>
      <c r="V539" s="247">
        <f t="shared" si="73"/>
        <v>0</v>
      </c>
      <c r="W539" s="276">
        <f t="shared" si="74"/>
        <v>0</v>
      </c>
      <c r="X539" s="277">
        <f t="shared" si="67"/>
        <v>0</v>
      </c>
    </row>
    <row r="540" spans="14:24" x14ac:dyDescent="0.25">
      <c r="N540" s="244">
        <f>Weather_Site!B546</f>
        <v>0</v>
      </c>
      <c r="O540" s="245">
        <f>Weather_Site!C546</f>
        <v>0</v>
      </c>
      <c r="P540" s="5">
        <f>Weather_Site!E546</f>
        <v>0</v>
      </c>
      <c r="Q540" s="245">
        <f t="shared" si="68"/>
        <v>0</v>
      </c>
      <c r="R540" s="5">
        <f t="shared" si="71"/>
        <v>0</v>
      </c>
      <c r="S540" s="5">
        <f t="shared" si="69"/>
        <v>0</v>
      </c>
      <c r="T540" s="247">
        <f t="shared" si="70"/>
        <v>0</v>
      </c>
      <c r="U540" s="5">
        <f t="shared" si="72"/>
        <v>0</v>
      </c>
      <c r="V540" s="247">
        <f t="shared" si="73"/>
        <v>0</v>
      </c>
      <c r="W540" s="276">
        <f t="shared" si="74"/>
        <v>0</v>
      </c>
      <c r="X540" s="277">
        <f t="shared" si="67"/>
        <v>0</v>
      </c>
    </row>
    <row r="541" spans="14:24" x14ac:dyDescent="0.25">
      <c r="N541" s="244">
        <f>Weather_Site!B547</f>
        <v>0</v>
      </c>
      <c r="O541" s="245">
        <f>Weather_Site!C547</f>
        <v>0</v>
      </c>
      <c r="P541" s="5">
        <f>Weather_Site!E547</f>
        <v>0</v>
      </c>
      <c r="Q541" s="245">
        <f t="shared" si="68"/>
        <v>0</v>
      </c>
      <c r="R541" s="5">
        <f t="shared" si="71"/>
        <v>0</v>
      </c>
      <c r="S541" s="5">
        <f t="shared" si="69"/>
        <v>0</v>
      </c>
      <c r="T541" s="247">
        <f t="shared" si="70"/>
        <v>0</v>
      </c>
      <c r="U541" s="5">
        <f t="shared" si="72"/>
        <v>0</v>
      </c>
      <c r="V541" s="247">
        <f t="shared" si="73"/>
        <v>0</v>
      </c>
      <c r="W541" s="276">
        <f t="shared" si="74"/>
        <v>0</v>
      </c>
      <c r="X541" s="277">
        <f t="shared" si="67"/>
        <v>0</v>
      </c>
    </row>
    <row r="542" spans="14:24" x14ac:dyDescent="0.25">
      <c r="N542" s="244">
        <f>Weather_Site!B548</f>
        <v>0</v>
      </c>
      <c r="O542" s="245">
        <f>Weather_Site!C548</f>
        <v>0</v>
      </c>
      <c r="P542" s="5">
        <f>Weather_Site!E548</f>
        <v>0</v>
      </c>
      <c r="Q542" s="245">
        <f t="shared" si="68"/>
        <v>0</v>
      </c>
      <c r="R542" s="5">
        <f t="shared" si="71"/>
        <v>0</v>
      </c>
      <c r="S542" s="5">
        <f t="shared" si="69"/>
        <v>0</v>
      </c>
      <c r="T542" s="247">
        <f t="shared" si="70"/>
        <v>0</v>
      </c>
      <c r="U542" s="5">
        <f t="shared" si="72"/>
        <v>0</v>
      </c>
      <c r="V542" s="247">
        <f t="shared" si="73"/>
        <v>0</v>
      </c>
      <c r="W542" s="276">
        <f t="shared" si="74"/>
        <v>0</v>
      </c>
      <c r="X542" s="277">
        <f t="shared" si="67"/>
        <v>0</v>
      </c>
    </row>
    <row r="543" spans="14:24" x14ac:dyDescent="0.25">
      <c r="N543" s="244">
        <f>Weather_Site!B549</f>
        <v>0</v>
      </c>
      <c r="O543" s="245">
        <f>Weather_Site!C549</f>
        <v>0</v>
      </c>
      <c r="P543" s="5">
        <f>Weather_Site!E549</f>
        <v>0</v>
      </c>
      <c r="Q543" s="245">
        <f t="shared" si="68"/>
        <v>0</v>
      </c>
      <c r="R543" s="5">
        <f t="shared" si="71"/>
        <v>0</v>
      </c>
      <c r="S543" s="5">
        <f t="shared" si="69"/>
        <v>0</v>
      </c>
      <c r="T543" s="247">
        <f t="shared" si="70"/>
        <v>0</v>
      </c>
      <c r="U543" s="5">
        <f t="shared" si="72"/>
        <v>0</v>
      </c>
      <c r="V543" s="247">
        <f t="shared" si="73"/>
        <v>0</v>
      </c>
      <c r="W543" s="276">
        <f t="shared" si="74"/>
        <v>0</v>
      </c>
      <c r="X543" s="277">
        <f t="shared" si="67"/>
        <v>0</v>
      </c>
    </row>
    <row r="544" spans="14:24" x14ac:dyDescent="0.25">
      <c r="N544" s="244">
        <f>Weather_Site!B550</f>
        <v>0</v>
      </c>
      <c r="O544" s="245">
        <f>Weather_Site!C550</f>
        <v>0</v>
      </c>
      <c r="P544" s="5">
        <f>Weather_Site!E550</f>
        <v>0</v>
      </c>
      <c r="Q544" s="245">
        <f t="shared" si="68"/>
        <v>0</v>
      </c>
      <c r="R544" s="5">
        <f t="shared" si="71"/>
        <v>0</v>
      </c>
      <c r="S544" s="5">
        <f t="shared" si="69"/>
        <v>0</v>
      </c>
      <c r="T544" s="247">
        <f t="shared" si="70"/>
        <v>0</v>
      </c>
      <c r="U544" s="5">
        <f t="shared" si="72"/>
        <v>0</v>
      </c>
      <c r="V544" s="247">
        <f t="shared" si="73"/>
        <v>0</v>
      </c>
      <c r="W544" s="276">
        <f t="shared" si="74"/>
        <v>0</v>
      </c>
      <c r="X544" s="277">
        <f t="shared" si="67"/>
        <v>0</v>
      </c>
    </row>
    <row r="545" spans="14:24" x14ac:dyDescent="0.25">
      <c r="N545" s="244">
        <f>Weather_Site!B551</f>
        <v>0</v>
      </c>
      <c r="O545" s="245">
        <f>Weather_Site!C551</f>
        <v>0</v>
      </c>
      <c r="P545" s="5">
        <f>Weather_Site!E551</f>
        <v>0</v>
      </c>
      <c r="Q545" s="245">
        <f t="shared" si="68"/>
        <v>0</v>
      </c>
      <c r="R545" s="5">
        <f t="shared" si="71"/>
        <v>0</v>
      </c>
      <c r="S545" s="5">
        <f t="shared" si="69"/>
        <v>0</v>
      </c>
      <c r="T545" s="247">
        <f t="shared" si="70"/>
        <v>0</v>
      </c>
      <c r="U545" s="5">
        <f t="shared" si="72"/>
        <v>0</v>
      </c>
      <c r="V545" s="247">
        <f t="shared" si="73"/>
        <v>0</v>
      </c>
      <c r="W545" s="276">
        <f t="shared" si="74"/>
        <v>0</v>
      </c>
      <c r="X545" s="277">
        <f t="shared" si="67"/>
        <v>0</v>
      </c>
    </row>
    <row r="546" spans="14:24" x14ac:dyDescent="0.25">
      <c r="N546" s="244">
        <f>Weather_Site!B552</f>
        <v>0</v>
      </c>
      <c r="O546" s="245">
        <f>Weather_Site!C552</f>
        <v>0</v>
      </c>
      <c r="P546" s="5">
        <f>Weather_Site!E552</f>
        <v>0</v>
      </c>
      <c r="Q546" s="245">
        <f t="shared" si="68"/>
        <v>0</v>
      </c>
      <c r="R546" s="5">
        <f t="shared" si="71"/>
        <v>0</v>
      </c>
      <c r="S546" s="5">
        <f t="shared" si="69"/>
        <v>0</v>
      </c>
      <c r="T546" s="247">
        <f t="shared" si="70"/>
        <v>0</v>
      </c>
      <c r="U546" s="5">
        <f t="shared" si="72"/>
        <v>0</v>
      </c>
      <c r="V546" s="247">
        <f t="shared" si="73"/>
        <v>0</v>
      </c>
      <c r="W546" s="276">
        <f t="shared" si="74"/>
        <v>0</v>
      </c>
      <c r="X546" s="277">
        <f t="shared" si="67"/>
        <v>0</v>
      </c>
    </row>
    <row r="547" spans="14:24" x14ac:dyDescent="0.25">
      <c r="N547" s="244">
        <f>Weather_Site!B553</f>
        <v>0</v>
      </c>
      <c r="O547" s="245">
        <f>Weather_Site!C553</f>
        <v>0</v>
      </c>
      <c r="P547" s="5">
        <f>Weather_Site!E553</f>
        <v>0</v>
      </c>
      <c r="Q547" s="245">
        <f t="shared" si="68"/>
        <v>0</v>
      </c>
      <c r="R547" s="5">
        <f t="shared" si="71"/>
        <v>0</v>
      </c>
      <c r="S547" s="5">
        <f t="shared" si="69"/>
        <v>0</v>
      </c>
      <c r="T547" s="247">
        <f t="shared" si="70"/>
        <v>0</v>
      </c>
      <c r="U547" s="5">
        <f t="shared" si="72"/>
        <v>0</v>
      </c>
      <c r="V547" s="247">
        <f t="shared" si="73"/>
        <v>0</v>
      </c>
      <c r="W547" s="276">
        <f t="shared" si="74"/>
        <v>0</v>
      </c>
      <c r="X547" s="277">
        <f t="shared" si="67"/>
        <v>0</v>
      </c>
    </row>
    <row r="548" spans="14:24" x14ac:dyDescent="0.25">
      <c r="N548" s="244">
        <f>Weather_Site!B554</f>
        <v>0</v>
      </c>
      <c r="O548" s="245">
        <f>Weather_Site!C554</f>
        <v>0</v>
      </c>
      <c r="P548" s="5">
        <f>Weather_Site!E554</f>
        <v>0</v>
      </c>
      <c r="Q548" s="245">
        <f t="shared" si="68"/>
        <v>0</v>
      </c>
      <c r="R548" s="5">
        <f t="shared" si="71"/>
        <v>0</v>
      </c>
      <c r="S548" s="5">
        <f t="shared" si="69"/>
        <v>0</v>
      </c>
      <c r="T548" s="247">
        <f t="shared" si="70"/>
        <v>0</v>
      </c>
      <c r="U548" s="5">
        <f t="shared" si="72"/>
        <v>0</v>
      </c>
      <c r="V548" s="247">
        <f t="shared" si="73"/>
        <v>0</v>
      </c>
      <c r="W548" s="276">
        <f t="shared" si="74"/>
        <v>0</v>
      </c>
      <c r="X548" s="277">
        <f t="shared" ref="X548:X611" si="75">IF(AND(O547&lt;0.333,O548&gt;=0.333),W548,X547)</f>
        <v>0</v>
      </c>
    </row>
    <row r="549" spans="14:24" x14ac:dyDescent="0.25">
      <c r="N549" s="244">
        <f>Weather_Site!B555</f>
        <v>0</v>
      </c>
      <c r="O549" s="245">
        <f>Weather_Site!C555</f>
        <v>0</v>
      </c>
      <c r="P549" s="5">
        <f>Weather_Site!E555</f>
        <v>0</v>
      </c>
      <c r="Q549" s="245">
        <f t="shared" ref="Q549:Q612" si="76">IF((O549-O548)&lt;0,(1-MAX(O548,0.625))+MIN(O549,0.334),(IF(O548&lt;0.333,(MIN(O549,0.334)-O548),IF(O549&gt;0.625,MAX(O549,0.625)-O548,0))))</f>
        <v>0</v>
      </c>
      <c r="R549" s="5">
        <f t="shared" si="71"/>
        <v>0</v>
      </c>
      <c r="S549" s="5">
        <f t="shared" ref="S549:S612" si="77">HOUR(O549)</f>
        <v>0</v>
      </c>
      <c r="T549" s="247">
        <f t="shared" ref="T549:T612" si="78">(P549+P548)/2*R549</f>
        <v>0</v>
      </c>
      <c r="U549" s="5">
        <f t="shared" si="72"/>
        <v>0</v>
      </c>
      <c r="V549" s="247">
        <f t="shared" si="73"/>
        <v>0</v>
      </c>
      <c r="W549" s="276">
        <f t="shared" si="74"/>
        <v>0</v>
      </c>
      <c r="X549" s="277">
        <f t="shared" si="75"/>
        <v>0</v>
      </c>
    </row>
    <row r="550" spans="14:24" x14ac:dyDescent="0.25">
      <c r="N550" s="244">
        <f>Weather_Site!B556</f>
        <v>0</v>
      </c>
      <c r="O550" s="245">
        <f>Weather_Site!C556</f>
        <v>0</v>
      </c>
      <c r="P550" s="5">
        <f>Weather_Site!E556</f>
        <v>0</v>
      </c>
      <c r="Q550" s="245">
        <f t="shared" si="76"/>
        <v>0</v>
      </c>
      <c r="R550" s="5">
        <f t="shared" si="71"/>
        <v>0</v>
      </c>
      <c r="S550" s="5">
        <f t="shared" si="77"/>
        <v>0</v>
      </c>
      <c r="T550" s="247">
        <f t="shared" si="78"/>
        <v>0</v>
      </c>
      <c r="U550" s="5">
        <f t="shared" si="72"/>
        <v>0</v>
      </c>
      <c r="V550" s="247">
        <f t="shared" si="73"/>
        <v>0</v>
      </c>
      <c r="W550" s="276">
        <f t="shared" si="74"/>
        <v>0</v>
      </c>
      <c r="X550" s="277">
        <f t="shared" si="75"/>
        <v>0</v>
      </c>
    </row>
    <row r="551" spans="14:24" x14ac:dyDescent="0.25">
      <c r="N551" s="244">
        <f>Weather_Site!B557</f>
        <v>0</v>
      </c>
      <c r="O551" s="245">
        <f>Weather_Site!C557</f>
        <v>0</v>
      </c>
      <c r="P551" s="5">
        <f>Weather_Site!E557</f>
        <v>0</v>
      </c>
      <c r="Q551" s="245">
        <f t="shared" si="76"/>
        <v>0</v>
      </c>
      <c r="R551" s="5">
        <f t="shared" si="71"/>
        <v>0</v>
      </c>
      <c r="S551" s="5">
        <f t="shared" si="77"/>
        <v>0</v>
      </c>
      <c r="T551" s="247">
        <f t="shared" si="78"/>
        <v>0</v>
      </c>
      <c r="U551" s="5">
        <f t="shared" si="72"/>
        <v>0</v>
      </c>
      <c r="V551" s="247">
        <f t="shared" si="73"/>
        <v>0</v>
      </c>
      <c r="W551" s="276">
        <f t="shared" si="74"/>
        <v>0</v>
      </c>
      <c r="X551" s="277">
        <f t="shared" si="75"/>
        <v>0</v>
      </c>
    </row>
    <row r="552" spans="14:24" x14ac:dyDescent="0.25">
      <c r="N552" s="244">
        <f>Weather_Site!B558</f>
        <v>0</v>
      </c>
      <c r="O552" s="245">
        <f>Weather_Site!C558</f>
        <v>0</v>
      </c>
      <c r="P552" s="5">
        <f>Weather_Site!E558</f>
        <v>0</v>
      </c>
      <c r="Q552" s="245">
        <f t="shared" si="76"/>
        <v>0</v>
      </c>
      <c r="R552" s="5">
        <f t="shared" si="71"/>
        <v>0</v>
      </c>
      <c r="S552" s="5">
        <f t="shared" si="77"/>
        <v>0</v>
      </c>
      <c r="T552" s="247">
        <f t="shared" si="78"/>
        <v>0</v>
      </c>
      <c r="U552" s="5">
        <f t="shared" si="72"/>
        <v>0</v>
      </c>
      <c r="V552" s="247">
        <f t="shared" si="73"/>
        <v>0</v>
      </c>
      <c r="W552" s="276">
        <f t="shared" si="74"/>
        <v>0</v>
      </c>
      <c r="X552" s="277">
        <f t="shared" si="75"/>
        <v>0</v>
      </c>
    </row>
    <row r="553" spans="14:24" x14ac:dyDescent="0.25">
      <c r="N553" s="244">
        <f>Weather_Site!B559</f>
        <v>0</v>
      </c>
      <c r="O553" s="245">
        <f>Weather_Site!C559</f>
        <v>0</v>
      </c>
      <c r="P553" s="5">
        <f>Weather_Site!E559</f>
        <v>0</v>
      </c>
      <c r="Q553" s="245">
        <f t="shared" si="76"/>
        <v>0</v>
      </c>
      <c r="R553" s="5">
        <f t="shared" si="71"/>
        <v>0</v>
      </c>
      <c r="S553" s="5">
        <f t="shared" si="77"/>
        <v>0</v>
      </c>
      <c r="T553" s="247">
        <f t="shared" si="78"/>
        <v>0</v>
      </c>
      <c r="U553" s="5">
        <f t="shared" si="72"/>
        <v>0</v>
      </c>
      <c r="V553" s="247">
        <f t="shared" si="73"/>
        <v>0</v>
      </c>
      <c r="W553" s="276">
        <f t="shared" si="74"/>
        <v>0</v>
      </c>
      <c r="X553" s="277">
        <f t="shared" si="75"/>
        <v>0</v>
      </c>
    </row>
    <row r="554" spans="14:24" x14ac:dyDescent="0.25">
      <c r="N554" s="244">
        <f>Weather_Site!B560</f>
        <v>0</v>
      </c>
      <c r="O554" s="245">
        <f>Weather_Site!C560</f>
        <v>0</v>
      </c>
      <c r="P554" s="5">
        <f>Weather_Site!E560</f>
        <v>0</v>
      </c>
      <c r="Q554" s="245">
        <f t="shared" si="76"/>
        <v>0</v>
      </c>
      <c r="R554" s="5">
        <f t="shared" si="71"/>
        <v>0</v>
      </c>
      <c r="S554" s="5">
        <f t="shared" si="77"/>
        <v>0</v>
      </c>
      <c r="T554" s="247">
        <f t="shared" si="78"/>
        <v>0</v>
      </c>
      <c r="U554" s="5">
        <f t="shared" si="72"/>
        <v>0</v>
      </c>
      <c r="V554" s="247">
        <f t="shared" si="73"/>
        <v>0</v>
      </c>
      <c r="W554" s="276">
        <f t="shared" si="74"/>
        <v>0</v>
      </c>
      <c r="X554" s="277">
        <f t="shared" si="75"/>
        <v>0</v>
      </c>
    </row>
    <row r="555" spans="14:24" x14ac:dyDescent="0.25">
      <c r="N555" s="244">
        <f>Weather_Site!B561</f>
        <v>0</v>
      </c>
      <c r="O555" s="245">
        <f>Weather_Site!C561</f>
        <v>0</v>
      </c>
      <c r="P555" s="5">
        <f>Weather_Site!E561</f>
        <v>0</v>
      </c>
      <c r="Q555" s="245">
        <f t="shared" si="76"/>
        <v>0</v>
      </c>
      <c r="R555" s="5">
        <f t="shared" si="71"/>
        <v>0</v>
      </c>
      <c r="S555" s="5">
        <f t="shared" si="77"/>
        <v>0</v>
      </c>
      <c r="T555" s="247">
        <f t="shared" si="78"/>
        <v>0</v>
      </c>
      <c r="U555" s="5">
        <f t="shared" si="72"/>
        <v>0</v>
      </c>
      <c r="V555" s="247">
        <f t="shared" si="73"/>
        <v>0</v>
      </c>
      <c r="W555" s="276">
        <f t="shared" si="74"/>
        <v>0</v>
      </c>
      <c r="X555" s="277">
        <f t="shared" si="75"/>
        <v>0</v>
      </c>
    </row>
    <row r="556" spans="14:24" x14ac:dyDescent="0.25">
      <c r="N556" s="244">
        <f>Weather_Site!B562</f>
        <v>0</v>
      </c>
      <c r="O556" s="245">
        <f>Weather_Site!C562</f>
        <v>0</v>
      </c>
      <c r="P556" s="5">
        <f>Weather_Site!E562</f>
        <v>0</v>
      </c>
      <c r="Q556" s="245">
        <f t="shared" si="76"/>
        <v>0</v>
      </c>
      <c r="R556" s="5">
        <f t="shared" si="71"/>
        <v>0</v>
      </c>
      <c r="S556" s="5">
        <f t="shared" si="77"/>
        <v>0</v>
      </c>
      <c r="T556" s="247">
        <f t="shared" si="78"/>
        <v>0</v>
      </c>
      <c r="U556" s="5">
        <f t="shared" si="72"/>
        <v>0</v>
      </c>
      <c r="V556" s="247">
        <f t="shared" si="73"/>
        <v>0</v>
      </c>
      <c r="W556" s="276">
        <f t="shared" si="74"/>
        <v>0</v>
      </c>
      <c r="X556" s="277">
        <f t="shared" si="75"/>
        <v>0</v>
      </c>
    </row>
    <row r="557" spans="14:24" x14ac:dyDescent="0.25">
      <c r="N557" s="244">
        <f>Weather_Site!B563</f>
        <v>0</v>
      </c>
      <c r="O557" s="245">
        <f>Weather_Site!C563</f>
        <v>0</v>
      </c>
      <c r="P557" s="5">
        <f>Weather_Site!E563</f>
        <v>0</v>
      </c>
      <c r="Q557" s="245">
        <f t="shared" si="76"/>
        <v>0</v>
      </c>
      <c r="R557" s="5">
        <f t="shared" si="71"/>
        <v>0</v>
      </c>
      <c r="S557" s="5">
        <f t="shared" si="77"/>
        <v>0</v>
      </c>
      <c r="T557" s="247">
        <f t="shared" si="78"/>
        <v>0</v>
      </c>
      <c r="U557" s="5">
        <f t="shared" si="72"/>
        <v>0</v>
      </c>
      <c r="V557" s="247">
        <f t="shared" si="73"/>
        <v>0</v>
      </c>
      <c r="W557" s="276">
        <f t="shared" si="74"/>
        <v>0</v>
      </c>
      <c r="X557" s="277">
        <f t="shared" si="75"/>
        <v>0</v>
      </c>
    </row>
    <row r="558" spans="14:24" x14ac:dyDescent="0.25">
      <c r="N558" s="244">
        <f>Weather_Site!B564</f>
        <v>0</v>
      </c>
      <c r="O558" s="245">
        <f>Weather_Site!C564</f>
        <v>0</v>
      </c>
      <c r="P558" s="5">
        <f>Weather_Site!E564</f>
        <v>0</v>
      </c>
      <c r="Q558" s="245">
        <f t="shared" si="76"/>
        <v>0</v>
      </c>
      <c r="R558" s="5">
        <f t="shared" si="71"/>
        <v>0</v>
      </c>
      <c r="S558" s="5">
        <f t="shared" si="77"/>
        <v>0</v>
      </c>
      <c r="T558" s="247">
        <f t="shared" si="78"/>
        <v>0</v>
      </c>
      <c r="U558" s="5">
        <f t="shared" si="72"/>
        <v>0</v>
      </c>
      <c r="V558" s="247">
        <f t="shared" si="73"/>
        <v>0</v>
      </c>
      <c r="W558" s="276">
        <f t="shared" si="74"/>
        <v>0</v>
      </c>
      <c r="X558" s="277">
        <f t="shared" si="75"/>
        <v>0</v>
      </c>
    </row>
    <row r="559" spans="14:24" x14ac:dyDescent="0.25">
      <c r="N559" s="244">
        <f>Weather_Site!B565</f>
        <v>0</v>
      </c>
      <c r="O559" s="245">
        <f>Weather_Site!C565</f>
        <v>0</v>
      </c>
      <c r="P559" s="5">
        <f>Weather_Site!E565</f>
        <v>0</v>
      </c>
      <c r="Q559" s="245">
        <f t="shared" si="76"/>
        <v>0</v>
      </c>
      <c r="R559" s="5">
        <f t="shared" si="71"/>
        <v>0</v>
      </c>
      <c r="S559" s="5">
        <f t="shared" si="77"/>
        <v>0</v>
      </c>
      <c r="T559" s="247">
        <f t="shared" si="78"/>
        <v>0</v>
      </c>
      <c r="U559" s="5">
        <f t="shared" si="72"/>
        <v>0</v>
      </c>
      <c r="V559" s="247">
        <f t="shared" si="73"/>
        <v>0</v>
      </c>
      <c r="W559" s="276">
        <f t="shared" si="74"/>
        <v>0</v>
      </c>
      <c r="X559" s="277">
        <f t="shared" si="75"/>
        <v>0</v>
      </c>
    </row>
    <row r="560" spans="14:24" x14ac:dyDescent="0.25">
      <c r="N560" s="244">
        <f>Weather_Site!B566</f>
        <v>0</v>
      </c>
      <c r="O560" s="245">
        <f>Weather_Site!C566</f>
        <v>0</v>
      </c>
      <c r="P560" s="5">
        <f>Weather_Site!E566</f>
        <v>0</v>
      </c>
      <c r="Q560" s="245">
        <f t="shared" si="76"/>
        <v>0</v>
      </c>
      <c r="R560" s="5">
        <f t="shared" si="71"/>
        <v>0</v>
      </c>
      <c r="S560" s="5">
        <f t="shared" si="77"/>
        <v>0</v>
      </c>
      <c r="T560" s="247">
        <f t="shared" si="78"/>
        <v>0</v>
      </c>
      <c r="U560" s="5">
        <f t="shared" si="72"/>
        <v>0</v>
      </c>
      <c r="V560" s="247">
        <f t="shared" si="73"/>
        <v>0</v>
      </c>
      <c r="W560" s="276">
        <f t="shared" si="74"/>
        <v>0</v>
      </c>
      <c r="X560" s="277">
        <f t="shared" si="75"/>
        <v>0</v>
      </c>
    </row>
    <row r="561" spans="14:24" x14ac:dyDescent="0.25">
      <c r="N561" s="244">
        <f>Weather_Site!B567</f>
        <v>0</v>
      </c>
      <c r="O561" s="245">
        <f>Weather_Site!C567</f>
        <v>0</v>
      </c>
      <c r="P561" s="5">
        <f>Weather_Site!E567</f>
        <v>0</v>
      </c>
      <c r="Q561" s="245">
        <f t="shared" si="76"/>
        <v>0</v>
      </c>
      <c r="R561" s="5">
        <f t="shared" si="71"/>
        <v>0</v>
      </c>
      <c r="S561" s="5">
        <f t="shared" si="77"/>
        <v>0</v>
      </c>
      <c r="T561" s="247">
        <f t="shared" si="78"/>
        <v>0</v>
      </c>
      <c r="U561" s="5">
        <f t="shared" si="72"/>
        <v>0</v>
      </c>
      <c r="V561" s="247">
        <f t="shared" si="73"/>
        <v>0</v>
      </c>
      <c r="W561" s="276">
        <f t="shared" si="74"/>
        <v>0</v>
      </c>
      <c r="X561" s="277">
        <f t="shared" si="75"/>
        <v>0</v>
      </c>
    </row>
    <row r="562" spans="14:24" x14ac:dyDescent="0.25">
      <c r="N562" s="244">
        <f>Weather_Site!B568</f>
        <v>0</v>
      </c>
      <c r="O562" s="245">
        <f>Weather_Site!C568</f>
        <v>0</v>
      </c>
      <c r="P562" s="5">
        <f>Weather_Site!E568</f>
        <v>0</v>
      </c>
      <c r="Q562" s="245">
        <f t="shared" si="76"/>
        <v>0</v>
      </c>
      <c r="R562" s="5">
        <f t="shared" si="71"/>
        <v>0</v>
      </c>
      <c r="S562" s="5">
        <f t="shared" si="77"/>
        <v>0</v>
      </c>
      <c r="T562" s="247">
        <f t="shared" si="78"/>
        <v>0</v>
      </c>
      <c r="U562" s="5">
        <f t="shared" si="72"/>
        <v>0</v>
      </c>
      <c r="V562" s="247">
        <f t="shared" si="73"/>
        <v>0</v>
      </c>
      <c r="W562" s="276">
        <f t="shared" si="74"/>
        <v>0</v>
      </c>
      <c r="X562" s="277">
        <f t="shared" si="75"/>
        <v>0</v>
      </c>
    </row>
    <row r="563" spans="14:24" x14ac:dyDescent="0.25">
      <c r="N563" s="244">
        <f>Weather_Site!B569</f>
        <v>0</v>
      </c>
      <c r="O563" s="245">
        <f>Weather_Site!C569</f>
        <v>0</v>
      </c>
      <c r="P563" s="5">
        <f>Weather_Site!E569</f>
        <v>0</v>
      </c>
      <c r="Q563" s="245">
        <f t="shared" si="76"/>
        <v>0</v>
      </c>
      <c r="R563" s="5">
        <f t="shared" si="71"/>
        <v>0</v>
      </c>
      <c r="S563" s="5">
        <f t="shared" si="77"/>
        <v>0</v>
      </c>
      <c r="T563" s="247">
        <f t="shared" si="78"/>
        <v>0</v>
      </c>
      <c r="U563" s="5">
        <f t="shared" si="72"/>
        <v>0</v>
      </c>
      <c r="V563" s="247">
        <f t="shared" si="73"/>
        <v>0</v>
      </c>
      <c r="W563" s="276">
        <f t="shared" si="74"/>
        <v>0</v>
      </c>
      <c r="X563" s="277">
        <f t="shared" si="75"/>
        <v>0</v>
      </c>
    </row>
    <row r="564" spans="14:24" x14ac:dyDescent="0.25">
      <c r="N564" s="244">
        <f>Weather_Site!B570</f>
        <v>0</v>
      </c>
      <c r="O564" s="245">
        <f>Weather_Site!C570</f>
        <v>0</v>
      </c>
      <c r="P564" s="5">
        <f>Weather_Site!E570</f>
        <v>0</v>
      </c>
      <c r="Q564" s="245">
        <f t="shared" si="76"/>
        <v>0</v>
      </c>
      <c r="R564" s="5">
        <f t="shared" si="71"/>
        <v>0</v>
      </c>
      <c r="S564" s="5">
        <f t="shared" si="77"/>
        <v>0</v>
      </c>
      <c r="T564" s="247">
        <f t="shared" si="78"/>
        <v>0</v>
      </c>
      <c r="U564" s="5">
        <f t="shared" si="72"/>
        <v>0</v>
      </c>
      <c r="V564" s="247">
        <f t="shared" si="73"/>
        <v>0</v>
      </c>
      <c r="W564" s="276">
        <f t="shared" si="74"/>
        <v>0</v>
      </c>
      <c r="X564" s="277">
        <f t="shared" si="75"/>
        <v>0</v>
      </c>
    </row>
    <row r="565" spans="14:24" x14ac:dyDescent="0.25">
      <c r="N565" s="244">
        <f>Weather_Site!B571</f>
        <v>0</v>
      </c>
      <c r="O565" s="245">
        <f>Weather_Site!C571</f>
        <v>0</v>
      </c>
      <c r="P565" s="5">
        <f>Weather_Site!E571</f>
        <v>0</v>
      </c>
      <c r="Q565" s="245">
        <f t="shared" si="76"/>
        <v>0</v>
      </c>
      <c r="R565" s="5">
        <f t="shared" si="71"/>
        <v>0</v>
      </c>
      <c r="S565" s="5">
        <f t="shared" si="77"/>
        <v>0</v>
      </c>
      <c r="T565" s="247">
        <f t="shared" si="78"/>
        <v>0</v>
      </c>
      <c r="U565" s="5">
        <f t="shared" si="72"/>
        <v>0</v>
      </c>
      <c r="V565" s="247">
        <f t="shared" si="73"/>
        <v>0</v>
      </c>
      <c r="W565" s="276">
        <f t="shared" si="74"/>
        <v>0</v>
      </c>
      <c r="X565" s="277">
        <f t="shared" si="75"/>
        <v>0</v>
      </c>
    </row>
    <row r="566" spans="14:24" x14ac:dyDescent="0.25">
      <c r="N566" s="244">
        <f>Weather_Site!B572</f>
        <v>0</v>
      </c>
      <c r="O566" s="245">
        <f>Weather_Site!C572</f>
        <v>0</v>
      </c>
      <c r="P566" s="5">
        <f>Weather_Site!E572</f>
        <v>0</v>
      </c>
      <c r="Q566" s="245">
        <f t="shared" si="76"/>
        <v>0</v>
      </c>
      <c r="R566" s="5">
        <f t="shared" si="71"/>
        <v>0</v>
      </c>
      <c r="S566" s="5">
        <f t="shared" si="77"/>
        <v>0</v>
      </c>
      <c r="T566" s="247">
        <f t="shared" si="78"/>
        <v>0</v>
      </c>
      <c r="U566" s="5">
        <f t="shared" si="72"/>
        <v>0</v>
      </c>
      <c r="V566" s="247">
        <f t="shared" si="73"/>
        <v>0</v>
      </c>
      <c r="W566" s="276">
        <f t="shared" si="74"/>
        <v>0</v>
      </c>
      <c r="X566" s="277">
        <f t="shared" si="75"/>
        <v>0</v>
      </c>
    </row>
    <row r="567" spans="14:24" x14ac:dyDescent="0.25">
      <c r="N567" s="244">
        <f>Weather_Site!B573</f>
        <v>0</v>
      </c>
      <c r="O567" s="245">
        <f>Weather_Site!C573</f>
        <v>0</v>
      </c>
      <c r="P567" s="5">
        <f>Weather_Site!E573</f>
        <v>0</v>
      </c>
      <c r="Q567" s="245">
        <f t="shared" si="76"/>
        <v>0</v>
      </c>
      <c r="R567" s="5">
        <f t="shared" si="71"/>
        <v>0</v>
      </c>
      <c r="S567" s="5">
        <f t="shared" si="77"/>
        <v>0</v>
      </c>
      <c r="T567" s="247">
        <f t="shared" si="78"/>
        <v>0</v>
      </c>
      <c r="U567" s="5">
        <f t="shared" si="72"/>
        <v>0</v>
      </c>
      <c r="V567" s="247">
        <f t="shared" si="73"/>
        <v>0</v>
      </c>
      <c r="W567" s="276">
        <f t="shared" si="74"/>
        <v>0</v>
      </c>
      <c r="X567" s="277">
        <f t="shared" si="75"/>
        <v>0</v>
      </c>
    </row>
    <row r="568" spans="14:24" x14ac:dyDescent="0.25">
      <c r="N568" s="244">
        <f>Weather_Site!B574</f>
        <v>0</v>
      </c>
      <c r="O568" s="245">
        <f>Weather_Site!C574</f>
        <v>0</v>
      </c>
      <c r="P568" s="5">
        <f>Weather_Site!E574</f>
        <v>0</v>
      </c>
      <c r="Q568" s="245">
        <f t="shared" si="76"/>
        <v>0</v>
      </c>
      <c r="R568" s="5">
        <f t="shared" si="71"/>
        <v>0</v>
      </c>
      <c r="S568" s="5">
        <f t="shared" si="77"/>
        <v>0</v>
      </c>
      <c r="T568" s="247">
        <f t="shared" si="78"/>
        <v>0</v>
      </c>
      <c r="U568" s="5">
        <f t="shared" si="72"/>
        <v>0</v>
      </c>
      <c r="V568" s="247">
        <f t="shared" si="73"/>
        <v>0</v>
      </c>
      <c r="W568" s="276">
        <f t="shared" si="74"/>
        <v>0</v>
      </c>
      <c r="X568" s="277">
        <f t="shared" si="75"/>
        <v>0</v>
      </c>
    </row>
    <row r="569" spans="14:24" x14ac:dyDescent="0.25">
      <c r="N569" s="244">
        <f>Weather_Site!B575</f>
        <v>0</v>
      </c>
      <c r="O569" s="245">
        <f>Weather_Site!C575</f>
        <v>0</v>
      </c>
      <c r="P569" s="5">
        <f>Weather_Site!E575</f>
        <v>0</v>
      </c>
      <c r="Q569" s="245">
        <f t="shared" si="76"/>
        <v>0</v>
      </c>
      <c r="R569" s="5">
        <f t="shared" si="71"/>
        <v>0</v>
      </c>
      <c r="S569" s="5">
        <f t="shared" si="77"/>
        <v>0</v>
      </c>
      <c r="T569" s="247">
        <f t="shared" si="78"/>
        <v>0</v>
      </c>
      <c r="U569" s="5">
        <f t="shared" si="72"/>
        <v>0</v>
      </c>
      <c r="V569" s="247">
        <f t="shared" si="73"/>
        <v>0</v>
      </c>
      <c r="W569" s="276">
        <f t="shared" si="74"/>
        <v>0</v>
      </c>
      <c r="X569" s="277">
        <f t="shared" si="75"/>
        <v>0</v>
      </c>
    </row>
    <row r="570" spans="14:24" x14ac:dyDescent="0.25">
      <c r="N570" s="244">
        <f>Weather_Site!B576</f>
        <v>0</v>
      </c>
      <c r="O570" s="245">
        <f>Weather_Site!C576</f>
        <v>0</v>
      </c>
      <c r="P570" s="5">
        <f>Weather_Site!E576</f>
        <v>0</v>
      </c>
      <c r="Q570" s="245">
        <f t="shared" si="76"/>
        <v>0</v>
      </c>
      <c r="R570" s="5">
        <f t="shared" si="71"/>
        <v>0</v>
      </c>
      <c r="S570" s="5">
        <f t="shared" si="77"/>
        <v>0</v>
      </c>
      <c r="T570" s="247">
        <f t="shared" si="78"/>
        <v>0</v>
      </c>
      <c r="U570" s="5">
        <f t="shared" si="72"/>
        <v>0</v>
      </c>
      <c r="V570" s="247">
        <f t="shared" si="73"/>
        <v>0</v>
      </c>
      <c r="W570" s="276">
        <f t="shared" si="74"/>
        <v>0</v>
      </c>
      <c r="X570" s="277">
        <f t="shared" si="75"/>
        <v>0</v>
      </c>
    </row>
    <row r="571" spans="14:24" x14ac:dyDescent="0.25">
      <c r="N571" s="244">
        <f>Weather_Site!B577</f>
        <v>0</v>
      </c>
      <c r="O571" s="245">
        <f>Weather_Site!C577</f>
        <v>0</v>
      </c>
      <c r="P571" s="5">
        <f>Weather_Site!E577</f>
        <v>0</v>
      </c>
      <c r="Q571" s="245">
        <f t="shared" si="76"/>
        <v>0</v>
      </c>
      <c r="R571" s="5">
        <f t="shared" si="71"/>
        <v>0</v>
      </c>
      <c r="S571" s="5">
        <f t="shared" si="77"/>
        <v>0</v>
      </c>
      <c r="T571" s="247">
        <f t="shared" si="78"/>
        <v>0</v>
      </c>
      <c r="U571" s="5">
        <f t="shared" si="72"/>
        <v>0</v>
      </c>
      <c r="V571" s="247">
        <f t="shared" si="73"/>
        <v>0</v>
      </c>
      <c r="W571" s="276">
        <f t="shared" si="74"/>
        <v>0</v>
      </c>
      <c r="X571" s="277">
        <f t="shared" si="75"/>
        <v>0</v>
      </c>
    </row>
    <row r="572" spans="14:24" x14ac:dyDescent="0.25">
      <c r="N572" s="244">
        <f>Weather_Site!B578</f>
        <v>0</v>
      </c>
      <c r="O572" s="245">
        <f>Weather_Site!C578</f>
        <v>0</v>
      </c>
      <c r="P572" s="5">
        <f>Weather_Site!E578</f>
        <v>0</v>
      </c>
      <c r="Q572" s="245">
        <f t="shared" si="76"/>
        <v>0</v>
      </c>
      <c r="R572" s="5">
        <f t="shared" si="71"/>
        <v>0</v>
      </c>
      <c r="S572" s="5">
        <f t="shared" si="77"/>
        <v>0</v>
      </c>
      <c r="T572" s="247">
        <f t="shared" si="78"/>
        <v>0</v>
      </c>
      <c r="U572" s="5">
        <f t="shared" si="72"/>
        <v>0</v>
      </c>
      <c r="V572" s="247">
        <f t="shared" si="73"/>
        <v>0</v>
      </c>
      <c r="W572" s="276">
        <f t="shared" si="74"/>
        <v>0</v>
      </c>
      <c r="X572" s="277">
        <f t="shared" si="75"/>
        <v>0</v>
      </c>
    </row>
    <row r="573" spans="14:24" x14ac:dyDescent="0.25">
      <c r="N573" s="244">
        <f>Weather_Site!B579</f>
        <v>0</v>
      </c>
      <c r="O573" s="245">
        <f>Weather_Site!C579</f>
        <v>0</v>
      </c>
      <c r="P573" s="5">
        <f>Weather_Site!E579</f>
        <v>0</v>
      </c>
      <c r="Q573" s="245">
        <f t="shared" si="76"/>
        <v>0</v>
      </c>
      <c r="R573" s="5">
        <f t="shared" si="71"/>
        <v>0</v>
      </c>
      <c r="S573" s="5">
        <f t="shared" si="77"/>
        <v>0</v>
      </c>
      <c r="T573" s="247">
        <f t="shared" si="78"/>
        <v>0</v>
      </c>
      <c r="U573" s="5">
        <f t="shared" si="72"/>
        <v>0</v>
      </c>
      <c r="V573" s="247">
        <f t="shared" si="73"/>
        <v>0</v>
      </c>
      <c r="W573" s="276">
        <f t="shared" si="74"/>
        <v>0</v>
      </c>
      <c r="X573" s="277">
        <f t="shared" si="75"/>
        <v>0</v>
      </c>
    </row>
    <row r="574" spans="14:24" x14ac:dyDescent="0.25">
      <c r="N574" s="244">
        <f>Weather_Site!B580</f>
        <v>0</v>
      </c>
      <c r="O574" s="245">
        <f>Weather_Site!C580</f>
        <v>0</v>
      </c>
      <c r="P574" s="5">
        <f>Weather_Site!E580</f>
        <v>0</v>
      </c>
      <c r="Q574" s="245">
        <f t="shared" si="76"/>
        <v>0</v>
      </c>
      <c r="R574" s="5">
        <f t="shared" si="71"/>
        <v>0</v>
      </c>
      <c r="S574" s="5">
        <f t="shared" si="77"/>
        <v>0</v>
      </c>
      <c r="T574" s="247">
        <f t="shared" si="78"/>
        <v>0</v>
      </c>
      <c r="U574" s="5">
        <f t="shared" si="72"/>
        <v>0</v>
      </c>
      <c r="V574" s="247">
        <f t="shared" si="73"/>
        <v>0</v>
      </c>
      <c r="W574" s="276">
        <f t="shared" si="74"/>
        <v>0</v>
      </c>
      <c r="X574" s="277">
        <f t="shared" si="75"/>
        <v>0</v>
      </c>
    </row>
    <row r="575" spans="14:24" x14ac:dyDescent="0.25">
      <c r="N575" s="244">
        <f>Weather_Site!B581</f>
        <v>0</v>
      </c>
      <c r="O575" s="245">
        <f>Weather_Site!C581</f>
        <v>0</v>
      </c>
      <c r="P575" s="5">
        <f>Weather_Site!E581</f>
        <v>0</v>
      </c>
      <c r="Q575" s="245">
        <f t="shared" si="76"/>
        <v>0</v>
      </c>
      <c r="R575" s="5">
        <f t="shared" si="71"/>
        <v>0</v>
      </c>
      <c r="S575" s="5">
        <f t="shared" si="77"/>
        <v>0</v>
      </c>
      <c r="T575" s="247">
        <f t="shared" si="78"/>
        <v>0</v>
      </c>
      <c r="U575" s="5">
        <f t="shared" si="72"/>
        <v>0</v>
      </c>
      <c r="V575" s="247">
        <f t="shared" si="73"/>
        <v>0</v>
      </c>
      <c r="W575" s="276">
        <f t="shared" si="74"/>
        <v>0</v>
      </c>
      <c r="X575" s="277">
        <f t="shared" si="75"/>
        <v>0</v>
      </c>
    </row>
    <row r="576" spans="14:24" x14ac:dyDescent="0.25">
      <c r="N576" s="244">
        <f>Weather_Site!B582</f>
        <v>0</v>
      </c>
      <c r="O576" s="245">
        <f>Weather_Site!C582</f>
        <v>0</v>
      </c>
      <c r="P576" s="5">
        <f>Weather_Site!E582</f>
        <v>0</v>
      </c>
      <c r="Q576" s="245">
        <f t="shared" si="76"/>
        <v>0</v>
      </c>
      <c r="R576" s="5">
        <f t="shared" si="71"/>
        <v>0</v>
      </c>
      <c r="S576" s="5">
        <f t="shared" si="77"/>
        <v>0</v>
      </c>
      <c r="T576" s="247">
        <f t="shared" si="78"/>
        <v>0</v>
      </c>
      <c r="U576" s="5">
        <f t="shared" si="72"/>
        <v>0</v>
      </c>
      <c r="V576" s="247">
        <f t="shared" si="73"/>
        <v>0</v>
      </c>
      <c r="W576" s="276">
        <f t="shared" si="74"/>
        <v>0</v>
      </c>
      <c r="X576" s="277">
        <f t="shared" si="75"/>
        <v>0</v>
      </c>
    </row>
    <row r="577" spans="14:24" x14ac:dyDescent="0.25">
      <c r="N577" s="244">
        <f>Weather_Site!B583</f>
        <v>0</v>
      </c>
      <c r="O577" s="245">
        <f>Weather_Site!C583</f>
        <v>0</v>
      </c>
      <c r="P577" s="5">
        <f>Weather_Site!E583</f>
        <v>0</v>
      </c>
      <c r="Q577" s="245">
        <f t="shared" si="76"/>
        <v>0</v>
      </c>
      <c r="R577" s="5">
        <f t="shared" si="71"/>
        <v>0</v>
      </c>
      <c r="S577" s="5">
        <f t="shared" si="77"/>
        <v>0</v>
      </c>
      <c r="T577" s="247">
        <f t="shared" si="78"/>
        <v>0</v>
      </c>
      <c r="U577" s="5">
        <f t="shared" si="72"/>
        <v>0</v>
      </c>
      <c r="V577" s="247">
        <f t="shared" si="73"/>
        <v>0</v>
      </c>
      <c r="W577" s="276">
        <f t="shared" si="74"/>
        <v>0</v>
      </c>
      <c r="X577" s="277">
        <f t="shared" si="75"/>
        <v>0</v>
      </c>
    </row>
    <row r="578" spans="14:24" x14ac:dyDescent="0.25">
      <c r="N578" s="244">
        <f>Weather_Site!B584</f>
        <v>0</v>
      </c>
      <c r="O578" s="245">
        <f>Weather_Site!C584</f>
        <v>0</v>
      </c>
      <c r="P578" s="5">
        <f>Weather_Site!E584</f>
        <v>0</v>
      </c>
      <c r="Q578" s="245">
        <f t="shared" si="76"/>
        <v>0</v>
      </c>
      <c r="R578" s="5">
        <f t="shared" si="71"/>
        <v>0</v>
      </c>
      <c r="S578" s="5">
        <f t="shared" si="77"/>
        <v>0</v>
      </c>
      <c r="T578" s="247">
        <f t="shared" si="78"/>
        <v>0</v>
      </c>
      <c r="U578" s="5">
        <f t="shared" si="72"/>
        <v>0</v>
      </c>
      <c r="V578" s="247">
        <f t="shared" si="73"/>
        <v>0</v>
      </c>
      <c r="W578" s="276">
        <f t="shared" si="74"/>
        <v>0</v>
      </c>
      <c r="X578" s="277">
        <f t="shared" si="75"/>
        <v>0</v>
      </c>
    </row>
    <row r="579" spans="14:24" x14ac:dyDescent="0.25">
      <c r="N579" s="244">
        <f>Weather_Site!B585</f>
        <v>0</v>
      </c>
      <c r="O579" s="245">
        <f>Weather_Site!C585</f>
        <v>0</v>
      </c>
      <c r="P579" s="5">
        <f>Weather_Site!E585</f>
        <v>0</v>
      </c>
      <c r="Q579" s="245">
        <f t="shared" si="76"/>
        <v>0</v>
      </c>
      <c r="R579" s="5">
        <f t="shared" si="71"/>
        <v>0</v>
      </c>
      <c r="S579" s="5">
        <f t="shared" si="77"/>
        <v>0</v>
      </c>
      <c r="T579" s="247">
        <f t="shared" si="78"/>
        <v>0</v>
      </c>
      <c r="U579" s="5">
        <f t="shared" si="72"/>
        <v>0</v>
      </c>
      <c r="V579" s="247">
        <f t="shared" si="73"/>
        <v>0</v>
      </c>
      <c r="W579" s="276">
        <f t="shared" si="74"/>
        <v>0</v>
      </c>
      <c r="X579" s="277">
        <f t="shared" si="75"/>
        <v>0</v>
      </c>
    </row>
    <row r="580" spans="14:24" x14ac:dyDescent="0.25">
      <c r="N580" s="244">
        <f>Weather_Site!B586</f>
        <v>0</v>
      </c>
      <c r="O580" s="245">
        <f>Weather_Site!C586</f>
        <v>0</v>
      </c>
      <c r="P580" s="5">
        <f>Weather_Site!E586</f>
        <v>0</v>
      </c>
      <c r="Q580" s="245">
        <f t="shared" si="76"/>
        <v>0</v>
      </c>
      <c r="R580" s="5">
        <f t="shared" si="71"/>
        <v>0</v>
      </c>
      <c r="S580" s="5">
        <f t="shared" si="77"/>
        <v>0</v>
      </c>
      <c r="T580" s="247">
        <f t="shared" si="78"/>
        <v>0</v>
      </c>
      <c r="U580" s="5">
        <f t="shared" si="72"/>
        <v>0</v>
      </c>
      <c r="V580" s="247">
        <f t="shared" si="73"/>
        <v>0</v>
      </c>
      <c r="W580" s="276">
        <f t="shared" si="74"/>
        <v>0</v>
      </c>
      <c r="X580" s="277">
        <f t="shared" si="75"/>
        <v>0</v>
      </c>
    </row>
    <row r="581" spans="14:24" x14ac:dyDescent="0.25">
      <c r="N581" s="244">
        <f>Weather_Site!B587</f>
        <v>0</v>
      </c>
      <c r="O581" s="245">
        <f>Weather_Site!C587</f>
        <v>0</v>
      </c>
      <c r="P581" s="5">
        <f>Weather_Site!E587</f>
        <v>0</v>
      </c>
      <c r="Q581" s="245">
        <f t="shared" si="76"/>
        <v>0</v>
      </c>
      <c r="R581" s="5">
        <f t="shared" si="71"/>
        <v>0</v>
      </c>
      <c r="S581" s="5">
        <f t="shared" si="77"/>
        <v>0</v>
      </c>
      <c r="T581" s="247">
        <f t="shared" si="78"/>
        <v>0</v>
      </c>
      <c r="U581" s="5">
        <f t="shared" si="72"/>
        <v>0</v>
      </c>
      <c r="V581" s="247">
        <f t="shared" si="73"/>
        <v>0</v>
      </c>
      <c r="W581" s="276">
        <f t="shared" si="74"/>
        <v>0</v>
      </c>
      <c r="X581" s="277">
        <f t="shared" si="75"/>
        <v>0</v>
      </c>
    </row>
    <row r="582" spans="14:24" x14ac:dyDescent="0.25">
      <c r="N582" s="244">
        <f>Weather_Site!B588</f>
        <v>0</v>
      </c>
      <c r="O582" s="245">
        <f>Weather_Site!C588</f>
        <v>0</v>
      </c>
      <c r="P582" s="5">
        <f>Weather_Site!E588</f>
        <v>0</v>
      </c>
      <c r="Q582" s="245">
        <f t="shared" si="76"/>
        <v>0</v>
      </c>
      <c r="R582" s="5">
        <f t="shared" si="71"/>
        <v>0</v>
      </c>
      <c r="S582" s="5">
        <f t="shared" si="77"/>
        <v>0</v>
      </c>
      <c r="T582" s="247">
        <f t="shared" si="78"/>
        <v>0</v>
      </c>
      <c r="U582" s="5">
        <f t="shared" si="72"/>
        <v>0</v>
      </c>
      <c r="V582" s="247">
        <f t="shared" si="73"/>
        <v>0</v>
      </c>
      <c r="W582" s="276">
        <f t="shared" si="74"/>
        <v>0</v>
      </c>
      <c r="X582" s="277">
        <f t="shared" si="75"/>
        <v>0</v>
      </c>
    </row>
    <row r="583" spans="14:24" x14ac:dyDescent="0.25">
      <c r="N583" s="244">
        <f>Weather_Site!B589</f>
        <v>0</v>
      </c>
      <c r="O583" s="245">
        <f>Weather_Site!C589</f>
        <v>0</v>
      </c>
      <c r="P583" s="5">
        <f>Weather_Site!E589</f>
        <v>0</v>
      </c>
      <c r="Q583" s="245">
        <f t="shared" si="76"/>
        <v>0</v>
      </c>
      <c r="R583" s="5">
        <f t="shared" si="71"/>
        <v>0</v>
      </c>
      <c r="S583" s="5">
        <f t="shared" si="77"/>
        <v>0</v>
      </c>
      <c r="T583" s="247">
        <f t="shared" si="78"/>
        <v>0</v>
      </c>
      <c r="U583" s="5">
        <f t="shared" si="72"/>
        <v>0</v>
      </c>
      <c r="V583" s="247">
        <f t="shared" si="73"/>
        <v>0</v>
      </c>
      <c r="W583" s="276">
        <f t="shared" si="74"/>
        <v>0</v>
      </c>
      <c r="X583" s="277">
        <f t="shared" si="75"/>
        <v>0</v>
      </c>
    </row>
    <row r="584" spans="14:24" x14ac:dyDescent="0.25">
      <c r="N584" s="244">
        <f>Weather_Site!B590</f>
        <v>0</v>
      </c>
      <c r="O584" s="245">
        <f>Weather_Site!C590</f>
        <v>0</v>
      </c>
      <c r="P584" s="5">
        <f>Weather_Site!E590</f>
        <v>0</v>
      </c>
      <c r="Q584" s="245">
        <f t="shared" si="76"/>
        <v>0</v>
      </c>
      <c r="R584" s="5">
        <f t="shared" ref="R584:R647" si="79">HOUR(Q584)</f>
        <v>0</v>
      </c>
      <c r="S584" s="5">
        <f t="shared" si="77"/>
        <v>0</v>
      </c>
      <c r="T584" s="247">
        <f t="shared" si="78"/>
        <v>0</v>
      </c>
      <c r="U584" s="5">
        <f t="shared" ref="U584:U647" si="80">MAX((T584-70*R584),0)</f>
        <v>0</v>
      </c>
      <c r="V584" s="247">
        <f t="shared" ref="V584:V647" si="81">IF(OR(AND((N584-N583)=0,O583&gt;0.5),AND((N584-N583)=1,O584&lt;0.5),AND(N584-N583)=0,O584&lt;0.5),U584+V583,U584)</f>
        <v>0</v>
      </c>
      <c r="W584" s="276">
        <f t="shared" ref="W584:W647" si="82">IF(O584&lt;0.75,MAX(V584,W583),V584)</f>
        <v>0</v>
      </c>
      <c r="X584" s="277">
        <f t="shared" si="75"/>
        <v>0</v>
      </c>
    </row>
    <row r="585" spans="14:24" x14ac:dyDescent="0.25">
      <c r="N585" s="244">
        <f>Weather_Site!B591</f>
        <v>0</v>
      </c>
      <c r="O585" s="245">
        <f>Weather_Site!C591</f>
        <v>0</v>
      </c>
      <c r="P585" s="5">
        <f>Weather_Site!E591</f>
        <v>0</v>
      </c>
      <c r="Q585" s="245">
        <f t="shared" si="76"/>
        <v>0</v>
      </c>
      <c r="R585" s="5">
        <f t="shared" si="79"/>
        <v>0</v>
      </c>
      <c r="S585" s="5">
        <f t="shared" si="77"/>
        <v>0</v>
      </c>
      <c r="T585" s="247">
        <f t="shared" si="78"/>
        <v>0</v>
      </c>
      <c r="U585" s="5">
        <f t="shared" si="80"/>
        <v>0</v>
      </c>
      <c r="V585" s="247">
        <f t="shared" si="81"/>
        <v>0</v>
      </c>
      <c r="W585" s="276">
        <f t="shared" si="82"/>
        <v>0</v>
      </c>
      <c r="X585" s="277">
        <f t="shared" si="75"/>
        <v>0</v>
      </c>
    </row>
    <row r="586" spans="14:24" x14ac:dyDescent="0.25">
      <c r="N586" s="244">
        <f>Weather_Site!B592</f>
        <v>0</v>
      </c>
      <c r="O586" s="245">
        <f>Weather_Site!C592</f>
        <v>0</v>
      </c>
      <c r="P586" s="5">
        <f>Weather_Site!E592</f>
        <v>0</v>
      </c>
      <c r="Q586" s="245">
        <f t="shared" si="76"/>
        <v>0</v>
      </c>
      <c r="R586" s="5">
        <f t="shared" si="79"/>
        <v>0</v>
      </c>
      <c r="S586" s="5">
        <f t="shared" si="77"/>
        <v>0</v>
      </c>
      <c r="T586" s="247">
        <f t="shared" si="78"/>
        <v>0</v>
      </c>
      <c r="U586" s="5">
        <f t="shared" si="80"/>
        <v>0</v>
      </c>
      <c r="V586" s="247">
        <f t="shared" si="81"/>
        <v>0</v>
      </c>
      <c r="W586" s="276">
        <f t="shared" si="82"/>
        <v>0</v>
      </c>
      <c r="X586" s="277">
        <f t="shared" si="75"/>
        <v>0</v>
      </c>
    </row>
    <row r="587" spans="14:24" x14ac:dyDescent="0.25">
      <c r="N587" s="244">
        <f>Weather_Site!B593</f>
        <v>0</v>
      </c>
      <c r="O587" s="245">
        <f>Weather_Site!C593</f>
        <v>0</v>
      </c>
      <c r="P587" s="5">
        <f>Weather_Site!E593</f>
        <v>0</v>
      </c>
      <c r="Q587" s="245">
        <f t="shared" si="76"/>
        <v>0</v>
      </c>
      <c r="R587" s="5">
        <f t="shared" si="79"/>
        <v>0</v>
      </c>
      <c r="S587" s="5">
        <f t="shared" si="77"/>
        <v>0</v>
      </c>
      <c r="T587" s="247">
        <f t="shared" si="78"/>
        <v>0</v>
      </c>
      <c r="U587" s="5">
        <f t="shared" si="80"/>
        <v>0</v>
      </c>
      <c r="V587" s="247">
        <f t="shared" si="81"/>
        <v>0</v>
      </c>
      <c r="W587" s="276">
        <f t="shared" si="82"/>
        <v>0</v>
      </c>
      <c r="X587" s="277">
        <f t="shared" si="75"/>
        <v>0</v>
      </c>
    </row>
    <row r="588" spans="14:24" x14ac:dyDescent="0.25">
      <c r="N588" s="244">
        <f>Weather_Site!B594</f>
        <v>0</v>
      </c>
      <c r="O588" s="245">
        <f>Weather_Site!C594</f>
        <v>0</v>
      </c>
      <c r="P588" s="5">
        <f>Weather_Site!E594</f>
        <v>0</v>
      </c>
      <c r="Q588" s="245">
        <f t="shared" si="76"/>
        <v>0</v>
      </c>
      <c r="R588" s="5">
        <f t="shared" si="79"/>
        <v>0</v>
      </c>
      <c r="S588" s="5">
        <f t="shared" si="77"/>
        <v>0</v>
      </c>
      <c r="T588" s="247">
        <f t="shared" si="78"/>
        <v>0</v>
      </c>
      <c r="U588" s="5">
        <f t="shared" si="80"/>
        <v>0</v>
      </c>
      <c r="V588" s="247">
        <f t="shared" si="81"/>
        <v>0</v>
      </c>
      <c r="W588" s="276">
        <f t="shared" si="82"/>
        <v>0</v>
      </c>
      <c r="X588" s="277">
        <f t="shared" si="75"/>
        <v>0</v>
      </c>
    </row>
    <row r="589" spans="14:24" x14ac:dyDescent="0.25">
      <c r="N589" s="244">
        <f>Weather_Site!B595</f>
        <v>0</v>
      </c>
      <c r="O589" s="245">
        <f>Weather_Site!C595</f>
        <v>0</v>
      </c>
      <c r="P589" s="5">
        <f>Weather_Site!E595</f>
        <v>0</v>
      </c>
      <c r="Q589" s="245">
        <f t="shared" si="76"/>
        <v>0</v>
      </c>
      <c r="R589" s="5">
        <f t="shared" si="79"/>
        <v>0</v>
      </c>
      <c r="S589" s="5">
        <f t="shared" si="77"/>
        <v>0</v>
      </c>
      <c r="T589" s="247">
        <f t="shared" si="78"/>
        <v>0</v>
      </c>
      <c r="U589" s="5">
        <f t="shared" si="80"/>
        <v>0</v>
      </c>
      <c r="V589" s="247">
        <f t="shared" si="81"/>
        <v>0</v>
      </c>
      <c r="W589" s="276">
        <f t="shared" si="82"/>
        <v>0</v>
      </c>
      <c r="X589" s="277">
        <f t="shared" si="75"/>
        <v>0</v>
      </c>
    </row>
    <row r="590" spans="14:24" x14ac:dyDescent="0.25">
      <c r="N590" s="244">
        <f>Weather_Site!B596</f>
        <v>0</v>
      </c>
      <c r="O590" s="245">
        <f>Weather_Site!C596</f>
        <v>0</v>
      </c>
      <c r="P590" s="5">
        <f>Weather_Site!E596</f>
        <v>0</v>
      </c>
      <c r="Q590" s="245">
        <f t="shared" si="76"/>
        <v>0</v>
      </c>
      <c r="R590" s="5">
        <f t="shared" si="79"/>
        <v>0</v>
      </c>
      <c r="S590" s="5">
        <f t="shared" si="77"/>
        <v>0</v>
      </c>
      <c r="T590" s="247">
        <f t="shared" si="78"/>
        <v>0</v>
      </c>
      <c r="U590" s="5">
        <f t="shared" si="80"/>
        <v>0</v>
      </c>
      <c r="V590" s="247">
        <f t="shared" si="81"/>
        <v>0</v>
      </c>
      <c r="W590" s="276">
        <f t="shared" si="82"/>
        <v>0</v>
      </c>
      <c r="X590" s="277">
        <f t="shared" si="75"/>
        <v>0</v>
      </c>
    </row>
    <row r="591" spans="14:24" x14ac:dyDescent="0.25">
      <c r="N591" s="244">
        <f>Weather_Site!B597</f>
        <v>0</v>
      </c>
      <c r="O591" s="245">
        <f>Weather_Site!C597</f>
        <v>0</v>
      </c>
      <c r="P591" s="5">
        <f>Weather_Site!E597</f>
        <v>0</v>
      </c>
      <c r="Q591" s="245">
        <f t="shared" si="76"/>
        <v>0</v>
      </c>
      <c r="R591" s="5">
        <f t="shared" si="79"/>
        <v>0</v>
      </c>
      <c r="S591" s="5">
        <f t="shared" si="77"/>
        <v>0</v>
      </c>
      <c r="T591" s="247">
        <f t="shared" si="78"/>
        <v>0</v>
      </c>
      <c r="U591" s="5">
        <f t="shared" si="80"/>
        <v>0</v>
      </c>
      <c r="V591" s="247">
        <f t="shared" si="81"/>
        <v>0</v>
      </c>
      <c r="W591" s="276">
        <f t="shared" si="82"/>
        <v>0</v>
      </c>
      <c r="X591" s="277">
        <f t="shared" si="75"/>
        <v>0</v>
      </c>
    </row>
    <row r="592" spans="14:24" x14ac:dyDescent="0.25">
      <c r="N592" s="244">
        <f>Weather_Site!B598</f>
        <v>0</v>
      </c>
      <c r="O592" s="245">
        <f>Weather_Site!C598</f>
        <v>0</v>
      </c>
      <c r="P592" s="5">
        <f>Weather_Site!E598</f>
        <v>0</v>
      </c>
      <c r="Q592" s="245">
        <f t="shared" si="76"/>
        <v>0</v>
      </c>
      <c r="R592" s="5">
        <f t="shared" si="79"/>
        <v>0</v>
      </c>
      <c r="S592" s="5">
        <f t="shared" si="77"/>
        <v>0</v>
      </c>
      <c r="T592" s="247">
        <f t="shared" si="78"/>
        <v>0</v>
      </c>
      <c r="U592" s="5">
        <f t="shared" si="80"/>
        <v>0</v>
      </c>
      <c r="V592" s="247">
        <f t="shared" si="81"/>
        <v>0</v>
      </c>
      <c r="W592" s="276">
        <f t="shared" si="82"/>
        <v>0</v>
      </c>
      <c r="X592" s="277">
        <f t="shared" si="75"/>
        <v>0</v>
      </c>
    </row>
    <row r="593" spans="14:24" x14ac:dyDescent="0.25">
      <c r="N593" s="244">
        <f>Weather_Site!B599</f>
        <v>0</v>
      </c>
      <c r="O593" s="245">
        <f>Weather_Site!C599</f>
        <v>0</v>
      </c>
      <c r="P593" s="5">
        <f>Weather_Site!E599</f>
        <v>0</v>
      </c>
      <c r="Q593" s="245">
        <f t="shared" si="76"/>
        <v>0</v>
      </c>
      <c r="R593" s="5">
        <f t="shared" si="79"/>
        <v>0</v>
      </c>
      <c r="S593" s="5">
        <f t="shared" si="77"/>
        <v>0</v>
      </c>
      <c r="T593" s="247">
        <f t="shared" si="78"/>
        <v>0</v>
      </c>
      <c r="U593" s="5">
        <f t="shared" si="80"/>
        <v>0</v>
      </c>
      <c r="V593" s="247">
        <f t="shared" si="81"/>
        <v>0</v>
      </c>
      <c r="W593" s="276">
        <f t="shared" si="82"/>
        <v>0</v>
      </c>
      <c r="X593" s="277">
        <f t="shared" si="75"/>
        <v>0</v>
      </c>
    </row>
    <row r="594" spans="14:24" x14ac:dyDescent="0.25">
      <c r="N594" s="244">
        <f>Weather_Site!B600</f>
        <v>0</v>
      </c>
      <c r="O594" s="245">
        <f>Weather_Site!C600</f>
        <v>0</v>
      </c>
      <c r="P594" s="5">
        <f>Weather_Site!E600</f>
        <v>0</v>
      </c>
      <c r="Q594" s="245">
        <f t="shared" si="76"/>
        <v>0</v>
      </c>
      <c r="R594" s="5">
        <f t="shared" si="79"/>
        <v>0</v>
      </c>
      <c r="S594" s="5">
        <f t="shared" si="77"/>
        <v>0</v>
      </c>
      <c r="T594" s="247">
        <f t="shared" si="78"/>
        <v>0</v>
      </c>
      <c r="U594" s="5">
        <f t="shared" si="80"/>
        <v>0</v>
      </c>
      <c r="V594" s="247">
        <f t="shared" si="81"/>
        <v>0</v>
      </c>
      <c r="W594" s="276">
        <f t="shared" si="82"/>
        <v>0</v>
      </c>
      <c r="X594" s="277">
        <f t="shared" si="75"/>
        <v>0</v>
      </c>
    </row>
    <row r="595" spans="14:24" x14ac:dyDescent="0.25">
      <c r="N595" s="244">
        <f>Weather_Site!B601</f>
        <v>0</v>
      </c>
      <c r="O595" s="245">
        <f>Weather_Site!C601</f>
        <v>0</v>
      </c>
      <c r="P595" s="5">
        <f>Weather_Site!E601</f>
        <v>0</v>
      </c>
      <c r="Q595" s="245">
        <f t="shared" si="76"/>
        <v>0</v>
      </c>
      <c r="R595" s="5">
        <f t="shared" si="79"/>
        <v>0</v>
      </c>
      <c r="S595" s="5">
        <f t="shared" si="77"/>
        <v>0</v>
      </c>
      <c r="T595" s="247">
        <f t="shared" si="78"/>
        <v>0</v>
      </c>
      <c r="U595" s="5">
        <f t="shared" si="80"/>
        <v>0</v>
      </c>
      <c r="V595" s="247">
        <f t="shared" si="81"/>
        <v>0</v>
      </c>
      <c r="W595" s="276">
        <f t="shared" si="82"/>
        <v>0</v>
      </c>
      <c r="X595" s="277">
        <f t="shared" si="75"/>
        <v>0</v>
      </c>
    </row>
    <row r="596" spans="14:24" x14ac:dyDescent="0.25">
      <c r="N596" s="244">
        <f>Weather_Site!B602</f>
        <v>0</v>
      </c>
      <c r="O596" s="245">
        <f>Weather_Site!C602</f>
        <v>0</v>
      </c>
      <c r="P596" s="5">
        <f>Weather_Site!E602</f>
        <v>0</v>
      </c>
      <c r="Q596" s="245">
        <f t="shared" si="76"/>
        <v>0</v>
      </c>
      <c r="R596" s="5">
        <f t="shared" si="79"/>
        <v>0</v>
      </c>
      <c r="S596" s="5">
        <f t="shared" si="77"/>
        <v>0</v>
      </c>
      <c r="T596" s="247">
        <f t="shared" si="78"/>
        <v>0</v>
      </c>
      <c r="U596" s="5">
        <f t="shared" si="80"/>
        <v>0</v>
      </c>
      <c r="V596" s="247">
        <f t="shared" si="81"/>
        <v>0</v>
      </c>
      <c r="W596" s="276">
        <f t="shared" si="82"/>
        <v>0</v>
      </c>
      <c r="X596" s="277">
        <f t="shared" si="75"/>
        <v>0</v>
      </c>
    </row>
    <row r="597" spans="14:24" x14ac:dyDescent="0.25">
      <c r="N597" s="244">
        <f>Weather_Site!B603</f>
        <v>0</v>
      </c>
      <c r="O597" s="245">
        <f>Weather_Site!C603</f>
        <v>0</v>
      </c>
      <c r="P597" s="5">
        <f>Weather_Site!E603</f>
        <v>0</v>
      </c>
      <c r="Q597" s="245">
        <f t="shared" si="76"/>
        <v>0</v>
      </c>
      <c r="R597" s="5">
        <f t="shared" si="79"/>
        <v>0</v>
      </c>
      <c r="S597" s="5">
        <f t="shared" si="77"/>
        <v>0</v>
      </c>
      <c r="T597" s="247">
        <f t="shared" si="78"/>
        <v>0</v>
      </c>
      <c r="U597" s="5">
        <f t="shared" si="80"/>
        <v>0</v>
      </c>
      <c r="V597" s="247">
        <f t="shared" si="81"/>
        <v>0</v>
      </c>
      <c r="W597" s="276">
        <f t="shared" si="82"/>
        <v>0</v>
      </c>
      <c r="X597" s="277">
        <f t="shared" si="75"/>
        <v>0</v>
      </c>
    </row>
    <row r="598" spans="14:24" x14ac:dyDescent="0.25">
      <c r="N598" s="244">
        <f>Weather_Site!B604</f>
        <v>0</v>
      </c>
      <c r="O598" s="245">
        <f>Weather_Site!C604</f>
        <v>0</v>
      </c>
      <c r="P598" s="5">
        <f>Weather_Site!E604</f>
        <v>0</v>
      </c>
      <c r="Q598" s="245">
        <f t="shared" si="76"/>
        <v>0</v>
      </c>
      <c r="R598" s="5">
        <f t="shared" si="79"/>
        <v>0</v>
      </c>
      <c r="S598" s="5">
        <f t="shared" si="77"/>
        <v>0</v>
      </c>
      <c r="T598" s="247">
        <f t="shared" si="78"/>
        <v>0</v>
      </c>
      <c r="U598" s="5">
        <f t="shared" si="80"/>
        <v>0</v>
      </c>
      <c r="V598" s="247">
        <f t="shared" si="81"/>
        <v>0</v>
      </c>
      <c r="W598" s="276">
        <f t="shared" si="82"/>
        <v>0</v>
      </c>
      <c r="X598" s="277">
        <f t="shared" si="75"/>
        <v>0</v>
      </c>
    </row>
    <row r="599" spans="14:24" x14ac:dyDescent="0.25">
      <c r="N599" s="244">
        <f>Weather_Site!B605</f>
        <v>0</v>
      </c>
      <c r="O599" s="245">
        <f>Weather_Site!C605</f>
        <v>0</v>
      </c>
      <c r="P599" s="5">
        <f>Weather_Site!E605</f>
        <v>0</v>
      </c>
      <c r="Q599" s="245">
        <f t="shared" si="76"/>
        <v>0</v>
      </c>
      <c r="R599" s="5">
        <f t="shared" si="79"/>
        <v>0</v>
      </c>
      <c r="S599" s="5">
        <f t="shared" si="77"/>
        <v>0</v>
      </c>
      <c r="T599" s="247">
        <f t="shared" si="78"/>
        <v>0</v>
      </c>
      <c r="U599" s="5">
        <f t="shared" si="80"/>
        <v>0</v>
      </c>
      <c r="V599" s="247">
        <f t="shared" si="81"/>
        <v>0</v>
      </c>
      <c r="W599" s="276">
        <f t="shared" si="82"/>
        <v>0</v>
      </c>
      <c r="X599" s="277">
        <f t="shared" si="75"/>
        <v>0</v>
      </c>
    </row>
    <row r="600" spans="14:24" x14ac:dyDescent="0.25">
      <c r="N600" s="244">
        <f>Weather_Site!B606</f>
        <v>0</v>
      </c>
      <c r="O600" s="245">
        <f>Weather_Site!C606</f>
        <v>0</v>
      </c>
      <c r="P600" s="5">
        <f>Weather_Site!E606</f>
        <v>0</v>
      </c>
      <c r="Q600" s="245">
        <f t="shared" si="76"/>
        <v>0</v>
      </c>
      <c r="R600" s="5">
        <f t="shared" si="79"/>
        <v>0</v>
      </c>
      <c r="S600" s="5">
        <f t="shared" si="77"/>
        <v>0</v>
      </c>
      <c r="T600" s="247">
        <f t="shared" si="78"/>
        <v>0</v>
      </c>
      <c r="U600" s="5">
        <f t="shared" si="80"/>
        <v>0</v>
      </c>
      <c r="V600" s="247">
        <f t="shared" si="81"/>
        <v>0</v>
      </c>
      <c r="W600" s="276">
        <f t="shared" si="82"/>
        <v>0</v>
      </c>
      <c r="X600" s="277">
        <f t="shared" si="75"/>
        <v>0</v>
      </c>
    </row>
    <row r="601" spans="14:24" x14ac:dyDescent="0.25">
      <c r="N601" s="244">
        <f>Weather_Site!B607</f>
        <v>0</v>
      </c>
      <c r="O601" s="245">
        <f>Weather_Site!C607</f>
        <v>0</v>
      </c>
      <c r="P601" s="5">
        <f>Weather_Site!E607</f>
        <v>0</v>
      </c>
      <c r="Q601" s="245">
        <f t="shared" si="76"/>
        <v>0</v>
      </c>
      <c r="R601" s="5">
        <f t="shared" si="79"/>
        <v>0</v>
      </c>
      <c r="S601" s="5">
        <f t="shared" si="77"/>
        <v>0</v>
      </c>
      <c r="T601" s="247">
        <f t="shared" si="78"/>
        <v>0</v>
      </c>
      <c r="U601" s="5">
        <f t="shared" si="80"/>
        <v>0</v>
      </c>
      <c r="V601" s="247">
        <f t="shared" si="81"/>
        <v>0</v>
      </c>
      <c r="W601" s="276">
        <f t="shared" si="82"/>
        <v>0</v>
      </c>
      <c r="X601" s="277">
        <f t="shared" si="75"/>
        <v>0</v>
      </c>
    </row>
    <row r="602" spans="14:24" x14ac:dyDescent="0.25">
      <c r="N602" s="244">
        <f>Weather_Site!B608</f>
        <v>0</v>
      </c>
      <c r="O602" s="245">
        <f>Weather_Site!C608</f>
        <v>0</v>
      </c>
      <c r="P602" s="5">
        <f>Weather_Site!E608</f>
        <v>0</v>
      </c>
      <c r="Q602" s="245">
        <f t="shared" si="76"/>
        <v>0</v>
      </c>
      <c r="R602" s="5">
        <f t="shared" si="79"/>
        <v>0</v>
      </c>
      <c r="S602" s="5">
        <f t="shared" si="77"/>
        <v>0</v>
      </c>
      <c r="T602" s="247">
        <f t="shared" si="78"/>
        <v>0</v>
      </c>
      <c r="U602" s="5">
        <f t="shared" si="80"/>
        <v>0</v>
      </c>
      <c r="V602" s="247">
        <f t="shared" si="81"/>
        <v>0</v>
      </c>
      <c r="W602" s="276">
        <f t="shared" si="82"/>
        <v>0</v>
      </c>
      <c r="X602" s="277">
        <f t="shared" si="75"/>
        <v>0</v>
      </c>
    </row>
    <row r="603" spans="14:24" x14ac:dyDescent="0.25">
      <c r="N603" s="244">
        <f>Weather_Site!B609</f>
        <v>0</v>
      </c>
      <c r="O603" s="245">
        <f>Weather_Site!C609</f>
        <v>0</v>
      </c>
      <c r="P603" s="5">
        <f>Weather_Site!E609</f>
        <v>0</v>
      </c>
      <c r="Q603" s="245">
        <f t="shared" si="76"/>
        <v>0</v>
      </c>
      <c r="R603" s="5">
        <f t="shared" si="79"/>
        <v>0</v>
      </c>
      <c r="S603" s="5">
        <f t="shared" si="77"/>
        <v>0</v>
      </c>
      <c r="T603" s="247">
        <f t="shared" si="78"/>
        <v>0</v>
      </c>
      <c r="U603" s="5">
        <f t="shared" si="80"/>
        <v>0</v>
      </c>
      <c r="V603" s="247">
        <f t="shared" si="81"/>
        <v>0</v>
      </c>
      <c r="W603" s="276">
        <f t="shared" si="82"/>
        <v>0</v>
      </c>
      <c r="X603" s="277">
        <f t="shared" si="75"/>
        <v>0</v>
      </c>
    </row>
    <row r="604" spans="14:24" x14ac:dyDescent="0.25">
      <c r="N604" s="244">
        <f>Weather_Site!B610</f>
        <v>0</v>
      </c>
      <c r="O604" s="245">
        <f>Weather_Site!C610</f>
        <v>0</v>
      </c>
      <c r="P604" s="5">
        <f>Weather_Site!E610</f>
        <v>0</v>
      </c>
      <c r="Q604" s="245">
        <f t="shared" si="76"/>
        <v>0</v>
      </c>
      <c r="R604" s="5">
        <f t="shared" si="79"/>
        <v>0</v>
      </c>
      <c r="S604" s="5">
        <f t="shared" si="77"/>
        <v>0</v>
      </c>
      <c r="T604" s="247">
        <f t="shared" si="78"/>
        <v>0</v>
      </c>
      <c r="U604" s="5">
        <f t="shared" si="80"/>
        <v>0</v>
      </c>
      <c r="V604" s="247">
        <f t="shared" si="81"/>
        <v>0</v>
      </c>
      <c r="W604" s="276">
        <f t="shared" si="82"/>
        <v>0</v>
      </c>
      <c r="X604" s="277">
        <f t="shared" si="75"/>
        <v>0</v>
      </c>
    </row>
    <row r="605" spans="14:24" x14ac:dyDescent="0.25">
      <c r="N605" s="244">
        <f>Weather_Site!B611</f>
        <v>0</v>
      </c>
      <c r="O605" s="245">
        <f>Weather_Site!C611</f>
        <v>0</v>
      </c>
      <c r="P605" s="5">
        <f>Weather_Site!E611</f>
        <v>0</v>
      </c>
      <c r="Q605" s="245">
        <f t="shared" si="76"/>
        <v>0</v>
      </c>
      <c r="R605" s="5">
        <f t="shared" si="79"/>
        <v>0</v>
      </c>
      <c r="S605" s="5">
        <f t="shared" si="77"/>
        <v>0</v>
      </c>
      <c r="T605" s="247">
        <f t="shared" si="78"/>
        <v>0</v>
      </c>
      <c r="U605" s="5">
        <f t="shared" si="80"/>
        <v>0</v>
      </c>
      <c r="V605" s="247">
        <f t="shared" si="81"/>
        <v>0</v>
      </c>
      <c r="W605" s="276">
        <f t="shared" si="82"/>
        <v>0</v>
      </c>
      <c r="X605" s="277">
        <f t="shared" si="75"/>
        <v>0</v>
      </c>
    </row>
    <row r="606" spans="14:24" x14ac:dyDescent="0.25">
      <c r="N606" s="244">
        <f>Weather_Site!B612</f>
        <v>0</v>
      </c>
      <c r="O606" s="245">
        <f>Weather_Site!C612</f>
        <v>0</v>
      </c>
      <c r="P606" s="5">
        <f>Weather_Site!E612</f>
        <v>0</v>
      </c>
      <c r="Q606" s="245">
        <f t="shared" si="76"/>
        <v>0</v>
      </c>
      <c r="R606" s="5">
        <f t="shared" si="79"/>
        <v>0</v>
      </c>
      <c r="S606" s="5">
        <f t="shared" si="77"/>
        <v>0</v>
      </c>
      <c r="T606" s="247">
        <f t="shared" si="78"/>
        <v>0</v>
      </c>
      <c r="U606" s="5">
        <f t="shared" si="80"/>
        <v>0</v>
      </c>
      <c r="V606" s="247">
        <f t="shared" si="81"/>
        <v>0</v>
      </c>
      <c r="W606" s="276">
        <f t="shared" si="82"/>
        <v>0</v>
      </c>
      <c r="X606" s="277">
        <f t="shared" si="75"/>
        <v>0</v>
      </c>
    </row>
    <row r="607" spans="14:24" x14ac:dyDescent="0.25">
      <c r="N607" s="244">
        <f>Weather_Site!B613</f>
        <v>0</v>
      </c>
      <c r="O607" s="245">
        <f>Weather_Site!C613</f>
        <v>0</v>
      </c>
      <c r="P607" s="5">
        <f>Weather_Site!E613</f>
        <v>0</v>
      </c>
      <c r="Q607" s="245">
        <f t="shared" si="76"/>
        <v>0</v>
      </c>
      <c r="R607" s="5">
        <f t="shared" si="79"/>
        <v>0</v>
      </c>
      <c r="S607" s="5">
        <f t="shared" si="77"/>
        <v>0</v>
      </c>
      <c r="T607" s="247">
        <f t="shared" si="78"/>
        <v>0</v>
      </c>
      <c r="U607" s="5">
        <f t="shared" si="80"/>
        <v>0</v>
      </c>
      <c r="V607" s="247">
        <f t="shared" si="81"/>
        <v>0</v>
      </c>
      <c r="W607" s="276">
        <f t="shared" si="82"/>
        <v>0</v>
      </c>
      <c r="X607" s="277">
        <f t="shared" si="75"/>
        <v>0</v>
      </c>
    </row>
    <row r="608" spans="14:24" x14ac:dyDescent="0.25">
      <c r="N608" s="244">
        <f>Weather_Site!B614</f>
        <v>0</v>
      </c>
      <c r="O608" s="245">
        <f>Weather_Site!C614</f>
        <v>0</v>
      </c>
      <c r="P608" s="5">
        <f>Weather_Site!E614</f>
        <v>0</v>
      </c>
      <c r="Q608" s="245">
        <f t="shared" si="76"/>
        <v>0</v>
      </c>
      <c r="R608" s="5">
        <f t="shared" si="79"/>
        <v>0</v>
      </c>
      <c r="S608" s="5">
        <f t="shared" si="77"/>
        <v>0</v>
      </c>
      <c r="T608" s="247">
        <f t="shared" si="78"/>
        <v>0</v>
      </c>
      <c r="U608" s="5">
        <f t="shared" si="80"/>
        <v>0</v>
      </c>
      <c r="V608" s="247">
        <f t="shared" si="81"/>
        <v>0</v>
      </c>
      <c r="W608" s="276">
        <f t="shared" si="82"/>
        <v>0</v>
      </c>
      <c r="X608" s="277">
        <f t="shared" si="75"/>
        <v>0</v>
      </c>
    </row>
    <row r="609" spans="14:24" x14ac:dyDescent="0.25">
      <c r="N609" s="244">
        <f>Weather_Site!B615</f>
        <v>0</v>
      </c>
      <c r="O609" s="245">
        <f>Weather_Site!C615</f>
        <v>0</v>
      </c>
      <c r="P609" s="5">
        <f>Weather_Site!E615</f>
        <v>0</v>
      </c>
      <c r="Q609" s="245">
        <f t="shared" si="76"/>
        <v>0</v>
      </c>
      <c r="R609" s="5">
        <f t="shared" si="79"/>
        <v>0</v>
      </c>
      <c r="S609" s="5">
        <f t="shared" si="77"/>
        <v>0</v>
      </c>
      <c r="T609" s="247">
        <f t="shared" si="78"/>
        <v>0</v>
      </c>
      <c r="U609" s="5">
        <f t="shared" si="80"/>
        <v>0</v>
      </c>
      <c r="V609" s="247">
        <f t="shared" si="81"/>
        <v>0</v>
      </c>
      <c r="W609" s="276">
        <f t="shared" si="82"/>
        <v>0</v>
      </c>
      <c r="X609" s="277">
        <f t="shared" si="75"/>
        <v>0</v>
      </c>
    </row>
    <row r="610" spans="14:24" x14ac:dyDescent="0.25">
      <c r="N610" s="244">
        <f>Weather_Site!B616</f>
        <v>0</v>
      </c>
      <c r="O610" s="245">
        <f>Weather_Site!C616</f>
        <v>0</v>
      </c>
      <c r="P610" s="5">
        <f>Weather_Site!E616</f>
        <v>0</v>
      </c>
      <c r="Q610" s="245">
        <f t="shared" si="76"/>
        <v>0</v>
      </c>
      <c r="R610" s="5">
        <f t="shared" si="79"/>
        <v>0</v>
      </c>
      <c r="S610" s="5">
        <f t="shared" si="77"/>
        <v>0</v>
      </c>
      <c r="T610" s="247">
        <f t="shared" si="78"/>
        <v>0</v>
      </c>
      <c r="U610" s="5">
        <f t="shared" si="80"/>
        <v>0</v>
      </c>
      <c r="V610" s="247">
        <f t="shared" si="81"/>
        <v>0</v>
      </c>
      <c r="W610" s="276">
        <f t="shared" si="82"/>
        <v>0</v>
      </c>
      <c r="X610" s="277">
        <f t="shared" si="75"/>
        <v>0</v>
      </c>
    </row>
    <row r="611" spans="14:24" x14ac:dyDescent="0.25">
      <c r="N611" s="244">
        <f>Weather_Site!B617</f>
        <v>0</v>
      </c>
      <c r="O611" s="245">
        <f>Weather_Site!C617</f>
        <v>0</v>
      </c>
      <c r="P611" s="5">
        <f>Weather_Site!E617</f>
        <v>0</v>
      </c>
      <c r="Q611" s="245">
        <f t="shared" si="76"/>
        <v>0</v>
      </c>
      <c r="R611" s="5">
        <f t="shared" si="79"/>
        <v>0</v>
      </c>
      <c r="S611" s="5">
        <f t="shared" si="77"/>
        <v>0</v>
      </c>
      <c r="T611" s="247">
        <f t="shared" si="78"/>
        <v>0</v>
      </c>
      <c r="U611" s="5">
        <f t="shared" si="80"/>
        <v>0</v>
      </c>
      <c r="V611" s="247">
        <f t="shared" si="81"/>
        <v>0</v>
      </c>
      <c r="W611" s="276">
        <f t="shared" si="82"/>
        <v>0</v>
      </c>
      <c r="X611" s="277">
        <f t="shared" si="75"/>
        <v>0</v>
      </c>
    </row>
    <row r="612" spans="14:24" x14ac:dyDescent="0.25">
      <c r="N612" s="244">
        <f>Weather_Site!B618</f>
        <v>0</v>
      </c>
      <c r="O612" s="245">
        <f>Weather_Site!C618</f>
        <v>0</v>
      </c>
      <c r="P612" s="5">
        <f>Weather_Site!E618</f>
        <v>0</v>
      </c>
      <c r="Q612" s="245">
        <f t="shared" si="76"/>
        <v>0</v>
      </c>
      <c r="R612" s="5">
        <f t="shared" si="79"/>
        <v>0</v>
      </c>
      <c r="S612" s="5">
        <f t="shared" si="77"/>
        <v>0</v>
      </c>
      <c r="T612" s="247">
        <f t="shared" si="78"/>
        <v>0</v>
      </c>
      <c r="U612" s="5">
        <f t="shared" si="80"/>
        <v>0</v>
      </c>
      <c r="V612" s="247">
        <f t="shared" si="81"/>
        <v>0</v>
      </c>
      <c r="W612" s="276">
        <f t="shared" si="82"/>
        <v>0</v>
      </c>
      <c r="X612" s="277">
        <f t="shared" ref="X612:X675" si="83">IF(AND(O611&lt;0.333,O612&gt;=0.333),W612,X611)</f>
        <v>0</v>
      </c>
    </row>
    <row r="613" spans="14:24" x14ac:dyDescent="0.25">
      <c r="N613" s="244">
        <f>Weather_Site!B619</f>
        <v>0</v>
      </c>
      <c r="O613" s="245">
        <f>Weather_Site!C619</f>
        <v>0</v>
      </c>
      <c r="P613" s="5">
        <f>Weather_Site!E619</f>
        <v>0</v>
      </c>
      <c r="Q613" s="245">
        <f t="shared" ref="Q613:Q676" si="84">IF((O613-O612)&lt;0,(1-MAX(O612,0.625))+MIN(O613,0.334),(IF(O612&lt;0.333,(MIN(O613,0.334)-O612),IF(O613&gt;0.625,MAX(O613,0.625)-O612,0))))</f>
        <v>0</v>
      </c>
      <c r="R613" s="5">
        <f t="shared" si="79"/>
        <v>0</v>
      </c>
      <c r="S613" s="5">
        <f t="shared" ref="S613:S676" si="85">HOUR(O613)</f>
        <v>0</v>
      </c>
      <c r="T613" s="247">
        <f t="shared" ref="T613:T676" si="86">(P613+P612)/2*R613</f>
        <v>0</v>
      </c>
      <c r="U613" s="5">
        <f t="shared" si="80"/>
        <v>0</v>
      </c>
      <c r="V613" s="247">
        <f t="shared" si="81"/>
        <v>0</v>
      </c>
      <c r="W613" s="276">
        <f t="shared" si="82"/>
        <v>0</v>
      </c>
      <c r="X613" s="277">
        <f t="shared" si="83"/>
        <v>0</v>
      </c>
    </row>
    <row r="614" spans="14:24" x14ac:dyDescent="0.25">
      <c r="N614" s="244">
        <f>Weather_Site!B620</f>
        <v>0</v>
      </c>
      <c r="O614" s="245">
        <f>Weather_Site!C620</f>
        <v>0</v>
      </c>
      <c r="P614" s="5">
        <f>Weather_Site!E620</f>
        <v>0</v>
      </c>
      <c r="Q614" s="245">
        <f t="shared" si="84"/>
        <v>0</v>
      </c>
      <c r="R614" s="5">
        <f t="shared" si="79"/>
        <v>0</v>
      </c>
      <c r="S614" s="5">
        <f t="shared" si="85"/>
        <v>0</v>
      </c>
      <c r="T614" s="247">
        <f t="shared" si="86"/>
        <v>0</v>
      </c>
      <c r="U614" s="5">
        <f t="shared" si="80"/>
        <v>0</v>
      </c>
      <c r="V614" s="247">
        <f t="shared" si="81"/>
        <v>0</v>
      </c>
      <c r="W614" s="276">
        <f t="shared" si="82"/>
        <v>0</v>
      </c>
      <c r="X614" s="277">
        <f t="shared" si="83"/>
        <v>0</v>
      </c>
    </row>
    <row r="615" spans="14:24" x14ac:dyDescent="0.25">
      <c r="N615" s="244">
        <f>Weather_Site!B621</f>
        <v>0</v>
      </c>
      <c r="O615" s="245">
        <f>Weather_Site!C621</f>
        <v>0</v>
      </c>
      <c r="P615" s="5">
        <f>Weather_Site!E621</f>
        <v>0</v>
      </c>
      <c r="Q615" s="245">
        <f t="shared" si="84"/>
        <v>0</v>
      </c>
      <c r="R615" s="5">
        <f t="shared" si="79"/>
        <v>0</v>
      </c>
      <c r="S615" s="5">
        <f t="shared" si="85"/>
        <v>0</v>
      </c>
      <c r="T615" s="247">
        <f t="shared" si="86"/>
        <v>0</v>
      </c>
      <c r="U615" s="5">
        <f t="shared" si="80"/>
        <v>0</v>
      </c>
      <c r="V615" s="247">
        <f t="shared" si="81"/>
        <v>0</v>
      </c>
      <c r="W615" s="276">
        <f t="shared" si="82"/>
        <v>0</v>
      </c>
      <c r="X615" s="277">
        <f t="shared" si="83"/>
        <v>0</v>
      </c>
    </row>
    <row r="616" spans="14:24" x14ac:dyDescent="0.25">
      <c r="N616" s="244">
        <f>Weather_Site!B622</f>
        <v>0</v>
      </c>
      <c r="O616" s="245">
        <f>Weather_Site!C622</f>
        <v>0</v>
      </c>
      <c r="P616" s="5">
        <f>Weather_Site!E622</f>
        <v>0</v>
      </c>
      <c r="Q616" s="245">
        <f t="shared" si="84"/>
        <v>0</v>
      </c>
      <c r="R616" s="5">
        <f t="shared" si="79"/>
        <v>0</v>
      </c>
      <c r="S616" s="5">
        <f t="shared" si="85"/>
        <v>0</v>
      </c>
      <c r="T616" s="247">
        <f t="shared" si="86"/>
        <v>0</v>
      </c>
      <c r="U616" s="5">
        <f t="shared" si="80"/>
        <v>0</v>
      </c>
      <c r="V616" s="247">
        <f t="shared" si="81"/>
        <v>0</v>
      </c>
      <c r="W616" s="276">
        <f t="shared" si="82"/>
        <v>0</v>
      </c>
      <c r="X616" s="277">
        <f t="shared" si="83"/>
        <v>0</v>
      </c>
    </row>
    <row r="617" spans="14:24" x14ac:dyDescent="0.25">
      <c r="N617" s="244">
        <f>Weather_Site!B623</f>
        <v>0</v>
      </c>
      <c r="O617" s="245">
        <f>Weather_Site!C623</f>
        <v>0</v>
      </c>
      <c r="P617" s="5">
        <f>Weather_Site!E623</f>
        <v>0</v>
      </c>
      <c r="Q617" s="245">
        <f t="shared" si="84"/>
        <v>0</v>
      </c>
      <c r="R617" s="5">
        <f t="shared" si="79"/>
        <v>0</v>
      </c>
      <c r="S617" s="5">
        <f t="shared" si="85"/>
        <v>0</v>
      </c>
      <c r="T617" s="247">
        <f t="shared" si="86"/>
        <v>0</v>
      </c>
      <c r="U617" s="5">
        <f t="shared" si="80"/>
        <v>0</v>
      </c>
      <c r="V617" s="247">
        <f t="shared" si="81"/>
        <v>0</v>
      </c>
      <c r="W617" s="276">
        <f t="shared" si="82"/>
        <v>0</v>
      </c>
      <c r="X617" s="277">
        <f t="shared" si="83"/>
        <v>0</v>
      </c>
    </row>
    <row r="618" spans="14:24" x14ac:dyDescent="0.25">
      <c r="N618" s="244">
        <f>Weather_Site!B624</f>
        <v>0</v>
      </c>
      <c r="O618" s="245">
        <f>Weather_Site!C624</f>
        <v>0</v>
      </c>
      <c r="P618" s="5">
        <f>Weather_Site!E624</f>
        <v>0</v>
      </c>
      <c r="Q618" s="245">
        <f t="shared" si="84"/>
        <v>0</v>
      </c>
      <c r="R618" s="5">
        <f t="shared" si="79"/>
        <v>0</v>
      </c>
      <c r="S618" s="5">
        <f t="shared" si="85"/>
        <v>0</v>
      </c>
      <c r="T618" s="247">
        <f t="shared" si="86"/>
        <v>0</v>
      </c>
      <c r="U618" s="5">
        <f t="shared" si="80"/>
        <v>0</v>
      </c>
      <c r="V618" s="247">
        <f t="shared" si="81"/>
        <v>0</v>
      </c>
      <c r="W618" s="276">
        <f t="shared" si="82"/>
        <v>0</v>
      </c>
      <c r="X618" s="277">
        <f t="shared" si="83"/>
        <v>0</v>
      </c>
    </row>
    <row r="619" spans="14:24" x14ac:dyDescent="0.25">
      <c r="N619" s="244">
        <f>Weather_Site!B625</f>
        <v>0</v>
      </c>
      <c r="O619" s="245">
        <f>Weather_Site!C625</f>
        <v>0</v>
      </c>
      <c r="P619" s="5">
        <f>Weather_Site!E625</f>
        <v>0</v>
      </c>
      <c r="Q619" s="245">
        <f t="shared" si="84"/>
        <v>0</v>
      </c>
      <c r="R619" s="5">
        <f t="shared" si="79"/>
        <v>0</v>
      </c>
      <c r="S619" s="5">
        <f t="shared" si="85"/>
        <v>0</v>
      </c>
      <c r="T619" s="247">
        <f t="shared" si="86"/>
        <v>0</v>
      </c>
      <c r="U619" s="5">
        <f t="shared" si="80"/>
        <v>0</v>
      </c>
      <c r="V619" s="247">
        <f t="shared" si="81"/>
        <v>0</v>
      </c>
      <c r="W619" s="276">
        <f t="shared" si="82"/>
        <v>0</v>
      </c>
      <c r="X619" s="277">
        <f t="shared" si="83"/>
        <v>0</v>
      </c>
    </row>
    <row r="620" spans="14:24" x14ac:dyDescent="0.25">
      <c r="N620" s="244">
        <f>Weather_Site!B626</f>
        <v>0</v>
      </c>
      <c r="O620" s="245">
        <f>Weather_Site!C626</f>
        <v>0</v>
      </c>
      <c r="P620" s="5">
        <f>Weather_Site!E626</f>
        <v>0</v>
      </c>
      <c r="Q620" s="245">
        <f t="shared" si="84"/>
        <v>0</v>
      </c>
      <c r="R620" s="5">
        <f t="shared" si="79"/>
        <v>0</v>
      </c>
      <c r="S620" s="5">
        <f t="shared" si="85"/>
        <v>0</v>
      </c>
      <c r="T620" s="247">
        <f t="shared" si="86"/>
        <v>0</v>
      </c>
      <c r="U620" s="5">
        <f t="shared" si="80"/>
        <v>0</v>
      </c>
      <c r="V620" s="247">
        <f t="shared" si="81"/>
        <v>0</v>
      </c>
      <c r="W620" s="276">
        <f t="shared" si="82"/>
        <v>0</v>
      </c>
      <c r="X620" s="277">
        <f t="shared" si="83"/>
        <v>0</v>
      </c>
    </row>
    <row r="621" spans="14:24" x14ac:dyDescent="0.25">
      <c r="N621" s="244">
        <f>Weather_Site!B627</f>
        <v>0</v>
      </c>
      <c r="O621" s="245">
        <f>Weather_Site!C627</f>
        <v>0</v>
      </c>
      <c r="P621" s="5">
        <f>Weather_Site!E627</f>
        <v>0</v>
      </c>
      <c r="Q621" s="245">
        <f t="shared" si="84"/>
        <v>0</v>
      </c>
      <c r="R621" s="5">
        <f t="shared" si="79"/>
        <v>0</v>
      </c>
      <c r="S621" s="5">
        <f t="shared" si="85"/>
        <v>0</v>
      </c>
      <c r="T621" s="247">
        <f t="shared" si="86"/>
        <v>0</v>
      </c>
      <c r="U621" s="5">
        <f t="shared" si="80"/>
        <v>0</v>
      </c>
      <c r="V621" s="247">
        <f t="shared" si="81"/>
        <v>0</v>
      </c>
      <c r="W621" s="276">
        <f t="shared" si="82"/>
        <v>0</v>
      </c>
      <c r="X621" s="277">
        <f t="shared" si="83"/>
        <v>0</v>
      </c>
    </row>
    <row r="622" spans="14:24" x14ac:dyDescent="0.25">
      <c r="N622" s="244">
        <f>Weather_Site!B628</f>
        <v>0</v>
      </c>
      <c r="O622" s="245">
        <f>Weather_Site!C628</f>
        <v>0</v>
      </c>
      <c r="P622" s="5">
        <f>Weather_Site!E628</f>
        <v>0</v>
      </c>
      <c r="Q622" s="245">
        <f t="shared" si="84"/>
        <v>0</v>
      </c>
      <c r="R622" s="5">
        <f t="shared" si="79"/>
        <v>0</v>
      </c>
      <c r="S622" s="5">
        <f t="shared" si="85"/>
        <v>0</v>
      </c>
      <c r="T622" s="247">
        <f t="shared" si="86"/>
        <v>0</v>
      </c>
      <c r="U622" s="5">
        <f t="shared" si="80"/>
        <v>0</v>
      </c>
      <c r="V622" s="247">
        <f t="shared" si="81"/>
        <v>0</v>
      </c>
      <c r="W622" s="276">
        <f t="shared" si="82"/>
        <v>0</v>
      </c>
      <c r="X622" s="277">
        <f t="shared" si="83"/>
        <v>0</v>
      </c>
    </row>
    <row r="623" spans="14:24" x14ac:dyDescent="0.25">
      <c r="N623" s="244">
        <f>Weather_Site!B629</f>
        <v>0</v>
      </c>
      <c r="O623" s="245">
        <f>Weather_Site!C629</f>
        <v>0</v>
      </c>
      <c r="P623" s="5">
        <f>Weather_Site!E629</f>
        <v>0</v>
      </c>
      <c r="Q623" s="245">
        <f t="shared" si="84"/>
        <v>0</v>
      </c>
      <c r="R623" s="5">
        <f t="shared" si="79"/>
        <v>0</v>
      </c>
      <c r="S623" s="5">
        <f t="shared" si="85"/>
        <v>0</v>
      </c>
      <c r="T623" s="247">
        <f t="shared" si="86"/>
        <v>0</v>
      </c>
      <c r="U623" s="5">
        <f t="shared" si="80"/>
        <v>0</v>
      </c>
      <c r="V623" s="247">
        <f t="shared" si="81"/>
        <v>0</v>
      </c>
      <c r="W623" s="276">
        <f t="shared" si="82"/>
        <v>0</v>
      </c>
      <c r="X623" s="277">
        <f t="shared" si="83"/>
        <v>0</v>
      </c>
    </row>
    <row r="624" spans="14:24" x14ac:dyDescent="0.25">
      <c r="N624" s="244">
        <f>Weather_Site!B630</f>
        <v>0</v>
      </c>
      <c r="O624" s="245">
        <f>Weather_Site!C630</f>
        <v>0</v>
      </c>
      <c r="P624" s="5">
        <f>Weather_Site!E630</f>
        <v>0</v>
      </c>
      <c r="Q624" s="245">
        <f t="shared" si="84"/>
        <v>0</v>
      </c>
      <c r="R624" s="5">
        <f t="shared" si="79"/>
        <v>0</v>
      </c>
      <c r="S624" s="5">
        <f t="shared" si="85"/>
        <v>0</v>
      </c>
      <c r="T624" s="247">
        <f t="shared" si="86"/>
        <v>0</v>
      </c>
      <c r="U624" s="5">
        <f t="shared" si="80"/>
        <v>0</v>
      </c>
      <c r="V624" s="247">
        <f t="shared" si="81"/>
        <v>0</v>
      </c>
      <c r="W624" s="276">
        <f t="shared" si="82"/>
        <v>0</v>
      </c>
      <c r="X624" s="277">
        <f t="shared" si="83"/>
        <v>0</v>
      </c>
    </row>
    <row r="625" spans="14:24" x14ac:dyDescent="0.25">
      <c r="N625" s="244">
        <f>Weather_Site!B631</f>
        <v>0</v>
      </c>
      <c r="O625" s="245">
        <f>Weather_Site!C631</f>
        <v>0</v>
      </c>
      <c r="P625" s="5">
        <f>Weather_Site!E631</f>
        <v>0</v>
      </c>
      <c r="Q625" s="245">
        <f t="shared" si="84"/>
        <v>0</v>
      </c>
      <c r="R625" s="5">
        <f t="shared" si="79"/>
        <v>0</v>
      </c>
      <c r="S625" s="5">
        <f t="shared" si="85"/>
        <v>0</v>
      </c>
      <c r="T625" s="247">
        <f t="shared" si="86"/>
        <v>0</v>
      </c>
      <c r="U625" s="5">
        <f t="shared" si="80"/>
        <v>0</v>
      </c>
      <c r="V625" s="247">
        <f t="shared" si="81"/>
        <v>0</v>
      </c>
      <c r="W625" s="276">
        <f t="shared" si="82"/>
        <v>0</v>
      </c>
      <c r="X625" s="277">
        <f t="shared" si="83"/>
        <v>0</v>
      </c>
    </row>
    <row r="626" spans="14:24" x14ac:dyDescent="0.25">
      <c r="N626" s="244">
        <f>Weather_Site!B632</f>
        <v>0</v>
      </c>
      <c r="O626" s="245">
        <f>Weather_Site!C632</f>
        <v>0</v>
      </c>
      <c r="P626" s="5">
        <f>Weather_Site!E632</f>
        <v>0</v>
      </c>
      <c r="Q626" s="245">
        <f t="shared" si="84"/>
        <v>0</v>
      </c>
      <c r="R626" s="5">
        <f t="shared" si="79"/>
        <v>0</v>
      </c>
      <c r="S626" s="5">
        <f t="shared" si="85"/>
        <v>0</v>
      </c>
      <c r="T626" s="247">
        <f t="shared" si="86"/>
        <v>0</v>
      </c>
      <c r="U626" s="5">
        <f t="shared" si="80"/>
        <v>0</v>
      </c>
      <c r="V626" s="247">
        <f t="shared" si="81"/>
        <v>0</v>
      </c>
      <c r="W626" s="276">
        <f t="shared" si="82"/>
        <v>0</v>
      </c>
      <c r="X626" s="277">
        <f t="shared" si="83"/>
        <v>0</v>
      </c>
    </row>
    <row r="627" spans="14:24" x14ac:dyDescent="0.25">
      <c r="N627" s="244">
        <f>Weather_Site!B633</f>
        <v>0</v>
      </c>
      <c r="O627" s="245">
        <f>Weather_Site!C633</f>
        <v>0</v>
      </c>
      <c r="P627" s="5">
        <f>Weather_Site!E633</f>
        <v>0</v>
      </c>
      <c r="Q627" s="245">
        <f t="shared" si="84"/>
        <v>0</v>
      </c>
      <c r="R627" s="5">
        <f t="shared" si="79"/>
        <v>0</v>
      </c>
      <c r="S627" s="5">
        <f t="shared" si="85"/>
        <v>0</v>
      </c>
      <c r="T627" s="247">
        <f t="shared" si="86"/>
        <v>0</v>
      </c>
      <c r="U627" s="5">
        <f t="shared" si="80"/>
        <v>0</v>
      </c>
      <c r="V627" s="247">
        <f t="shared" si="81"/>
        <v>0</v>
      </c>
      <c r="W627" s="276">
        <f t="shared" si="82"/>
        <v>0</v>
      </c>
      <c r="X627" s="277">
        <f t="shared" si="83"/>
        <v>0</v>
      </c>
    </row>
    <row r="628" spans="14:24" x14ac:dyDescent="0.25">
      <c r="N628" s="244">
        <f>Weather_Site!B634</f>
        <v>0</v>
      </c>
      <c r="O628" s="245">
        <f>Weather_Site!C634</f>
        <v>0</v>
      </c>
      <c r="P628" s="5">
        <f>Weather_Site!E634</f>
        <v>0</v>
      </c>
      <c r="Q628" s="245">
        <f t="shared" si="84"/>
        <v>0</v>
      </c>
      <c r="R628" s="5">
        <f t="shared" si="79"/>
        <v>0</v>
      </c>
      <c r="S628" s="5">
        <f t="shared" si="85"/>
        <v>0</v>
      </c>
      <c r="T628" s="247">
        <f t="shared" si="86"/>
        <v>0</v>
      </c>
      <c r="U628" s="5">
        <f t="shared" si="80"/>
        <v>0</v>
      </c>
      <c r="V628" s="247">
        <f t="shared" si="81"/>
        <v>0</v>
      </c>
      <c r="W628" s="276">
        <f t="shared" si="82"/>
        <v>0</v>
      </c>
      <c r="X628" s="277">
        <f t="shared" si="83"/>
        <v>0</v>
      </c>
    </row>
    <row r="629" spans="14:24" x14ac:dyDescent="0.25">
      <c r="N629" s="244">
        <f>Weather_Site!B635</f>
        <v>0</v>
      </c>
      <c r="O629" s="245">
        <f>Weather_Site!C635</f>
        <v>0</v>
      </c>
      <c r="P629" s="5">
        <f>Weather_Site!E635</f>
        <v>0</v>
      </c>
      <c r="Q629" s="245">
        <f t="shared" si="84"/>
        <v>0</v>
      </c>
      <c r="R629" s="5">
        <f t="shared" si="79"/>
        <v>0</v>
      </c>
      <c r="S629" s="5">
        <f t="shared" si="85"/>
        <v>0</v>
      </c>
      <c r="T629" s="247">
        <f t="shared" si="86"/>
        <v>0</v>
      </c>
      <c r="U629" s="5">
        <f t="shared" si="80"/>
        <v>0</v>
      </c>
      <c r="V629" s="247">
        <f t="shared" si="81"/>
        <v>0</v>
      </c>
      <c r="W629" s="276">
        <f t="shared" si="82"/>
        <v>0</v>
      </c>
      <c r="X629" s="277">
        <f t="shared" si="83"/>
        <v>0</v>
      </c>
    </row>
    <row r="630" spans="14:24" x14ac:dyDescent="0.25">
      <c r="N630" s="244">
        <f>Weather_Site!B636</f>
        <v>0</v>
      </c>
      <c r="O630" s="245">
        <f>Weather_Site!C636</f>
        <v>0</v>
      </c>
      <c r="P630" s="5">
        <f>Weather_Site!E636</f>
        <v>0</v>
      </c>
      <c r="Q630" s="245">
        <f t="shared" si="84"/>
        <v>0</v>
      </c>
      <c r="R630" s="5">
        <f t="shared" si="79"/>
        <v>0</v>
      </c>
      <c r="S630" s="5">
        <f t="shared" si="85"/>
        <v>0</v>
      </c>
      <c r="T630" s="247">
        <f t="shared" si="86"/>
        <v>0</v>
      </c>
      <c r="U630" s="5">
        <f t="shared" si="80"/>
        <v>0</v>
      </c>
      <c r="V630" s="247">
        <f t="shared" si="81"/>
        <v>0</v>
      </c>
      <c r="W630" s="276">
        <f t="shared" si="82"/>
        <v>0</v>
      </c>
      <c r="X630" s="277">
        <f t="shared" si="83"/>
        <v>0</v>
      </c>
    </row>
    <row r="631" spans="14:24" x14ac:dyDescent="0.25">
      <c r="N631" s="244">
        <f>Weather_Site!B637</f>
        <v>0</v>
      </c>
      <c r="O631" s="245">
        <f>Weather_Site!C637</f>
        <v>0</v>
      </c>
      <c r="P631" s="5">
        <f>Weather_Site!E637</f>
        <v>0</v>
      </c>
      <c r="Q631" s="245">
        <f t="shared" si="84"/>
        <v>0</v>
      </c>
      <c r="R631" s="5">
        <f t="shared" si="79"/>
        <v>0</v>
      </c>
      <c r="S631" s="5">
        <f t="shared" si="85"/>
        <v>0</v>
      </c>
      <c r="T631" s="247">
        <f t="shared" si="86"/>
        <v>0</v>
      </c>
      <c r="U631" s="5">
        <f t="shared" si="80"/>
        <v>0</v>
      </c>
      <c r="V631" s="247">
        <f t="shared" si="81"/>
        <v>0</v>
      </c>
      <c r="W631" s="276">
        <f t="shared" si="82"/>
        <v>0</v>
      </c>
      <c r="X631" s="277">
        <f t="shared" si="83"/>
        <v>0</v>
      </c>
    </row>
    <row r="632" spans="14:24" x14ac:dyDescent="0.25">
      <c r="N632" s="244">
        <f>Weather_Site!B638</f>
        <v>0</v>
      </c>
      <c r="O632" s="245">
        <f>Weather_Site!C638</f>
        <v>0</v>
      </c>
      <c r="P632" s="5">
        <f>Weather_Site!E638</f>
        <v>0</v>
      </c>
      <c r="Q632" s="245">
        <f t="shared" si="84"/>
        <v>0</v>
      </c>
      <c r="R632" s="5">
        <f t="shared" si="79"/>
        <v>0</v>
      </c>
      <c r="S632" s="5">
        <f t="shared" si="85"/>
        <v>0</v>
      </c>
      <c r="T632" s="247">
        <f t="shared" si="86"/>
        <v>0</v>
      </c>
      <c r="U632" s="5">
        <f t="shared" si="80"/>
        <v>0</v>
      </c>
      <c r="V632" s="247">
        <f t="shared" si="81"/>
        <v>0</v>
      </c>
      <c r="W632" s="276">
        <f t="shared" si="82"/>
        <v>0</v>
      </c>
      <c r="X632" s="277">
        <f t="shared" si="83"/>
        <v>0</v>
      </c>
    </row>
    <row r="633" spans="14:24" x14ac:dyDescent="0.25">
      <c r="N633" s="244">
        <f>Weather_Site!B639</f>
        <v>0</v>
      </c>
      <c r="O633" s="245">
        <f>Weather_Site!C639</f>
        <v>0</v>
      </c>
      <c r="P633" s="5">
        <f>Weather_Site!E639</f>
        <v>0</v>
      </c>
      <c r="Q633" s="245">
        <f t="shared" si="84"/>
        <v>0</v>
      </c>
      <c r="R633" s="5">
        <f t="shared" si="79"/>
        <v>0</v>
      </c>
      <c r="S633" s="5">
        <f t="shared" si="85"/>
        <v>0</v>
      </c>
      <c r="T633" s="247">
        <f t="shared" si="86"/>
        <v>0</v>
      </c>
      <c r="U633" s="5">
        <f t="shared" si="80"/>
        <v>0</v>
      </c>
      <c r="V633" s="247">
        <f t="shared" si="81"/>
        <v>0</v>
      </c>
      <c r="W633" s="276">
        <f t="shared" si="82"/>
        <v>0</v>
      </c>
      <c r="X633" s="277">
        <f t="shared" si="83"/>
        <v>0</v>
      </c>
    </row>
    <row r="634" spans="14:24" x14ac:dyDescent="0.25">
      <c r="N634" s="244">
        <f>Weather_Site!B640</f>
        <v>0</v>
      </c>
      <c r="O634" s="245">
        <f>Weather_Site!C640</f>
        <v>0</v>
      </c>
      <c r="P634" s="5">
        <f>Weather_Site!E640</f>
        <v>0</v>
      </c>
      <c r="Q634" s="245">
        <f t="shared" si="84"/>
        <v>0</v>
      </c>
      <c r="R634" s="5">
        <f t="shared" si="79"/>
        <v>0</v>
      </c>
      <c r="S634" s="5">
        <f t="shared" si="85"/>
        <v>0</v>
      </c>
      <c r="T634" s="247">
        <f t="shared" si="86"/>
        <v>0</v>
      </c>
      <c r="U634" s="5">
        <f t="shared" si="80"/>
        <v>0</v>
      </c>
      <c r="V634" s="247">
        <f t="shared" si="81"/>
        <v>0</v>
      </c>
      <c r="W634" s="276">
        <f t="shared" si="82"/>
        <v>0</v>
      </c>
      <c r="X634" s="277">
        <f t="shared" si="83"/>
        <v>0</v>
      </c>
    </row>
    <row r="635" spans="14:24" x14ac:dyDescent="0.25">
      <c r="N635" s="244">
        <f>Weather_Site!B641</f>
        <v>0</v>
      </c>
      <c r="O635" s="245">
        <f>Weather_Site!C641</f>
        <v>0</v>
      </c>
      <c r="P635" s="5">
        <f>Weather_Site!E641</f>
        <v>0</v>
      </c>
      <c r="Q635" s="245">
        <f t="shared" si="84"/>
        <v>0</v>
      </c>
      <c r="R635" s="5">
        <f t="shared" si="79"/>
        <v>0</v>
      </c>
      <c r="S635" s="5">
        <f t="shared" si="85"/>
        <v>0</v>
      </c>
      <c r="T635" s="247">
        <f t="shared" si="86"/>
        <v>0</v>
      </c>
      <c r="U635" s="5">
        <f t="shared" si="80"/>
        <v>0</v>
      </c>
      <c r="V635" s="247">
        <f t="shared" si="81"/>
        <v>0</v>
      </c>
      <c r="W635" s="276">
        <f t="shared" si="82"/>
        <v>0</v>
      </c>
      <c r="X635" s="277">
        <f t="shared" si="83"/>
        <v>0</v>
      </c>
    </row>
    <row r="636" spans="14:24" x14ac:dyDescent="0.25">
      <c r="N636" s="244">
        <f>Weather_Site!B642</f>
        <v>0</v>
      </c>
      <c r="O636" s="245">
        <f>Weather_Site!C642</f>
        <v>0</v>
      </c>
      <c r="P636" s="5">
        <f>Weather_Site!E642</f>
        <v>0</v>
      </c>
      <c r="Q636" s="245">
        <f t="shared" si="84"/>
        <v>0</v>
      </c>
      <c r="R636" s="5">
        <f t="shared" si="79"/>
        <v>0</v>
      </c>
      <c r="S636" s="5">
        <f t="shared" si="85"/>
        <v>0</v>
      </c>
      <c r="T636" s="247">
        <f t="shared" si="86"/>
        <v>0</v>
      </c>
      <c r="U636" s="5">
        <f t="shared" si="80"/>
        <v>0</v>
      </c>
      <c r="V636" s="247">
        <f t="shared" si="81"/>
        <v>0</v>
      </c>
      <c r="W636" s="276">
        <f t="shared" si="82"/>
        <v>0</v>
      </c>
      <c r="X636" s="277">
        <f t="shared" si="83"/>
        <v>0</v>
      </c>
    </row>
    <row r="637" spans="14:24" x14ac:dyDescent="0.25">
      <c r="N637" s="244">
        <f>Weather_Site!B643</f>
        <v>0</v>
      </c>
      <c r="O637" s="245">
        <f>Weather_Site!C643</f>
        <v>0</v>
      </c>
      <c r="P637" s="5">
        <f>Weather_Site!E643</f>
        <v>0</v>
      </c>
      <c r="Q637" s="245">
        <f t="shared" si="84"/>
        <v>0</v>
      </c>
      <c r="R637" s="5">
        <f t="shared" si="79"/>
        <v>0</v>
      </c>
      <c r="S637" s="5">
        <f t="shared" si="85"/>
        <v>0</v>
      </c>
      <c r="T637" s="247">
        <f t="shared" si="86"/>
        <v>0</v>
      </c>
      <c r="U637" s="5">
        <f t="shared" si="80"/>
        <v>0</v>
      </c>
      <c r="V637" s="247">
        <f t="shared" si="81"/>
        <v>0</v>
      </c>
      <c r="W637" s="276">
        <f t="shared" si="82"/>
        <v>0</v>
      </c>
      <c r="X637" s="277">
        <f t="shared" si="83"/>
        <v>0</v>
      </c>
    </row>
    <row r="638" spans="14:24" x14ac:dyDescent="0.25">
      <c r="N638" s="244">
        <f>Weather_Site!B644</f>
        <v>0</v>
      </c>
      <c r="O638" s="245">
        <f>Weather_Site!C644</f>
        <v>0</v>
      </c>
      <c r="P638" s="5">
        <f>Weather_Site!E644</f>
        <v>0</v>
      </c>
      <c r="Q638" s="245">
        <f t="shared" si="84"/>
        <v>0</v>
      </c>
      <c r="R638" s="5">
        <f t="shared" si="79"/>
        <v>0</v>
      </c>
      <c r="S638" s="5">
        <f t="shared" si="85"/>
        <v>0</v>
      </c>
      <c r="T638" s="247">
        <f t="shared" si="86"/>
        <v>0</v>
      </c>
      <c r="U638" s="5">
        <f t="shared" si="80"/>
        <v>0</v>
      </c>
      <c r="V638" s="247">
        <f t="shared" si="81"/>
        <v>0</v>
      </c>
      <c r="W638" s="276">
        <f t="shared" si="82"/>
        <v>0</v>
      </c>
      <c r="X638" s="277">
        <f t="shared" si="83"/>
        <v>0</v>
      </c>
    </row>
    <row r="639" spans="14:24" x14ac:dyDescent="0.25">
      <c r="N639" s="244">
        <f>Weather_Site!B645</f>
        <v>0</v>
      </c>
      <c r="O639" s="245">
        <f>Weather_Site!C645</f>
        <v>0</v>
      </c>
      <c r="P639" s="5">
        <f>Weather_Site!E645</f>
        <v>0</v>
      </c>
      <c r="Q639" s="245">
        <f t="shared" si="84"/>
        <v>0</v>
      </c>
      <c r="R639" s="5">
        <f t="shared" si="79"/>
        <v>0</v>
      </c>
      <c r="S639" s="5">
        <f t="shared" si="85"/>
        <v>0</v>
      </c>
      <c r="T639" s="247">
        <f t="shared" si="86"/>
        <v>0</v>
      </c>
      <c r="U639" s="5">
        <f t="shared" si="80"/>
        <v>0</v>
      </c>
      <c r="V639" s="247">
        <f t="shared" si="81"/>
        <v>0</v>
      </c>
      <c r="W639" s="276">
        <f t="shared" si="82"/>
        <v>0</v>
      </c>
      <c r="X639" s="277">
        <f t="shared" si="83"/>
        <v>0</v>
      </c>
    </row>
    <row r="640" spans="14:24" x14ac:dyDescent="0.25">
      <c r="N640" s="244">
        <f>Weather_Site!B646</f>
        <v>0</v>
      </c>
      <c r="O640" s="245">
        <f>Weather_Site!C646</f>
        <v>0</v>
      </c>
      <c r="P640" s="5">
        <f>Weather_Site!E646</f>
        <v>0</v>
      </c>
      <c r="Q640" s="245">
        <f t="shared" si="84"/>
        <v>0</v>
      </c>
      <c r="R640" s="5">
        <f t="shared" si="79"/>
        <v>0</v>
      </c>
      <c r="S640" s="5">
        <f t="shared" si="85"/>
        <v>0</v>
      </c>
      <c r="T640" s="247">
        <f t="shared" si="86"/>
        <v>0</v>
      </c>
      <c r="U640" s="5">
        <f t="shared" si="80"/>
        <v>0</v>
      </c>
      <c r="V640" s="247">
        <f t="shared" si="81"/>
        <v>0</v>
      </c>
      <c r="W640" s="276">
        <f t="shared" si="82"/>
        <v>0</v>
      </c>
      <c r="X640" s="277">
        <f t="shared" si="83"/>
        <v>0</v>
      </c>
    </row>
    <row r="641" spans="14:24" x14ac:dyDescent="0.25">
      <c r="N641" s="244">
        <f>Weather_Site!B647</f>
        <v>0</v>
      </c>
      <c r="O641" s="245">
        <f>Weather_Site!C647</f>
        <v>0</v>
      </c>
      <c r="P641" s="5">
        <f>Weather_Site!E647</f>
        <v>0</v>
      </c>
      <c r="Q641" s="245">
        <f t="shared" si="84"/>
        <v>0</v>
      </c>
      <c r="R641" s="5">
        <f t="shared" si="79"/>
        <v>0</v>
      </c>
      <c r="S641" s="5">
        <f t="shared" si="85"/>
        <v>0</v>
      </c>
      <c r="T641" s="247">
        <f t="shared" si="86"/>
        <v>0</v>
      </c>
      <c r="U641" s="5">
        <f t="shared" si="80"/>
        <v>0</v>
      </c>
      <c r="V641" s="247">
        <f t="shared" si="81"/>
        <v>0</v>
      </c>
      <c r="W641" s="276">
        <f t="shared" si="82"/>
        <v>0</v>
      </c>
      <c r="X641" s="277">
        <f t="shared" si="83"/>
        <v>0</v>
      </c>
    </row>
    <row r="642" spans="14:24" x14ac:dyDescent="0.25">
      <c r="N642" s="244">
        <f>Weather_Site!B648</f>
        <v>0</v>
      </c>
      <c r="O642" s="245">
        <f>Weather_Site!C648</f>
        <v>0</v>
      </c>
      <c r="P642" s="5">
        <f>Weather_Site!E648</f>
        <v>0</v>
      </c>
      <c r="Q642" s="245">
        <f t="shared" si="84"/>
        <v>0</v>
      </c>
      <c r="R642" s="5">
        <f t="shared" si="79"/>
        <v>0</v>
      </c>
      <c r="S642" s="5">
        <f t="shared" si="85"/>
        <v>0</v>
      </c>
      <c r="T642" s="247">
        <f t="shared" si="86"/>
        <v>0</v>
      </c>
      <c r="U642" s="5">
        <f t="shared" si="80"/>
        <v>0</v>
      </c>
      <c r="V642" s="247">
        <f t="shared" si="81"/>
        <v>0</v>
      </c>
      <c r="W642" s="276">
        <f t="shared" si="82"/>
        <v>0</v>
      </c>
      <c r="X642" s="277">
        <f t="shared" si="83"/>
        <v>0</v>
      </c>
    </row>
    <row r="643" spans="14:24" x14ac:dyDescent="0.25">
      <c r="N643" s="244">
        <f>Weather_Site!B649</f>
        <v>0</v>
      </c>
      <c r="O643" s="245">
        <f>Weather_Site!C649</f>
        <v>0</v>
      </c>
      <c r="P643" s="5">
        <f>Weather_Site!E649</f>
        <v>0</v>
      </c>
      <c r="Q643" s="245">
        <f t="shared" si="84"/>
        <v>0</v>
      </c>
      <c r="R643" s="5">
        <f t="shared" si="79"/>
        <v>0</v>
      </c>
      <c r="S643" s="5">
        <f t="shared" si="85"/>
        <v>0</v>
      </c>
      <c r="T643" s="247">
        <f t="shared" si="86"/>
        <v>0</v>
      </c>
      <c r="U643" s="5">
        <f t="shared" si="80"/>
        <v>0</v>
      </c>
      <c r="V643" s="247">
        <f t="shared" si="81"/>
        <v>0</v>
      </c>
      <c r="W643" s="276">
        <f t="shared" si="82"/>
        <v>0</v>
      </c>
      <c r="X643" s="277">
        <f t="shared" si="83"/>
        <v>0</v>
      </c>
    </row>
    <row r="644" spans="14:24" x14ac:dyDescent="0.25">
      <c r="N644" s="244">
        <f>Weather_Site!B650</f>
        <v>0</v>
      </c>
      <c r="O644" s="245">
        <f>Weather_Site!C650</f>
        <v>0</v>
      </c>
      <c r="P644" s="5">
        <f>Weather_Site!E650</f>
        <v>0</v>
      </c>
      <c r="Q644" s="245">
        <f t="shared" si="84"/>
        <v>0</v>
      </c>
      <c r="R644" s="5">
        <f t="shared" si="79"/>
        <v>0</v>
      </c>
      <c r="S644" s="5">
        <f t="shared" si="85"/>
        <v>0</v>
      </c>
      <c r="T644" s="247">
        <f t="shared" si="86"/>
        <v>0</v>
      </c>
      <c r="U644" s="5">
        <f t="shared" si="80"/>
        <v>0</v>
      </c>
      <c r="V644" s="247">
        <f t="shared" si="81"/>
        <v>0</v>
      </c>
      <c r="W644" s="276">
        <f t="shared" si="82"/>
        <v>0</v>
      </c>
      <c r="X644" s="277">
        <f t="shared" si="83"/>
        <v>0</v>
      </c>
    </row>
    <row r="645" spans="14:24" x14ac:dyDescent="0.25">
      <c r="N645" s="244">
        <f>Weather_Site!B651</f>
        <v>0</v>
      </c>
      <c r="O645" s="245">
        <f>Weather_Site!C651</f>
        <v>0</v>
      </c>
      <c r="P645" s="5">
        <f>Weather_Site!E651</f>
        <v>0</v>
      </c>
      <c r="Q645" s="245">
        <f t="shared" si="84"/>
        <v>0</v>
      </c>
      <c r="R645" s="5">
        <f t="shared" si="79"/>
        <v>0</v>
      </c>
      <c r="S645" s="5">
        <f t="shared" si="85"/>
        <v>0</v>
      </c>
      <c r="T645" s="247">
        <f t="shared" si="86"/>
        <v>0</v>
      </c>
      <c r="U645" s="5">
        <f t="shared" si="80"/>
        <v>0</v>
      </c>
      <c r="V645" s="247">
        <f t="shared" si="81"/>
        <v>0</v>
      </c>
      <c r="W645" s="276">
        <f t="shared" si="82"/>
        <v>0</v>
      </c>
      <c r="X645" s="277">
        <f t="shared" si="83"/>
        <v>0</v>
      </c>
    </row>
    <row r="646" spans="14:24" x14ac:dyDescent="0.25">
      <c r="N646" s="244">
        <f>Weather_Site!B652</f>
        <v>0</v>
      </c>
      <c r="O646" s="245">
        <f>Weather_Site!C652</f>
        <v>0</v>
      </c>
      <c r="P646" s="5">
        <f>Weather_Site!E652</f>
        <v>0</v>
      </c>
      <c r="Q646" s="245">
        <f t="shared" si="84"/>
        <v>0</v>
      </c>
      <c r="R646" s="5">
        <f t="shared" si="79"/>
        <v>0</v>
      </c>
      <c r="S646" s="5">
        <f t="shared" si="85"/>
        <v>0</v>
      </c>
      <c r="T646" s="247">
        <f t="shared" si="86"/>
        <v>0</v>
      </c>
      <c r="U646" s="5">
        <f t="shared" si="80"/>
        <v>0</v>
      </c>
      <c r="V646" s="247">
        <f t="shared" si="81"/>
        <v>0</v>
      </c>
      <c r="W646" s="276">
        <f t="shared" si="82"/>
        <v>0</v>
      </c>
      <c r="X646" s="277">
        <f t="shared" si="83"/>
        <v>0</v>
      </c>
    </row>
    <row r="647" spans="14:24" x14ac:dyDescent="0.25">
      <c r="N647" s="244">
        <f>Weather_Site!B653</f>
        <v>0</v>
      </c>
      <c r="O647" s="245">
        <f>Weather_Site!C653</f>
        <v>0</v>
      </c>
      <c r="P647" s="5">
        <f>Weather_Site!E653</f>
        <v>0</v>
      </c>
      <c r="Q647" s="245">
        <f t="shared" si="84"/>
        <v>0</v>
      </c>
      <c r="R647" s="5">
        <f t="shared" si="79"/>
        <v>0</v>
      </c>
      <c r="S647" s="5">
        <f t="shared" si="85"/>
        <v>0</v>
      </c>
      <c r="T647" s="247">
        <f t="shared" si="86"/>
        <v>0</v>
      </c>
      <c r="U647" s="5">
        <f t="shared" si="80"/>
        <v>0</v>
      </c>
      <c r="V647" s="247">
        <f t="shared" si="81"/>
        <v>0</v>
      </c>
      <c r="W647" s="276">
        <f t="shared" si="82"/>
        <v>0</v>
      </c>
      <c r="X647" s="277">
        <f t="shared" si="83"/>
        <v>0</v>
      </c>
    </row>
    <row r="648" spans="14:24" x14ac:dyDescent="0.25">
      <c r="N648" s="244">
        <f>Weather_Site!B654</f>
        <v>0</v>
      </c>
      <c r="O648" s="245">
        <f>Weather_Site!C654</f>
        <v>0</v>
      </c>
      <c r="P648" s="5">
        <f>Weather_Site!E654</f>
        <v>0</v>
      </c>
      <c r="Q648" s="245">
        <f t="shared" si="84"/>
        <v>0</v>
      </c>
      <c r="R648" s="5">
        <f t="shared" ref="R648:R711" si="87">HOUR(Q648)</f>
        <v>0</v>
      </c>
      <c r="S648" s="5">
        <f t="shared" si="85"/>
        <v>0</v>
      </c>
      <c r="T648" s="247">
        <f t="shared" si="86"/>
        <v>0</v>
      </c>
      <c r="U648" s="5">
        <f t="shared" ref="U648:U711" si="88">MAX((T648-70*R648),0)</f>
        <v>0</v>
      </c>
      <c r="V648" s="247">
        <f t="shared" ref="V648:V711" si="89">IF(OR(AND((N648-N647)=0,O647&gt;0.5),AND((N648-N647)=1,O648&lt;0.5),AND(N648-N647)=0,O648&lt;0.5),U648+V647,U648)</f>
        <v>0</v>
      </c>
      <c r="W648" s="276">
        <f t="shared" ref="W648:W711" si="90">IF(O648&lt;0.75,MAX(V648,W647),V648)</f>
        <v>0</v>
      </c>
      <c r="X648" s="277">
        <f t="shared" si="83"/>
        <v>0</v>
      </c>
    </row>
    <row r="649" spans="14:24" x14ac:dyDescent="0.25">
      <c r="N649" s="244">
        <f>Weather_Site!B655</f>
        <v>0</v>
      </c>
      <c r="O649" s="245">
        <f>Weather_Site!C655</f>
        <v>0</v>
      </c>
      <c r="P649" s="5">
        <f>Weather_Site!E655</f>
        <v>0</v>
      </c>
      <c r="Q649" s="245">
        <f t="shared" si="84"/>
        <v>0</v>
      </c>
      <c r="R649" s="5">
        <f t="shared" si="87"/>
        <v>0</v>
      </c>
      <c r="S649" s="5">
        <f t="shared" si="85"/>
        <v>0</v>
      </c>
      <c r="T649" s="247">
        <f t="shared" si="86"/>
        <v>0</v>
      </c>
      <c r="U649" s="5">
        <f t="shared" si="88"/>
        <v>0</v>
      </c>
      <c r="V649" s="247">
        <f t="shared" si="89"/>
        <v>0</v>
      </c>
      <c r="W649" s="276">
        <f t="shared" si="90"/>
        <v>0</v>
      </c>
      <c r="X649" s="277">
        <f t="shared" si="83"/>
        <v>0</v>
      </c>
    </row>
    <row r="650" spans="14:24" x14ac:dyDescent="0.25">
      <c r="N650" s="244">
        <f>Weather_Site!B656</f>
        <v>0</v>
      </c>
      <c r="O650" s="245">
        <f>Weather_Site!C656</f>
        <v>0</v>
      </c>
      <c r="P650" s="5">
        <f>Weather_Site!E656</f>
        <v>0</v>
      </c>
      <c r="Q650" s="245">
        <f t="shared" si="84"/>
        <v>0</v>
      </c>
      <c r="R650" s="5">
        <f t="shared" si="87"/>
        <v>0</v>
      </c>
      <c r="S650" s="5">
        <f t="shared" si="85"/>
        <v>0</v>
      </c>
      <c r="T650" s="247">
        <f t="shared" si="86"/>
        <v>0</v>
      </c>
      <c r="U650" s="5">
        <f t="shared" si="88"/>
        <v>0</v>
      </c>
      <c r="V650" s="247">
        <f t="shared" si="89"/>
        <v>0</v>
      </c>
      <c r="W650" s="276">
        <f t="shared" si="90"/>
        <v>0</v>
      </c>
      <c r="X650" s="277">
        <f t="shared" si="83"/>
        <v>0</v>
      </c>
    </row>
    <row r="651" spans="14:24" x14ac:dyDescent="0.25">
      <c r="N651" s="244">
        <f>Weather_Site!B657</f>
        <v>0</v>
      </c>
      <c r="O651" s="245">
        <f>Weather_Site!C657</f>
        <v>0</v>
      </c>
      <c r="P651" s="5">
        <f>Weather_Site!E657</f>
        <v>0</v>
      </c>
      <c r="Q651" s="245">
        <f t="shared" si="84"/>
        <v>0</v>
      </c>
      <c r="R651" s="5">
        <f t="shared" si="87"/>
        <v>0</v>
      </c>
      <c r="S651" s="5">
        <f t="shared" si="85"/>
        <v>0</v>
      </c>
      <c r="T651" s="247">
        <f t="shared" si="86"/>
        <v>0</v>
      </c>
      <c r="U651" s="5">
        <f t="shared" si="88"/>
        <v>0</v>
      </c>
      <c r="V651" s="247">
        <f t="shared" si="89"/>
        <v>0</v>
      </c>
      <c r="W651" s="276">
        <f t="shared" si="90"/>
        <v>0</v>
      </c>
      <c r="X651" s="277">
        <f t="shared" si="83"/>
        <v>0</v>
      </c>
    </row>
    <row r="652" spans="14:24" x14ac:dyDescent="0.25">
      <c r="N652" s="244">
        <f>Weather_Site!B658</f>
        <v>0</v>
      </c>
      <c r="O652" s="245">
        <f>Weather_Site!C658</f>
        <v>0</v>
      </c>
      <c r="P652" s="5">
        <f>Weather_Site!E658</f>
        <v>0</v>
      </c>
      <c r="Q652" s="245">
        <f t="shared" si="84"/>
        <v>0</v>
      </c>
      <c r="R652" s="5">
        <f t="shared" si="87"/>
        <v>0</v>
      </c>
      <c r="S652" s="5">
        <f t="shared" si="85"/>
        <v>0</v>
      </c>
      <c r="T652" s="247">
        <f t="shared" si="86"/>
        <v>0</v>
      </c>
      <c r="U652" s="5">
        <f t="shared" si="88"/>
        <v>0</v>
      </c>
      <c r="V652" s="247">
        <f t="shared" si="89"/>
        <v>0</v>
      </c>
      <c r="W652" s="276">
        <f t="shared" si="90"/>
        <v>0</v>
      </c>
      <c r="X652" s="277">
        <f t="shared" si="83"/>
        <v>0</v>
      </c>
    </row>
    <row r="653" spans="14:24" x14ac:dyDescent="0.25">
      <c r="N653" s="244">
        <f>Weather_Site!B659</f>
        <v>0</v>
      </c>
      <c r="O653" s="245">
        <f>Weather_Site!C659</f>
        <v>0</v>
      </c>
      <c r="P653" s="5">
        <f>Weather_Site!E659</f>
        <v>0</v>
      </c>
      <c r="Q653" s="245">
        <f t="shared" si="84"/>
        <v>0</v>
      </c>
      <c r="R653" s="5">
        <f t="shared" si="87"/>
        <v>0</v>
      </c>
      <c r="S653" s="5">
        <f t="shared" si="85"/>
        <v>0</v>
      </c>
      <c r="T653" s="247">
        <f t="shared" si="86"/>
        <v>0</v>
      </c>
      <c r="U653" s="5">
        <f t="shared" si="88"/>
        <v>0</v>
      </c>
      <c r="V653" s="247">
        <f t="shared" si="89"/>
        <v>0</v>
      </c>
      <c r="W653" s="276">
        <f t="shared" si="90"/>
        <v>0</v>
      </c>
      <c r="X653" s="277">
        <f t="shared" si="83"/>
        <v>0</v>
      </c>
    </row>
    <row r="654" spans="14:24" x14ac:dyDescent="0.25">
      <c r="N654" s="244">
        <f>Weather_Site!B660</f>
        <v>0</v>
      </c>
      <c r="O654" s="245">
        <f>Weather_Site!C660</f>
        <v>0</v>
      </c>
      <c r="P654" s="5">
        <f>Weather_Site!E660</f>
        <v>0</v>
      </c>
      <c r="Q654" s="245">
        <f t="shared" si="84"/>
        <v>0</v>
      </c>
      <c r="R654" s="5">
        <f t="shared" si="87"/>
        <v>0</v>
      </c>
      <c r="S654" s="5">
        <f t="shared" si="85"/>
        <v>0</v>
      </c>
      <c r="T654" s="247">
        <f t="shared" si="86"/>
        <v>0</v>
      </c>
      <c r="U654" s="5">
        <f t="shared" si="88"/>
        <v>0</v>
      </c>
      <c r="V654" s="247">
        <f t="shared" si="89"/>
        <v>0</v>
      </c>
      <c r="W654" s="276">
        <f t="shared" si="90"/>
        <v>0</v>
      </c>
      <c r="X654" s="277">
        <f t="shared" si="83"/>
        <v>0</v>
      </c>
    </row>
    <row r="655" spans="14:24" x14ac:dyDescent="0.25">
      <c r="N655" s="244">
        <f>Weather_Site!B661</f>
        <v>0</v>
      </c>
      <c r="O655" s="245">
        <f>Weather_Site!C661</f>
        <v>0</v>
      </c>
      <c r="P655" s="5">
        <f>Weather_Site!E661</f>
        <v>0</v>
      </c>
      <c r="Q655" s="245">
        <f t="shared" si="84"/>
        <v>0</v>
      </c>
      <c r="R655" s="5">
        <f t="shared" si="87"/>
        <v>0</v>
      </c>
      <c r="S655" s="5">
        <f t="shared" si="85"/>
        <v>0</v>
      </c>
      <c r="T655" s="247">
        <f t="shared" si="86"/>
        <v>0</v>
      </c>
      <c r="U655" s="5">
        <f t="shared" si="88"/>
        <v>0</v>
      </c>
      <c r="V655" s="247">
        <f t="shared" si="89"/>
        <v>0</v>
      </c>
      <c r="W655" s="276">
        <f t="shared" si="90"/>
        <v>0</v>
      </c>
      <c r="X655" s="277">
        <f t="shared" si="83"/>
        <v>0</v>
      </c>
    </row>
    <row r="656" spans="14:24" x14ac:dyDescent="0.25">
      <c r="N656" s="244">
        <f>Weather_Site!B662</f>
        <v>0</v>
      </c>
      <c r="O656" s="245">
        <f>Weather_Site!C662</f>
        <v>0</v>
      </c>
      <c r="P656" s="5">
        <f>Weather_Site!E662</f>
        <v>0</v>
      </c>
      <c r="Q656" s="245">
        <f t="shared" si="84"/>
        <v>0</v>
      </c>
      <c r="R656" s="5">
        <f t="shared" si="87"/>
        <v>0</v>
      </c>
      <c r="S656" s="5">
        <f t="shared" si="85"/>
        <v>0</v>
      </c>
      <c r="T656" s="247">
        <f t="shared" si="86"/>
        <v>0</v>
      </c>
      <c r="U656" s="5">
        <f t="shared" si="88"/>
        <v>0</v>
      </c>
      <c r="V656" s="247">
        <f t="shared" si="89"/>
        <v>0</v>
      </c>
      <c r="W656" s="276">
        <f t="shared" si="90"/>
        <v>0</v>
      </c>
      <c r="X656" s="277">
        <f t="shared" si="83"/>
        <v>0</v>
      </c>
    </row>
    <row r="657" spans="14:24" x14ac:dyDescent="0.25">
      <c r="N657" s="244">
        <f>Weather_Site!B663</f>
        <v>0</v>
      </c>
      <c r="O657" s="245">
        <f>Weather_Site!C663</f>
        <v>0</v>
      </c>
      <c r="P657" s="5">
        <f>Weather_Site!E663</f>
        <v>0</v>
      </c>
      <c r="Q657" s="245">
        <f t="shared" si="84"/>
        <v>0</v>
      </c>
      <c r="R657" s="5">
        <f t="shared" si="87"/>
        <v>0</v>
      </c>
      <c r="S657" s="5">
        <f t="shared" si="85"/>
        <v>0</v>
      </c>
      <c r="T657" s="247">
        <f t="shared" si="86"/>
        <v>0</v>
      </c>
      <c r="U657" s="5">
        <f t="shared" si="88"/>
        <v>0</v>
      </c>
      <c r="V657" s="247">
        <f t="shared" si="89"/>
        <v>0</v>
      </c>
      <c r="W657" s="276">
        <f t="shared" si="90"/>
        <v>0</v>
      </c>
      <c r="X657" s="277">
        <f t="shared" si="83"/>
        <v>0</v>
      </c>
    </row>
    <row r="658" spans="14:24" x14ac:dyDescent="0.25">
      <c r="N658" s="244">
        <f>Weather_Site!B664</f>
        <v>0</v>
      </c>
      <c r="O658" s="245">
        <f>Weather_Site!C664</f>
        <v>0</v>
      </c>
      <c r="P658" s="5">
        <f>Weather_Site!E664</f>
        <v>0</v>
      </c>
      <c r="Q658" s="245">
        <f t="shared" si="84"/>
        <v>0</v>
      </c>
      <c r="R658" s="5">
        <f t="shared" si="87"/>
        <v>0</v>
      </c>
      <c r="S658" s="5">
        <f t="shared" si="85"/>
        <v>0</v>
      </c>
      <c r="T658" s="247">
        <f t="shared" si="86"/>
        <v>0</v>
      </c>
      <c r="U658" s="5">
        <f t="shared" si="88"/>
        <v>0</v>
      </c>
      <c r="V658" s="247">
        <f t="shared" si="89"/>
        <v>0</v>
      </c>
      <c r="W658" s="276">
        <f t="shared" si="90"/>
        <v>0</v>
      </c>
      <c r="X658" s="277">
        <f t="shared" si="83"/>
        <v>0</v>
      </c>
    </row>
    <row r="659" spans="14:24" x14ac:dyDescent="0.25">
      <c r="N659" s="244">
        <f>Weather_Site!B665</f>
        <v>0</v>
      </c>
      <c r="O659" s="245">
        <f>Weather_Site!C665</f>
        <v>0</v>
      </c>
      <c r="P659" s="5">
        <f>Weather_Site!E665</f>
        <v>0</v>
      </c>
      <c r="Q659" s="245">
        <f t="shared" si="84"/>
        <v>0</v>
      </c>
      <c r="R659" s="5">
        <f t="shared" si="87"/>
        <v>0</v>
      </c>
      <c r="S659" s="5">
        <f t="shared" si="85"/>
        <v>0</v>
      </c>
      <c r="T659" s="247">
        <f t="shared" si="86"/>
        <v>0</v>
      </c>
      <c r="U659" s="5">
        <f t="shared" si="88"/>
        <v>0</v>
      </c>
      <c r="V659" s="247">
        <f t="shared" si="89"/>
        <v>0</v>
      </c>
      <c r="W659" s="276">
        <f t="shared" si="90"/>
        <v>0</v>
      </c>
      <c r="X659" s="277">
        <f t="shared" si="83"/>
        <v>0</v>
      </c>
    </row>
    <row r="660" spans="14:24" x14ac:dyDescent="0.25">
      <c r="N660" s="244">
        <f>Weather_Site!B666</f>
        <v>0</v>
      </c>
      <c r="O660" s="245">
        <f>Weather_Site!C666</f>
        <v>0</v>
      </c>
      <c r="P660" s="5">
        <f>Weather_Site!E666</f>
        <v>0</v>
      </c>
      <c r="Q660" s="245">
        <f t="shared" si="84"/>
        <v>0</v>
      </c>
      <c r="R660" s="5">
        <f t="shared" si="87"/>
        <v>0</v>
      </c>
      <c r="S660" s="5">
        <f t="shared" si="85"/>
        <v>0</v>
      </c>
      <c r="T660" s="247">
        <f t="shared" si="86"/>
        <v>0</v>
      </c>
      <c r="U660" s="5">
        <f t="shared" si="88"/>
        <v>0</v>
      </c>
      <c r="V660" s="247">
        <f t="shared" si="89"/>
        <v>0</v>
      </c>
      <c r="W660" s="276">
        <f t="shared" si="90"/>
        <v>0</v>
      </c>
      <c r="X660" s="277">
        <f t="shared" si="83"/>
        <v>0</v>
      </c>
    </row>
    <row r="661" spans="14:24" x14ac:dyDescent="0.25">
      <c r="N661" s="244">
        <f>Weather_Site!B667</f>
        <v>0</v>
      </c>
      <c r="O661" s="245">
        <f>Weather_Site!C667</f>
        <v>0</v>
      </c>
      <c r="P661" s="5">
        <f>Weather_Site!E667</f>
        <v>0</v>
      </c>
      <c r="Q661" s="245">
        <f t="shared" si="84"/>
        <v>0</v>
      </c>
      <c r="R661" s="5">
        <f t="shared" si="87"/>
        <v>0</v>
      </c>
      <c r="S661" s="5">
        <f t="shared" si="85"/>
        <v>0</v>
      </c>
      <c r="T661" s="247">
        <f t="shared" si="86"/>
        <v>0</v>
      </c>
      <c r="U661" s="5">
        <f t="shared" si="88"/>
        <v>0</v>
      </c>
      <c r="V661" s="247">
        <f t="shared" si="89"/>
        <v>0</v>
      </c>
      <c r="W661" s="276">
        <f t="shared" si="90"/>
        <v>0</v>
      </c>
      <c r="X661" s="277">
        <f t="shared" si="83"/>
        <v>0</v>
      </c>
    </row>
    <row r="662" spans="14:24" x14ac:dyDescent="0.25">
      <c r="N662" s="244">
        <f>Weather_Site!B668</f>
        <v>0</v>
      </c>
      <c r="O662" s="245">
        <f>Weather_Site!C668</f>
        <v>0</v>
      </c>
      <c r="P662" s="5">
        <f>Weather_Site!E668</f>
        <v>0</v>
      </c>
      <c r="Q662" s="245">
        <f t="shared" si="84"/>
        <v>0</v>
      </c>
      <c r="R662" s="5">
        <f t="shared" si="87"/>
        <v>0</v>
      </c>
      <c r="S662" s="5">
        <f t="shared" si="85"/>
        <v>0</v>
      </c>
      <c r="T662" s="247">
        <f t="shared" si="86"/>
        <v>0</v>
      </c>
      <c r="U662" s="5">
        <f t="shared" si="88"/>
        <v>0</v>
      </c>
      <c r="V662" s="247">
        <f t="shared" si="89"/>
        <v>0</v>
      </c>
      <c r="W662" s="276">
        <f t="shared" si="90"/>
        <v>0</v>
      </c>
      <c r="X662" s="277">
        <f t="shared" si="83"/>
        <v>0</v>
      </c>
    </row>
    <row r="663" spans="14:24" x14ac:dyDescent="0.25">
      <c r="N663" s="244">
        <f>Weather_Site!B669</f>
        <v>0</v>
      </c>
      <c r="O663" s="245">
        <f>Weather_Site!C669</f>
        <v>0</v>
      </c>
      <c r="P663" s="5">
        <f>Weather_Site!E669</f>
        <v>0</v>
      </c>
      <c r="Q663" s="245">
        <f t="shared" si="84"/>
        <v>0</v>
      </c>
      <c r="R663" s="5">
        <f t="shared" si="87"/>
        <v>0</v>
      </c>
      <c r="S663" s="5">
        <f t="shared" si="85"/>
        <v>0</v>
      </c>
      <c r="T663" s="247">
        <f t="shared" si="86"/>
        <v>0</v>
      </c>
      <c r="U663" s="5">
        <f t="shared" si="88"/>
        <v>0</v>
      </c>
      <c r="V663" s="247">
        <f t="shared" si="89"/>
        <v>0</v>
      </c>
      <c r="W663" s="276">
        <f t="shared" si="90"/>
        <v>0</v>
      </c>
      <c r="X663" s="277">
        <f t="shared" si="83"/>
        <v>0</v>
      </c>
    </row>
    <row r="664" spans="14:24" x14ac:dyDescent="0.25">
      <c r="N664" s="244">
        <f>Weather_Site!B670</f>
        <v>0</v>
      </c>
      <c r="O664" s="245">
        <f>Weather_Site!C670</f>
        <v>0</v>
      </c>
      <c r="P664" s="5">
        <f>Weather_Site!E670</f>
        <v>0</v>
      </c>
      <c r="Q664" s="245">
        <f t="shared" si="84"/>
        <v>0</v>
      </c>
      <c r="R664" s="5">
        <f t="shared" si="87"/>
        <v>0</v>
      </c>
      <c r="S664" s="5">
        <f t="shared" si="85"/>
        <v>0</v>
      </c>
      <c r="T664" s="247">
        <f t="shared" si="86"/>
        <v>0</v>
      </c>
      <c r="U664" s="5">
        <f t="shared" si="88"/>
        <v>0</v>
      </c>
      <c r="V664" s="247">
        <f t="shared" si="89"/>
        <v>0</v>
      </c>
      <c r="W664" s="276">
        <f t="shared" si="90"/>
        <v>0</v>
      </c>
      <c r="X664" s="277">
        <f t="shared" si="83"/>
        <v>0</v>
      </c>
    </row>
    <row r="665" spans="14:24" x14ac:dyDescent="0.25">
      <c r="N665" s="244">
        <f>Weather_Site!B671</f>
        <v>0</v>
      </c>
      <c r="O665" s="245">
        <f>Weather_Site!C671</f>
        <v>0</v>
      </c>
      <c r="P665" s="5">
        <f>Weather_Site!E671</f>
        <v>0</v>
      </c>
      <c r="Q665" s="245">
        <f t="shared" si="84"/>
        <v>0</v>
      </c>
      <c r="R665" s="5">
        <f t="shared" si="87"/>
        <v>0</v>
      </c>
      <c r="S665" s="5">
        <f t="shared" si="85"/>
        <v>0</v>
      </c>
      <c r="T665" s="247">
        <f t="shared" si="86"/>
        <v>0</v>
      </c>
      <c r="U665" s="5">
        <f t="shared" si="88"/>
        <v>0</v>
      </c>
      <c r="V665" s="247">
        <f t="shared" si="89"/>
        <v>0</v>
      </c>
      <c r="W665" s="276">
        <f t="shared" si="90"/>
        <v>0</v>
      </c>
      <c r="X665" s="277">
        <f t="shared" si="83"/>
        <v>0</v>
      </c>
    </row>
    <row r="666" spans="14:24" x14ac:dyDescent="0.25">
      <c r="N666" s="244">
        <f>Weather_Site!B672</f>
        <v>0</v>
      </c>
      <c r="O666" s="245">
        <f>Weather_Site!C672</f>
        <v>0</v>
      </c>
      <c r="P666" s="5">
        <f>Weather_Site!E672</f>
        <v>0</v>
      </c>
      <c r="Q666" s="245">
        <f t="shared" si="84"/>
        <v>0</v>
      </c>
      <c r="R666" s="5">
        <f t="shared" si="87"/>
        <v>0</v>
      </c>
      <c r="S666" s="5">
        <f t="shared" si="85"/>
        <v>0</v>
      </c>
      <c r="T666" s="247">
        <f t="shared" si="86"/>
        <v>0</v>
      </c>
      <c r="U666" s="5">
        <f t="shared" si="88"/>
        <v>0</v>
      </c>
      <c r="V666" s="247">
        <f t="shared" si="89"/>
        <v>0</v>
      </c>
      <c r="W666" s="276">
        <f t="shared" si="90"/>
        <v>0</v>
      </c>
      <c r="X666" s="277">
        <f t="shared" si="83"/>
        <v>0</v>
      </c>
    </row>
    <row r="667" spans="14:24" x14ac:dyDescent="0.25">
      <c r="N667" s="244">
        <f>Weather_Site!B673</f>
        <v>0</v>
      </c>
      <c r="O667" s="245">
        <f>Weather_Site!C673</f>
        <v>0</v>
      </c>
      <c r="P667" s="5">
        <f>Weather_Site!E673</f>
        <v>0</v>
      </c>
      <c r="Q667" s="245">
        <f t="shared" si="84"/>
        <v>0</v>
      </c>
      <c r="R667" s="5">
        <f t="shared" si="87"/>
        <v>0</v>
      </c>
      <c r="S667" s="5">
        <f t="shared" si="85"/>
        <v>0</v>
      </c>
      <c r="T667" s="247">
        <f t="shared" si="86"/>
        <v>0</v>
      </c>
      <c r="U667" s="5">
        <f t="shared" si="88"/>
        <v>0</v>
      </c>
      <c r="V667" s="247">
        <f t="shared" si="89"/>
        <v>0</v>
      </c>
      <c r="W667" s="276">
        <f t="shared" si="90"/>
        <v>0</v>
      </c>
      <c r="X667" s="277">
        <f t="shared" si="83"/>
        <v>0</v>
      </c>
    </row>
    <row r="668" spans="14:24" x14ac:dyDescent="0.25">
      <c r="N668" s="244">
        <f>Weather_Site!B674</f>
        <v>0</v>
      </c>
      <c r="O668" s="245">
        <f>Weather_Site!C674</f>
        <v>0</v>
      </c>
      <c r="P668" s="5">
        <f>Weather_Site!E674</f>
        <v>0</v>
      </c>
      <c r="Q668" s="245">
        <f t="shared" si="84"/>
        <v>0</v>
      </c>
      <c r="R668" s="5">
        <f t="shared" si="87"/>
        <v>0</v>
      </c>
      <c r="S668" s="5">
        <f t="shared" si="85"/>
        <v>0</v>
      </c>
      <c r="T668" s="247">
        <f t="shared" si="86"/>
        <v>0</v>
      </c>
      <c r="U668" s="5">
        <f t="shared" si="88"/>
        <v>0</v>
      </c>
      <c r="V668" s="247">
        <f t="shared" si="89"/>
        <v>0</v>
      </c>
      <c r="W668" s="276">
        <f t="shared" si="90"/>
        <v>0</v>
      </c>
      <c r="X668" s="277">
        <f t="shared" si="83"/>
        <v>0</v>
      </c>
    </row>
    <row r="669" spans="14:24" x14ac:dyDescent="0.25">
      <c r="N669" s="244">
        <f>Weather_Site!B675</f>
        <v>0</v>
      </c>
      <c r="O669" s="245">
        <f>Weather_Site!C675</f>
        <v>0</v>
      </c>
      <c r="P669" s="5">
        <f>Weather_Site!E675</f>
        <v>0</v>
      </c>
      <c r="Q669" s="245">
        <f t="shared" si="84"/>
        <v>0</v>
      </c>
      <c r="R669" s="5">
        <f t="shared" si="87"/>
        <v>0</v>
      </c>
      <c r="S669" s="5">
        <f t="shared" si="85"/>
        <v>0</v>
      </c>
      <c r="T669" s="247">
        <f t="shared" si="86"/>
        <v>0</v>
      </c>
      <c r="U669" s="5">
        <f t="shared" si="88"/>
        <v>0</v>
      </c>
      <c r="V669" s="247">
        <f t="shared" si="89"/>
        <v>0</v>
      </c>
      <c r="W669" s="276">
        <f t="shared" si="90"/>
        <v>0</v>
      </c>
      <c r="X669" s="277">
        <f t="shared" si="83"/>
        <v>0</v>
      </c>
    </row>
    <row r="670" spans="14:24" x14ac:dyDescent="0.25">
      <c r="N670" s="244">
        <f>Weather_Site!B676</f>
        <v>0</v>
      </c>
      <c r="O670" s="245">
        <f>Weather_Site!C676</f>
        <v>0</v>
      </c>
      <c r="P670" s="5">
        <f>Weather_Site!E676</f>
        <v>0</v>
      </c>
      <c r="Q670" s="245">
        <f t="shared" si="84"/>
        <v>0</v>
      </c>
      <c r="R670" s="5">
        <f t="shared" si="87"/>
        <v>0</v>
      </c>
      <c r="S670" s="5">
        <f t="shared" si="85"/>
        <v>0</v>
      </c>
      <c r="T670" s="247">
        <f t="shared" si="86"/>
        <v>0</v>
      </c>
      <c r="U670" s="5">
        <f t="shared" si="88"/>
        <v>0</v>
      </c>
      <c r="V670" s="247">
        <f t="shared" si="89"/>
        <v>0</v>
      </c>
      <c r="W670" s="276">
        <f t="shared" si="90"/>
        <v>0</v>
      </c>
      <c r="X670" s="277">
        <f t="shared" si="83"/>
        <v>0</v>
      </c>
    </row>
    <row r="671" spans="14:24" x14ac:dyDescent="0.25">
      <c r="N671" s="244">
        <f>Weather_Site!B677</f>
        <v>0</v>
      </c>
      <c r="O671" s="245">
        <f>Weather_Site!C677</f>
        <v>0</v>
      </c>
      <c r="P671" s="5">
        <f>Weather_Site!E677</f>
        <v>0</v>
      </c>
      <c r="Q671" s="245">
        <f t="shared" si="84"/>
        <v>0</v>
      </c>
      <c r="R671" s="5">
        <f t="shared" si="87"/>
        <v>0</v>
      </c>
      <c r="S671" s="5">
        <f t="shared" si="85"/>
        <v>0</v>
      </c>
      <c r="T671" s="247">
        <f t="shared" si="86"/>
        <v>0</v>
      </c>
      <c r="U671" s="5">
        <f t="shared" si="88"/>
        <v>0</v>
      </c>
      <c r="V671" s="247">
        <f t="shared" si="89"/>
        <v>0</v>
      </c>
      <c r="W671" s="276">
        <f t="shared" si="90"/>
        <v>0</v>
      </c>
      <c r="X671" s="277">
        <f t="shared" si="83"/>
        <v>0</v>
      </c>
    </row>
    <row r="672" spans="14:24" x14ac:dyDescent="0.25">
      <c r="N672" s="244">
        <f>Weather_Site!B678</f>
        <v>0</v>
      </c>
      <c r="O672" s="245">
        <f>Weather_Site!C678</f>
        <v>0</v>
      </c>
      <c r="P672" s="5">
        <f>Weather_Site!E678</f>
        <v>0</v>
      </c>
      <c r="Q672" s="245">
        <f t="shared" si="84"/>
        <v>0</v>
      </c>
      <c r="R672" s="5">
        <f t="shared" si="87"/>
        <v>0</v>
      </c>
      <c r="S672" s="5">
        <f t="shared" si="85"/>
        <v>0</v>
      </c>
      <c r="T672" s="247">
        <f t="shared" si="86"/>
        <v>0</v>
      </c>
      <c r="U672" s="5">
        <f t="shared" si="88"/>
        <v>0</v>
      </c>
      <c r="V672" s="247">
        <f t="shared" si="89"/>
        <v>0</v>
      </c>
      <c r="W672" s="276">
        <f t="shared" si="90"/>
        <v>0</v>
      </c>
      <c r="X672" s="277">
        <f t="shared" si="83"/>
        <v>0</v>
      </c>
    </row>
    <row r="673" spans="14:24" x14ac:dyDescent="0.25">
      <c r="N673" s="244">
        <f>Weather_Site!B679</f>
        <v>0</v>
      </c>
      <c r="O673" s="245">
        <f>Weather_Site!C679</f>
        <v>0</v>
      </c>
      <c r="P673" s="5">
        <f>Weather_Site!E679</f>
        <v>0</v>
      </c>
      <c r="Q673" s="245">
        <f t="shared" si="84"/>
        <v>0</v>
      </c>
      <c r="R673" s="5">
        <f t="shared" si="87"/>
        <v>0</v>
      </c>
      <c r="S673" s="5">
        <f t="shared" si="85"/>
        <v>0</v>
      </c>
      <c r="T673" s="247">
        <f t="shared" si="86"/>
        <v>0</v>
      </c>
      <c r="U673" s="5">
        <f t="shared" si="88"/>
        <v>0</v>
      </c>
      <c r="V673" s="247">
        <f t="shared" si="89"/>
        <v>0</v>
      </c>
      <c r="W673" s="276">
        <f t="shared" si="90"/>
        <v>0</v>
      </c>
      <c r="X673" s="277">
        <f t="shared" si="83"/>
        <v>0</v>
      </c>
    </row>
    <row r="674" spans="14:24" x14ac:dyDescent="0.25">
      <c r="N674" s="244">
        <f>Weather_Site!B680</f>
        <v>0</v>
      </c>
      <c r="O674" s="245">
        <f>Weather_Site!C680</f>
        <v>0</v>
      </c>
      <c r="P674" s="5">
        <f>Weather_Site!E680</f>
        <v>0</v>
      </c>
      <c r="Q674" s="245">
        <f t="shared" si="84"/>
        <v>0</v>
      </c>
      <c r="R674" s="5">
        <f t="shared" si="87"/>
        <v>0</v>
      </c>
      <c r="S674" s="5">
        <f t="shared" si="85"/>
        <v>0</v>
      </c>
      <c r="T674" s="247">
        <f t="shared" si="86"/>
        <v>0</v>
      </c>
      <c r="U674" s="5">
        <f t="shared" si="88"/>
        <v>0</v>
      </c>
      <c r="V674" s="247">
        <f t="shared" si="89"/>
        <v>0</v>
      </c>
      <c r="W674" s="276">
        <f t="shared" si="90"/>
        <v>0</v>
      </c>
      <c r="X674" s="277">
        <f t="shared" si="83"/>
        <v>0</v>
      </c>
    </row>
    <row r="675" spans="14:24" x14ac:dyDescent="0.25">
      <c r="N675" s="244">
        <f>Weather_Site!B681</f>
        <v>0</v>
      </c>
      <c r="O675" s="245">
        <f>Weather_Site!C681</f>
        <v>0</v>
      </c>
      <c r="P675" s="5">
        <f>Weather_Site!E681</f>
        <v>0</v>
      </c>
      <c r="Q675" s="245">
        <f t="shared" si="84"/>
        <v>0</v>
      </c>
      <c r="R675" s="5">
        <f t="shared" si="87"/>
        <v>0</v>
      </c>
      <c r="S675" s="5">
        <f t="shared" si="85"/>
        <v>0</v>
      </c>
      <c r="T675" s="247">
        <f t="shared" si="86"/>
        <v>0</v>
      </c>
      <c r="U675" s="5">
        <f t="shared" si="88"/>
        <v>0</v>
      </c>
      <c r="V675" s="247">
        <f t="shared" si="89"/>
        <v>0</v>
      </c>
      <c r="W675" s="276">
        <f t="shared" si="90"/>
        <v>0</v>
      </c>
      <c r="X675" s="277">
        <f t="shared" si="83"/>
        <v>0</v>
      </c>
    </row>
    <row r="676" spans="14:24" x14ac:dyDescent="0.25">
      <c r="N676" s="244">
        <f>Weather_Site!B682</f>
        <v>0</v>
      </c>
      <c r="O676" s="245">
        <f>Weather_Site!C682</f>
        <v>0</v>
      </c>
      <c r="P676" s="5">
        <f>Weather_Site!E682</f>
        <v>0</v>
      </c>
      <c r="Q676" s="245">
        <f t="shared" si="84"/>
        <v>0</v>
      </c>
      <c r="R676" s="5">
        <f t="shared" si="87"/>
        <v>0</v>
      </c>
      <c r="S676" s="5">
        <f t="shared" si="85"/>
        <v>0</v>
      </c>
      <c r="T676" s="247">
        <f t="shared" si="86"/>
        <v>0</v>
      </c>
      <c r="U676" s="5">
        <f t="shared" si="88"/>
        <v>0</v>
      </c>
      <c r="V676" s="247">
        <f t="shared" si="89"/>
        <v>0</v>
      </c>
      <c r="W676" s="276">
        <f t="shared" si="90"/>
        <v>0</v>
      </c>
      <c r="X676" s="277">
        <f t="shared" ref="X676:X739" si="91">IF(AND(O675&lt;0.333,O676&gt;=0.333),W676,X675)</f>
        <v>0</v>
      </c>
    </row>
    <row r="677" spans="14:24" x14ac:dyDescent="0.25">
      <c r="N677" s="244">
        <f>Weather_Site!B683</f>
        <v>0</v>
      </c>
      <c r="O677" s="245">
        <f>Weather_Site!C683</f>
        <v>0</v>
      </c>
      <c r="P677" s="5">
        <f>Weather_Site!E683</f>
        <v>0</v>
      </c>
      <c r="Q677" s="245">
        <f t="shared" ref="Q677:Q740" si="92">IF((O677-O676)&lt;0,(1-MAX(O676,0.625))+MIN(O677,0.334),(IF(O676&lt;0.333,(MIN(O677,0.334)-O676),IF(O677&gt;0.625,MAX(O677,0.625)-O676,0))))</f>
        <v>0</v>
      </c>
      <c r="R677" s="5">
        <f t="shared" si="87"/>
        <v>0</v>
      </c>
      <c r="S677" s="5">
        <f t="shared" ref="S677:S740" si="93">HOUR(O677)</f>
        <v>0</v>
      </c>
      <c r="T677" s="247">
        <f t="shared" ref="T677:T740" si="94">(P677+P676)/2*R677</f>
        <v>0</v>
      </c>
      <c r="U677" s="5">
        <f t="shared" si="88"/>
        <v>0</v>
      </c>
      <c r="V677" s="247">
        <f t="shared" si="89"/>
        <v>0</v>
      </c>
      <c r="W677" s="276">
        <f t="shared" si="90"/>
        <v>0</v>
      </c>
      <c r="X677" s="277">
        <f t="shared" si="91"/>
        <v>0</v>
      </c>
    </row>
    <row r="678" spans="14:24" x14ac:dyDescent="0.25">
      <c r="N678" s="244">
        <f>Weather_Site!B684</f>
        <v>0</v>
      </c>
      <c r="O678" s="245">
        <f>Weather_Site!C684</f>
        <v>0</v>
      </c>
      <c r="P678" s="5">
        <f>Weather_Site!E684</f>
        <v>0</v>
      </c>
      <c r="Q678" s="245">
        <f t="shared" si="92"/>
        <v>0</v>
      </c>
      <c r="R678" s="5">
        <f t="shared" si="87"/>
        <v>0</v>
      </c>
      <c r="S678" s="5">
        <f t="shared" si="93"/>
        <v>0</v>
      </c>
      <c r="T678" s="247">
        <f t="shared" si="94"/>
        <v>0</v>
      </c>
      <c r="U678" s="5">
        <f t="shared" si="88"/>
        <v>0</v>
      </c>
      <c r="V678" s="247">
        <f t="shared" si="89"/>
        <v>0</v>
      </c>
      <c r="W678" s="276">
        <f t="shared" si="90"/>
        <v>0</v>
      </c>
      <c r="X678" s="277">
        <f t="shared" si="91"/>
        <v>0</v>
      </c>
    </row>
    <row r="679" spans="14:24" x14ac:dyDescent="0.25">
      <c r="N679" s="244">
        <f>Weather_Site!B685</f>
        <v>0</v>
      </c>
      <c r="O679" s="245">
        <f>Weather_Site!C685</f>
        <v>0</v>
      </c>
      <c r="P679" s="5">
        <f>Weather_Site!E685</f>
        <v>0</v>
      </c>
      <c r="Q679" s="245">
        <f t="shared" si="92"/>
        <v>0</v>
      </c>
      <c r="R679" s="5">
        <f t="shared" si="87"/>
        <v>0</v>
      </c>
      <c r="S679" s="5">
        <f t="shared" si="93"/>
        <v>0</v>
      </c>
      <c r="T679" s="247">
        <f t="shared" si="94"/>
        <v>0</v>
      </c>
      <c r="U679" s="5">
        <f t="shared" si="88"/>
        <v>0</v>
      </c>
      <c r="V679" s="247">
        <f t="shared" si="89"/>
        <v>0</v>
      </c>
      <c r="W679" s="276">
        <f t="shared" si="90"/>
        <v>0</v>
      </c>
      <c r="X679" s="277">
        <f t="shared" si="91"/>
        <v>0</v>
      </c>
    </row>
    <row r="680" spans="14:24" x14ac:dyDescent="0.25">
      <c r="N680" s="244">
        <f>Weather_Site!B686</f>
        <v>0</v>
      </c>
      <c r="O680" s="245">
        <f>Weather_Site!C686</f>
        <v>0</v>
      </c>
      <c r="P680" s="5">
        <f>Weather_Site!E686</f>
        <v>0</v>
      </c>
      <c r="Q680" s="245">
        <f t="shared" si="92"/>
        <v>0</v>
      </c>
      <c r="R680" s="5">
        <f t="shared" si="87"/>
        <v>0</v>
      </c>
      <c r="S680" s="5">
        <f t="shared" si="93"/>
        <v>0</v>
      </c>
      <c r="T680" s="247">
        <f t="shared" si="94"/>
        <v>0</v>
      </c>
      <c r="U680" s="5">
        <f t="shared" si="88"/>
        <v>0</v>
      </c>
      <c r="V680" s="247">
        <f t="shared" si="89"/>
        <v>0</v>
      </c>
      <c r="W680" s="276">
        <f t="shared" si="90"/>
        <v>0</v>
      </c>
      <c r="X680" s="277">
        <f t="shared" si="91"/>
        <v>0</v>
      </c>
    </row>
    <row r="681" spans="14:24" x14ac:dyDescent="0.25">
      <c r="N681" s="244">
        <f>Weather_Site!B687</f>
        <v>0</v>
      </c>
      <c r="O681" s="245">
        <f>Weather_Site!C687</f>
        <v>0</v>
      </c>
      <c r="P681" s="5">
        <f>Weather_Site!E687</f>
        <v>0</v>
      </c>
      <c r="Q681" s="245">
        <f t="shared" si="92"/>
        <v>0</v>
      </c>
      <c r="R681" s="5">
        <f t="shared" si="87"/>
        <v>0</v>
      </c>
      <c r="S681" s="5">
        <f t="shared" si="93"/>
        <v>0</v>
      </c>
      <c r="T681" s="247">
        <f t="shared" si="94"/>
        <v>0</v>
      </c>
      <c r="U681" s="5">
        <f t="shared" si="88"/>
        <v>0</v>
      </c>
      <c r="V681" s="247">
        <f t="shared" si="89"/>
        <v>0</v>
      </c>
      <c r="W681" s="276">
        <f t="shared" si="90"/>
        <v>0</v>
      </c>
      <c r="X681" s="277">
        <f t="shared" si="91"/>
        <v>0</v>
      </c>
    </row>
    <row r="682" spans="14:24" x14ac:dyDescent="0.25">
      <c r="N682" s="244">
        <f>Weather_Site!B688</f>
        <v>0</v>
      </c>
      <c r="O682" s="245">
        <f>Weather_Site!C688</f>
        <v>0</v>
      </c>
      <c r="P682" s="5">
        <f>Weather_Site!E688</f>
        <v>0</v>
      </c>
      <c r="Q682" s="245">
        <f t="shared" si="92"/>
        <v>0</v>
      </c>
      <c r="R682" s="5">
        <f t="shared" si="87"/>
        <v>0</v>
      </c>
      <c r="S682" s="5">
        <f t="shared" si="93"/>
        <v>0</v>
      </c>
      <c r="T682" s="247">
        <f t="shared" si="94"/>
        <v>0</v>
      </c>
      <c r="U682" s="5">
        <f t="shared" si="88"/>
        <v>0</v>
      </c>
      <c r="V682" s="247">
        <f t="shared" si="89"/>
        <v>0</v>
      </c>
      <c r="W682" s="276">
        <f t="shared" si="90"/>
        <v>0</v>
      </c>
      <c r="X682" s="277">
        <f t="shared" si="91"/>
        <v>0</v>
      </c>
    </row>
    <row r="683" spans="14:24" x14ac:dyDescent="0.25">
      <c r="N683" s="244">
        <f>Weather_Site!B689</f>
        <v>0</v>
      </c>
      <c r="O683" s="245">
        <f>Weather_Site!C689</f>
        <v>0</v>
      </c>
      <c r="P683" s="5">
        <f>Weather_Site!E689</f>
        <v>0</v>
      </c>
      <c r="Q683" s="245">
        <f t="shared" si="92"/>
        <v>0</v>
      </c>
      <c r="R683" s="5">
        <f t="shared" si="87"/>
        <v>0</v>
      </c>
      <c r="S683" s="5">
        <f t="shared" si="93"/>
        <v>0</v>
      </c>
      <c r="T683" s="247">
        <f t="shared" si="94"/>
        <v>0</v>
      </c>
      <c r="U683" s="5">
        <f t="shared" si="88"/>
        <v>0</v>
      </c>
      <c r="V683" s="247">
        <f t="shared" si="89"/>
        <v>0</v>
      </c>
      <c r="W683" s="276">
        <f t="shared" si="90"/>
        <v>0</v>
      </c>
      <c r="X683" s="277">
        <f t="shared" si="91"/>
        <v>0</v>
      </c>
    </row>
    <row r="684" spans="14:24" x14ac:dyDescent="0.25">
      <c r="N684" s="244">
        <f>Weather_Site!B690</f>
        <v>0</v>
      </c>
      <c r="O684" s="245">
        <f>Weather_Site!C690</f>
        <v>0</v>
      </c>
      <c r="P684" s="5">
        <f>Weather_Site!E690</f>
        <v>0</v>
      </c>
      <c r="Q684" s="245">
        <f t="shared" si="92"/>
        <v>0</v>
      </c>
      <c r="R684" s="5">
        <f t="shared" si="87"/>
        <v>0</v>
      </c>
      <c r="S684" s="5">
        <f t="shared" si="93"/>
        <v>0</v>
      </c>
      <c r="T684" s="247">
        <f t="shared" si="94"/>
        <v>0</v>
      </c>
      <c r="U684" s="5">
        <f t="shared" si="88"/>
        <v>0</v>
      </c>
      <c r="V684" s="247">
        <f t="shared" si="89"/>
        <v>0</v>
      </c>
      <c r="W684" s="276">
        <f t="shared" si="90"/>
        <v>0</v>
      </c>
      <c r="X684" s="277">
        <f t="shared" si="91"/>
        <v>0</v>
      </c>
    </row>
    <row r="685" spans="14:24" x14ac:dyDescent="0.25">
      <c r="N685" s="244">
        <f>Weather_Site!B691</f>
        <v>0</v>
      </c>
      <c r="O685" s="245">
        <f>Weather_Site!C691</f>
        <v>0</v>
      </c>
      <c r="P685" s="5">
        <f>Weather_Site!E691</f>
        <v>0</v>
      </c>
      <c r="Q685" s="245">
        <f t="shared" si="92"/>
        <v>0</v>
      </c>
      <c r="R685" s="5">
        <f t="shared" si="87"/>
        <v>0</v>
      </c>
      <c r="S685" s="5">
        <f t="shared" si="93"/>
        <v>0</v>
      </c>
      <c r="T685" s="247">
        <f t="shared" si="94"/>
        <v>0</v>
      </c>
      <c r="U685" s="5">
        <f t="shared" si="88"/>
        <v>0</v>
      </c>
      <c r="V685" s="247">
        <f t="shared" si="89"/>
        <v>0</v>
      </c>
      <c r="W685" s="276">
        <f t="shared" si="90"/>
        <v>0</v>
      </c>
      <c r="X685" s="277">
        <f t="shared" si="91"/>
        <v>0</v>
      </c>
    </row>
    <row r="686" spans="14:24" x14ac:dyDescent="0.25">
      <c r="N686" s="244">
        <f>Weather_Site!B692</f>
        <v>0</v>
      </c>
      <c r="O686" s="245">
        <f>Weather_Site!C692</f>
        <v>0</v>
      </c>
      <c r="P686" s="5">
        <f>Weather_Site!E692</f>
        <v>0</v>
      </c>
      <c r="Q686" s="245">
        <f t="shared" si="92"/>
        <v>0</v>
      </c>
      <c r="R686" s="5">
        <f t="shared" si="87"/>
        <v>0</v>
      </c>
      <c r="S686" s="5">
        <f t="shared" si="93"/>
        <v>0</v>
      </c>
      <c r="T686" s="247">
        <f t="shared" si="94"/>
        <v>0</v>
      </c>
      <c r="U686" s="5">
        <f t="shared" si="88"/>
        <v>0</v>
      </c>
      <c r="V686" s="247">
        <f t="shared" si="89"/>
        <v>0</v>
      </c>
      <c r="W686" s="276">
        <f t="shared" si="90"/>
        <v>0</v>
      </c>
      <c r="X686" s="277">
        <f t="shared" si="91"/>
        <v>0</v>
      </c>
    </row>
    <row r="687" spans="14:24" x14ac:dyDescent="0.25">
      <c r="N687" s="244">
        <f>Weather_Site!B693</f>
        <v>0</v>
      </c>
      <c r="O687" s="245">
        <f>Weather_Site!C693</f>
        <v>0</v>
      </c>
      <c r="P687" s="5">
        <f>Weather_Site!E693</f>
        <v>0</v>
      </c>
      <c r="Q687" s="245">
        <f t="shared" si="92"/>
        <v>0</v>
      </c>
      <c r="R687" s="5">
        <f t="shared" si="87"/>
        <v>0</v>
      </c>
      <c r="S687" s="5">
        <f t="shared" si="93"/>
        <v>0</v>
      </c>
      <c r="T687" s="247">
        <f t="shared" si="94"/>
        <v>0</v>
      </c>
      <c r="U687" s="5">
        <f t="shared" si="88"/>
        <v>0</v>
      </c>
      <c r="V687" s="247">
        <f t="shared" si="89"/>
        <v>0</v>
      </c>
      <c r="W687" s="276">
        <f t="shared" si="90"/>
        <v>0</v>
      </c>
      <c r="X687" s="277">
        <f t="shared" si="91"/>
        <v>0</v>
      </c>
    </row>
    <row r="688" spans="14:24" x14ac:dyDescent="0.25">
      <c r="N688" s="244">
        <f>Weather_Site!B694</f>
        <v>0</v>
      </c>
      <c r="O688" s="245">
        <f>Weather_Site!C694</f>
        <v>0</v>
      </c>
      <c r="P688" s="5">
        <f>Weather_Site!E694</f>
        <v>0</v>
      </c>
      <c r="Q688" s="245">
        <f t="shared" si="92"/>
        <v>0</v>
      </c>
      <c r="R688" s="5">
        <f t="shared" si="87"/>
        <v>0</v>
      </c>
      <c r="S688" s="5">
        <f t="shared" si="93"/>
        <v>0</v>
      </c>
      <c r="T688" s="247">
        <f t="shared" si="94"/>
        <v>0</v>
      </c>
      <c r="U688" s="5">
        <f t="shared" si="88"/>
        <v>0</v>
      </c>
      <c r="V688" s="247">
        <f t="shared" si="89"/>
        <v>0</v>
      </c>
      <c r="W688" s="276">
        <f t="shared" si="90"/>
        <v>0</v>
      </c>
      <c r="X688" s="277">
        <f t="shared" si="91"/>
        <v>0</v>
      </c>
    </row>
    <row r="689" spans="14:24" x14ac:dyDescent="0.25">
      <c r="N689" s="244">
        <f>Weather_Site!B695</f>
        <v>0</v>
      </c>
      <c r="O689" s="245">
        <f>Weather_Site!C695</f>
        <v>0</v>
      </c>
      <c r="P689" s="5">
        <f>Weather_Site!E695</f>
        <v>0</v>
      </c>
      <c r="Q689" s="245">
        <f t="shared" si="92"/>
        <v>0</v>
      </c>
      <c r="R689" s="5">
        <f t="shared" si="87"/>
        <v>0</v>
      </c>
      <c r="S689" s="5">
        <f t="shared" si="93"/>
        <v>0</v>
      </c>
      <c r="T689" s="247">
        <f t="shared" si="94"/>
        <v>0</v>
      </c>
      <c r="U689" s="5">
        <f t="shared" si="88"/>
        <v>0</v>
      </c>
      <c r="V689" s="247">
        <f t="shared" si="89"/>
        <v>0</v>
      </c>
      <c r="W689" s="276">
        <f t="shared" si="90"/>
        <v>0</v>
      </c>
      <c r="X689" s="277">
        <f t="shared" si="91"/>
        <v>0</v>
      </c>
    </row>
    <row r="690" spans="14:24" x14ac:dyDescent="0.25">
      <c r="N690" s="244">
        <f>Weather_Site!B696</f>
        <v>0</v>
      </c>
      <c r="O690" s="245">
        <f>Weather_Site!C696</f>
        <v>0</v>
      </c>
      <c r="P690" s="5">
        <f>Weather_Site!E696</f>
        <v>0</v>
      </c>
      <c r="Q690" s="245">
        <f t="shared" si="92"/>
        <v>0</v>
      </c>
      <c r="R690" s="5">
        <f t="shared" si="87"/>
        <v>0</v>
      </c>
      <c r="S690" s="5">
        <f t="shared" si="93"/>
        <v>0</v>
      </c>
      <c r="T690" s="247">
        <f t="shared" si="94"/>
        <v>0</v>
      </c>
      <c r="U690" s="5">
        <f t="shared" si="88"/>
        <v>0</v>
      </c>
      <c r="V690" s="247">
        <f t="shared" si="89"/>
        <v>0</v>
      </c>
      <c r="W690" s="276">
        <f t="shared" si="90"/>
        <v>0</v>
      </c>
      <c r="X690" s="277">
        <f t="shared" si="91"/>
        <v>0</v>
      </c>
    </row>
    <row r="691" spans="14:24" x14ac:dyDescent="0.25">
      <c r="N691" s="244">
        <f>Weather_Site!B697</f>
        <v>0</v>
      </c>
      <c r="O691" s="245">
        <f>Weather_Site!C697</f>
        <v>0</v>
      </c>
      <c r="P691" s="5">
        <f>Weather_Site!E697</f>
        <v>0</v>
      </c>
      <c r="Q691" s="245">
        <f t="shared" si="92"/>
        <v>0</v>
      </c>
      <c r="R691" s="5">
        <f t="shared" si="87"/>
        <v>0</v>
      </c>
      <c r="S691" s="5">
        <f t="shared" si="93"/>
        <v>0</v>
      </c>
      <c r="T691" s="247">
        <f t="shared" si="94"/>
        <v>0</v>
      </c>
      <c r="U691" s="5">
        <f t="shared" si="88"/>
        <v>0</v>
      </c>
      <c r="V691" s="247">
        <f t="shared" si="89"/>
        <v>0</v>
      </c>
      <c r="W691" s="276">
        <f t="shared" si="90"/>
        <v>0</v>
      </c>
      <c r="X691" s="277">
        <f t="shared" si="91"/>
        <v>0</v>
      </c>
    </row>
    <row r="692" spans="14:24" x14ac:dyDescent="0.25">
      <c r="N692" s="244">
        <f>Weather_Site!B698</f>
        <v>0</v>
      </c>
      <c r="O692" s="245">
        <f>Weather_Site!C698</f>
        <v>0</v>
      </c>
      <c r="P692" s="5">
        <f>Weather_Site!E698</f>
        <v>0</v>
      </c>
      <c r="Q692" s="245">
        <f t="shared" si="92"/>
        <v>0</v>
      </c>
      <c r="R692" s="5">
        <f t="shared" si="87"/>
        <v>0</v>
      </c>
      <c r="S692" s="5">
        <f t="shared" si="93"/>
        <v>0</v>
      </c>
      <c r="T692" s="247">
        <f t="shared" si="94"/>
        <v>0</v>
      </c>
      <c r="U692" s="5">
        <f t="shared" si="88"/>
        <v>0</v>
      </c>
      <c r="V692" s="247">
        <f t="shared" si="89"/>
        <v>0</v>
      </c>
      <c r="W692" s="276">
        <f t="shared" si="90"/>
        <v>0</v>
      </c>
      <c r="X692" s="277">
        <f t="shared" si="91"/>
        <v>0</v>
      </c>
    </row>
    <row r="693" spans="14:24" x14ac:dyDescent="0.25">
      <c r="N693" s="244">
        <f>Weather_Site!B699</f>
        <v>0</v>
      </c>
      <c r="O693" s="245">
        <f>Weather_Site!C699</f>
        <v>0</v>
      </c>
      <c r="P693" s="5">
        <f>Weather_Site!E699</f>
        <v>0</v>
      </c>
      <c r="Q693" s="245">
        <f t="shared" si="92"/>
        <v>0</v>
      </c>
      <c r="R693" s="5">
        <f t="shared" si="87"/>
        <v>0</v>
      </c>
      <c r="S693" s="5">
        <f t="shared" si="93"/>
        <v>0</v>
      </c>
      <c r="T693" s="247">
        <f t="shared" si="94"/>
        <v>0</v>
      </c>
      <c r="U693" s="5">
        <f t="shared" si="88"/>
        <v>0</v>
      </c>
      <c r="V693" s="247">
        <f t="shared" si="89"/>
        <v>0</v>
      </c>
      <c r="W693" s="276">
        <f t="shared" si="90"/>
        <v>0</v>
      </c>
      <c r="X693" s="277">
        <f t="shared" si="91"/>
        <v>0</v>
      </c>
    </row>
    <row r="694" spans="14:24" x14ac:dyDescent="0.25">
      <c r="N694" s="244">
        <f>Weather_Site!B700</f>
        <v>0</v>
      </c>
      <c r="O694" s="245">
        <f>Weather_Site!C700</f>
        <v>0</v>
      </c>
      <c r="P694" s="5">
        <f>Weather_Site!E700</f>
        <v>0</v>
      </c>
      <c r="Q694" s="245">
        <f t="shared" si="92"/>
        <v>0</v>
      </c>
      <c r="R694" s="5">
        <f t="shared" si="87"/>
        <v>0</v>
      </c>
      <c r="S694" s="5">
        <f t="shared" si="93"/>
        <v>0</v>
      </c>
      <c r="T694" s="247">
        <f t="shared" si="94"/>
        <v>0</v>
      </c>
      <c r="U694" s="5">
        <f t="shared" si="88"/>
        <v>0</v>
      </c>
      <c r="V694" s="247">
        <f t="shared" si="89"/>
        <v>0</v>
      </c>
      <c r="W694" s="276">
        <f t="shared" si="90"/>
        <v>0</v>
      </c>
      <c r="X694" s="277">
        <f t="shared" si="91"/>
        <v>0</v>
      </c>
    </row>
    <row r="695" spans="14:24" x14ac:dyDescent="0.25">
      <c r="N695" s="244">
        <f>Weather_Site!B701</f>
        <v>0</v>
      </c>
      <c r="O695" s="245">
        <f>Weather_Site!C701</f>
        <v>0</v>
      </c>
      <c r="P695" s="5">
        <f>Weather_Site!E701</f>
        <v>0</v>
      </c>
      <c r="Q695" s="245">
        <f t="shared" si="92"/>
        <v>0</v>
      </c>
      <c r="R695" s="5">
        <f t="shared" si="87"/>
        <v>0</v>
      </c>
      <c r="S695" s="5">
        <f t="shared" si="93"/>
        <v>0</v>
      </c>
      <c r="T695" s="247">
        <f t="shared" si="94"/>
        <v>0</v>
      </c>
      <c r="U695" s="5">
        <f t="shared" si="88"/>
        <v>0</v>
      </c>
      <c r="V695" s="247">
        <f t="shared" si="89"/>
        <v>0</v>
      </c>
      <c r="W695" s="276">
        <f t="shared" si="90"/>
        <v>0</v>
      </c>
      <c r="X695" s="277">
        <f t="shared" si="91"/>
        <v>0</v>
      </c>
    </row>
    <row r="696" spans="14:24" x14ac:dyDescent="0.25">
      <c r="N696" s="244">
        <f>Weather_Site!B702</f>
        <v>0</v>
      </c>
      <c r="O696" s="245">
        <f>Weather_Site!C702</f>
        <v>0</v>
      </c>
      <c r="P696" s="5">
        <f>Weather_Site!E702</f>
        <v>0</v>
      </c>
      <c r="Q696" s="245">
        <f t="shared" si="92"/>
        <v>0</v>
      </c>
      <c r="R696" s="5">
        <f t="shared" si="87"/>
        <v>0</v>
      </c>
      <c r="S696" s="5">
        <f t="shared" si="93"/>
        <v>0</v>
      </c>
      <c r="T696" s="247">
        <f t="shared" si="94"/>
        <v>0</v>
      </c>
      <c r="U696" s="5">
        <f t="shared" si="88"/>
        <v>0</v>
      </c>
      <c r="V696" s="247">
        <f t="shared" si="89"/>
        <v>0</v>
      </c>
      <c r="W696" s="276">
        <f t="shared" si="90"/>
        <v>0</v>
      </c>
      <c r="X696" s="277">
        <f t="shared" si="91"/>
        <v>0</v>
      </c>
    </row>
    <row r="697" spans="14:24" x14ac:dyDescent="0.25">
      <c r="N697" s="244">
        <f>Weather_Site!B703</f>
        <v>0</v>
      </c>
      <c r="O697" s="245">
        <f>Weather_Site!C703</f>
        <v>0</v>
      </c>
      <c r="P697" s="5">
        <f>Weather_Site!E703</f>
        <v>0</v>
      </c>
      <c r="Q697" s="245">
        <f t="shared" si="92"/>
        <v>0</v>
      </c>
      <c r="R697" s="5">
        <f t="shared" si="87"/>
        <v>0</v>
      </c>
      <c r="S697" s="5">
        <f t="shared" si="93"/>
        <v>0</v>
      </c>
      <c r="T697" s="247">
        <f t="shared" si="94"/>
        <v>0</v>
      </c>
      <c r="U697" s="5">
        <f t="shared" si="88"/>
        <v>0</v>
      </c>
      <c r="V697" s="247">
        <f t="shared" si="89"/>
        <v>0</v>
      </c>
      <c r="W697" s="276">
        <f t="shared" si="90"/>
        <v>0</v>
      </c>
      <c r="X697" s="277">
        <f t="shared" si="91"/>
        <v>0</v>
      </c>
    </row>
    <row r="698" spans="14:24" x14ac:dyDescent="0.25">
      <c r="N698" s="244">
        <f>Weather_Site!B704</f>
        <v>0</v>
      </c>
      <c r="O698" s="245">
        <f>Weather_Site!C704</f>
        <v>0</v>
      </c>
      <c r="P698" s="5">
        <f>Weather_Site!E704</f>
        <v>0</v>
      </c>
      <c r="Q698" s="245">
        <f t="shared" si="92"/>
        <v>0</v>
      </c>
      <c r="R698" s="5">
        <f t="shared" si="87"/>
        <v>0</v>
      </c>
      <c r="S698" s="5">
        <f t="shared" si="93"/>
        <v>0</v>
      </c>
      <c r="T698" s="247">
        <f t="shared" si="94"/>
        <v>0</v>
      </c>
      <c r="U698" s="5">
        <f t="shared" si="88"/>
        <v>0</v>
      </c>
      <c r="V698" s="247">
        <f t="shared" si="89"/>
        <v>0</v>
      </c>
      <c r="W698" s="276">
        <f t="shared" si="90"/>
        <v>0</v>
      </c>
      <c r="X698" s="277">
        <f t="shared" si="91"/>
        <v>0</v>
      </c>
    </row>
    <row r="699" spans="14:24" x14ac:dyDescent="0.25">
      <c r="N699" s="244">
        <f>Weather_Site!B705</f>
        <v>0</v>
      </c>
      <c r="O699" s="245">
        <f>Weather_Site!C705</f>
        <v>0</v>
      </c>
      <c r="P699" s="5">
        <f>Weather_Site!E705</f>
        <v>0</v>
      </c>
      <c r="Q699" s="245">
        <f t="shared" si="92"/>
        <v>0</v>
      </c>
      <c r="R699" s="5">
        <f t="shared" si="87"/>
        <v>0</v>
      </c>
      <c r="S699" s="5">
        <f t="shared" si="93"/>
        <v>0</v>
      </c>
      <c r="T699" s="247">
        <f t="shared" si="94"/>
        <v>0</v>
      </c>
      <c r="U699" s="5">
        <f t="shared" si="88"/>
        <v>0</v>
      </c>
      <c r="V699" s="247">
        <f t="shared" si="89"/>
        <v>0</v>
      </c>
      <c r="W699" s="276">
        <f t="shared" si="90"/>
        <v>0</v>
      </c>
      <c r="X699" s="277">
        <f t="shared" si="91"/>
        <v>0</v>
      </c>
    </row>
    <row r="700" spans="14:24" x14ac:dyDescent="0.25">
      <c r="N700" s="244">
        <f>Weather_Site!B706</f>
        <v>0</v>
      </c>
      <c r="O700" s="245">
        <f>Weather_Site!C706</f>
        <v>0</v>
      </c>
      <c r="P700" s="5">
        <f>Weather_Site!E706</f>
        <v>0</v>
      </c>
      <c r="Q700" s="245">
        <f t="shared" si="92"/>
        <v>0</v>
      </c>
      <c r="R700" s="5">
        <f t="shared" si="87"/>
        <v>0</v>
      </c>
      <c r="S700" s="5">
        <f t="shared" si="93"/>
        <v>0</v>
      </c>
      <c r="T700" s="247">
        <f t="shared" si="94"/>
        <v>0</v>
      </c>
      <c r="U700" s="5">
        <f t="shared" si="88"/>
        <v>0</v>
      </c>
      <c r="V700" s="247">
        <f t="shared" si="89"/>
        <v>0</v>
      </c>
      <c r="W700" s="276">
        <f t="shared" si="90"/>
        <v>0</v>
      </c>
      <c r="X700" s="277">
        <f t="shared" si="91"/>
        <v>0</v>
      </c>
    </row>
    <row r="701" spans="14:24" x14ac:dyDescent="0.25">
      <c r="N701" s="244">
        <f>Weather_Site!B707</f>
        <v>0</v>
      </c>
      <c r="O701" s="245">
        <f>Weather_Site!C707</f>
        <v>0</v>
      </c>
      <c r="P701" s="5">
        <f>Weather_Site!E707</f>
        <v>0</v>
      </c>
      <c r="Q701" s="245">
        <f t="shared" si="92"/>
        <v>0</v>
      </c>
      <c r="R701" s="5">
        <f t="shared" si="87"/>
        <v>0</v>
      </c>
      <c r="S701" s="5">
        <f t="shared" si="93"/>
        <v>0</v>
      </c>
      <c r="T701" s="247">
        <f t="shared" si="94"/>
        <v>0</v>
      </c>
      <c r="U701" s="5">
        <f t="shared" si="88"/>
        <v>0</v>
      </c>
      <c r="V701" s="247">
        <f t="shared" si="89"/>
        <v>0</v>
      </c>
      <c r="W701" s="276">
        <f t="shared" si="90"/>
        <v>0</v>
      </c>
      <c r="X701" s="277">
        <f t="shared" si="91"/>
        <v>0</v>
      </c>
    </row>
    <row r="702" spans="14:24" x14ac:dyDescent="0.25">
      <c r="N702" s="244">
        <f>Weather_Site!B708</f>
        <v>0</v>
      </c>
      <c r="O702" s="245">
        <f>Weather_Site!C708</f>
        <v>0</v>
      </c>
      <c r="P702" s="5">
        <f>Weather_Site!E708</f>
        <v>0</v>
      </c>
      <c r="Q702" s="245">
        <f t="shared" si="92"/>
        <v>0</v>
      </c>
      <c r="R702" s="5">
        <f t="shared" si="87"/>
        <v>0</v>
      </c>
      <c r="S702" s="5">
        <f t="shared" si="93"/>
        <v>0</v>
      </c>
      <c r="T702" s="247">
        <f t="shared" si="94"/>
        <v>0</v>
      </c>
      <c r="U702" s="5">
        <f t="shared" si="88"/>
        <v>0</v>
      </c>
      <c r="V702" s="247">
        <f t="shared" si="89"/>
        <v>0</v>
      </c>
      <c r="W702" s="276">
        <f t="shared" si="90"/>
        <v>0</v>
      </c>
      <c r="X702" s="277">
        <f t="shared" si="91"/>
        <v>0</v>
      </c>
    </row>
    <row r="703" spans="14:24" x14ac:dyDescent="0.25">
      <c r="N703" s="244">
        <f>Weather_Site!B709</f>
        <v>0</v>
      </c>
      <c r="O703" s="245">
        <f>Weather_Site!C709</f>
        <v>0</v>
      </c>
      <c r="P703" s="5">
        <f>Weather_Site!E709</f>
        <v>0</v>
      </c>
      <c r="Q703" s="245">
        <f t="shared" si="92"/>
        <v>0</v>
      </c>
      <c r="R703" s="5">
        <f t="shared" si="87"/>
        <v>0</v>
      </c>
      <c r="S703" s="5">
        <f t="shared" si="93"/>
        <v>0</v>
      </c>
      <c r="T703" s="247">
        <f t="shared" si="94"/>
        <v>0</v>
      </c>
      <c r="U703" s="5">
        <f t="shared" si="88"/>
        <v>0</v>
      </c>
      <c r="V703" s="247">
        <f t="shared" si="89"/>
        <v>0</v>
      </c>
      <c r="W703" s="276">
        <f t="shared" si="90"/>
        <v>0</v>
      </c>
      <c r="X703" s="277">
        <f t="shared" si="91"/>
        <v>0</v>
      </c>
    </row>
    <row r="704" spans="14:24" x14ac:dyDescent="0.25">
      <c r="N704" s="244">
        <f>Weather_Site!B710</f>
        <v>0</v>
      </c>
      <c r="O704" s="245">
        <f>Weather_Site!C710</f>
        <v>0</v>
      </c>
      <c r="P704" s="5">
        <f>Weather_Site!E710</f>
        <v>0</v>
      </c>
      <c r="Q704" s="245">
        <f t="shared" si="92"/>
        <v>0</v>
      </c>
      <c r="R704" s="5">
        <f t="shared" si="87"/>
        <v>0</v>
      </c>
      <c r="S704" s="5">
        <f t="shared" si="93"/>
        <v>0</v>
      </c>
      <c r="T704" s="247">
        <f t="shared" si="94"/>
        <v>0</v>
      </c>
      <c r="U704" s="5">
        <f t="shared" si="88"/>
        <v>0</v>
      </c>
      <c r="V704" s="247">
        <f t="shared" si="89"/>
        <v>0</v>
      </c>
      <c r="W704" s="276">
        <f t="shared" si="90"/>
        <v>0</v>
      </c>
      <c r="X704" s="277">
        <f t="shared" si="91"/>
        <v>0</v>
      </c>
    </row>
    <row r="705" spans="14:24" x14ac:dyDescent="0.25">
      <c r="N705" s="244">
        <f>Weather_Site!B711</f>
        <v>0</v>
      </c>
      <c r="O705" s="245">
        <f>Weather_Site!C711</f>
        <v>0</v>
      </c>
      <c r="P705" s="5">
        <f>Weather_Site!E711</f>
        <v>0</v>
      </c>
      <c r="Q705" s="245">
        <f t="shared" si="92"/>
        <v>0</v>
      </c>
      <c r="R705" s="5">
        <f t="shared" si="87"/>
        <v>0</v>
      </c>
      <c r="S705" s="5">
        <f t="shared" si="93"/>
        <v>0</v>
      </c>
      <c r="T705" s="247">
        <f t="shared" si="94"/>
        <v>0</v>
      </c>
      <c r="U705" s="5">
        <f t="shared" si="88"/>
        <v>0</v>
      </c>
      <c r="V705" s="247">
        <f t="shared" si="89"/>
        <v>0</v>
      </c>
      <c r="W705" s="276">
        <f t="shared" si="90"/>
        <v>0</v>
      </c>
      <c r="X705" s="277">
        <f t="shared" si="91"/>
        <v>0</v>
      </c>
    </row>
    <row r="706" spans="14:24" x14ac:dyDescent="0.25">
      <c r="N706" s="244">
        <f>Weather_Site!B712</f>
        <v>0</v>
      </c>
      <c r="O706" s="245">
        <f>Weather_Site!C712</f>
        <v>0</v>
      </c>
      <c r="P706" s="5">
        <f>Weather_Site!E712</f>
        <v>0</v>
      </c>
      <c r="Q706" s="245">
        <f t="shared" si="92"/>
        <v>0</v>
      </c>
      <c r="R706" s="5">
        <f t="shared" si="87"/>
        <v>0</v>
      </c>
      <c r="S706" s="5">
        <f t="shared" si="93"/>
        <v>0</v>
      </c>
      <c r="T706" s="247">
        <f t="shared" si="94"/>
        <v>0</v>
      </c>
      <c r="U706" s="5">
        <f t="shared" si="88"/>
        <v>0</v>
      </c>
      <c r="V706" s="247">
        <f t="shared" si="89"/>
        <v>0</v>
      </c>
      <c r="W706" s="276">
        <f t="shared" si="90"/>
        <v>0</v>
      </c>
      <c r="X706" s="277">
        <f t="shared" si="91"/>
        <v>0</v>
      </c>
    </row>
    <row r="707" spans="14:24" x14ac:dyDescent="0.25">
      <c r="N707" s="244">
        <f>Weather_Site!B713</f>
        <v>0</v>
      </c>
      <c r="O707" s="245">
        <f>Weather_Site!C713</f>
        <v>0</v>
      </c>
      <c r="P707" s="5">
        <f>Weather_Site!E713</f>
        <v>0</v>
      </c>
      <c r="Q707" s="245">
        <f t="shared" si="92"/>
        <v>0</v>
      </c>
      <c r="R707" s="5">
        <f t="shared" si="87"/>
        <v>0</v>
      </c>
      <c r="S707" s="5">
        <f t="shared" si="93"/>
        <v>0</v>
      </c>
      <c r="T707" s="247">
        <f t="shared" si="94"/>
        <v>0</v>
      </c>
      <c r="U707" s="5">
        <f t="shared" si="88"/>
        <v>0</v>
      </c>
      <c r="V707" s="247">
        <f t="shared" si="89"/>
        <v>0</v>
      </c>
      <c r="W707" s="276">
        <f t="shared" si="90"/>
        <v>0</v>
      </c>
      <c r="X707" s="277">
        <f t="shared" si="91"/>
        <v>0</v>
      </c>
    </row>
    <row r="708" spans="14:24" x14ac:dyDescent="0.25">
      <c r="N708" s="244">
        <f>Weather_Site!B714</f>
        <v>0</v>
      </c>
      <c r="O708" s="245">
        <f>Weather_Site!C714</f>
        <v>0</v>
      </c>
      <c r="P708" s="5">
        <f>Weather_Site!E714</f>
        <v>0</v>
      </c>
      <c r="Q708" s="245">
        <f t="shared" si="92"/>
        <v>0</v>
      </c>
      <c r="R708" s="5">
        <f t="shared" si="87"/>
        <v>0</v>
      </c>
      <c r="S708" s="5">
        <f t="shared" si="93"/>
        <v>0</v>
      </c>
      <c r="T708" s="247">
        <f t="shared" si="94"/>
        <v>0</v>
      </c>
      <c r="U708" s="5">
        <f t="shared" si="88"/>
        <v>0</v>
      </c>
      <c r="V708" s="247">
        <f t="shared" si="89"/>
        <v>0</v>
      </c>
      <c r="W708" s="276">
        <f t="shared" si="90"/>
        <v>0</v>
      </c>
      <c r="X708" s="277">
        <f t="shared" si="91"/>
        <v>0</v>
      </c>
    </row>
    <row r="709" spans="14:24" x14ac:dyDescent="0.25">
      <c r="N709" s="244">
        <f>Weather_Site!B715</f>
        <v>0</v>
      </c>
      <c r="O709" s="245">
        <f>Weather_Site!C715</f>
        <v>0</v>
      </c>
      <c r="P709" s="5">
        <f>Weather_Site!E715</f>
        <v>0</v>
      </c>
      <c r="Q709" s="245">
        <f t="shared" si="92"/>
        <v>0</v>
      </c>
      <c r="R709" s="5">
        <f t="shared" si="87"/>
        <v>0</v>
      </c>
      <c r="S709" s="5">
        <f t="shared" si="93"/>
        <v>0</v>
      </c>
      <c r="T709" s="247">
        <f t="shared" si="94"/>
        <v>0</v>
      </c>
      <c r="U709" s="5">
        <f t="shared" si="88"/>
        <v>0</v>
      </c>
      <c r="V709" s="247">
        <f t="shared" si="89"/>
        <v>0</v>
      </c>
      <c r="W709" s="276">
        <f t="shared" si="90"/>
        <v>0</v>
      </c>
      <c r="X709" s="277">
        <f t="shared" si="91"/>
        <v>0</v>
      </c>
    </row>
    <row r="710" spans="14:24" x14ac:dyDescent="0.25">
      <c r="N710" s="244">
        <f>Weather_Site!B716</f>
        <v>0</v>
      </c>
      <c r="O710" s="245">
        <f>Weather_Site!C716</f>
        <v>0</v>
      </c>
      <c r="P710" s="5">
        <f>Weather_Site!E716</f>
        <v>0</v>
      </c>
      <c r="Q710" s="245">
        <f t="shared" si="92"/>
        <v>0</v>
      </c>
      <c r="R710" s="5">
        <f t="shared" si="87"/>
        <v>0</v>
      </c>
      <c r="S710" s="5">
        <f t="shared" si="93"/>
        <v>0</v>
      </c>
      <c r="T710" s="247">
        <f t="shared" si="94"/>
        <v>0</v>
      </c>
      <c r="U710" s="5">
        <f t="shared" si="88"/>
        <v>0</v>
      </c>
      <c r="V710" s="247">
        <f t="shared" si="89"/>
        <v>0</v>
      </c>
      <c r="W710" s="276">
        <f t="shared" si="90"/>
        <v>0</v>
      </c>
      <c r="X710" s="277">
        <f t="shared" si="91"/>
        <v>0</v>
      </c>
    </row>
    <row r="711" spans="14:24" x14ac:dyDescent="0.25">
      <c r="N711" s="244">
        <f>Weather_Site!B717</f>
        <v>0</v>
      </c>
      <c r="O711" s="245">
        <f>Weather_Site!C717</f>
        <v>0</v>
      </c>
      <c r="P711" s="5">
        <f>Weather_Site!E717</f>
        <v>0</v>
      </c>
      <c r="Q711" s="245">
        <f t="shared" si="92"/>
        <v>0</v>
      </c>
      <c r="R711" s="5">
        <f t="shared" si="87"/>
        <v>0</v>
      </c>
      <c r="S711" s="5">
        <f t="shared" si="93"/>
        <v>0</v>
      </c>
      <c r="T711" s="247">
        <f t="shared" si="94"/>
        <v>0</v>
      </c>
      <c r="U711" s="5">
        <f t="shared" si="88"/>
        <v>0</v>
      </c>
      <c r="V711" s="247">
        <f t="shared" si="89"/>
        <v>0</v>
      </c>
      <c r="W711" s="276">
        <f t="shared" si="90"/>
        <v>0</v>
      </c>
      <c r="X711" s="277">
        <f t="shared" si="91"/>
        <v>0</v>
      </c>
    </row>
    <row r="712" spans="14:24" x14ac:dyDescent="0.25">
      <c r="N712" s="244">
        <f>Weather_Site!B718</f>
        <v>0</v>
      </c>
      <c r="O712" s="245">
        <f>Weather_Site!C718</f>
        <v>0</v>
      </c>
      <c r="P712" s="5">
        <f>Weather_Site!E718</f>
        <v>0</v>
      </c>
      <c r="Q712" s="245">
        <f t="shared" si="92"/>
        <v>0</v>
      </c>
      <c r="R712" s="5">
        <f t="shared" ref="R712:R762" si="95">HOUR(Q712)</f>
        <v>0</v>
      </c>
      <c r="S712" s="5">
        <f t="shared" si="93"/>
        <v>0</v>
      </c>
      <c r="T712" s="247">
        <f t="shared" si="94"/>
        <v>0</v>
      </c>
      <c r="U712" s="5">
        <f t="shared" ref="U712:U762" si="96">MAX((T712-70*R712),0)</f>
        <v>0</v>
      </c>
      <c r="V712" s="247">
        <f t="shared" ref="V712:V762" si="97">IF(OR(AND((N712-N711)=0,O711&gt;0.5),AND((N712-N711)=1,O712&lt;0.5),AND(N712-N711)=0,O712&lt;0.5),U712+V711,U712)</f>
        <v>0</v>
      </c>
      <c r="W712" s="276">
        <f t="shared" ref="W712:W762" si="98">IF(O712&lt;0.75,MAX(V712,W711),V712)</f>
        <v>0</v>
      </c>
      <c r="X712" s="277">
        <f t="shared" si="91"/>
        <v>0</v>
      </c>
    </row>
    <row r="713" spans="14:24" x14ac:dyDescent="0.25">
      <c r="N713" s="244">
        <f>Weather_Site!B719</f>
        <v>0</v>
      </c>
      <c r="O713" s="245">
        <f>Weather_Site!C719</f>
        <v>0</v>
      </c>
      <c r="P713" s="5">
        <f>Weather_Site!E719</f>
        <v>0</v>
      </c>
      <c r="Q713" s="245">
        <f t="shared" si="92"/>
        <v>0</v>
      </c>
      <c r="R713" s="5">
        <f t="shared" si="95"/>
        <v>0</v>
      </c>
      <c r="S713" s="5">
        <f t="shared" si="93"/>
        <v>0</v>
      </c>
      <c r="T713" s="247">
        <f t="shared" si="94"/>
        <v>0</v>
      </c>
      <c r="U713" s="5">
        <f t="shared" si="96"/>
        <v>0</v>
      </c>
      <c r="V713" s="247">
        <f t="shared" si="97"/>
        <v>0</v>
      </c>
      <c r="W713" s="276">
        <f t="shared" si="98"/>
        <v>0</v>
      </c>
      <c r="X713" s="277">
        <f t="shared" si="91"/>
        <v>0</v>
      </c>
    </row>
    <row r="714" spans="14:24" x14ac:dyDescent="0.25">
      <c r="N714" s="244">
        <f>Weather_Site!B720</f>
        <v>0</v>
      </c>
      <c r="O714" s="245">
        <f>Weather_Site!C720</f>
        <v>0</v>
      </c>
      <c r="P714" s="5">
        <f>Weather_Site!E720</f>
        <v>0</v>
      </c>
      <c r="Q714" s="245">
        <f t="shared" si="92"/>
        <v>0</v>
      </c>
      <c r="R714" s="5">
        <f t="shared" si="95"/>
        <v>0</v>
      </c>
      <c r="S714" s="5">
        <f t="shared" si="93"/>
        <v>0</v>
      </c>
      <c r="T714" s="247">
        <f t="shared" si="94"/>
        <v>0</v>
      </c>
      <c r="U714" s="5">
        <f t="shared" si="96"/>
        <v>0</v>
      </c>
      <c r="V714" s="247">
        <f t="shared" si="97"/>
        <v>0</v>
      </c>
      <c r="W714" s="276">
        <f t="shared" si="98"/>
        <v>0</v>
      </c>
      <c r="X714" s="277">
        <f t="shared" si="91"/>
        <v>0</v>
      </c>
    </row>
    <row r="715" spans="14:24" x14ac:dyDescent="0.25">
      <c r="N715" s="244">
        <f>Weather_Site!B721</f>
        <v>0</v>
      </c>
      <c r="O715" s="245">
        <f>Weather_Site!C721</f>
        <v>0</v>
      </c>
      <c r="P715" s="5">
        <f>Weather_Site!E721</f>
        <v>0</v>
      </c>
      <c r="Q715" s="245">
        <f t="shared" si="92"/>
        <v>0</v>
      </c>
      <c r="R715" s="5">
        <f t="shared" si="95"/>
        <v>0</v>
      </c>
      <c r="S715" s="5">
        <f t="shared" si="93"/>
        <v>0</v>
      </c>
      <c r="T715" s="247">
        <f t="shared" si="94"/>
        <v>0</v>
      </c>
      <c r="U715" s="5">
        <f t="shared" si="96"/>
        <v>0</v>
      </c>
      <c r="V715" s="247">
        <f t="shared" si="97"/>
        <v>0</v>
      </c>
      <c r="W715" s="276">
        <f t="shared" si="98"/>
        <v>0</v>
      </c>
      <c r="X715" s="277">
        <f t="shared" si="91"/>
        <v>0</v>
      </c>
    </row>
    <row r="716" spans="14:24" x14ac:dyDescent="0.25">
      <c r="N716" s="244">
        <f>Weather_Site!B722</f>
        <v>0</v>
      </c>
      <c r="O716" s="245">
        <f>Weather_Site!C722</f>
        <v>0</v>
      </c>
      <c r="P716" s="5">
        <f>Weather_Site!E722</f>
        <v>0</v>
      </c>
      <c r="Q716" s="245">
        <f t="shared" si="92"/>
        <v>0</v>
      </c>
      <c r="R716" s="5">
        <f t="shared" si="95"/>
        <v>0</v>
      </c>
      <c r="S716" s="5">
        <f t="shared" si="93"/>
        <v>0</v>
      </c>
      <c r="T716" s="247">
        <f t="shared" si="94"/>
        <v>0</v>
      </c>
      <c r="U716" s="5">
        <f t="shared" si="96"/>
        <v>0</v>
      </c>
      <c r="V716" s="247">
        <f t="shared" si="97"/>
        <v>0</v>
      </c>
      <c r="W716" s="276">
        <f t="shared" si="98"/>
        <v>0</v>
      </c>
      <c r="X716" s="277">
        <f t="shared" si="91"/>
        <v>0</v>
      </c>
    </row>
    <row r="717" spans="14:24" x14ac:dyDescent="0.25">
      <c r="N717" s="244">
        <f>Weather_Site!B723</f>
        <v>0</v>
      </c>
      <c r="O717" s="245">
        <f>Weather_Site!C723</f>
        <v>0</v>
      </c>
      <c r="P717" s="5">
        <f>Weather_Site!E723</f>
        <v>0</v>
      </c>
      <c r="Q717" s="245">
        <f t="shared" si="92"/>
        <v>0</v>
      </c>
      <c r="R717" s="5">
        <f t="shared" si="95"/>
        <v>0</v>
      </c>
      <c r="S717" s="5">
        <f t="shared" si="93"/>
        <v>0</v>
      </c>
      <c r="T717" s="247">
        <f t="shared" si="94"/>
        <v>0</v>
      </c>
      <c r="U717" s="5">
        <f t="shared" si="96"/>
        <v>0</v>
      </c>
      <c r="V717" s="247">
        <f t="shared" si="97"/>
        <v>0</v>
      </c>
      <c r="W717" s="276">
        <f t="shared" si="98"/>
        <v>0</v>
      </c>
      <c r="X717" s="277">
        <f t="shared" si="91"/>
        <v>0</v>
      </c>
    </row>
    <row r="718" spans="14:24" x14ac:dyDescent="0.25">
      <c r="N718" s="244">
        <f>Weather_Site!B724</f>
        <v>0</v>
      </c>
      <c r="O718" s="245">
        <f>Weather_Site!C724</f>
        <v>0</v>
      </c>
      <c r="P718" s="5">
        <f>Weather_Site!E724</f>
        <v>0</v>
      </c>
      <c r="Q718" s="245">
        <f t="shared" si="92"/>
        <v>0</v>
      </c>
      <c r="R718" s="5">
        <f t="shared" si="95"/>
        <v>0</v>
      </c>
      <c r="S718" s="5">
        <f t="shared" si="93"/>
        <v>0</v>
      </c>
      <c r="T718" s="247">
        <f t="shared" si="94"/>
        <v>0</v>
      </c>
      <c r="U718" s="5">
        <f t="shared" si="96"/>
        <v>0</v>
      </c>
      <c r="V718" s="247">
        <f t="shared" si="97"/>
        <v>0</v>
      </c>
      <c r="W718" s="276">
        <f t="shared" si="98"/>
        <v>0</v>
      </c>
      <c r="X718" s="277">
        <f t="shared" si="91"/>
        <v>0</v>
      </c>
    </row>
    <row r="719" spans="14:24" x14ac:dyDescent="0.25">
      <c r="N719" s="244">
        <f>Weather_Site!B725</f>
        <v>0</v>
      </c>
      <c r="O719" s="245">
        <f>Weather_Site!C725</f>
        <v>0</v>
      </c>
      <c r="P719" s="5">
        <f>Weather_Site!E725</f>
        <v>0</v>
      </c>
      <c r="Q719" s="245">
        <f t="shared" si="92"/>
        <v>0</v>
      </c>
      <c r="R719" s="5">
        <f t="shared" si="95"/>
        <v>0</v>
      </c>
      <c r="S719" s="5">
        <f t="shared" si="93"/>
        <v>0</v>
      </c>
      <c r="T719" s="247">
        <f t="shared" si="94"/>
        <v>0</v>
      </c>
      <c r="U719" s="5">
        <f t="shared" si="96"/>
        <v>0</v>
      </c>
      <c r="V719" s="247">
        <f t="shared" si="97"/>
        <v>0</v>
      </c>
      <c r="W719" s="276">
        <f t="shared" si="98"/>
        <v>0</v>
      </c>
      <c r="X719" s="277">
        <f t="shared" si="91"/>
        <v>0</v>
      </c>
    </row>
    <row r="720" spans="14:24" x14ac:dyDescent="0.25">
      <c r="N720" s="244">
        <f>Weather_Site!B726</f>
        <v>0</v>
      </c>
      <c r="O720" s="245">
        <f>Weather_Site!C726</f>
        <v>0</v>
      </c>
      <c r="P720" s="5">
        <f>Weather_Site!E726</f>
        <v>0</v>
      </c>
      <c r="Q720" s="245">
        <f t="shared" si="92"/>
        <v>0</v>
      </c>
      <c r="R720" s="5">
        <f t="shared" si="95"/>
        <v>0</v>
      </c>
      <c r="S720" s="5">
        <f t="shared" si="93"/>
        <v>0</v>
      </c>
      <c r="T720" s="247">
        <f t="shared" si="94"/>
        <v>0</v>
      </c>
      <c r="U720" s="5">
        <f t="shared" si="96"/>
        <v>0</v>
      </c>
      <c r="V720" s="247">
        <f t="shared" si="97"/>
        <v>0</v>
      </c>
      <c r="W720" s="276">
        <f t="shared" si="98"/>
        <v>0</v>
      </c>
      <c r="X720" s="277">
        <f t="shared" si="91"/>
        <v>0</v>
      </c>
    </row>
    <row r="721" spans="14:24" x14ac:dyDescent="0.25">
      <c r="N721" s="244">
        <f>Weather_Site!B727</f>
        <v>0</v>
      </c>
      <c r="O721" s="245">
        <f>Weather_Site!C727</f>
        <v>0</v>
      </c>
      <c r="P721" s="5">
        <f>Weather_Site!E727</f>
        <v>0</v>
      </c>
      <c r="Q721" s="245">
        <f t="shared" si="92"/>
        <v>0</v>
      </c>
      <c r="R721" s="5">
        <f t="shared" si="95"/>
        <v>0</v>
      </c>
      <c r="S721" s="5">
        <f t="shared" si="93"/>
        <v>0</v>
      </c>
      <c r="T721" s="247">
        <f t="shared" si="94"/>
        <v>0</v>
      </c>
      <c r="U721" s="5">
        <f t="shared" si="96"/>
        <v>0</v>
      </c>
      <c r="V721" s="247">
        <f t="shared" si="97"/>
        <v>0</v>
      </c>
      <c r="W721" s="276">
        <f t="shared" si="98"/>
        <v>0</v>
      </c>
      <c r="X721" s="277">
        <f t="shared" si="91"/>
        <v>0</v>
      </c>
    </row>
    <row r="722" spans="14:24" x14ac:dyDescent="0.25">
      <c r="N722" s="244">
        <f>Weather_Site!B728</f>
        <v>0</v>
      </c>
      <c r="O722" s="245">
        <f>Weather_Site!C728</f>
        <v>0</v>
      </c>
      <c r="P722" s="5">
        <f>Weather_Site!E728</f>
        <v>0</v>
      </c>
      <c r="Q722" s="245">
        <f t="shared" si="92"/>
        <v>0</v>
      </c>
      <c r="R722" s="5">
        <f t="shared" si="95"/>
        <v>0</v>
      </c>
      <c r="S722" s="5">
        <f t="shared" si="93"/>
        <v>0</v>
      </c>
      <c r="T722" s="247">
        <f t="shared" si="94"/>
        <v>0</v>
      </c>
      <c r="U722" s="5">
        <f t="shared" si="96"/>
        <v>0</v>
      </c>
      <c r="V722" s="247">
        <f t="shared" si="97"/>
        <v>0</v>
      </c>
      <c r="W722" s="276">
        <f t="shared" si="98"/>
        <v>0</v>
      </c>
      <c r="X722" s="277">
        <f t="shared" si="91"/>
        <v>0</v>
      </c>
    </row>
    <row r="723" spans="14:24" x14ac:dyDescent="0.25">
      <c r="N723" s="244">
        <f>Weather_Site!B729</f>
        <v>0</v>
      </c>
      <c r="O723" s="245">
        <f>Weather_Site!C729</f>
        <v>0</v>
      </c>
      <c r="P723" s="5">
        <f>Weather_Site!E729</f>
        <v>0</v>
      </c>
      <c r="Q723" s="245">
        <f t="shared" si="92"/>
        <v>0</v>
      </c>
      <c r="R723" s="5">
        <f t="shared" si="95"/>
        <v>0</v>
      </c>
      <c r="S723" s="5">
        <f t="shared" si="93"/>
        <v>0</v>
      </c>
      <c r="T723" s="247">
        <f t="shared" si="94"/>
        <v>0</v>
      </c>
      <c r="U723" s="5">
        <f t="shared" si="96"/>
        <v>0</v>
      </c>
      <c r="V723" s="247">
        <f t="shared" si="97"/>
        <v>0</v>
      </c>
      <c r="W723" s="276">
        <f t="shared" si="98"/>
        <v>0</v>
      </c>
      <c r="X723" s="277">
        <f t="shared" si="91"/>
        <v>0</v>
      </c>
    </row>
    <row r="724" spans="14:24" x14ac:dyDescent="0.25">
      <c r="N724" s="244">
        <f>Weather_Site!B730</f>
        <v>0</v>
      </c>
      <c r="O724" s="245">
        <f>Weather_Site!C730</f>
        <v>0</v>
      </c>
      <c r="P724" s="5">
        <f>Weather_Site!E730</f>
        <v>0</v>
      </c>
      <c r="Q724" s="245">
        <f t="shared" si="92"/>
        <v>0</v>
      </c>
      <c r="R724" s="5">
        <f t="shared" si="95"/>
        <v>0</v>
      </c>
      <c r="S724" s="5">
        <f t="shared" si="93"/>
        <v>0</v>
      </c>
      <c r="T724" s="247">
        <f t="shared" si="94"/>
        <v>0</v>
      </c>
      <c r="U724" s="5">
        <f t="shared" si="96"/>
        <v>0</v>
      </c>
      <c r="V724" s="247">
        <f t="shared" si="97"/>
        <v>0</v>
      </c>
      <c r="W724" s="276">
        <f t="shared" si="98"/>
        <v>0</v>
      </c>
      <c r="X724" s="277">
        <f t="shared" si="91"/>
        <v>0</v>
      </c>
    </row>
    <row r="725" spans="14:24" x14ac:dyDescent="0.25">
      <c r="N725" s="244">
        <f>Weather_Site!B731</f>
        <v>0</v>
      </c>
      <c r="O725" s="245">
        <f>Weather_Site!C731</f>
        <v>0</v>
      </c>
      <c r="P725" s="5">
        <f>Weather_Site!E731</f>
        <v>0</v>
      </c>
      <c r="Q725" s="245">
        <f t="shared" si="92"/>
        <v>0</v>
      </c>
      <c r="R725" s="5">
        <f t="shared" si="95"/>
        <v>0</v>
      </c>
      <c r="S725" s="5">
        <f t="shared" si="93"/>
        <v>0</v>
      </c>
      <c r="T725" s="247">
        <f t="shared" si="94"/>
        <v>0</v>
      </c>
      <c r="U725" s="5">
        <f t="shared" si="96"/>
        <v>0</v>
      </c>
      <c r="V725" s="247">
        <f t="shared" si="97"/>
        <v>0</v>
      </c>
      <c r="W725" s="276">
        <f t="shared" si="98"/>
        <v>0</v>
      </c>
      <c r="X725" s="277">
        <f t="shared" si="91"/>
        <v>0</v>
      </c>
    </row>
    <row r="726" spans="14:24" x14ac:dyDescent="0.25">
      <c r="N726" s="244">
        <f>Weather_Site!B732</f>
        <v>0</v>
      </c>
      <c r="O726" s="245">
        <f>Weather_Site!C732</f>
        <v>0</v>
      </c>
      <c r="P726" s="5">
        <f>Weather_Site!E732</f>
        <v>0</v>
      </c>
      <c r="Q726" s="245">
        <f t="shared" si="92"/>
        <v>0</v>
      </c>
      <c r="R726" s="5">
        <f t="shared" si="95"/>
        <v>0</v>
      </c>
      <c r="S726" s="5">
        <f t="shared" si="93"/>
        <v>0</v>
      </c>
      <c r="T726" s="247">
        <f t="shared" si="94"/>
        <v>0</v>
      </c>
      <c r="U726" s="5">
        <f t="shared" si="96"/>
        <v>0</v>
      </c>
      <c r="V726" s="247">
        <f t="shared" si="97"/>
        <v>0</v>
      </c>
      <c r="W726" s="276">
        <f t="shared" si="98"/>
        <v>0</v>
      </c>
      <c r="X726" s="277">
        <f t="shared" si="91"/>
        <v>0</v>
      </c>
    </row>
    <row r="727" spans="14:24" x14ac:dyDescent="0.25">
      <c r="N727" s="244">
        <f>Weather_Site!B733</f>
        <v>0</v>
      </c>
      <c r="O727" s="245">
        <f>Weather_Site!C733</f>
        <v>0</v>
      </c>
      <c r="P727" s="5">
        <f>Weather_Site!E733</f>
        <v>0</v>
      </c>
      <c r="Q727" s="245">
        <f t="shared" si="92"/>
        <v>0</v>
      </c>
      <c r="R727" s="5">
        <f t="shared" si="95"/>
        <v>0</v>
      </c>
      <c r="S727" s="5">
        <f t="shared" si="93"/>
        <v>0</v>
      </c>
      <c r="T727" s="247">
        <f t="shared" si="94"/>
        <v>0</v>
      </c>
      <c r="U727" s="5">
        <f t="shared" si="96"/>
        <v>0</v>
      </c>
      <c r="V727" s="247">
        <f t="shared" si="97"/>
        <v>0</v>
      </c>
      <c r="W727" s="276">
        <f t="shared" si="98"/>
        <v>0</v>
      </c>
      <c r="X727" s="277">
        <f t="shared" si="91"/>
        <v>0</v>
      </c>
    </row>
    <row r="728" spans="14:24" x14ac:dyDescent="0.25">
      <c r="N728" s="244">
        <f>Weather_Site!B734</f>
        <v>0</v>
      </c>
      <c r="O728" s="245">
        <f>Weather_Site!C734</f>
        <v>0</v>
      </c>
      <c r="P728" s="5">
        <f>Weather_Site!E734</f>
        <v>0</v>
      </c>
      <c r="Q728" s="245">
        <f t="shared" si="92"/>
        <v>0</v>
      </c>
      <c r="R728" s="5">
        <f t="shared" si="95"/>
        <v>0</v>
      </c>
      <c r="S728" s="5">
        <f t="shared" si="93"/>
        <v>0</v>
      </c>
      <c r="T728" s="247">
        <f t="shared" si="94"/>
        <v>0</v>
      </c>
      <c r="U728" s="5">
        <f t="shared" si="96"/>
        <v>0</v>
      </c>
      <c r="V728" s="247">
        <f t="shared" si="97"/>
        <v>0</v>
      </c>
      <c r="W728" s="276">
        <f t="shared" si="98"/>
        <v>0</v>
      </c>
      <c r="X728" s="277">
        <f t="shared" si="91"/>
        <v>0</v>
      </c>
    </row>
    <row r="729" spans="14:24" x14ac:dyDescent="0.25">
      <c r="N729" s="244">
        <f>Weather_Site!B735</f>
        <v>0</v>
      </c>
      <c r="O729" s="245">
        <f>Weather_Site!C735</f>
        <v>0</v>
      </c>
      <c r="P729" s="5">
        <f>Weather_Site!E735</f>
        <v>0</v>
      </c>
      <c r="Q729" s="245">
        <f t="shared" si="92"/>
        <v>0</v>
      </c>
      <c r="R729" s="5">
        <f t="shared" si="95"/>
        <v>0</v>
      </c>
      <c r="S729" s="5">
        <f t="shared" si="93"/>
        <v>0</v>
      </c>
      <c r="T729" s="247">
        <f t="shared" si="94"/>
        <v>0</v>
      </c>
      <c r="U729" s="5">
        <f t="shared" si="96"/>
        <v>0</v>
      </c>
      <c r="V729" s="247">
        <f t="shared" si="97"/>
        <v>0</v>
      </c>
      <c r="W729" s="276">
        <f t="shared" si="98"/>
        <v>0</v>
      </c>
      <c r="X729" s="277">
        <f t="shared" si="91"/>
        <v>0</v>
      </c>
    </row>
    <row r="730" spans="14:24" x14ac:dyDescent="0.25">
      <c r="N730" s="244">
        <f>Weather_Site!B736</f>
        <v>0</v>
      </c>
      <c r="O730" s="245">
        <f>Weather_Site!C736</f>
        <v>0</v>
      </c>
      <c r="P730" s="5">
        <f>Weather_Site!E736</f>
        <v>0</v>
      </c>
      <c r="Q730" s="245">
        <f t="shared" si="92"/>
        <v>0</v>
      </c>
      <c r="R730" s="5">
        <f t="shared" si="95"/>
        <v>0</v>
      </c>
      <c r="S730" s="5">
        <f t="shared" si="93"/>
        <v>0</v>
      </c>
      <c r="T730" s="247">
        <f t="shared" si="94"/>
        <v>0</v>
      </c>
      <c r="U730" s="5">
        <f t="shared" si="96"/>
        <v>0</v>
      </c>
      <c r="V730" s="247">
        <f t="shared" si="97"/>
        <v>0</v>
      </c>
      <c r="W730" s="276">
        <f t="shared" si="98"/>
        <v>0</v>
      </c>
      <c r="X730" s="277">
        <f t="shared" si="91"/>
        <v>0</v>
      </c>
    </row>
    <row r="731" spans="14:24" x14ac:dyDescent="0.25">
      <c r="N731" s="244">
        <f>Weather_Site!B737</f>
        <v>0</v>
      </c>
      <c r="O731" s="245">
        <f>Weather_Site!C737</f>
        <v>0</v>
      </c>
      <c r="P731" s="5">
        <f>Weather_Site!E737</f>
        <v>0</v>
      </c>
      <c r="Q731" s="245">
        <f t="shared" si="92"/>
        <v>0</v>
      </c>
      <c r="R731" s="5">
        <f t="shared" si="95"/>
        <v>0</v>
      </c>
      <c r="S731" s="5">
        <f t="shared" si="93"/>
        <v>0</v>
      </c>
      <c r="T731" s="247">
        <f t="shared" si="94"/>
        <v>0</v>
      </c>
      <c r="U731" s="5">
        <f t="shared" si="96"/>
        <v>0</v>
      </c>
      <c r="V731" s="247">
        <f t="shared" si="97"/>
        <v>0</v>
      </c>
      <c r="W731" s="276">
        <f t="shared" si="98"/>
        <v>0</v>
      </c>
      <c r="X731" s="277">
        <f t="shared" si="91"/>
        <v>0</v>
      </c>
    </row>
    <row r="732" spans="14:24" x14ac:dyDescent="0.25">
      <c r="N732" s="244">
        <f>Weather_Site!B738</f>
        <v>0</v>
      </c>
      <c r="O732" s="245">
        <f>Weather_Site!C738</f>
        <v>0</v>
      </c>
      <c r="P732" s="5">
        <f>Weather_Site!E738</f>
        <v>0</v>
      </c>
      <c r="Q732" s="245">
        <f t="shared" si="92"/>
        <v>0</v>
      </c>
      <c r="R732" s="5">
        <f t="shared" si="95"/>
        <v>0</v>
      </c>
      <c r="S732" s="5">
        <f t="shared" si="93"/>
        <v>0</v>
      </c>
      <c r="T732" s="247">
        <f t="shared" si="94"/>
        <v>0</v>
      </c>
      <c r="U732" s="5">
        <f t="shared" si="96"/>
        <v>0</v>
      </c>
      <c r="V732" s="247">
        <f t="shared" si="97"/>
        <v>0</v>
      </c>
      <c r="W732" s="276">
        <f t="shared" si="98"/>
        <v>0</v>
      </c>
      <c r="X732" s="277">
        <f t="shared" si="91"/>
        <v>0</v>
      </c>
    </row>
    <row r="733" spans="14:24" x14ac:dyDescent="0.25">
      <c r="N733" s="244">
        <f>Weather_Site!B739</f>
        <v>0</v>
      </c>
      <c r="O733" s="245">
        <f>Weather_Site!C739</f>
        <v>0</v>
      </c>
      <c r="P733" s="5">
        <f>Weather_Site!E739</f>
        <v>0</v>
      </c>
      <c r="Q733" s="245">
        <f t="shared" si="92"/>
        <v>0</v>
      </c>
      <c r="R733" s="5">
        <f t="shared" si="95"/>
        <v>0</v>
      </c>
      <c r="S733" s="5">
        <f t="shared" si="93"/>
        <v>0</v>
      </c>
      <c r="T733" s="247">
        <f t="shared" si="94"/>
        <v>0</v>
      </c>
      <c r="U733" s="5">
        <f t="shared" si="96"/>
        <v>0</v>
      </c>
      <c r="V733" s="247">
        <f t="shared" si="97"/>
        <v>0</v>
      </c>
      <c r="W733" s="276">
        <f t="shared" si="98"/>
        <v>0</v>
      </c>
      <c r="X733" s="277">
        <f t="shared" si="91"/>
        <v>0</v>
      </c>
    </row>
    <row r="734" spans="14:24" x14ac:dyDescent="0.25">
      <c r="N734" s="244">
        <f>Weather_Site!B740</f>
        <v>0</v>
      </c>
      <c r="O734" s="245">
        <f>Weather_Site!C740</f>
        <v>0</v>
      </c>
      <c r="P734" s="5">
        <f>Weather_Site!E740</f>
        <v>0</v>
      </c>
      <c r="Q734" s="245">
        <f t="shared" si="92"/>
        <v>0</v>
      </c>
      <c r="R734" s="5">
        <f t="shared" si="95"/>
        <v>0</v>
      </c>
      <c r="S734" s="5">
        <f t="shared" si="93"/>
        <v>0</v>
      </c>
      <c r="T734" s="247">
        <f t="shared" si="94"/>
        <v>0</v>
      </c>
      <c r="U734" s="5">
        <f t="shared" si="96"/>
        <v>0</v>
      </c>
      <c r="V734" s="247">
        <f t="shared" si="97"/>
        <v>0</v>
      </c>
      <c r="W734" s="276">
        <f t="shared" si="98"/>
        <v>0</v>
      </c>
      <c r="X734" s="277">
        <f t="shared" si="91"/>
        <v>0</v>
      </c>
    </row>
    <row r="735" spans="14:24" x14ac:dyDescent="0.25">
      <c r="N735" s="244">
        <f>Weather_Site!B741</f>
        <v>0</v>
      </c>
      <c r="O735" s="245">
        <f>Weather_Site!C741</f>
        <v>0</v>
      </c>
      <c r="P735" s="5">
        <f>Weather_Site!E741</f>
        <v>0</v>
      </c>
      <c r="Q735" s="245">
        <f t="shared" si="92"/>
        <v>0</v>
      </c>
      <c r="R735" s="5">
        <f t="shared" si="95"/>
        <v>0</v>
      </c>
      <c r="S735" s="5">
        <f t="shared" si="93"/>
        <v>0</v>
      </c>
      <c r="T735" s="247">
        <f t="shared" si="94"/>
        <v>0</v>
      </c>
      <c r="U735" s="5">
        <f t="shared" si="96"/>
        <v>0</v>
      </c>
      <c r="V735" s="247">
        <f t="shared" si="97"/>
        <v>0</v>
      </c>
      <c r="W735" s="276">
        <f t="shared" si="98"/>
        <v>0</v>
      </c>
      <c r="X735" s="277">
        <f t="shared" si="91"/>
        <v>0</v>
      </c>
    </row>
    <row r="736" spans="14:24" x14ac:dyDescent="0.25">
      <c r="N736" s="244">
        <f>Weather_Site!B742</f>
        <v>0</v>
      </c>
      <c r="O736" s="245">
        <f>Weather_Site!C742</f>
        <v>0</v>
      </c>
      <c r="P736" s="5">
        <f>Weather_Site!E742</f>
        <v>0</v>
      </c>
      <c r="Q736" s="245">
        <f t="shared" si="92"/>
        <v>0</v>
      </c>
      <c r="R736" s="5">
        <f t="shared" si="95"/>
        <v>0</v>
      </c>
      <c r="S736" s="5">
        <f t="shared" si="93"/>
        <v>0</v>
      </c>
      <c r="T736" s="247">
        <f t="shared" si="94"/>
        <v>0</v>
      </c>
      <c r="U736" s="5">
        <f t="shared" si="96"/>
        <v>0</v>
      </c>
      <c r="V736" s="247">
        <f t="shared" si="97"/>
        <v>0</v>
      </c>
      <c r="W736" s="276">
        <f t="shared" si="98"/>
        <v>0</v>
      </c>
      <c r="X736" s="277">
        <f t="shared" si="91"/>
        <v>0</v>
      </c>
    </row>
    <row r="737" spans="14:24" x14ac:dyDescent="0.25">
      <c r="N737" s="244">
        <f>Weather_Site!B743</f>
        <v>0</v>
      </c>
      <c r="O737" s="245">
        <f>Weather_Site!C743</f>
        <v>0</v>
      </c>
      <c r="P737" s="5">
        <f>Weather_Site!E743</f>
        <v>0</v>
      </c>
      <c r="Q737" s="245">
        <f t="shared" si="92"/>
        <v>0</v>
      </c>
      <c r="R737" s="5">
        <f t="shared" si="95"/>
        <v>0</v>
      </c>
      <c r="S737" s="5">
        <f t="shared" si="93"/>
        <v>0</v>
      </c>
      <c r="T737" s="247">
        <f t="shared" si="94"/>
        <v>0</v>
      </c>
      <c r="U737" s="5">
        <f t="shared" si="96"/>
        <v>0</v>
      </c>
      <c r="V737" s="247">
        <f t="shared" si="97"/>
        <v>0</v>
      </c>
      <c r="W737" s="276">
        <f t="shared" si="98"/>
        <v>0</v>
      </c>
      <c r="X737" s="277">
        <f t="shared" si="91"/>
        <v>0</v>
      </c>
    </row>
    <row r="738" spans="14:24" x14ac:dyDescent="0.25">
      <c r="N738" s="244">
        <f>Weather_Site!B744</f>
        <v>0</v>
      </c>
      <c r="O738" s="245">
        <f>Weather_Site!C744</f>
        <v>0</v>
      </c>
      <c r="P738" s="5">
        <f>Weather_Site!E744</f>
        <v>0</v>
      </c>
      <c r="Q738" s="245">
        <f t="shared" si="92"/>
        <v>0</v>
      </c>
      <c r="R738" s="5">
        <f t="shared" si="95"/>
        <v>0</v>
      </c>
      <c r="S738" s="5">
        <f t="shared" si="93"/>
        <v>0</v>
      </c>
      <c r="T738" s="247">
        <f t="shared" si="94"/>
        <v>0</v>
      </c>
      <c r="U738" s="5">
        <f t="shared" si="96"/>
        <v>0</v>
      </c>
      <c r="V738" s="247">
        <f t="shared" si="97"/>
        <v>0</v>
      </c>
      <c r="W738" s="276">
        <f t="shared" si="98"/>
        <v>0</v>
      </c>
      <c r="X738" s="277">
        <f t="shared" si="91"/>
        <v>0</v>
      </c>
    </row>
    <row r="739" spans="14:24" x14ac:dyDescent="0.25">
      <c r="N739" s="244">
        <f>Weather_Site!B745</f>
        <v>0</v>
      </c>
      <c r="O739" s="245">
        <f>Weather_Site!C745</f>
        <v>0</v>
      </c>
      <c r="P739" s="5">
        <f>Weather_Site!E745</f>
        <v>0</v>
      </c>
      <c r="Q739" s="245">
        <f t="shared" si="92"/>
        <v>0</v>
      </c>
      <c r="R739" s="5">
        <f t="shared" si="95"/>
        <v>0</v>
      </c>
      <c r="S739" s="5">
        <f t="shared" si="93"/>
        <v>0</v>
      </c>
      <c r="T739" s="247">
        <f t="shared" si="94"/>
        <v>0</v>
      </c>
      <c r="U739" s="5">
        <f t="shared" si="96"/>
        <v>0</v>
      </c>
      <c r="V739" s="247">
        <f t="shared" si="97"/>
        <v>0</v>
      </c>
      <c r="W739" s="276">
        <f t="shared" si="98"/>
        <v>0</v>
      </c>
      <c r="X739" s="277">
        <f t="shared" si="91"/>
        <v>0</v>
      </c>
    </row>
    <row r="740" spans="14:24" x14ac:dyDescent="0.25">
      <c r="N740" s="244">
        <f>Weather_Site!B746</f>
        <v>0</v>
      </c>
      <c r="O740" s="245">
        <f>Weather_Site!C746</f>
        <v>0</v>
      </c>
      <c r="P740" s="5">
        <f>Weather_Site!E746</f>
        <v>0</v>
      </c>
      <c r="Q740" s="245">
        <f t="shared" si="92"/>
        <v>0</v>
      </c>
      <c r="R740" s="5">
        <f t="shared" si="95"/>
        <v>0</v>
      </c>
      <c r="S740" s="5">
        <f t="shared" si="93"/>
        <v>0</v>
      </c>
      <c r="T740" s="247">
        <f t="shared" si="94"/>
        <v>0</v>
      </c>
      <c r="U740" s="5">
        <f t="shared" si="96"/>
        <v>0</v>
      </c>
      <c r="V740" s="247">
        <f t="shared" si="97"/>
        <v>0</v>
      </c>
      <c r="W740" s="276">
        <f t="shared" si="98"/>
        <v>0</v>
      </c>
      <c r="X740" s="277">
        <f t="shared" ref="X740:X762" si="99">IF(AND(O739&lt;0.333,O740&gt;=0.333),W740,X739)</f>
        <v>0</v>
      </c>
    </row>
    <row r="741" spans="14:24" x14ac:dyDescent="0.25">
      <c r="N741" s="244">
        <f>Weather_Site!B747</f>
        <v>0</v>
      </c>
      <c r="O741" s="245">
        <f>Weather_Site!C747</f>
        <v>0</v>
      </c>
      <c r="P741" s="5">
        <f>Weather_Site!E747</f>
        <v>0</v>
      </c>
      <c r="Q741" s="245">
        <f t="shared" ref="Q741:Q762" si="100">IF((O741-O740)&lt;0,(1-MAX(O740,0.625))+MIN(O741,0.334),(IF(O740&lt;0.333,(MIN(O741,0.334)-O740),IF(O741&gt;0.625,MAX(O741,0.625)-O740,0))))</f>
        <v>0</v>
      </c>
      <c r="R741" s="5">
        <f t="shared" si="95"/>
        <v>0</v>
      </c>
      <c r="S741" s="5">
        <f t="shared" ref="S741:S762" si="101">HOUR(O741)</f>
        <v>0</v>
      </c>
      <c r="T741" s="247">
        <f t="shared" ref="T741:T762" si="102">(P741+P740)/2*R741</f>
        <v>0</v>
      </c>
      <c r="U741" s="5">
        <f t="shared" si="96"/>
        <v>0</v>
      </c>
      <c r="V741" s="247">
        <f t="shared" si="97"/>
        <v>0</v>
      </c>
      <c r="W741" s="276">
        <f t="shared" si="98"/>
        <v>0</v>
      </c>
      <c r="X741" s="277">
        <f t="shared" si="99"/>
        <v>0</v>
      </c>
    </row>
    <row r="742" spans="14:24" x14ac:dyDescent="0.25">
      <c r="N742" s="244">
        <f>Weather_Site!B748</f>
        <v>0</v>
      </c>
      <c r="O742" s="245">
        <f>Weather_Site!C748</f>
        <v>0</v>
      </c>
      <c r="P742" s="5">
        <f>Weather_Site!E748</f>
        <v>0</v>
      </c>
      <c r="Q742" s="245">
        <f t="shared" si="100"/>
        <v>0</v>
      </c>
      <c r="R742" s="5">
        <f t="shared" si="95"/>
        <v>0</v>
      </c>
      <c r="S742" s="5">
        <f t="shared" si="101"/>
        <v>0</v>
      </c>
      <c r="T742" s="247">
        <f t="shared" si="102"/>
        <v>0</v>
      </c>
      <c r="U742" s="5">
        <f t="shared" si="96"/>
        <v>0</v>
      </c>
      <c r="V742" s="247">
        <f t="shared" si="97"/>
        <v>0</v>
      </c>
      <c r="W742" s="276">
        <f t="shared" si="98"/>
        <v>0</v>
      </c>
      <c r="X742" s="277">
        <f t="shared" si="99"/>
        <v>0</v>
      </c>
    </row>
    <row r="743" spans="14:24" x14ac:dyDescent="0.25">
      <c r="N743" s="244">
        <f>Weather_Site!B749</f>
        <v>0</v>
      </c>
      <c r="O743" s="245">
        <f>Weather_Site!C749</f>
        <v>0</v>
      </c>
      <c r="P743" s="5">
        <f>Weather_Site!E749</f>
        <v>0</v>
      </c>
      <c r="Q743" s="245">
        <f t="shared" si="100"/>
        <v>0</v>
      </c>
      <c r="R743" s="5">
        <f t="shared" si="95"/>
        <v>0</v>
      </c>
      <c r="S743" s="5">
        <f t="shared" si="101"/>
        <v>0</v>
      </c>
      <c r="T743" s="247">
        <f t="shared" si="102"/>
        <v>0</v>
      </c>
      <c r="U743" s="5">
        <f t="shared" si="96"/>
        <v>0</v>
      </c>
      <c r="V743" s="247">
        <f t="shared" si="97"/>
        <v>0</v>
      </c>
      <c r="W743" s="276">
        <f t="shared" si="98"/>
        <v>0</v>
      </c>
      <c r="X743" s="277">
        <f t="shared" si="99"/>
        <v>0</v>
      </c>
    </row>
    <row r="744" spans="14:24" x14ac:dyDescent="0.25">
      <c r="N744" s="244">
        <f>Weather_Site!B750</f>
        <v>0</v>
      </c>
      <c r="O744" s="245">
        <f>Weather_Site!C750</f>
        <v>0</v>
      </c>
      <c r="P744" s="5">
        <f>Weather_Site!E750</f>
        <v>0</v>
      </c>
      <c r="Q744" s="245">
        <f t="shared" si="100"/>
        <v>0</v>
      </c>
      <c r="R744" s="5">
        <f t="shared" si="95"/>
        <v>0</v>
      </c>
      <c r="S744" s="5">
        <f t="shared" si="101"/>
        <v>0</v>
      </c>
      <c r="T744" s="247">
        <f t="shared" si="102"/>
        <v>0</v>
      </c>
      <c r="U744" s="5">
        <f t="shared" si="96"/>
        <v>0</v>
      </c>
      <c r="V744" s="247">
        <f t="shared" si="97"/>
        <v>0</v>
      </c>
      <c r="W744" s="276">
        <f t="shared" si="98"/>
        <v>0</v>
      </c>
      <c r="X744" s="277">
        <f t="shared" si="99"/>
        <v>0</v>
      </c>
    </row>
    <row r="745" spans="14:24" x14ac:dyDescent="0.25">
      <c r="N745" s="244">
        <f>Weather_Site!B751</f>
        <v>0</v>
      </c>
      <c r="O745" s="245">
        <f>Weather_Site!C751</f>
        <v>0</v>
      </c>
      <c r="P745" s="5">
        <f>Weather_Site!E751</f>
        <v>0</v>
      </c>
      <c r="Q745" s="245">
        <f t="shared" si="100"/>
        <v>0</v>
      </c>
      <c r="R745" s="5">
        <f t="shared" si="95"/>
        <v>0</v>
      </c>
      <c r="S745" s="5">
        <f t="shared" si="101"/>
        <v>0</v>
      </c>
      <c r="T745" s="247">
        <f t="shared" si="102"/>
        <v>0</v>
      </c>
      <c r="U745" s="5">
        <f t="shared" si="96"/>
        <v>0</v>
      </c>
      <c r="V745" s="247">
        <f t="shared" si="97"/>
        <v>0</v>
      </c>
      <c r="W745" s="276">
        <f t="shared" si="98"/>
        <v>0</v>
      </c>
      <c r="X745" s="277">
        <f t="shared" si="99"/>
        <v>0</v>
      </c>
    </row>
    <row r="746" spans="14:24" x14ac:dyDescent="0.25">
      <c r="N746" s="244">
        <f>Weather_Site!B752</f>
        <v>0</v>
      </c>
      <c r="O746" s="245">
        <f>Weather_Site!C752</f>
        <v>0</v>
      </c>
      <c r="P746" s="5">
        <f>Weather_Site!E752</f>
        <v>0</v>
      </c>
      <c r="Q746" s="245">
        <f t="shared" si="100"/>
        <v>0</v>
      </c>
      <c r="R746" s="5">
        <f t="shared" si="95"/>
        <v>0</v>
      </c>
      <c r="S746" s="5">
        <f t="shared" si="101"/>
        <v>0</v>
      </c>
      <c r="T746" s="247">
        <f t="shared" si="102"/>
        <v>0</v>
      </c>
      <c r="U746" s="5">
        <f t="shared" si="96"/>
        <v>0</v>
      </c>
      <c r="V746" s="247">
        <f t="shared" si="97"/>
        <v>0</v>
      </c>
      <c r="W746" s="276">
        <f t="shared" si="98"/>
        <v>0</v>
      </c>
      <c r="X746" s="277">
        <f t="shared" si="99"/>
        <v>0</v>
      </c>
    </row>
    <row r="747" spans="14:24" x14ac:dyDescent="0.25">
      <c r="N747" s="244">
        <f>Weather_Site!B753</f>
        <v>0</v>
      </c>
      <c r="O747" s="245">
        <f>Weather_Site!C753</f>
        <v>0</v>
      </c>
      <c r="P747" s="5">
        <f>Weather_Site!E753</f>
        <v>0</v>
      </c>
      <c r="Q747" s="245">
        <f t="shared" si="100"/>
        <v>0</v>
      </c>
      <c r="R747" s="5">
        <f t="shared" si="95"/>
        <v>0</v>
      </c>
      <c r="S747" s="5">
        <f t="shared" si="101"/>
        <v>0</v>
      </c>
      <c r="T747" s="247">
        <f t="shared" si="102"/>
        <v>0</v>
      </c>
      <c r="U747" s="5">
        <f t="shared" si="96"/>
        <v>0</v>
      </c>
      <c r="V747" s="247">
        <f t="shared" si="97"/>
        <v>0</v>
      </c>
      <c r="W747" s="276">
        <f t="shared" si="98"/>
        <v>0</v>
      </c>
      <c r="X747" s="277">
        <f t="shared" si="99"/>
        <v>0</v>
      </c>
    </row>
    <row r="748" spans="14:24" x14ac:dyDescent="0.25">
      <c r="N748" s="244">
        <f>Weather_Site!B754</f>
        <v>0</v>
      </c>
      <c r="O748" s="245">
        <f>Weather_Site!C754</f>
        <v>0</v>
      </c>
      <c r="P748" s="5">
        <f>Weather_Site!E754</f>
        <v>0</v>
      </c>
      <c r="Q748" s="245">
        <f t="shared" si="100"/>
        <v>0</v>
      </c>
      <c r="R748" s="5">
        <f t="shared" si="95"/>
        <v>0</v>
      </c>
      <c r="S748" s="5">
        <f t="shared" si="101"/>
        <v>0</v>
      </c>
      <c r="T748" s="247">
        <f t="shared" si="102"/>
        <v>0</v>
      </c>
      <c r="U748" s="5">
        <f t="shared" si="96"/>
        <v>0</v>
      </c>
      <c r="V748" s="247">
        <f t="shared" si="97"/>
        <v>0</v>
      </c>
      <c r="W748" s="276">
        <f t="shared" si="98"/>
        <v>0</v>
      </c>
      <c r="X748" s="277">
        <f t="shared" si="99"/>
        <v>0</v>
      </c>
    </row>
    <row r="749" spans="14:24" x14ac:dyDescent="0.25">
      <c r="N749" s="244">
        <f>Weather_Site!B755</f>
        <v>0</v>
      </c>
      <c r="O749" s="245">
        <f>Weather_Site!C755</f>
        <v>0</v>
      </c>
      <c r="P749" s="5">
        <f>Weather_Site!E755</f>
        <v>0</v>
      </c>
      <c r="Q749" s="245">
        <f t="shared" si="100"/>
        <v>0</v>
      </c>
      <c r="R749" s="5">
        <f t="shared" si="95"/>
        <v>0</v>
      </c>
      <c r="S749" s="5">
        <f t="shared" si="101"/>
        <v>0</v>
      </c>
      <c r="T749" s="247">
        <f t="shared" si="102"/>
        <v>0</v>
      </c>
      <c r="U749" s="5">
        <f t="shared" si="96"/>
        <v>0</v>
      </c>
      <c r="V749" s="247">
        <f t="shared" si="97"/>
        <v>0</v>
      </c>
      <c r="W749" s="276">
        <f t="shared" si="98"/>
        <v>0</v>
      </c>
      <c r="X749" s="277">
        <f t="shared" si="99"/>
        <v>0</v>
      </c>
    </row>
    <row r="750" spans="14:24" x14ac:dyDescent="0.25">
      <c r="N750" s="244">
        <f>Weather_Site!B756</f>
        <v>0</v>
      </c>
      <c r="O750" s="245">
        <f>Weather_Site!C756</f>
        <v>0</v>
      </c>
      <c r="P750" s="5">
        <f>Weather_Site!E756</f>
        <v>0</v>
      </c>
      <c r="Q750" s="245">
        <f t="shared" si="100"/>
        <v>0</v>
      </c>
      <c r="R750" s="5">
        <f t="shared" si="95"/>
        <v>0</v>
      </c>
      <c r="S750" s="5">
        <f t="shared" si="101"/>
        <v>0</v>
      </c>
      <c r="T750" s="247">
        <f t="shared" si="102"/>
        <v>0</v>
      </c>
      <c r="U750" s="5">
        <f t="shared" si="96"/>
        <v>0</v>
      </c>
      <c r="V750" s="247">
        <f t="shared" si="97"/>
        <v>0</v>
      </c>
      <c r="W750" s="276">
        <f t="shared" si="98"/>
        <v>0</v>
      </c>
      <c r="X750" s="277">
        <f t="shared" si="99"/>
        <v>0</v>
      </c>
    </row>
    <row r="751" spans="14:24" x14ac:dyDescent="0.25">
      <c r="N751" s="244">
        <f>Weather_Site!B757</f>
        <v>0</v>
      </c>
      <c r="O751" s="245">
        <f>Weather_Site!C757</f>
        <v>0</v>
      </c>
      <c r="P751" s="5">
        <f>Weather_Site!E757</f>
        <v>0</v>
      </c>
      <c r="Q751" s="245">
        <f t="shared" si="100"/>
        <v>0</v>
      </c>
      <c r="R751" s="5">
        <f t="shared" si="95"/>
        <v>0</v>
      </c>
      <c r="S751" s="5">
        <f t="shared" si="101"/>
        <v>0</v>
      </c>
      <c r="T751" s="247">
        <f t="shared" si="102"/>
        <v>0</v>
      </c>
      <c r="U751" s="5">
        <f t="shared" si="96"/>
        <v>0</v>
      </c>
      <c r="V751" s="247">
        <f t="shared" si="97"/>
        <v>0</v>
      </c>
      <c r="W751" s="276">
        <f t="shared" si="98"/>
        <v>0</v>
      </c>
      <c r="X751" s="277">
        <f t="shared" si="99"/>
        <v>0</v>
      </c>
    </row>
    <row r="752" spans="14:24" x14ac:dyDescent="0.25">
      <c r="N752" s="244">
        <f>Weather_Site!B758</f>
        <v>0</v>
      </c>
      <c r="O752" s="245">
        <f>Weather_Site!C758</f>
        <v>0</v>
      </c>
      <c r="P752" s="5">
        <f>Weather_Site!E758</f>
        <v>0</v>
      </c>
      <c r="Q752" s="245">
        <f t="shared" si="100"/>
        <v>0</v>
      </c>
      <c r="R752" s="5">
        <f t="shared" si="95"/>
        <v>0</v>
      </c>
      <c r="S752" s="5">
        <f t="shared" si="101"/>
        <v>0</v>
      </c>
      <c r="T752" s="247">
        <f t="shared" si="102"/>
        <v>0</v>
      </c>
      <c r="U752" s="5">
        <f t="shared" si="96"/>
        <v>0</v>
      </c>
      <c r="V752" s="247">
        <f t="shared" si="97"/>
        <v>0</v>
      </c>
      <c r="W752" s="276">
        <f t="shared" si="98"/>
        <v>0</v>
      </c>
      <c r="X752" s="277">
        <f t="shared" si="99"/>
        <v>0</v>
      </c>
    </row>
    <row r="753" spans="14:24" x14ac:dyDescent="0.25">
      <c r="N753" s="244">
        <f>Weather_Site!B759</f>
        <v>0</v>
      </c>
      <c r="O753" s="245">
        <f>Weather_Site!C759</f>
        <v>0</v>
      </c>
      <c r="P753" s="5">
        <f>Weather_Site!E759</f>
        <v>0</v>
      </c>
      <c r="Q753" s="245">
        <f t="shared" si="100"/>
        <v>0</v>
      </c>
      <c r="R753" s="5">
        <f t="shared" si="95"/>
        <v>0</v>
      </c>
      <c r="S753" s="5">
        <f t="shared" si="101"/>
        <v>0</v>
      </c>
      <c r="T753" s="247">
        <f t="shared" si="102"/>
        <v>0</v>
      </c>
      <c r="U753" s="5">
        <f t="shared" si="96"/>
        <v>0</v>
      </c>
      <c r="V753" s="247">
        <f t="shared" si="97"/>
        <v>0</v>
      </c>
      <c r="W753" s="276">
        <f t="shared" si="98"/>
        <v>0</v>
      </c>
      <c r="X753" s="277">
        <f t="shared" si="99"/>
        <v>0</v>
      </c>
    </row>
    <row r="754" spans="14:24" x14ac:dyDescent="0.25">
      <c r="N754" s="244">
        <f>Weather_Site!B760</f>
        <v>0</v>
      </c>
      <c r="O754" s="245">
        <f>Weather_Site!C760</f>
        <v>0</v>
      </c>
      <c r="P754" s="5">
        <f>Weather_Site!E760</f>
        <v>0</v>
      </c>
      <c r="Q754" s="245">
        <f t="shared" si="100"/>
        <v>0</v>
      </c>
      <c r="R754" s="5">
        <f t="shared" si="95"/>
        <v>0</v>
      </c>
      <c r="S754" s="5">
        <f t="shared" si="101"/>
        <v>0</v>
      </c>
      <c r="T754" s="247">
        <f t="shared" si="102"/>
        <v>0</v>
      </c>
      <c r="U754" s="5">
        <f t="shared" si="96"/>
        <v>0</v>
      </c>
      <c r="V754" s="247">
        <f t="shared" si="97"/>
        <v>0</v>
      </c>
      <c r="W754" s="276">
        <f t="shared" si="98"/>
        <v>0</v>
      </c>
      <c r="X754" s="277">
        <f t="shared" si="99"/>
        <v>0</v>
      </c>
    </row>
    <row r="755" spans="14:24" x14ac:dyDescent="0.25">
      <c r="N755" s="244">
        <f>Weather_Site!B761</f>
        <v>0</v>
      </c>
      <c r="O755" s="245">
        <f>Weather_Site!C761</f>
        <v>0</v>
      </c>
      <c r="P755" s="5">
        <f>Weather_Site!E761</f>
        <v>0</v>
      </c>
      <c r="Q755" s="245">
        <f t="shared" si="100"/>
        <v>0</v>
      </c>
      <c r="R755" s="5">
        <f t="shared" si="95"/>
        <v>0</v>
      </c>
      <c r="S755" s="5">
        <f t="shared" si="101"/>
        <v>0</v>
      </c>
      <c r="T755" s="247">
        <f t="shared" si="102"/>
        <v>0</v>
      </c>
      <c r="U755" s="5">
        <f t="shared" si="96"/>
        <v>0</v>
      </c>
      <c r="V755" s="247">
        <f t="shared" si="97"/>
        <v>0</v>
      </c>
      <c r="W755" s="276">
        <f t="shared" si="98"/>
        <v>0</v>
      </c>
      <c r="X755" s="277">
        <f t="shared" si="99"/>
        <v>0</v>
      </c>
    </row>
    <row r="756" spans="14:24" x14ac:dyDescent="0.25">
      <c r="N756" s="244">
        <f>Weather_Site!B762</f>
        <v>0</v>
      </c>
      <c r="O756" s="245">
        <f>Weather_Site!C762</f>
        <v>0</v>
      </c>
      <c r="P756" s="5">
        <f>Weather_Site!E762</f>
        <v>0</v>
      </c>
      <c r="Q756" s="245">
        <f t="shared" si="100"/>
        <v>0</v>
      </c>
      <c r="R756" s="5">
        <f t="shared" si="95"/>
        <v>0</v>
      </c>
      <c r="S756" s="5">
        <f t="shared" si="101"/>
        <v>0</v>
      </c>
      <c r="T756" s="247">
        <f t="shared" si="102"/>
        <v>0</v>
      </c>
      <c r="U756" s="5">
        <f t="shared" si="96"/>
        <v>0</v>
      </c>
      <c r="V756" s="247">
        <f t="shared" si="97"/>
        <v>0</v>
      </c>
      <c r="W756" s="276">
        <f t="shared" si="98"/>
        <v>0</v>
      </c>
      <c r="X756" s="277">
        <f t="shared" si="99"/>
        <v>0</v>
      </c>
    </row>
    <row r="757" spans="14:24" x14ac:dyDescent="0.25">
      <c r="N757" s="244">
        <f>Weather_Site!B763</f>
        <v>0</v>
      </c>
      <c r="O757" s="245">
        <f>Weather_Site!C763</f>
        <v>0</v>
      </c>
      <c r="P757" s="5">
        <f>Weather_Site!E763</f>
        <v>0</v>
      </c>
      <c r="Q757" s="245">
        <f t="shared" si="100"/>
        <v>0</v>
      </c>
      <c r="R757" s="5">
        <f t="shared" si="95"/>
        <v>0</v>
      </c>
      <c r="S757" s="5">
        <f t="shared" si="101"/>
        <v>0</v>
      </c>
      <c r="T757" s="247">
        <f t="shared" si="102"/>
        <v>0</v>
      </c>
      <c r="U757" s="5">
        <f t="shared" si="96"/>
        <v>0</v>
      </c>
      <c r="V757" s="247">
        <f t="shared" si="97"/>
        <v>0</v>
      </c>
      <c r="W757" s="276">
        <f t="shared" si="98"/>
        <v>0</v>
      </c>
      <c r="X757" s="277">
        <f t="shared" si="99"/>
        <v>0</v>
      </c>
    </row>
    <row r="758" spans="14:24" x14ac:dyDescent="0.25">
      <c r="N758" s="244">
        <f>Weather_Site!B764</f>
        <v>0</v>
      </c>
      <c r="O758" s="245">
        <f>Weather_Site!C764</f>
        <v>0</v>
      </c>
      <c r="P758" s="5">
        <f>Weather_Site!E764</f>
        <v>0</v>
      </c>
      <c r="Q758" s="245">
        <f t="shared" si="100"/>
        <v>0</v>
      </c>
      <c r="R758" s="5">
        <f t="shared" si="95"/>
        <v>0</v>
      </c>
      <c r="S758" s="5">
        <f t="shared" si="101"/>
        <v>0</v>
      </c>
      <c r="T758" s="247">
        <f t="shared" si="102"/>
        <v>0</v>
      </c>
      <c r="U758" s="5">
        <f t="shared" si="96"/>
        <v>0</v>
      </c>
      <c r="V758" s="247">
        <f t="shared" si="97"/>
        <v>0</v>
      </c>
      <c r="W758" s="276">
        <f t="shared" si="98"/>
        <v>0</v>
      </c>
      <c r="X758" s="277">
        <f t="shared" si="99"/>
        <v>0</v>
      </c>
    </row>
    <row r="759" spans="14:24" x14ac:dyDescent="0.25">
      <c r="N759" s="244">
        <f>Weather_Site!B765</f>
        <v>0</v>
      </c>
      <c r="O759" s="245">
        <f>Weather_Site!C765</f>
        <v>0</v>
      </c>
      <c r="P759" s="5">
        <f>Weather_Site!E765</f>
        <v>0</v>
      </c>
      <c r="Q759" s="245">
        <f t="shared" si="100"/>
        <v>0</v>
      </c>
      <c r="R759" s="5">
        <f t="shared" si="95"/>
        <v>0</v>
      </c>
      <c r="S759" s="5">
        <f t="shared" si="101"/>
        <v>0</v>
      </c>
      <c r="T759" s="247">
        <f t="shared" si="102"/>
        <v>0</v>
      </c>
      <c r="U759" s="5">
        <f t="shared" si="96"/>
        <v>0</v>
      </c>
      <c r="V759" s="247">
        <f t="shared" si="97"/>
        <v>0</v>
      </c>
      <c r="W759" s="276">
        <f t="shared" si="98"/>
        <v>0</v>
      </c>
      <c r="X759" s="277">
        <f t="shared" si="99"/>
        <v>0</v>
      </c>
    </row>
    <row r="760" spans="14:24" x14ac:dyDescent="0.25">
      <c r="N760" s="244">
        <f>Weather_Site!B766</f>
        <v>0</v>
      </c>
      <c r="O760" s="245">
        <f>Weather_Site!C766</f>
        <v>0</v>
      </c>
      <c r="P760" s="5">
        <f>Weather_Site!E766</f>
        <v>0</v>
      </c>
      <c r="Q760" s="245">
        <f t="shared" si="100"/>
        <v>0</v>
      </c>
      <c r="R760" s="5">
        <f t="shared" si="95"/>
        <v>0</v>
      </c>
      <c r="S760" s="5">
        <f t="shared" si="101"/>
        <v>0</v>
      </c>
      <c r="T760" s="247">
        <f t="shared" si="102"/>
        <v>0</v>
      </c>
      <c r="U760" s="5">
        <f t="shared" si="96"/>
        <v>0</v>
      </c>
      <c r="V760" s="247">
        <f t="shared" si="97"/>
        <v>0</v>
      </c>
      <c r="W760" s="276">
        <f t="shared" si="98"/>
        <v>0</v>
      </c>
      <c r="X760" s="277">
        <f t="shared" si="99"/>
        <v>0</v>
      </c>
    </row>
    <row r="761" spans="14:24" x14ac:dyDescent="0.25">
      <c r="N761" s="244">
        <f>Weather_Site!B767</f>
        <v>0</v>
      </c>
      <c r="O761" s="245">
        <f>Weather_Site!C767</f>
        <v>0</v>
      </c>
      <c r="P761" s="5">
        <f>Weather_Site!E767</f>
        <v>0</v>
      </c>
      <c r="Q761" s="245">
        <f t="shared" si="100"/>
        <v>0</v>
      </c>
      <c r="R761" s="5">
        <f t="shared" si="95"/>
        <v>0</v>
      </c>
      <c r="S761" s="5">
        <f t="shared" si="101"/>
        <v>0</v>
      </c>
      <c r="T761" s="247">
        <f t="shared" si="102"/>
        <v>0</v>
      </c>
      <c r="U761" s="5">
        <f t="shared" si="96"/>
        <v>0</v>
      </c>
      <c r="V761" s="247">
        <f t="shared" si="97"/>
        <v>0</v>
      </c>
      <c r="W761" s="276">
        <f t="shared" si="98"/>
        <v>0</v>
      </c>
      <c r="X761" s="277">
        <f t="shared" si="99"/>
        <v>0</v>
      </c>
    </row>
    <row r="762" spans="14:24" x14ac:dyDescent="0.25">
      <c r="N762" s="244">
        <f>Weather_Site!B768</f>
        <v>0</v>
      </c>
      <c r="O762" s="245">
        <f>Weather_Site!C768</f>
        <v>0</v>
      </c>
      <c r="P762" s="5">
        <f>Weather_Site!E768</f>
        <v>0</v>
      </c>
      <c r="Q762" s="245">
        <f t="shared" si="100"/>
        <v>0</v>
      </c>
      <c r="R762" s="5">
        <f t="shared" si="95"/>
        <v>0</v>
      </c>
      <c r="S762" s="5">
        <f t="shared" si="101"/>
        <v>0</v>
      </c>
      <c r="T762" s="247">
        <f t="shared" si="102"/>
        <v>0</v>
      </c>
      <c r="U762" s="5">
        <f t="shared" si="96"/>
        <v>0</v>
      </c>
      <c r="V762" s="247">
        <f t="shared" si="97"/>
        <v>0</v>
      </c>
      <c r="W762" s="276">
        <f t="shared" si="98"/>
        <v>0</v>
      </c>
      <c r="X762" s="277">
        <f t="shared" si="99"/>
        <v>0</v>
      </c>
    </row>
  </sheetData>
  <sheetProtection password="9487" sheet="1" objects="1" scenarios="1"/>
  <phoneticPr fontId="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02"/>
  <sheetViews>
    <sheetView zoomScale="80" workbookViewId="0">
      <selection activeCell="I33" sqref="I33"/>
    </sheetView>
  </sheetViews>
  <sheetFormatPr defaultRowHeight="13.2" x14ac:dyDescent="0.25"/>
  <cols>
    <col min="1" max="1" width="3.33203125" customWidth="1"/>
    <col min="2" max="2" width="39.109375" customWidth="1"/>
    <col min="3" max="3" width="116.44140625" style="88" customWidth="1"/>
  </cols>
  <sheetData>
    <row r="1" spans="2:9" ht="17.399999999999999" x14ac:dyDescent="0.3">
      <c r="B1" s="73" t="s">
        <v>1125</v>
      </c>
    </row>
    <row r="2" spans="2:9" x14ac:dyDescent="0.25">
      <c r="B2" s="105" t="s">
        <v>0</v>
      </c>
    </row>
    <row r="3" spans="2:9" ht="13.8" thickBot="1" x14ac:dyDescent="0.3"/>
    <row r="4" spans="2:9" x14ac:dyDescent="0.25">
      <c r="B4" s="99" t="s">
        <v>1</v>
      </c>
      <c r="C4" s="100"/>
    </row>
    <row r="5" spans="2:9" x14ac:dyDescent="0.25">
      <c r="B5" s="101" t="s">
        <v>162</v>
      </c>
      <c r="C5" s="279" t="s">
        <v>48</v>
      </c>
      <c r="D5" s="38"/>
      <c r="E5" s="38"/>
      <c r="F5" s="38"/>
      <c r="G5" s="38"/>
      <c r="H5" s="38"/>
      <c r="I5" s="38"/>
    </row>
    <row r="6" spans="2:9" x14ac:dyDescent="0.25">
      <c r="B6" s="101" t="s">
        <v>163</v>
      </c>
      <c r="C6" s="102" t="s">
        <v>114</v>
      </c>
    </row>
    <row r="7" spans="2:9" ht="26.4" x14ac:dyDescent="0.25">
      <c r="B7" s="101" t="s">
        <v>164</v>
      </c>
      <c r="C7" s="102" t="s">
        <v>115</v>
      </c>
    </row>
    <row r="8" spans="2:9" ht="27" thickBot="1" x14ac:dyDescent="0.3">
      <c r="B8" s="103" t="s">
        <v>165</v>
      </c>
      <c r="C8" s="104" t="s">
        <v>116</v>
      </c>
    </row>
    <row r="9" spans="2:9" x14ac:dyDescent="0.25">
      <c r="B9" s="90"/>
    </row>
    <row r="10" spans="2:9" ht="25.5" customHeight="1" x14ac:dyDescent="0.25">
      <c r="B10" s="164" t="s">
        <v>29</v>
      </c>
      <c r="C10" s="203" t="s">
        <v>161</v>
      </c>
    </row>
    <row r="11" spans="2:9" x14ac:dyDescent="0.25">
      <c r="B11" s="90" t="s">
        <v>117</v>
      </c>
      <c r="C11" s="88" t="s">
        <v>2</v>
      </c>
    </row>
    <row r="12" spans="2:9" x14ac:dyDescent="0.25">
      <c r="B12" s="90" t="s">
        <v>118</v>
      </c>
      <c r="C12" s="88" t="s">
        <v>6</v>
      </c>
    </row>
    <row r="13" spans="2:9" x14ac:dyDescent="0.25">
      <c r="B13" s="90" t="s">
        <v>119</v>
      </c>
      <c r="C13" s="88" t="s">
        <v>3</v>
      </c>
    </row>
    <row r="14" spans="2:9" ht="12" customHeight="1" x14ac:dyDescent="0.25">
      <c r="B14" s="90" t="s">
        <v>120</v>
      </c>
      <c r="C14" s="88" t="s">
        <v>4</v>
      </c>
    </row>
    <row r="15" spans="2:9" x14ac:dyDescent="0.25">
      <c r="B15" s="90" t="s">
        <v>121</v>
      </c>
      <c r="C15" s="88" t="s">
        <v>7</v>
      </c>
    </row>
    <row r="16" spans="2:9" x14ac:dyDescent="0.25">
      <c r="B16" s="90" t="s">
        <v>122</v>
      </c>
      <c r="C16" s="88" t="s">
        <v>8</v>
      </c>
    </row>
    <row r="17" spans="2:7" x14ac:dyDescent="0.25">
      <c r="B17" s="90" t="s">
        <v>123</v>
      </c>
      <c r="C17" s="88" t="s">
        <v>9</v>
      </c>
    </row>
    <row r="18" spans="2:7" x14ac:dyDescent="0.25">
      <c r="B18" s="165"/>
    </row>
    <row r="19" spans="2:7" ht="26.25" customHeight="1" x14ac:dyDescent="0.25">
      <c r="B19" s="193" t="s">
        <v>10</v>
      </c>
      <c r="C19" s="203" t="s">
        <v>233</v>
      </c>
      <c r="D19" s="89"/>
      <c r="E19" s="89"/>
      <c r="F19" s="89"/>
      <c r="G19" s="89"/>
    </row>
    <row r="20" spans="2:7" ht="26.4" x14ac:dyDescent="0.25">
      <c r="B20" s="90" t="s">
        <v>117</v>
      </c>
      <c r="C20" s="88" t="s">
        <v>60</v>
      </c>
    </row>
    <row r="21" spans="2:7" ht="26.4" x14ac:dyDescent="0.25">
      <c r="B21" s="90" t="s">
        <v>118</v>
      </c>
      <c r="C21" s="88" t="s">
        <v>166</v>
      </c>
    </row>
    <row r="22" spans="2:7" ht="26.4" x14ac:dyDescent="0.25">
      <c r="B22" s="90" t="s">
        <v>119</v>
      </c>
      <c r="C22" s="88" t="s">
        <v>234</v>
      </c>
    </row>
    <row r="23" spans="2:7" ht="26.4" x14ac:dyDescent="0.25">
      <c r="B23" s="90" t="s">
        <v>120</v>
      </c>
      <c r="C23" s="88" t="s">
        <v>235</v>
      </c>
    </row>
    <row r="24" spans="2:7" x14ac:dyDescent="0.25">
      <c r="B24" s="90" t="s">
        <v>121</v>
      </c>
      <c r="C24" s="88" t="s">
        <v>827</v>
      </c>
    </row>
    <row r="25" spans="2:7" x14ac:dyDescent="0.25">
      <c r="B25" s="90"/>
    </row>
    <row r="26" spans="2:7" ht="24.75" customHeight="1" x14ac:dyDescent="0.25">
      <c r="B26" s="198" t="s">
        <v>15</v>
      </c>
      <c r="C26" s="202" t="s">
        <v>236</v>
      </c>
    </row>
    <row r="27" spans="2:7" x14ac:dyDescent="0.25">
      <c r="B27" s="163" t="s">
        <v>117</v>
      </c>
      <c r="C27" s="88" t="s">
        <v>238</v>
      </c>
    </row>
    <row r="28" spans="2:7" x14ac:dyDescent="0.25">
      <c r="B28" s="163" t="s">
        <v>118</v>
      </c>
      <c r="C28" s="88" t="s">
        <v>237</v>
      </c>
    </row>
    <row r="29" spans="2:7" x14ac:dyDescent="0.25">
      <c r="B29" s="166" t="s">
        <v>119</v>
      </c>
      <c r="C29" s="88" t="s">
        <v>239</v>
      </c>
    </row>
    <row r="30" spans="2:7" x14ac:dyDescent="0.25">
      <c r="B30" s="90" t="s">
        <v>120</v>
      </c>
      <c r="C30" s="88" t="s">
        <v>266</v>
      </c>
    </row>
    <row r="31" spans="2:7" ht="26.4" x14ac:dyDescent="0.25">
      <c r="B31" s="90" t="s">
        <v>121</v>
      </c>
      <c r="C31" s="88" t="s">
        <v>270</v>
      </c>
    </row>
    <row r="32" spans="2:7" x14ac:dyDescent="0.25">
      <c r="B32" s="90"/>
    </row>
    <row r="33" spans="2:7" ht="60.75" customHeight="1" x14ac:dyDescent="0.25">
      <c r="B33" s="722" t="s">
        <v>1126</v>
      </c>
      <c r="C33" s="723" t="s">
        <v>1127</v>
      </c>
    </row>
    <row r="34" spans="2:7" x14ac:dyDescent="0.25">
      <c r="B34" s="90"/>
    </row>
    <row r="35" spans="2:7" ht="62.25" customHeight="1" x14ac:dyDescent="0.25">
      <c r="B35" s="724" t="s">
        <v>1128</v>
      </c>
      <c r="C35" s="723" t="s">
        <v>1129</v>
      </c>
    </row>
    <row r="36" spans="2:7" x14ac:dyDescent="0.25">
      <c r="B36" s="165"/>
    </row>
    <row r="37" spans="2:7" ht="26.25" customHeight="1" x14ac:dyDescent="0.25">
      <c r="B37" s="194" t="s">
        <v>11</v>
      </c>
      <c r="C37" s="203" t="s">
        <v>84</v>
      </c>
      <c r="D37" s="89"/>
      <c r="E37" s="89"/>
      <c r="F37" s="89"/>
      <c r="G37" s="89"/>
    </row>
    <row r="38" spans="2:7" ht="13.5" customHeight="1" x14ac:dyDescent="0.25">
      <c r="B38" s="90" t="s">
        <v>117</v>
      </c>
      <c r="C38" s="88" t="s">
        <v>85</v>
      </c>
    </row>
    <row r="39" spans="2:7" ht="26.4" x14ac:dyDescent="0.25">
      <c r="B39" s="90" t="s">
        <v>118</v>
      </c>
      <c r="C39" s="88" t="s">
        <v>86</v>
      </c>
    </row>
    <row r="40" spans="2:7" ht="26.4" x14ac:dyDescent="0.25">
      <c r="B40" s="90" t="s">
        <v>119</v>
      </c>
      <c r="C40" s="88" t="s">
        <v>87</v>
      </c>
    </row>
    <row r="41" spans="2:7" x14ac:dyDescent="0.25">
      <c r="B41" s="90" t="s">
        <v>120</v>
      </c>
      <c r="C41" s="88" t="s">
        <v>265</v>
      </c>
    </row>
    <row r="43" spans="2:7" s="549" customFormat="1" ht="25.5" customHeight="1" x14ac:dyDescent="0.25">
      <c r="B43" s="552" t="s">
        <v>911</v>
      </c>
      <c r="C43" s="411" t="s">
        <v>912</v>
      </c>
    </row>
    <row r="44" spans="2:7" s="549" customFormat="1" ht="24.45" customHeight="1" x14ac:dyDescent="0.25">
      <c r="B44" s="550" t="s">
        <v>117</v>
      </c>
      <c r="C44" s="551" t="s">
        <v>913</v>
      </c>
    </row>
    <row r="45" spans="2:7" s="549" customFormat="1" ht="15" customHeight="1" x14ac:dyDescent="0.25">
      <c r="B45" s="550" t="s">
        <v>118</v>
      </c>
      <c r="C45" s="551" t="s">
        <v>914</v>
      </c>
    </row>
    <row r="46" spans="2:7" ht="26.4" x14ac:dyDescent="0.25">
      <c r="B46" s="479" t="s">
        <v>119</v>
      </c>
      <c r="C46" s="410" t="s">
        <v>1084</v>
      </c>
    </row>
    <row r="47" spans="2:7" x14ac:dyDescent="0.25">
      <c r="B47" s="165"/>
    </row>
    <row r="48" spans="2:7" ht="26.25" customHeight="1" x14ac:dyDescent="0.25">
      <c r="B48" s="195" t="s">
        <v>12</v>
      </c>
      <c r="C48" s="203" t="s">
        <v>159</v>
      </c>
    </row>
    <row r="49" spans="2:3" x14ac:dyDescent="0.25">
      <c r="B49" s="90" t="s">
        <v>117</v>
      </c>
      <c r="C49" s="88" t="s">
        <v>160</v>
      </c>
    </row>
    <row r="50" spans="2:3" ht="13.95" customHeight="1" x14ac:dyDescent="0.25">
      <c r="B50" s="90" t="s">
        <v>118</v>
      </c>
      <c r="C50" s="410" t="s">
        <v>817</v>
      </c>
    </row>
    <row r="51" spans="2:3" x14ac:dyDescent="0.25">
      <c r="B51" s="90" t="s">
        <v>119</v>
      </c>
      <c r="C51" s="410" t="s">
        <v>818</v>
      </c>
    </row>
    <row r="52" spans="2:3" ht="52.8" x14ac:dyDescent="0.25">
      <c r="B52" s="90" t="s">
        <v>120</v>
      </c>
      <c r="C52" s="88" t="s">
        <v>812</v>
      </c>
    </row>
    <row r="53" spans="2:3" ht="39.6" x14ac:dyDescent="0.25">
      <c r="B53" s="479" t="s">
        <v>121</v>
      </c>
      <c r="C53" s="410" t="s">
        <v>816</v>
      </c>
    </row>
    <row r="54" spans="2:3" x14ac:dyDescent="0.25">
      <c r="B54" s="90"/>
      <c r="C54" s="410"/>
    </row>
    <row r="55" spans="2:3" ht="26.25" customHeight="1" x14ac:dyDescent="0.25">
      <c r="B55" s="196" t="s">
        <v>13</v>
      </c>
      <c r="C55" s="203" t="s">
        <v>157</v>
      </c>
    </row>
    <row r="56" spans="2:3" x14ac:dyDescent="0.25">
      <c r="B56" s="90" t="s">
        <v>117</v>
      </c>
      <c r="C56" s="93" t="s">
        <v>140</v>
      </c>
    </row>
    <row r="57" spans="2:3" x14ac:dyDescent="0.25">
      <c r="B57" s="90" t="s">
        <v>118</v>
      </c>
      <c r="C57" s="94" t="s">
        <v>138</v>
      </c>
    </row>
    <row r="58" spans="2:3" x14ac:dyDescent="0.25">
      <c r="B58" s="90"/>
      <c r="C58" s="95" t="s">
        <v>139</v>
      </c>
    </row>
    <row r="59" spans="2:3" x14ac:dyDescent="0.25">
      <c r="B59" s="90" t="s">
        <v>119</v>
      </c>
      <c r="C59" s="93" t="s">
        <v>142</v>
      </c>
    </row>
    <row r="60" spans="2:3" x14ac:dyDescent="0.25">
      <c r="B60" s="90" t="s">
        <v>143</v>
      </c>
      <c r="C60" s="88" t="s">
        <v>149</v>
      </c>
    </row>
    <row r="61" spans="2:3" x14ac:dyDescent="0.25">
      <c r="B61" s="90" t="s">
        <v>144</v>
      </c>
      <c r="C61" s="96" t="s">
        <v>150</v>
      </c>
    </row>
    <row r="62" spans="2:3" ht="27.75" customHeight="1" x14ac:dyDescent="0.25">
      <c r="B62" s="90" t="s">
        <v>145</v>
      </c>
      <c r="C62" s="97" t="s">
        <v>151</v>
      </c>
    </row>
    <row r="63" spans="2:3" ht="14.25" customHeight="1" x14ac:dyDescent="0.25">
      <c r="B63" s="90" t="s">
        <v>146</v>
      </c>
      <c r="C63" s="97" t="s">
        <v>153</v>
      </c>
    </row>
    <row r="64" spans="2:3" ht="14.25" customHeight="1" x14ac:dyDescent="0.25">
      <c r="B64" s="90" t="s">
        <v>147</v>
      </c>
      <c r="C64" s="97" t="s">
        <v>152</v>
      </c>
    </row>
    <row r="65" spans="2:3" x14ac:dyDescent="0.25">
      <c r="B65" s="90" t="s">
        <v>148</v>
      </c>
      <c r="C65" s="96" t="s">
        <v>155</v>
      </c>
    </row>
    <row r="66" spans="2:3" ht="39.6" x14ac:dyDescent="0.25">
      <c r="B66" s="90" t="s">
        <v>154</v>
      </c>
      <c r="C66" s="98" t="s">
        <v>156</v>
      </c>
    </row>
    <row r="67" spans="2:3" x14ac:dyDescent="0.25">
      <c r="B67" s="90" t="s">
        <v>120</v>
      </c>
      <c r="C67" s="94" t="s">
        <v>158</v>
      </c>
    </row>
    <row r="68" spans="2:3" x14ac:dyDescent="0.25">
      <c r="B68" s="166"/>
    </row>
    <row r="69" spans="2:3" ht="26.25" customHeight="1" x14ac:dyDescent="0.25">
      <c r="B69" s="197" t="s">
        <v>14</v>
      </c>
      <c r="C69" s="203" t="s">
        <v>167</v>
      </c>
    </row>
    <row r="70" spans="2:3" x14ac:dyDescent="0.25">
      <c r="B70" s="90"/>
    </row>
    <row r="71" spans="2:3" x14ac:dyDescent="0.25">
      <c r="B71" s="90"/>
    </row>
    <row r="72" spans="2:3" ht="28.5" customHeight="1" x14ac:dyDescent="0.25">
      <c r="B72" s="237" t="s">
        <v>314</v>
      </c>
      <c r="C72" s="236" t="s">
        <v>315</v>
      </c>
    </row>
    <row r="73" spans="2:3" ht="26.4" x14ac:dyDescent="0.25">
      <c r="B73" s="90" t="s">
        <v>117</v>
      </c>
      <c r="C73" s="88" t="s">
        <v>316</v>
      </c>
    </row>
    <row r="74" spans="2:3" ht="26.4" x14ac:dyDescent="0.25">
      <c r="B74" s="90" t="s">
        <v>118</v>
      </c>
      <c r="C74" s="88" t="s">
        <v>349</v>
      </c>
    </row>
    <row r="75" spans="2:3" ht="39.6" x14ac:dyDescent="0.25">
      <c r="B75" s="90" t="s">
        <v>119</v>
      </c>
      <c r="C75" s="88" t="s">
        <v>389</v>
      </c>
    </row>
    <row r="76" spans="2:3" x14ac:dyDescent="0.25">
      <c r="B76" s="90"/>
    </row>
    <row r="77" spans="2:3" ht="24.75" customHeight="1" x14ac:dyDescent="0.25">
      <c r="B77" s="238" t="s">
        <v>269</v>
      </c>
      <c r="C77" s="239" t="s">
        <v>317</v>
      </c>
    </row>
    <row r="78" spans="2:3" x14ac:dyDescent="0.25">
      <c r="B78" s="90" t="s">
        <v>117</v>
      </c>
      <c r="C78" s="88" t="s">
        <v>318</v>
      </c>
    </row>
    <row r="79" spans="2:3" x14ac:dyDescent="0.25">
      <c r="B79" s="90" t="s">
        <v>118</v>
      </c>
      <c r="C79" s="88" t="s">
        <v>319</v>
      </c>
    </row>
    <row r="80" spans="2:3" x14ac:dyDescent="0.25">
      <c r="B80" s="90"/>
    </row>
    <row r="82" spans="2:3" ht="22.95" customHeight="1" x14ac:dyDescent="0.25">
      <c r="B82" s="412" t="s">
        <v>753</v>
      </c>
      <c r="C82" s="411" t="s">
        <v>754</v>
      </c>
    </row>
    <row r="83" spans="2:3" x14ac:dyDescent="0.25">
      <c r="B83">
        <v>1</v>
      </c>
      <c r="C83" s="410" t="s">
        <v>755</v>
      </c>
    </row>
    <row r="86" spans="2:3" ht="25.5" customHeight="1" x14ac:dyDescent="0.25">
      <c r="B86" s="167" t="s">
        <v>180</v>
      </c>
      <c r="C86" s="203" t="s">
        <v>198</v>
      </c>
    </row>
    <row r="87" spans="2:3" x14ac:dyDescent="0.25">
      <c r="B87" s="163" t="s">
        <v>117</v>
      </c>
      <c r="C87" s="88" t="s">
        <v>199</v>
      </c>
    </row>
    <row r="88" spans="2:3" x14ac:dyDescent="0.25">
      <c r="B88" s="163" t="s">
        <v>118</v>
      </c>
      <c r="C88" s="88" t="s">
        <v>201</v>
      </c>
    </row>
    <row r="89" spans="2:3" x14ac:dyDescent="0.25">
      <c r="B89" s="163" t="s">
        <v>119</v>
      </c>
      <c r="C89" s="88" t="s">
        <v>200</v>
      </c>
    </row>
    <row r="90" spans="2:3" x14ac:dyDescent="0.25">
      <c r="B90" s="163"/>
    </row>
    <row r="91" spans="2:3" ht="24.75" customHeight="1" x14ac:dyDescent="0.25">
      <c r="B91" s="204" t="s">
        <v>240</v>
      </c>
      <c r="C91" s="203" t="s">
        <v>241</v>
      </c>
    </row>
    <row r="92" spans="2:3" x14ac:dyDescent="0.25">
      <c r="B92" s="163" t="s">
        <v>117</v>
      </c>
      <c r="C92" s="88" t="s">
        <v>242</v>
      </c>
    </row>
    <row r="93" spans="2:3" x14ac:dyDescent="0.25">
      <c r="B93" s="163" t="s">
        <v>118</v>
      </c>
      <c r="C93" s="88" t="s">
        <v>243</v>
      </c>
    </row>
    <row r="94" spans="2:3" x14ac:dyDescent="0.25">
      <c r="B94" s="163" t="s">
        <v>119</v>
      </c>
      <c r="C94" s="88" t="s">
        <v>244</v>
      </c>
    </row>
    <row r="95" spans="2:3" x14ac:dyDescent="0.25">
      <c r="B95" s="163"/>
    </row>
    <row r="96" spans="2:3" ht="24.75" customHeight="1" x14ac:dyDescent="0.25">
      <c r="B96" s="204" t="s">
        <v>313</v>
      </c>
      <c r="C96" s="203" t="s">
        <v>320</v>
      </c>
    </row>
    <row r="97" spans="2:2" x14ac:dyDescent="0.25">
      <c r="B97" s="163"/>
    </row>
    <row r="98" spans="2:2" x14ac:dyDescent="0.25">
      <c r="B98" s="163"/>
    </row>
    <row r="99" spans="2:2" x14ac:dyDescent="0.25">
      <c r="B99" s="163"/>
    </row>
    <row r="100" spans="2:2" x14ac:dyDescent="0.25">
      <c r="B100" s="163"/>
    </row>
    <row r="101" spans="2:2" x14ac:dyDescent="0.25">
      <c r="B101" s="163"/>
    </row>
    <row r="102" spans="2:2" x14ac:dyDescent="0.25">
      <c r="B102" s="163"/>
    </row>
  </sheetData>
  <phoneticPr fontId="6" type="noConversion"/>
  <hyperlinks>
    <hyperlink ref="B10" location="Weather_Site!A1" display="Weather &amp; Site"/>
    <hyperlink ref="B19" location="'Forest(McArthur)'!A1" display="Forest (McArthur MkV)"/>
    <hyperlink ref="B48" location="Heath!A1" display="Heath (Catchpole et al.)"/>
    <hyperlink ref="B55" location="Buttongrass!A1" display="Buttongrass (Marsden-Smedley)"/>
    <hyperlink ref="B69" location="Pine!A1" display="Pine (Cruz)"/>
    <hyperlink ref="B26" location="'Forest(VESTA)'!A1" display="Forest (VESTA)"/>
    <hyperlink ref="B86" location="Slope_Calcs!A1" display="Slope Calculator"/>
    <hyperlink ref="B37" location="Grass!A1" display="Grass (CSIRO)"/>
    <hyperlink ref="B91" location="RH_DewPt!A1" display="RH and Dew Point Calculator"/>
    <hyperlink ref="B96" location="Grid_Convert!A1" display="Grid Convert"/>
    <hyperlink ref="B72" location="RedBook!A1" display="Red Book (WA Fire Tables)"/>
    <hyperlink ref="B77" location="'WA Mallee'!A1" display="WA Mallee"/>
    <hyperlink ref="B82" location="'Mallee-Heath'!A1" display="Mallee-Heath"/>
    <hyperlink ref="B43" location="Spinifex!A1" display="Spinifex (Burrows et al 2015)"/>
  </hyperlinks>
  <pageMargins left="0.75" right="0.75" top="1" bottom="1" header="0.5" footer="0.5"/>
  <pageSetup paperSize="9" orientation="portrait" horizontalDpi="4294967292" verticalDpi="12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12"/>
  </sheetPr>
  <dimension ref="A1:V2226"/>
  <sheetViews>
    <sheetView tabSelected="1" topLeftCell="A130" zoomScaleNormal="100" workbookViewId="0">
      <selection activeCell="G177" sqref="G177"/>
    </sheetView>
  </sheetViews>
  <sheetFormatPr defaultRowHeight="13.2" x14ac:dyDescent="0.25"/>
  <cols>
    <col min="2" max="2" width="17.109375" customWidth="1"/>
    <col min="3" max="3" width="11.88671875" bestFit="1" customWidth="1"/>
    <col min="11" max="11" width="9.33203125" style="234" customWidth="1"/>
    <col min="12" max="12" width="25.109375" customWidth="1"/>
    <col min="13" max="13" width="9.109375" style="227" customWidth="1"/>
    <col min="14" max="15" width="8.6640625" hidden="1" customWidth="1"/>
    <col min="16" max="19" width="0" hidden="1" customWidth="1"/>
  </cols>
  <sheetData>
    <row r="1" spans="1:22" ht="16.8" x14ac:dyDescent="0.3">
      <c r="A1" s="56" t="s">
        <v>30</v>
      </c>
      <c r="C1" s="19" t="s">
        <v>21</v>
      </c>
      <c r="I1" s="168" t="s">
        <v>202</v>
      </c>
      <c r="J1" s="169"/>
    </row>
    <row r="2" spans="1:22" x14ac:dyDescent="0.25">
      <c r="B2" s="5" t="s">
        <v>92</v>
      </c>
      <c r="C2" s="78" t="s">
        <v>21</v>
      </c>
      <c r="D2" s="85" t="s">
        <v>93</v>
      </c>
      <c r="E2" s="36"/>
      <c r="F2" s="36"/>
      <c r="G2" s="36"/>
      <c r="H2" s="37"/>
    </row>
    <row r="3" spans="1:22" x14ac:dyDescent="0.25">
      <c r="B3" s="7" t="s">
        <v>31</v>
      </c>
      <c r="C3" s="8">
        <v>37.5</v>
      </c>
      <c r="D3" s="79">
        <v>37.5</v>
      </c>
    </row>
    <row r="4" spans="1:22" x14ac:dyDescent="0.25">
      <c r="B4" s="7" t="s">
        <v>33</v>
      </c>
      <c r="C4" s="9">
        <v>144</v>
      </c>
      <c r="D4" s="18">
        <v>144</v>
      </c>
    </row>
    <row r="5" spans="1:22" x14ac:dyDescent="0.25">
      <c r="B5" s="7" t="s">
        <v>34</v>
      </c>
      <c r="C5" s="8">
        <v>450</v>
      </c>
      <c r="D5" s="18">
        <v>50</v>
      </c>
    </row>
    <row r="6" spans="1:22" x14ac:dyDescent="0.25">
      <c r="B6" s="7" t="s">
        <v>35</v>
      </c>
      <c r="C6" s="8">
        <v>15</v>
      </c>
      <c r="D6" s="18">
        <v>0</v>
      </c>
      <c r="G6" s="354" t="s">
        <v>1085</v>
      </c>
    </row>
    <row r="7" spans="1:22" x14ac:dyDescent="0.25">
      <c r="B7" s="7" t="s">
        <v>36</v>
      </c>
      <c r="C7" s="8">
        <v>270</v>
      </c>
      <c r="D7" s="18">
        <v>330</v>
      </c>
      <c r="G7" t="s">
        <v>254</v>
      </c>
    </row>
    <row r="8" spans="1:22" x14ac:dyDescent="0.25">
      <c r="G8" s="212" t="s">
        <v>1086</v>
      </c>
    </row>
    <row r="9" spans="1:22" ht="15.6" x14ac:dyDescent="0.3">
      <c r="A9" s="56" t="s">
        <v>5</v>
      </c>
    </row>
    <row r="10" spans="1:22" ht="52.8" x14ac:dyDescent="0.25">
      <c r="A10" s="11" t="s">
        <v>28</v>
      </c>
      <c r="B10" s="11" t="s">
        <v>32</v>
      </c>
      <c r="C10" s="11" t="s">
        <v>27</v>
      </c>
      <c r="D10" s="11" t="s">
        <v>18</v>
      </c>
      <c r="E10" s="11" t="s">
        <v>19</v>
      </c>
      <c r="F10" s="11" t="s">
        <v>24</v>
      </c>
      <c r="G10" s="11" t="s">
        <v>20</v>
      </c>
      <c r="H10" s="11" t="s">
        <v>672</v>
      </c>
      <c r="I10" s="11" t="s">
        <v>17</v>
      </c>
      <c r="J10" s="11" t="s">
        <v>16</v>
      </c>
      <c r="K10" s="11" t="s">
        <v>25</v>
      </c>
      <c r="L10" s="21" t="s">
        <v>39</v>
      </c>
      <c r="M10" s="82" t="s">
        <v>97</v>
      </c>
      <c r="N10" s="228" t="s">
        <v>273</v>
      </c>
      <c r="O10" s="2"/>
      <c r="P10" s="2"/>
      <c r="Q10" s="82" t="s">
        <v>273</v>
      </c>
      <c r="R10" s="226" t="s">
        <v>275</v>
      </c>
      <c r="S10" s="2" t="s">
        <v>274</v>
      </c>
      <c r="U10" s="5" t="s">
        <v>98</v>
      </c>
      <c r="V10" s="5" t="s">
        <v>99</v>
      </c>
    </row>
    <row r="11" spans="1:22" x14ac:dyDescent="0.25">
      <c r="A11" s="12" t="s">
        <v>26</v>
      </c>
      <c r="B11" s="13">
        <v>39156</v>
      </c>
      <c r="C11" s="14">
        <v>0.20833333333333301</v>
      </c>
      <c r="D11" s="12">
        <v>20</v>
      </c>
      <c r="E11" s="12">
        <v>65</v>
      </c>
      <c r="F11" s="12" t="s">
        <v>261</v>
      </c>
      <c r="G11" s="12">
        <v>9</v>
      </c>
      <c r="H11" s="12"/>
      <c r="I11" s="12">
        <v>10</v>
      </c>
      <c r="J11" s="12">
        <v>5</v>
      </c>
      <c r="K11" s="12">
        <v>50</v>
      </c>
      <c r="L11" s="22" t="s">
        <v>40</v>
      </c>
      <c r="M11" s="84">
        <f t="shared" ref="M11:M74" si="0">IF(F11&gt;"a",VLOOKUP(F11,$U$11:$V$26,2),F11)</f>
        <v>315</v>
      </c>
      <c r="N11" s="248"/>
      <c r="O11" s="2"/>
      <c r="P11" s="2"/>
      <c r="Q11" s="2"/>
      <c r="S11" s="2"/>
      <c r="U11" s="5" t="s">
        <v>103</v>
      </c>
      <c r="V11" s="83">
        <v>90</v>
      </c>
    </row>
    <row r="12" spans="1:22" x14ac:dyDescent="0.25">
      <c r="A12" s="318" t="str">
        <f>TEXT(B12,"ddd")</f>
        <v>Sun</v>
      </c>
      <c r="B12" s="15">
        <v>44549</v>
      </c>
      <c r="C12" s="16">
        <v>0.16666666666666666</v>
      </c>
      <c r="D12" s="6">
        <v>23.9</v>
      </c>
      <c r="E12" s="6">
        <v>24.2</v>
      </c>
      <c r="F12" s="6">
        <v>36</v>
      </c>
      <c r="G12" s="6">
        <v>16</v>
      </c>
      <c r="H12" s="6">
        <v>8.6999999999999993</v>
      </c>
      <c r="I12" s="6">
        <v>10</v>
      </c>
      <c r="J12" s="6">
        <v>10</v>
      </c>
      <c r="K12" s="6">
        <v>110</v>
      </c>
      <c r="L12" s="405"/>
      <c r="M12" s="84">
        <f t="shared" si="0"/>
        <v>36</v>
      </c>
      <c r="N12" s="248">
        <f>RHcount!X6</f>
        <v>0</v>
      </c>
      <c r="O12" s="225">
        <f>HOUR(C12)+MINUTE(C12)/60+12</f>
        <v>16</v>
      </c>
      <c r="P12" s="225">
        <f>IF(AND(O12&gt;20,O12&lt;30),20,O12)</f>
        <v>16</v>
      </c>
      <c r="Q12" s="17">
        <f t="shared" ref="Q12:Q21" si="1">IF(AND(O12&gt;20,O12&lt;30),0,MAX(0,E12-70))</f>
        <v>0</v>
      </c>
      <c r="S12" s="17"/>
      <c r="U12" s="5" t="s">
        <v>102</v>
      </c>
      <c r="V12" s="83">
        <v>67.5</v>
      </c>
    </row>
    <row r="13" spans="1:22" x14ac:dyDescent="0.25">
      <c r="A13" s="318" t="str">
        <f>TEXT(B13,"ddd")</f>
        <v>Sun</v>
      </c>
      <c r="B13" s="15">
        <v>44549</v>
      </c>
      <c r="C13" s="16">
        <v>0.20833333333333334</v>
      </c>
      <c r="D13" s="6">
        <v>23.6</v>
      </c>
      <c r="E13" s="6">
        <v>24.4</v>
      </c>
      <c r="F13" s="6">
        <v>312</v>
      </c>
      <c r="G13" s="6">
        <v>13</v>
      </c>
      <c r="H13" s="6">
        <v>8.6999999999999993</v>
      </c>
      <c r="I13" s="6">
        <v>10</v>
      </c>
      <c r="J13" s="6">
        <v>10</v>
      </c>
      <c r="K13" s="6">
        <v>110</v>
      </c>
      <c r="L13" s="405"/>
      <c r="M13" s="84">
        <f t="shared" si="0"/>
        <v>312</v>
      </c>
      <c r="N13" s="248">
        <f>RHcount!X7</f>
        <v>0</v>
      </c>
      <c r="O13" s="225">
        <f t="shared" ref="O13:O21" si="2">HOUR(C13)+MINUTE(C13)/60+12</f>
        <v>17</v>
      </c>
      <c r="P13" s="225">
        <f>IF(AND(O13&gt;20,O13&lt;30),20,O13)</f>
        <v>17</v>
      </c>
      <c r="Q13" s="17">
        <f t="shared" si="1"/>
        <v>0</v>
      </c>
      <c r="R13">
        <f>IF(P13&gt;0,ABS((P13-P12)/2+(P14-P13)/2),0)</f>
        <v>1</v>
      </c>
      <c r="S13" s="17">
        <f t="shared" ref="S13:S21" si="3">IF(OR(O13&gt;30,O13&lt;20),Q13+S12,0)</f>
        <v>0</v>
      </c>
      <c r="T13">
        <f t="shared" ref="T13:T21" si="4">S13*R13</f>
        <v>0</v>
      </c>
      <c r="U13" s="5" t="s">
        <v>104</v>
      </c>
      <c r="V13" s="83">
        <v>112.5</v>
      </c>
    </row>
    <row r="14" spans="1:22" x14ac:dyDescent="0.25">
      <c r="A14" s="318" t="str">
        <f t="shared" ref="A14:A77" si="5">TEXT(B14,"ddd")</f>
        <v>Sun</v>
      </c>
      <c r="B14" s="15">
        <v>44549</v>
      </c>
      <c r="C14" s="16">
        <v>0.25</v>
      </c>
      <c r="D14" s="6">
        <v>22.7</v>
      </c>
      <c r="E14" s="6">
        <v>27.3</v>
      </c>
      <c r="F14" s="6">
        <v>336</v>
      </c>
      <c r="G14" s="6">
        <v>16</v>
      </c>
      <c r="H14" s="6">
        <v>8.6999999999999993</v>
      </c>
      <c r="I14" s="6">
        <v>10</v>
      </c>
      <c r="J14" s="6">
        <v>10</v>
      </c>
      <c r="K14" s="6">
        <v>110</v>
      </c>
      <c r="L14" s="405"/>
      <c r="M14" s="84">
        <f t="shared" si="0"/>
        <v>336</v>
      </c>
      <c r="N14" s="248">
        <f>RHcount!X8</f>
        <v>0</v>
      </c>
      <c r="O14" s="225">
        <f t="shared" si="2"/>
        <v>18</v>
      </c>
      <c r="P14" s="225">
        <f t="shared" ref="P14:P21" si="6">IF(AND(O14&gt;20,O14&lt;30),20,O14)</f>
        <v>18</v>
      </c>
      <c r="Q14" s="17">
        <f t="shared" si="1"/>
        <v>0</v>
      </c>
      <c r="R14">
        <f t="shared" ref="R14:R21" si="7">IF(P14&gt;0,ABS((P14-P13)/2+(P15-P14)/2),0)</f>
        <v>1</v>
      </c>
      <c r="S14" s="17">
        <f t="shared" si="3"/>
        <v>0</v>
      </c>
      <c r="T14">
        <f t="shared" si="4"/>
        <v>0</v>
      </c>
      <c r="U14" s="5" t="s">
        <v>112</v>
      </c>
      <c r="V14" s="83">
        <v>360</v>
      </c>
    </row>
    <row r="15" spans="1:22" x14ac:dyDescent="0.25">
      <c r="A15" s="318" t="str">
        <f t="shared" si="5"/>
        <v>Sun</v>
      </c>
      <c r="B15" s="15">
        <v>44549</v>
      </c>
      <c r="C15" s="16">
        <v>0.29166666666666669</v>
      </c>
      <c r="D15" s="6">
        <v>23</v>
      </c>
      <c r="E15" s="6">
        <v>28.2</v>
      </c>
      <c r="F15" s="6">
        <v>2</v>
      </c>
      <c r="G15" s="6">
        <v>25</v>
      </c>
      <c r="H15" s="6">
        <v>8.6999999999999993</v>
      </c>
      <c r="I15" s="6">
        <v>10</v>
      </c>
      <c r="J15" s="6">
        <v>2</v>
      </c>
      <c r="K15" s="6">
        <v>70</v>
      </c>
      <c r="L15" s="405"/>
      <c r="M15" s="84">
        <f t="shared" si="0"/>
        <v>2</v>
      </c>
      <c r="N15" s="248">
        <f>RHcount!X9</f>
        <v>0</v>
      </c>
      <c r="O15" s="225">
        <f t="shared" si="2"/>
        <v>19</v>
      </c>
      <c r="P15" s="225">
        <f t="shared" si="6"/>
        <v>19</v>
      </c>
      <c r="Q15" s="17">
        <f t="shared" si="1"/>
        <v>0</v>
      </c>
      <c r="R15">
        <f t="shared" si="7"/>
        <v>1</v>
      </c>
      <c r="S15" s="17">
        <f t="shared" si="3"/>
        <v>0</v>
      </c>
      <c r="T15">
        <f t="shared" si="4"/>
        <v>0</v>
      </c>
      <c r="U15" s="5" t="s">
        <v>101</v>
      </c>
      <c r="V15" s="83">
        <v>45</v>
      </c>
    </row>
    <row r="16" spans="1:22" x14ac:dyDescent="0.25">
      <c r="A16" s="318" t="str">
        <f t="shared" si="5"/>
        <v>Sun</v>
      </c>
      <c r="B16" s="15">
        <v>44549</v>
      </c>
      <c r="C16" s="16">
        <v>0.33333333333333331</v>
      </c>
      <c r="D16" s="6">
        <v>25.3</v>
      </c>
      <c r="E16" s="6">
        <v>26</v>
      </c>
      <c r="F16" s="6">
        <v>0</v>
      </c>
      <c r="G16" s="6">
        <v>32</v>
      </c>
      <c r="H16" s="6">
        <v>8.6999999999999993</v>
      </c>
      <c r="I16" s="6">
        <v>30</v>
      </c>
      <c r="J16" s="6">
        <v>3</v>
      </c>
      <c r="K16" s="6">
        <v>50</v>
      </c>
      <c r="L16" s="405"/>
      <c r="M16" s="84">
        <f t="shared" si="0"/>
        <v>0</v>
      </c>
      <c r="N16" s="248">
        <f>RHcount!X10</f>
        <v>0</v>
      </c>
      <c r="O16" s="225">
        <f t="shared" si="2"/>
        <v>20</v>
      </c>
      <c r="P16" s="225">
        <f t="shared" si="6"/>
        <v>20</v>
      </c>
      <c r="Q16" s="17">
        <f t="shared" si="1"/>
        <v>0</v>
      </c>
      <c r="R16">
        <f t="shared" si="7"/>
        <v>0.5</v>
      </c>
      <c r="S16" s="17">
        <f t="shared" si="3"/>
        <v>0</v>
      </c>
      <c r="T16">
        <f>S16*R16</f>
        <v>0</v>
      </c>
      <c r="U16" s="5" t="s">
        <v>100</v>
      </c>
      <c r="V16" s="83">
        <v>22.5</v>
      </c>
    </row>
    <row r="17" spans="1:22" x14ac:dyDescent="0.25">
      <c r="A17" s="318" t="str">
        <f t="shared" si="5"/>
        <v>Sun</v>
      </c>
      <c r="B17" s="15">
        <v>44549</v>
      </c>
      <c r="C17" s="16">
        <v>0.375</v>
      </c>
      <c r="D17" s="6">
        <v>27.7</v>
      </c>
      <c r="E17" s="6">
        <v>28</v>
      </c>
      <c r="F17" s="6">
        <v>328</v>
      </c>
      <c r="G17" s="6">
        <v>27</v>
      </c>
      <c r="H17" s="6">
        <v>8.6999999999999993</v>
      </c>
      <c r="I17" s="6"/>
      <c r="J17" s="6"/>
      <c r="K17" s="6"/>
      <c r="L17" s="20"/>
      <c r="M17" s="84">
        <f t="shared" si="0"/>
        <v>328</v>
      </c>
      <c r="N17" s="248">
        <f>RHcount!X11</f>
        <v>0</v>
      </c>
      <c r="O17" s="225">
        <f t="shared" si="2"/>
        <v>21</v>
      </c>
      <c r="P17" s="225">
        <f t="shared" si="6"/>
        <v>20</v>
      </c>
      <c r="Q17" s="17">
        <f t="shared" si="1"/>
        <v>0</v>
      </c>
      <c r="R17">
        <f t="shared" si="7"/>
        <v>0</v>
      </c>
      <c r="S17" s="17">
        <f t="shared" si="3"/>
        <v>0</v>
      </c>
      <c r="T17">
        <f t="shared" si="4"/>
        <v>0</v>
      </c>
      <c r="U17" s="5" t="s">
        <v>111</v>
      </c>
      <c r="V17" s="83">
        <v>337.5</v>
      </c>
    </row>
    <row r="18" spans="1:22" x14ac:dyDescent="0.25">
      <c r="A18" s="318" t="str">
        <f t="shared" si="5"/>
        <v>Sun</v>
      </c>
      <c r="B18" s="15">
        <v>44549</v>
      </c>
      <c r="C18" s="16">
        <v>0.41666666666666669</v>
      </c>
      <c r="D18" s="6">
        <v>28.9</v>
      </c>
      <c r="E18" s="6">
        <v>31.9</v>
      </c>
      <c r="F18" s="6">
        <v>328</v>
      </c>
      <c r="G18" s="6">
        <v>42</v>
      </c>
      <c r="H18" s="6">
        <v>8.6999999999999993</v>
      </c>
      <c r="I18" s="6"/>
      <c r="J18" s="6"/>
      <c r="K18" s="6"/>
      <c r="L18" s="20"/>
      <c r="M18" s="84">
        <f t="shared" si="0"/>
        <v>328</v>
      </c>
      <c r="N18" s="248">
        <f>RHcount!X12</f>
        <v>0</v>
      </c>
      <c r="O18" s="225">
        <f t="shared" si="2"/>
        <v>22</v>
      </c>
      <c r="P18" s="225">
        <f t="shared" si="6"/>
        <v>20</v>
      </c>
      <c r="Q18" s="17">
        <f t="shared" si="1"/>
        <v>0</v>
      </c>
      <c r="R18">
        <f t="shared" si="7"/>
        <v>0</v>
      </c>
      <c r="S18" s="17">
        <f t="shared" si="3"/>
        <v>0</v>
      </c>
      <c r="T18">
        <f t="shared" si="4"/>
        <v>0</v>
      </c>
      <c r="U18" s="5" t="s">
        <v>23</v>
      </c>
      <c r="V18" s="83">
        <v>315</v>
      </c>
    </row>
    <row r="19" spans="1:22" x14ac:dyDescent="0.25">
      <c r="A19" s="318" t="str">
        <f t="shared" si="5"/>
        <v>Sun</v>
      </c>
      <c r="B19" s="15">
        <v>44549</v>
      </c>
      <c r="C19" s="16">
        <v>0.45833333333333331</v>
      </c>
      <c r="D19" s="6">
        <v>29.1</v>
      </c>
      <c r="E19" s="6">
        <v>35.1</v>
      </c>
      <c r="F19" s="6">
        <v>326</v>
      </c>
      <c r="G19" s="6">
        <v>43</v>
      </c>
      <c r="H19" s="6">
        <v>8.6999999999999993</v>
      </c>
      <c r="I19" s="6"/>
      <c r="J19" s="6"/>
      <c r="K19" s="6"/>
      <c r="L19" s="20"/>
      <c r="M19" s="84">
        <f t="shared" si="0"/>
        <v>326</v>
      </c>
      <c r="N19" s="248">
        <f>RHcount!X13</f>
        <v>0</v>
      </c>
      <c r="O19" s="225">
        <f t="shared" si="2"/>
        <v>23</v>
      </c>
      <c r="P19" s="225">
        <f t="shared" si="6"/>
        <v>20</v>
      </c>
      <c r="Q19" s="17">
        <f t="shared" si="1"/>
        <v>0</v>
      </c>
      <c r="R19">
        <f t="shared" si="7"/>
        <v>0</v>
      </c>
      <c r="S19" s="17">
        <f t="shared" si="3"/>
        <v>0</v>
      </c>
      <c r="T19">
        <f t="shared" si="4"/>
        <v>0</v>
      </c>
      <c r="U19" s="5" t="s">
        <v>106</v>
      </c>
      <c r="V19" s="83">
        <v>180</v>
      </c>
    </row>
    <row r="20" spans="1:22" x14ac:dyDescent="0.25">
      <c r="A20" s="318" t="str">
        <f t="shared" si="5"/>
        <v>Sun</v>
      </c>
      <c r="B20" s="15">
        <v>44549</v>
      </c>
      <c r="C20" s="16">
        <v>0.5</v>
      </c>
      <c r="D20" s="6">
        <v>29.1</v>
      </c>
      <c r="E20" s="6">
        <v>39</v>
      </c>
      <c r="F20" s="6">
        <v>292</v>
      </c>
      <c r="G20" s="6">
        <v>45</v>
      </c>
      <c r="H20" s="6">
        <v>8.6999999999999993</v>
      </c>
      <c r="I20" s="6"/>
      <c r="J20" s="6"/>
      <c r="K20" s="6"/>
      <c r="L20" s="20"/>
      <c r="M20" s="84">
        <f t="shared" si="0"/>
        <v>292</v>
      </c>
      <c r="N20" s="248">
        <f>RHcount!X14</f>
        <v>0</v>
      </c>
      <c r="O20" s="225">
        <f t="shared" si="2"/>
        <v>24</v>
      </c>
      <c r="P20" s="225">
        <f t="shared" si="6"/>
        <v>20</v>
      </c>
      <c r="Q20" s="17">
        <f t="shared" si="1"/>
        <v>0</v>
      </c>
      <c r="R20">
        <f t="shared" si="7"/>
        <v>0</v>
      </c>
      <c r="S20" s="17">
        <f t="shared" si="3"/>
        <v>0</v>
      </c>
      <c r="T20">
        <f t="shared" si="4"/>
        <v>0</v>
      </c>
      <c r="U20" s="5" t="s">
        <v>22</v>
      </c>
      <c r="V20" s="83">
        <v>135</v>
      </c>
    </row>
    <row r="21" spans="1:22" x14ac:dyDescent="0.25">
      <c r="A21" s="318" t="str">
        <f t="shared" si="5"/>
        <v>Sun</v>
      </c>
      <c r="B21" s="15">
        <v>44549</v>
      </c>
      <c r="C21" s="16">
        <v>0.54166666666666663</v>
      </c>
      <c r="D21" s="6">
        <v>29.1</v>
      </c>
      <c r="E21" s="6">
        <v>38.200000000000003</v>
      </c>
      <c r="F21" s="6">
        <v>285</v>
      </c>
      <c r="G21" s="6">
        <v>40</v>
      </c>
      <c r="H21" s="6">
        <v>8.8000000000000007</v>
      </c>
      <c r="I21" s="6"/>
      <c r="J21" s="6"/>
      <c r="K21" s="6"/>
      <c r="L21" s="20"/>
      <c r="M21" s="84">
        <f t="shared" si="0"/>
        <v>285</v>
      </c>
      <c r="N21" s="248">
        <f>RHcount!X15</f>
        <v>0</v>
      </c>
      <c r="O21" s="225">
        <f t="shared" si="2"/>
        <v>25</v>
      </c>
      <c r="P21" s="225">
        <f t="shared" si="6"/>
        <v>20</v>
      </c>
      <c r="Q21" s="17">
        <f t="shared" si="1"/>
        <v>0</v>
      </c>
      <c r="R21">
        <f t="shared" si="7"/>
        <v>10</v>
      </c>
      <c r="S21" s="17">
        <f t="shared" si="3"/>
        <v>0</v>
      </c>
      <c r="T21">
        <f t="shared" si="4"/>
        <v>0</v>
      </c>
      <c r="U21" s="5" t="s">
        <v>105</v>
      </c>
      <c r="V21" s="83">
        <v>157.5</v>
      </c>
    </row>
    <row r="22" spans="1:22" x14ac:dyDescent="0.25">
      <c r="A22" s="318" t="str">
        <f t="shared" si="5"/>
        <v>Sun</v>
      </c>
      <c r="B22" s="15">
        <v>44549</v>
      </c>
      <c r="C22" s="16">
        <v>0.58333333333333337</v>
      </c>
      <c r="D22" s="6">
        <v>30.8</v>
      </c>
      <c r="E22" s="6">
        <v>35.799999999999997</v>
      </c>
      <c r="F22" s="6">
        <v>277</v>
      </c>
      <c r="G22" s="6">
        <v>42</v>
      </c>
      <c r="H22" s="6">
        <v>8.8000000000000007</v>
      </c>
      <c r="I22" s="6"/>
      <c r="J22" s="6"/>
      <c r="K22" s="6"/>
      <c r="L22" s="20"/>
      <c r="M22" s="84">
        <f t="shared" si="0"/>
        <v>277</v>
      </c>
      <c r="N22" s="248">
        <f>RHcount!X16</f>
        <v>0</v>
      </c>
      <c r="O22" s="17"/>
      <c r="P22" s="17"/>
      <c r="Q22" s="17"/>
      <c r="R22" s="17"/>
      <c r="U22" s="5" t="s">
        <v>107</v>
      </c>
      <c r="V22" s="83">
        <v>202.5</v>
      </c>
    </row>
    <row r="23" spans="1:22" x14ac:dyDescent="0.25">
      <c r="A23" s="318" t="str">
        <f t="shared" si="5"/>
        <v>Sun</v>
      </c>
      <c r="B23" s="15">
        <v>44549</v>
      </c>
      <c r="C23" s="16">
        <v>0.625</v>
      </c>
      <c r="D23" s="6">
        <v>31.1</v>
      </c>
      <c r="E23" s="6">
        <v>29.9</v>
      </c>
      <c r="F23" s="6">
        <v>258</v>
      </c>
      <c r="G23" s="6">
        <v>37</v>
      </c>
      <c r="H23" s="6">
        <v>8.8000000000000007</v>
      </c>
      <c r="I23" s="6"/>
      <c r="J23" s="6"/>
      <c r="K23" s="6"/>
      <c r="L23" s="20"/>
      <c r="M23" s="84">
        <f t="shared" si="0"/>
        <v>258</v>
      </c>
      <c r="N23" s="248">
        <f>RHcount!X17</f>
        <v>0</v>
      </c>
      <c r="O23" s="17"/>
      <c r="P23" s="17"/>
      <c r="Q23" s="17"/>
      <c r="R23" s="17"/>
      <c r="U23" s="5" t="s">
        <v>95</v>
      </c>
      <c r="V23" s="83">
        <v>225</v>
      </c>
    </row>
    <row r="24" spans="1:22" x14ac:dyDescent="0.25">
      <c r="A24" s="318" t="str">
        <f t="shared" si="5"/>
        <v>Sun</v>
      </c>
      <c r="B24" s="15">
        <v>44549</v>
      </c>
      <c r="C24" s="16">
        <v>0.66666666666666663</v>
      </c>
      <c r="D24" s="6">
        <v>32.4</v>
      </c>
      <c r="E24" s="6">
        <v>25.1</v>
      </c>
      <c r="F24" s="6">
        <v>261</v>
      </c>
      <c r="G24" s="6">
        <v>37</v>
      </c>
      <c r="H24" s="6">
        <v>8.8000000000000007</v>
      </c>
      <c r="I24" s="6"/>
      <c r="J24" s="6"/>
      <c r="K24" s="6"/>
      <c r="L24" s="20"/>
      <c r="M24" s="84">
        <f t="shared" si="0"/>
        <v>261</v>
      </c>
      <c r="N24" s="248">
        <f>RHcount!X18</f>
        <v>0</v>
      </c>
      <c r="O24" s="17"/>
      <c r="P24" s="17"/>
      <c r="Q24" s="17"/>
      <c r="R24" s="17"/>
      <c r="U24" s="5" t="s">
        <v>109</v>
      </c>
      <c r="V24" s="83">
        <v>270</v>
      </c>
    </row>
    <row r="25" spans="1:22" x14ac:dyDescent="0.25">
      <c r="A25" s="318" t="str">
        <f t="shared" si="5"/>
        <v>Sun</v>
      </c>
      <c r="B25" s="15">
        <v>44549</v>
      </c>
      <c r="C25" s="16">
        <v>0.70833333333333337</v>
      </c>
      <c r="D25" s="6">
        <v>32.299999999999997</v>
      </c>
      <c r="E25" s="6">
        <v>22.5</v>
      </c>
      <c r="F25" s="6">
        <v>243</v>
      </c>
      <c r="G25" s="6">
        <v>34</v>
      </c>
      <c r="H25" s="6">
        <v>8.8000000000000007</v>
      </c>
      <c r="I25" s="6"/>
      <c r="J25" s="6"/>
      <c r="K25" s="6"/>
      <c r="L25" s="20"/>
      <c r="M25" s="84">
        <f t="shared" si="0"/>
        <v>243</v>
      </c>
      <c r="N25" s="248">
        <f>RHcount!X19</f>
        <v>0</v>
      </c>
      <c r="O25" s="17"/>
      <c r="P25" s="17"/>
      <c r="Q25" s="17"/>
      <c r="R25" s="17"/>
      <c r="U25" s="5" t="s">
        <v>110</v>
      </c>
      <c r="V25" s="83">
        <v>292.5</v>
      </c>
    </row>
    <row r="26" spans="1:22" x14ac:dyDescent="0.25">
      <c r="A26" s="318" t="str">
        <f t="shared" si="5"/>
        <v>Sun</v>
      </c>
      <c r="B26" s="15">
        <v>44549</v>
      </c>
      <c r="C26" s="16">
        <v>0.75</v>
      </c>
      <c r="D26" s="6">
        <v>31.4</v>
      </c>
      <c r="E26" s="6">
        <v>21.8</v>
      </c>
      <c r="F26" s="6">
        <v>237</v>
      </c>
      <c r="G26" s="6">
        <v>37</v>
      </c>
      <c r="H26" s="6">
        <v>8.8000000000000007</v>
      </c>
      <c r="I26" s="6"/>
      <c r="J26" s="6"/>
      <c r="K26" s="6"/>
      <c r="L26" s="20"/>
      <c r="M26" s="84">
        <f t="shared" si="0"/>
        <v>237</v>
      </c>
      <c r="N26" s="248">
        <f>RHcount!X20</f>
        <v>0</v>
      </c>
      <c r="O26" s="17"/>
      <c r="P26" s="17"/>
      <c r="Q26" s="17"/>
      <c r="R26" s="17"/>
      <c r="U26" s="5" t="s">
        <v>108</v>
      </c>
      <c r="V26" s="83">
        <v>247.5</v>
      </c>
    </row>
    <row r="27" spans="1:22" x14ac:dyDescent="0.25">
      <c r="A27" s="318" t="str">
        <f t="shared" si="5"/>
        <v>Sun</v>
      </c>
      <c r="B27" s="15">
        <v>44549</v>
      </c>
      <c r="C27" s="16">
        <v>0.79166666666666663</v>
      </c>
      <c r="D27" s="6">
        <v>30.1</v>
      </c>
      <c r="E27" s="6">
        <v>21.8</v>
      </c>
      <c r="F27" s="6">
        <v>226</v>
      </c>
      <c r="G27" s="6">
        <v>37</v>
      </c>
      <c r="H27" s="6">
        <v>8.8000000000000007</v>
      </c>
      <c r="I27" s="6"/>
      <c r="J27" s="6"/>
      <c r="K27" s="6"/>
      <c r="L27" s="20"/>
      <c r="M27" s="84">
        <f t="shared" si="0"/>
        <v>226</v>
      </c>
      <c r="N27" s="248">
        <f>RHcount!X21</f>
        <v>0</v>
      </c>
      <c r="O27" s="17"/>
      <c r="P27" s="17"/>
      <c r="Q27" s="17"/>
      <c r="R27" s="17"/>
      <c r="S27" s="17"/>
      <c r="T27" s="17"/>
      <c r="U27" s="4"/>
      <c r="V27" s="4"/>
    </row>
    <row r="28" spans="1:22" x14ac:dyDescent="0.25">
      <c r="A28" s="318" t="str">
        <f t="shared" si="5"/>
        <v>Sun</v>
      </c>
      <c r="B28" s="15">
        <v>44549</v>
      </c>
      <c r="C28" s="16">
        <v>0.83333333333333337</v>
      </c>
      <c r="D28" s="6">
        <v>27.2</v>
      </c>
      <c r="E28" s="6">
        <v>25.6</v>
      </c>
      <c r="F28" s="6">
        <v>215</v>
      </c>
      <c r="G28" s="6">
        <v>33</v>
      </c>
      <c r="H28" s="6">
        <v>8.8000000000000007</v>
      </c>
      <c r="I28" s="6"/>
      <c r="J28" s="6"/>
      <c r="K28" s="6"/>
      <c r="L28" s="20"/>
      <c r="M28" s="84">
        <f t="shared" si="0"/>
        <v>215</v>
      </c>
      <c r="N28" s="248">
        <f>RHcount!X22</f>
        <v>0</v>
      </c>
      <c r="O28" s="17"/>
      <c r="P28" s="17"/>
      <c r="Q28" s="17"/>
      <c r="R28" s="17"/>
      <c r="S28" s="17"/>
      <c r="T28" s="17"/>
      <c r="U28" s="4"/>
      <c r="V28" s="4"/>
    </row>
    <row r="29" spans="1:22" x14ac:dyDescent="0.25">
      <c r="A29" s="318" t="str">
        <f t="shared" si="5"/>
        <v>Sun</v>
      </c>
      <c r="B29" s="15">
        <v>44549</v>
      </c>
      <c r="C29" s="16">
        <v>0.875</v>
      </c>
      <c r="D29" s="6">
        <v>24.6</v>
      </c>
      <c r="E29" s="6">
        <v>25.8</v>
      </c>
      <c r="F29" s="6">
        <v>210</v>
      </c>
      <c r="G29" s="6">
        <v>34</v>
      </c>
      <c r="H29" s="6">
        <v>8.8000000000000007</v>
      </c>
      <c r="I29" s="6"/>
      <c r="J29" s="6"/>
      <c r="K29" s="6"/>
      <c r="L29" s="20"/>
      <c r="M29" s="84">
        <f t="shared" si="0"/>
        <v>210</v>
      </c>
      <c r="N29" s="248">
        <f>RHcount!X23</f>
        <v>0</v>
      </c>
      <c r="O29" s="17"/>
      <c r="P29" s="17"/>
      <c r="Q29" s="17"/>
      <c r="R29" s="17"/>
      <c r="S29" s="17"/>
      <c r="T29" s="17"/>
      <c r="U29" s="4"/>
      <c r="V29" s="4"/>
    </row>
    <row r="30" spans="1:22" x14ac:dyDescent="0.25">
      <c r="A30" s="318" t="str">
        <f t="shared" si="5"/>
        <v>Sun</v>
      </c>
      <c r="B30" s="15">
        <v>44549</v>
      </c>
      <c r="C30" s="16">
        <v>0.91666666666666663</v>
      </c>
      <c r="D30" s="6">
        <v>21.9</v>
      </c>
      <c r="E30" s="6">
        <v>28.9</v>
      </c>
      <c r="F30" s="6">
        <v>210</v>
      </c>
      <c r="G30" s="6">
        <v>33</v>
      </c>
      <c r="H30" s="6">
        <v>8.8000000000000007</v>
      </c>
      <c r="I30" s="6"/>
      <c r="J30" s="6"/>
      <c r="K30" s="6"/>
      <c r="L30" s="20"/>
      <c r="M30" s="84">
        <f t="shared" si="0"/>
        <v>210</v>
      </c>
      <c r="N30" s="248">
        <f>RHcount!X24</f>
        <v>0</v>
      </c>
      <c r="O30" s="17"/>
      <c r="P30" s="17"/>
      <c r="Q30" s="17"/>
      <c r="R30" s="17"/>
      <c r="S30" s="17"/>
      <c r="T30" s="17"/>
      <c r="U30" s="4"/>
      <c r="V30" s="4"/>
    </row>
    <row r="31" spans="1:22" x14ac:dyDescent="0.25">
      <c r="A31" s="318" t="str">
        <f t="shared" si="5"/>
        <v>Sun</v>
      </c>
      <c r="B31" s="15">
        <v>44549</v>
      </c>
      <c r="C31" s="16">
        <v>0.95833333333333337</v>
      </c>
      <c r="D31" s="6">
        <v>19.7</v>
      </c>
      <c r="E31" s="6">
        <v>31.5</v>
      </c>
      <c r="F31" s="6">
        <v>205</v>
      </c>
      <c r="G31" s="6">
        <v>29</v>
      </c>
      <c r="H31" s="6">
        <v>8.8000000000000007</v>
      </c>
      <c r="I31" s="6"/>
      <c r="J31" s="6"/>
      <c r="K31" s="6"/>
      <c r="L31" s="20"/>
      <c r="M31" s="84">
        <f t="shared" si="0"/>
        <v>205</v>
      </c>
      <c r="N31" s="248">
        <f>RHcount!X25</f>
        <v>0</v>
      </c>
      <c r="O31" s="17"/>
      <c r="P31" s="17"/>
      <c r="Q31" s="17"/>
      <c r="R31" s="17"/>
      <c r="S31" s="17"/>
      <c r="T31" s="17"/>
      <c r="U31" s="4"/>
      <c r="V31" s="4"/>
    </row>
    <row r="32" spans="1:22" x14ac:dyDescent="0.25">
      <c r="A32" s="318" t="str">
        <f t="shared" si="5"/>
        <v>Mon</v>
      </c>
      <c r="B32" s="15">
        <v>44550</v>
      </c>
      <c r="C32" s="16">
        <v>0</v>
      </c>
      <c r="D32" s="6">
        <v>18.899999999999999</v>
      </c>
      <c r="E32" s="6">
        <v>32.4</v>
      </c>
      <c r="F32" s="6">
        <v>203</v>
      </c>
      <c r="G32" s="6">
        <v>24</v>
      </c>
      <c r="H32" s="6">
        <v>8.8000000000000007</v>
      </c>
      <c r="I32" s="6"/>
      <c r="J32" s="6"/>
      <c r="K32" s="6"/>
      <c r="L32" s="20"/>
      <c r="M32" s="84">
        <f t="shared" si="0"/>
        <v>203</v>
      </c>
      <c r="N32" s="248">
        <f>RHcount!X26</f>
        <v>0</v>
      </c>
      <c r="O32" s="17"/>
      <c r="P32" s="17"/>
      <c r="Q32" s="17"/>
      <c r="R32" s="17"/>
      <c r="S32" s="17"/>
      <c r="T32" s="17"/>
      <c r="U32" s="4"/>
      <c r="V32" s="4"/>
    </row>
    <row r="33" spans="1:22" x14ac:dyDescent="0.25">
      <c r="A33" s="318" t="str">
        <f t="shared" si="5"/>
        <v>Mon</v>
      </c>
      <c r="B33" s="15">
        <v>44550</v>
      </c>
      <c r="C33" s="16">
        <v>4.1666666666666664E-2</v>
      </c>
      <c r="D33" s="6">
        <v>17.7</v>
      </c>
      <c r="E33" s="6">
        <v>34.9</v>
      </c>
      <c r="F33" s="6">
        <v>200</v>
      </c>
      <c r="G33" s="6">
        <v>24</v>
      </c>
      <c r="H33" s="6">
        <v>8.8000000000000007</v>
      </c>
      <c r="I33" s="6"/>
      <c r="J33" s="6"/>
      <c r="K33" s="6"/>
      <c r="L33" s="20"/>
      <c r="M33" s="84">
        <f t="shared" si="0"/>
        <v>200</v>
      </c>
      <c r="N33" s="248">
        <f>RHcount!X27</f>
        <v>0</v>
      </c>
      <c r="O33" s="17"/>
      <c r="P33" s="17"/>
      <c r="Q33" s="17"/>
      <c r="R33" s="17"/>
      <c r="S33" s="17"/>
      <c r="T33" s="17"/>
      <c r="U33" s="4"/>
      <c r="V33" s="4"/>
    </row>
    <row r="34" spans="1:22" x14ac:dyDescent="0.25">
      <c r="A34" s="318" t="str">
        <f t="shared" si="5"/>
        <v>Mon</v>
      </c>
      <c r="B34" s="15">
        <v>44550</v>
      </c>
      <c r="C34" s="16">
        <v>8.3333333333333329E-2</v>
      </c>
      <c r="D34" s="6">
        <v>16.399999999999999</v>
      </c>
      <c r="E34" s="6">
        <v>37.6</v>
      </c>
      <c r="F34" s="6">
        <v>197</v>
      </c>
      <c r="G34" s="6">
        <v>21</v>
      </c>
      <c r="H34" s="6">
        <v>8.8000000000000007</v>
      </c>
      <c r="I34" s="6"/>
      <c r="J34" s="6"/>
      <c r="K34" s="6"/>
      <c r="L34" s="20"/>
      <c r="M34" s="84">
        <f t="shared" si="0"/>
        <v>197</v>
      </c>
      <c r="N34" s="248">
        <f>RHcount!X28</f>
        <v>0</v>
      </c>
      <c r="O34" s="17"/>
      <c r="P34" s="17"/>
      <c r="Q34" s="17"/>
      <c r="R34" s="17"/>
      <c r="S34" s="17"/>
      <c r="T34" s="17"/>
      <c r="U34" s="4"/>
      <c r="V34" s="4"/>
    </row>
    <row r="35" spans="1:22" x14ac:dyDescent="0.25">
      <c r="A35" s="318" t="str">
        <f t="shared" si="5"/>
        <v>Mon</v>
      </c>
      <c r="B35" s="15">
        <v>44550</v>
      </c>
      <c r="C35" s="16">
        <v>0.125</v>
      </c>
      <c r="D35" s="6">
        <v>15.4</v>
      </c>
      <c r="E35" s="6">
        <v>41.3</v>
      </c>
      <c r="F35" s="6">
        <v>193</v>
      </c>
      <c r="G35" s="6">
        <v>18</v>
      </c>
      <c r="H35" s="6">
        <v>8.8000000000000007</v>
      </c>
      <c r="I35" s="6"/>
      <c r="J35" s="6"/>
      <c r="K35" s="6"/>
      <c r="L35" s="20"/>
      <c r="M35" s="84">
        <f t="shared" si="0"/>
        <v>193</v>
      </c>
      <c r="N35" s="248">
        <f>RHcount!X29</f>
        <v>0</v>
      </c>
      <c r="O35" s="17"/>
      <c r="P35" s="17"/>
      <c r="Q35" s="17"/>
      <c r="R35" s="17"/>
      <c r="S35" s="17"/>
      <c r="T35" s="17"/>
      <c r="U35" s="4"/>
      <c r="V35" s="4"/>
    </row>
    <row r="36" spans="1:22" x14ac:dyDescent="0.25">
      <c r="A36" s="318" t="str">
        <f t="shared" si="5"/>
        <v>Mon</v>
      </c>
      <c r="B36" s="15">
        <v>44550</v>
      </c>
      <c r="C36" s="16">
        <v>0.16666666666666666</v>
      </c>
      <c r="D36" s="6">
        <v>14.5</v>
      </c>
      <c r="E36" s="6">
        <v>44.7</v>
      </c>
      <c r="F36" s="6">
        <v>190</v>
      </c>
      <c r="G36" s="6">
        <v>15</v>
      </c>
      <c r="H36" s="6">
        <v>8.8000000000000007</v>
      </c>
      <c r="I36" s="6"/>
      <c r="J36" s="6"/>
      <c r="K36" s="6"/>
      <c r="L36" s="20"/>
      <c r="M36" s="84">
        <f t="shared" si="0"/>
        <v>190</v>
      </c>
      <c r="N36" s="248">
        <f>RHcount!X30</f>
        <v>0</v>
      </c>
      <c r="O36" s="17"/>
      <c r="P36" s="17"/>
      <c r="Q36" s="17"/>
      <c r="R36" s="17"/>
      <c r="S36" s="17"/>
      <c r="T36" s="17"/>
      <c r="U36" s="4"/>
      <c r="V36" s="4"/>
    </row>
    <row r="37" spans="1:22" x14ac:dyDescent="0.25">
      <c r="A37" s="318" t="str">
        <f t="shared" si="5"/>
        <v>Mon</v>
      </c>
      <c r="B37" s="15">
        <v>44550</v>
      </c>
      <c r="C37" s="16">
        <v>0.20833333333333334</v>
      </c>
      <c r="D37" s="6">
        <v>13.5</v>
      </c>
      <c r="E37" s="6">
        <v>48.3</v>
      </c>
      <c r="F37" s="6">
        <v>189</v>
      </c>
      <c r="G37" s="6">
        <v>15</v>
      </c>
      <c r="H37" s="6">
        <v>8.8000000000000007</v>
      </c>
      <c r="I37" s="6"/>
      <c r="J37" s="6"/>
      <c r="K37" s="6"/>
      <c r="L37" s="20"/>
      <c r="M37" s="84">
        <f t="shared" si="0"/>
        <v>189</v>
      </c>
      <c r="N37" s="248">
        <f>RHcount!X31</f>
        <v>0</v>
      </c>
      <c r="O37" s="17"/>
      <c r="P37" s="17"/>
      <c r="Q37" s="17"/>
      <c r="R37" s="17"/>
      <c r="S37" s="17"/>
      <c r="T37" s="17"/>
      <c r="U37" s="4"/>
      <c r="V37" s="4"/>
    </row>
    <row r="38" spans="1:22" x14ac:dyDescent="0.25">
      <c r="A38" s="318" t="str">
        <f t="shared" si="5"/>
        <v>Mon</v>
      </c>
      <c r="B38" s="15">
        <v>44550</v>
      </c>
      <c r="C38" s="16">
        <v>0.25</v>
      </c>
      <c r="D38" s="6">
        <v>12.5</v>
      </c>
      <c r="E38" s="6">
        <v>53.1</v>
      </c>
      <c r="F38" s="6">
        <v>185</v>
      </c>
      <c r="G38" s="6">
        <v>14</v>
      </c>
      <c r="H38" s="6">
        <v>8.8000000000000007</v>
      </c>
      <c r="I38" s="6"/>
      <c r="J38" s="6"/>
      <c r="K38" s="6"/>
      <c r="L38" s="20"/>
      <c r="M38" s="84">
        <f t="shared" si="0"/>
        <v>185</v>
      </c>
      <c r="N38" s="248">
        <f>RHcount!X32</f>
        <v>0</v>
      </c>
      <c r="O38" s="17"/>
      <c r="P38" s="17"/>
      <c r="Q38" s="17"/>
      <c r="R38" s="17"/>
      <c r="S38" s="17"/>
      <c r="T38" s="17"/>
      <c r="U38" s="4"/>
      <c r="V38" s="4"/>
    </row>
    <row r="39" spans="1:22" x14ac:dyDescent="0.25">
      <c r="A39" s="318" t="str">
        <f t="shared" si="5"/>
        <v>Mon</v>
      </c>
      <c r="B39" s="15">
        <v>44550</v>
      </c>
      <c r="C39" s="16">
        <v>0.29166666666666669</v>
      </c>
      <c r="D39" s="6">
        <v>13.4</v>
      </c>
      <c r="E39" s="6">
        <v>50.4</v>
      </c>
      <c r="F39" s="6">
        <v>181</v>
      </c>
      <c r="G39" s="6">
        <v>16</v>
      </c>
      <c r="H39" s="6">
        <v>8.8000000000000007</v>
      </c>
      <c r="I39" s="6"/>
      <c r="J39" s="6"/>
      <c r="K39" s="6"/>
      <c r="L39" s="20"/>
      <c r="M39" s="84">
        <f t="shared" si="0"/>
        <v>181</v>
      </c>
      <c r="N39" s="248">
        <f>RHcount!X33</f>
        <v>0</v>
      </c>
      <c r="O39" s="17"/>
      <c r="P39" s="17"/>
      <c r="Q39" s="17"/>
      <c r="R39" s="17"/>
      <c r="S39" s="17"/>
      <c r="T39" s="17"/>
      <c r="U39" s="4"/>
      <c r="V39" s="4"/>
    </row>
    <row r="40" spans="1:22" x14ac:dyDescent="0.25">
      <c r="A40" s="318" t="str">
        <f t="shared" si="5"/>
        <v>Mon</v>
      </c>
      <c r="B40" s="15">
        <v>44550</v>
      </c>
      <c r="C40" s="16">
        <v>0.33333333333333331</v>
      </c>
      <c r="D40" s="6">
        <v>15.8</v>
      </c>
      <c r="E40" s="6">
        <v>44.1</v>
      </c>
      <c r="F40" s="6">
        <v>178</v>
      </c>
      <c r="G40" s="6">
        <v>21</v>
      </c>
      <c r="H40" s="6">
        <v>8.8000000000000007</v>
      </c>
      <c r="I40" s="6"/>
      <c r="J40" s="6"/>
      <c r="K40" s="6"/>
      <c r="L40" s="20"/>
      <c r="M40" s="84">
        <f t="shared" si="0"/>
        <v>178</v>
      </c>
      <c r="N40" s="248">
        <f>RHcount!X34</f>
        <v>0</v>
      </c>
      <c r="O40" s="17"/>
      <c r="P40" s="17"/>
      <c r="Q40" s="17"/>
      <c r="R40" s="17"/>
      <c r="S40" s="17"/>
      <c r="T40" s="17"/>
      <c r="U40" s="4"/>
      <c r="V40" s="4"/>
    </row>
    <row r="41" spans="1:22" x14ac:dyDescent="0.25">
      <c r="A41" s="318" t="str">
        <f t="shared" si="5"/>
        <v>Mon</v>
      </c>
      <c r="B41" s="15">
        <v>44550</v>
      </c>
      <c r="C41" s="16">
        <v>0.375</v>
      </c>
      <c r="D41" s="6">
        <v>17.100000000000001</v>
      </c>
      <c r="E41" s="6">
        <v>39.799999999999997</v>
      </c>
      <c r="F41" s="6">
        <v>177</v>
      </c>
      <c r="G41" s="6">
        <v>14</v>
      </c>
      <c r="H41" s="6">
        <v>8.8000000000000007</v>
      </c>
      <c r="I41" s="6"/>
      <c r="J41" s="6"/>
      <c r="K41" s="6"/>
      <c r="L41" s="20"/>
      <c r="M41" s="84">
        <f t="shared" si="0"/>
        <v>177</v>
      </c>
      <c r="N41" s="248">
        <f>RHcount!X35</f>
        <v>0</v>
      </c>
      <c r="O41" s="17"/>
      <c r="P41" s="17"/>
      <c r="Q41" s="17"/>
      <c r="R41" s="17"/>
      <c r="S41" s="17"/>
      <c r="T41" s="17"/>
      <c r="U41" s="4"/>
      <c r="V41" s="4"/>
    </row>
    <row r="42" spans="1:22" x14ac:dyDescent="0.25">
      <c r="A42" s="318" t="str">
        <f t="shared" si="5"/>
        <v>Mon</v>
      </c>
      <c r="B42" s="15">
        <v>44550</v>
      </c>
      <c r="C42" s="16">
        <v>0.41666666666666669</v>
      </c>
      <c r="D42" s="6">
        <v>19</v>
      </c>
      <c r="E42" s="6">
        <v>33.6</v>
      </c>
      <c r="F42" s="6">
        <v>176</v>
      </c>
      <c r="G42" s="6">
        <v>18</v>
      </c>
      <c r="H42" s="6">
        <v>8.8000000000000007</v>
      </c>
      <c r="I42" s="6"/>
      <c r="J42" s="6"/>
      <c r="K42" s="6"/>
      <c r="L42" s="20"/>
      <c r="M42" s="84">
        <f t="shared" si="0"/>
        <v>176</v>
      </c>
      <c r="N42" s="248">
        <f>RHcount!X36</f>
        <v>0</v>
      </c>
      <c r="O42" s="17"/>
      <c r="P42" s="17"/>
      <c r="Q42" s="17"/>
      <c r="R42" s="17"/>
      <c r="S42" s="17"/>
      <c r="T42" s="17"/>
      <c r="U42" s="4"/>
      <c r="V42" s="4"/>
    </row>
    <row r="43" spans="1:22" x14ac:dyDescent="0.25">
      <c r="A43" s="318" t="str">
        <f t="shared" si="5"/>
        <v>Mon</v>
      </c>
      <c r="B43" s="15">
        <v>44550</v>
      </c>
      <c r="C43" s="16">
        <v>0.45833333333333331</v>
      </c>
      <c r="D43" s="6">
        <v>20.5</v>
      </c>
      <c r="E43" s="6">
        <v>29.9</v>
      </c>
      <c r="F43" s="6">
        <v>166</v>
      </c>
      <c r="G43" s="6">
        <v>16</v>
      </c>
      <c r="H43" s="6">
        <v>8.8000000000000007</v>
      </c>
      <c r="I43" s="6"/>
      <c r="J43" s="6"/>
      <c r="K43" s="6"/>
      <c r="L43" s="20"/>
      <c r="M43" s="84">
        <f t="shared" si="0"/>
        <v>166</v>
      </c>
      <c r="N43" s="248">
        <f>RHcount!X37</f>
        <v>0</v>
      </c>
      <c r="O43" s="17"/>
      <c r="P43" s="17"/>
      <c r="Q43" s="17"/>
      <c r="R43" s="17"/>
      <c r="S43" s="17"/>
      <c r="T43" s="17"/>
      <c r="U43" s="4"/>
      <c r="V43" s="4"/>
    </row>
    <row r="44" spans="1:22" x14ac:dyDescent="0.25">
      <c r="A44" s="318" t="str">
        <f t="shared" si="5"/>
        <v>Mon</v>
      </c>
      <c r="B44" s="15">
        <v>44550</v>
      </c>
      <c r="C44" s="16">
        <v>0.5</v>
      </c>
      <c r="D44" s="6">
        <v>22.3</v>
      </c>
      <c r="E44" s="6">
        <v>25.7</v>
      </c>
      <c r="F44" s="6">
        <v>169</v>
      </c>
      <c r="G44" s="6">
        <v>15</v>
      </c>
      <c r="H44" s="6">
        <v>8.8000000000000007</v>
      </c>
      <c r="I44" s="6"/>
      <c r="J44" s="6"/>
      <c r="K44" s="6"/>
      <c r="L44" s="20"/>
      <c r="M44" s="84">
        <f t="shared" si="0"/>
        <v>169</v>
      </c>
      <c r="N44" s="248">
        <f>RHcount!X38</f>
        <v>0</v>
      </c>
      <c r="O44" s="17"/>
      <c r="P44" s="17"/>
      <c r="Q44" s="17"/>
      <c r="R44" s="17"/>
      <c r="S44" s="17"/>
      <c r="T44" s="17"/>
      <c r="U44" s="4"/>
      <c r="V44" s="4"/>
    </row>
    <row r="45" spans="1:22" x14ac:dyDescent="0.25">
      <c r="A45" s="318" t="str">
        <f t="shared" si="5"/>
        <v>Mon</v>
      </c>
      <c r="B45" s="15">
        <v>44550</v>
      </c>
      <c r="C45" s="16">
        <v>0.54166666666666663</v>
      </c>
      <c r="D45" s="6">
        <v>24</v>
      </c>
      <c r="E45" s="6">
        <v>22.2</v>
      </c>
      <c r="F45" s="6">
        <v>185</v>
      </c>
      <c r="G45" s="6">
        <v>14</v>
      </c>
      <c r="H45" s="6">
        <v>8.8000000000000007</v>
      </c>
      <c r="I45" s="6"/>
      <c r="J45" s="6"/>
      <c r="K45" s="6"/>
      <c r="L45" s="20"/>
      <c r="M45" s="84">
        <f t="shared" si="0"/>
        <v>185</v>
      </c>
      <c r="N45" s="248">
        <f>RHcount!X39</f>
        <v>0</v>
      </c>
      <c r="O45" s="17"/>
      <c r="P45" s="17"/>
      <c r="Q45" s="17"/>
      <c r="R45" s="17"/>
      <c r="S45" s="17"/>
      <c r="T45" s="17"/>
      <c r="U45" s="4"/>
      <c r="V45" s="4"/>
    </row>
    <row r="46" spans="1:22" x14ac:dyDescent="0.25">
      <c r="A46" s="318" t="str">
        <f t="shared" si="5"/>
        <v>Mon</v>
      </c>
      <c r="B46" s="15">
        <v>44550</v>
      </c>
      <c r="C46" s="16">
        <v>0.58333333333333337</v>
      </c>
      <c r="D46" s="6">
        <v>26</v>
      </c>
      <c r="E46" s="6">
        <v>18.8</v>
      </c>
      <c r="F46" s="6">
        <v>199</v>
      </c>
      <c r="G46" s="6">
        <v>13</v>
      </c>
      <c r="H46" s="6">
        <v>8.8000000000000007</v>
      </c>
      <c r="I46" s="6"/>
      <c r="J46" s="6"/>
      <c r="K46" s="6"/>
      <c r="L46" s="20"/>
      <c r="M46" s="84">
        <f t="shared" si="0"/>
        <v>199</v>
      </c>
      <c r="N46" s="248">
        <f>RHcount!X40</f>
        <v>0</v>
      </c>
      <c r="O46" s="17"/>
      <c r="P46" s="17"/>
      <c r="Q46" s="17"/>
      <c r="R46" s="17"/>
      <c r="S46" s="17"/>
      <c r="T46" s="17"/>
      <c r="U46" s="4"/>
      <c r="V46" s="4"/>
    </row>
    <row r="47" spans="1:22" x14ac:dyDescent="0.25">
      <c r="A47" s="318" t="str">
        <f t="shared" si="5"/>
        <v>Mon</v>
      </c>
      <c r="B47" s="15">
        <v>44550</v>
      </c>
      <c r="C47" s="16">
        <v>0.625</v>
      </c>
      <c r="D47" s="6">
        <v>27.5</v>
      </c>
      <c r="E47" s="6">
        <v>16.600000000000001</v>
      </c>
      <c r="F47" s="6">
        <v>204</v>
      </c>
      <c r="G47" s="6">
        <v>11</v>
      </c>
      <c r="H47" s="6">
        <v>8.8000000000000007</v>
      </c>
      <c r="I47" s="6"/>
      <c r="J47" s="6"/>
      <c r="K47" s="6"/>
      <c r="L47" s="20"/>
      <c r="M47" s="84">
        <f t="shared" si="0"/>
        <v>204</v>
      </c>
      <c r="N47" s="248">
        <f>RHcount!X41</f>
        <v>0</v>
      </c>
      <c r="O47" s="17"/>
      <c r="P47" s="17"/>
      <c r="Q47" s="17"/>
      <c r="R47" s="17"/>
      <c r="S47" s="17"/>
      <c r="T47" s="17"/>
      <c r="U47" s="4"/>
      <c r="V47" s="4"/>
    </row>
    <row r="48" spans="1:22" x14ac:dyDescent="0.25">
      <c r="A48" s="318" t="str">
        <f t="shared" si="5"/>
        <v>Mon</v>
      </c>
      <c r="B48" s="15">
        <v>44550</v>
      </c>
      <c r="C48" s="16">
        <v>0.66666666666666663</v>
      </c>
      <c r="D48" s="6">
        <v>28.5</v>
      </c>
      <c r="E48" s="6">
        <v>16</v>
      </c>
      <c r="F48" s="6">
        <v>209</v>
      </c>
      <c r="G48" s="6">
        <v>12</v>
      </c>
      <c r="H48" s="6">
        <v>8.8000000000000007</v>
      </c>
      <c r="I48" s="6"/>
      <c r="J48" s="6"/>
      <c r="K48" s="6"/>
      <c r="L48" s="20"/>
      <c r="M48" s="84">
        <f t="shared" si="0"/>
        <v>209</v>
      </c>
      <c r="N48" s="248">
        <f>RHcount!X42</f>
        <v>0</v>
      </c>
      <c r="O48" s="17"/>
      <c r="P48" s="17"/>
      <c r="Q48" s="17"/>
      <c r="R48" s="17"/>
      <c r="S48" s="17"/>
      <c r="T48" s="17"/>
      <c r="U48" s="4"/>
      <c r="V48" s="4"/>
    </row>
    <row r="49" spans="1:22" x14ac:dyDescent="0.25">
      <c r="A49" s="318" t="str">
        <f t="shared" si="5"/>
        <v>Mon</v>
      </c>
      <c r="B49" s="15">
        <v>44550</v>
      </c>
      <c r="C49" s="16">
        <v>0.70833333333333337</v>
      </c>
      <c r="D49" s="6">
        <v>29.2</v>
      </c>
      <c r="E49" s="6">
        <v>15.3</v>
      </c>
      <c r="F49" s="6">
        <v>212</v>
      </c>
      <c r="G49" s="6">
        <v>11</v>
      </c>
      <c r="H49" s="6">
        <v>8.8000000000000007</v>
      </c>
      <c r="I49" s="6"/>
      <c r="J49" s="6"/>
      <c r="K49" s="6"/>
      <c r="L49" s="20"/>
      <c r="M49" s="84">
        <f t="shared" si="0"/>
        <v>212</v>
      </c>
      <c r="N49" s="248">
        <f>RHcount!X43</f>
        <v>0</v>
      </c>
      <c r="O49" s="17"/>
      <c r="P49" s="17"/>
      <c r="Q49" s="17"/>
      <c r="R49" s="17"/>
      <c r="S49" s="17"/>
      <c r="T49" s="17"/>
      <c r="U49" s="4"/>
      <c r="V49" s="4"/>
    </row>
    <row r="50" spans="1:22" x14ac:dyDescent="0.25">
      <c r="A50" s="318" t="str">
        <f t="shared" si="5"/>
        <v>Mon</v>
      </c>
      <c r="B50" s="15">
        <v>44550</v>
      </c>
      <c r="C50" s="16">
        <v>0.75</v>
      </c>
      <c r="D50" s="6">
        <v>29.1</v>
      </c>
      <c r="E50" s="6">
        <v>15.9</v>
      </c>
      <c r="F50" s="6">
        <v>211</v>
      </c>
      <c r="G50" s="6">
        <v>11</v>
      </c>
      <c r="H50" s="6">
        <v>8.8000000000000007</v>
      </c>
      <c r="I50" s="6"/>
      <c r="J50" s="6"/>
      <c r="K50" s="6"/>
      <c r="L50" s="20"/>
      <c r="M50" s="84">
        <f t="shared" si="0"/>
        <v>211</v>
      </c>
      <c r="N50" s="248">
        <f>RHcount!X44</f>
        <v>0</v>
      </c>
      <c r="O50" s="17"/>
      <c r="P50" s="17"/>
      <c r="Q50" s="17"/>
      <c r="R50" s="17"/>
      <c r="S50" s="17"/>
      <c r="T50" s="17"/>
      <c r="U50" s="4"/>
      <c r="V50" s="4"/>
    </row>
    <row r="51" spans="1:22" x14ac:dyDescent="0.25">
      <c r="A51" s="318" t="str">
        <f t="shared" si="5"/>
        <v>Mon</v>
      </c>
      <c r="B51" s="15">
        <v>44550</v>
      </c>
      <c r="C51" s="16">
        <v>0.79166666666666663</v>
      </c>
      <c r="D51" s="6">
        <v>29.1</v>
      </c>
      <c r="E51" s="6">
        <v>16.2</v>
      </c>
      <c r="F51" s="6">
        <v>208</v>
      </c>
      <c r="G51" s="6">
        <v>10</v>
      </c>
      <c r="H51" s="6">
        <v>8.8000000000000007</v>
      </c>
      <c r="I51" s="6"/>
      <c r="J51" s="6"/>
      <c r="K51" s="6"/>
      <c r="L51" s="20"/>
      <c r="M51" s="84">
        <f t="shared" si="0"/>
        <v>208</v>
      </c>
      <c r="N51" s="248">
        <f>RHcount!X45</f>
        <v>0</v>
      </c>
      <c r="O51" s="17"/>
      <c r="P51" s="17"/>
      <c r="Q51" s="17"/>
      <c r="R51" s="17"/>
      <c r="S51" s="17"/>
      <c r="T51" s="17"/>
      <c r="U51" s="4"/>
      <c r="V51" s="4"/>
    </row>
    <row r="52" spans="1:22" x14ac:dyDescent="0.25">
      <c r="A52" s="318" t="str">
        <f t="shared" si="5"/>
        <v>Mon</v>
      </c>
      <c r="B52" s="15">
        <v>44550</v>
      </c>
      <c r="C52" s="16">
        <v>0.83333333333333337</v>
      </c>
      <c r="D52" s="6">
        <v>28.3</v>
      </c>
      <c r="E52" s="6">
        <v>17.7</v>
      </c>
      <c r="F52" s="6">
        <v>202</v>
      </c>
      <c r="G52" s="6">
        <v>8</v>
      </c>
      <c r="H52" s="6">
        <v>8.8000000000000007</v>
      </c>
      <c r="I52" s="6"/>
      <c r="J52" s="6"/>
      <c r="K52" s="6"/>
      <c r="L52" s="20"/>
      <c r="M52" s="84">
        <f t="shared" si="0"/>
        <v>202</v>
      </c>
      <c r="N52" s="248">
        <f>RHcount!X46</f>
        <v>0</v>
      </c>
      <c r="O52" s="17"/>
      <c r="P52" s="17"/>
      <c r="Q52" s="17"/>
      <c r="R52" s="17"/>
      <c r="S52" s="17"/>
      <c r="T52" s="17"/>
      <c r="U52" s="4"/>
      <c r="V52" s="4"/>
    </row>
    <row r="53" spans="1:22" x14ac:dyDescent="0.25">
      <c r="A53" s="318" t="str">
        <f t="shared" si="5"/>
        <v>Mon</v>
      </c>
      <c r="B53" s="15">
        <v>44550</v>
      </c>
      <c r="C53" s="16">
        <v>0.875</v>
      </c>
      <c r="D53" s="6">
        <v>25.4</v>
      </c>
      <c r="E53" s="6">
        <v>26.2</v>
      </c>
      <c r="F53" s="6">
        <v>207</v>
      </c>
      <c r="G53" s="6">
        <v>6</v>
      </c>
      <c r="H53" s="6">
        <v>8.8000000000000007</v>
      </c>
      <c r="I53" s="6"/>
      <c r="J53" s="6"/>
      <c r="K53" s="6"/>
      <c r="L53" s="20"/>
      <c r="M53" s="84">
        <f t="shared" si="0"/>
        <v>207</v>
      </c>
      <c r="N53" s="248">
        <f>RHcount!X47</f>
        <v>0</v>
      </c>
      <c r="O53" s="17"/>
      <c r="P53" s="17"/>
      <c r="Q53" s="17"/>
      <c r="R53" s="17"/>
      <c r="S53" s="17"/>
      <c r="T53" s="17"/>
      <c r="U53" s="4"/>
      <c r="V53" s="4"/>
    </row>
    <row r="54" spans="1:22" x14ac:dyDescent="0.25">
      <c r="A54" s="318" t="str">
        <f t="shared" si="5"/>
        <v>Mon</v>
      </c>
      <c r="B54" s="15">
        <v>44550</v>
      </c>
      <c r="C54" s="16">
        <v>0.91666666666666663</v>
      </c>
      <c r="D54" s="6">
        <v>22.8</v>
      </c>
      <c r="E54" s="6">
        <v>30.8</v>
      </c>
      <c r="F54" s="6">
        <v>197</v>
      </c>
      <c r="G54" s="6">
        <v>6</v>
      </c>
      <c r="H54" s="6">
        <v>8.8000000000000007</v>
      </c>
      <c r="I54" s="6"/>
      <c r="J54" s="6"/>
      <c r="K54" s="6"/>
      <c r="L54" s="20"/>
      <c r="M54" s="84">
        <f t="shared" si="0"/>
        <v>197</v>
      </c>
      <c r="N54" s="248">
        <f>RHcount!X48</f>
        <v>0</v>
      </c>
      <c r="O54" s="17"/>
      <c r="P54" s="17"/>
      <c r="Q54" s="17"/>
      <c r="R54" s="17"/>
      <c r="S54" s="17"/>
      <c r="T54" s="17"/>
      <c r="U54" s="4"/>
      <c r="V54" s="4"/>
    </row>
    <row r="55" spans="1:22" x14ac:dyDescent="0.25">
      <c r="A55" s="318" t="str">
        <f t="shared" si="5"/>
        <v>Mon</v>
      </c>
      <c r="B55" s="15">
        <v>44550</v>
      </c>
      <c r="C55" s="16">
        <v>0.95833333333333337</v>
      </c>
      <c r="D55" s="6">
        <v>20.9</v>
      </c>
      <c r="E55" s="6">
        <v>34.9</v>
      </c>
      <c r="F55" s="6">
        <v>188</v>
      </c>
      <c r="G55" s="6">
        <v>5</v>
      </c>
      <c r="H55" s="6">
        <v>8.8000000000000007</v>
      </c>
      <c r="I55" s="6"/>
      <c r="J55" s="6"/>
      <c r="K55" s="6"/>
      <c r="L55" s="20"/>
      <c r="M55" s="84">
        <f t="shared" si="0"/>
        <v>188</v>
      </c>
      <c r="N55" s="248">
        <f>RHcount!X49</f>
        <v>0</v>
      </c>
      <c r="O55" s="17"/>
      <c r="P55" s="17"/>
      <c r="Q55" s="17"/>
      <c r="R55" s="17"/>
      <c r="S55" s="17"/>
      <c r="T55" s="17"/>
      <c r="U55" s="4"/>
      <c r="V55" s="4"/>
    </row>
    <row r="56" spans="1:22" x14ac:dyDescent="0.25">
      <c r="A56" s="318" t="str">
        <f t="shared" si="5"/>
        <v>Tue</v>
      </c>
      <c r="B56" s="15">
        <v>44551</v>
      </c>
      <c r="C56" s="16">
        <v>0</v>
      </c>
      <c r="D56" s="6">
        <v>19.899999999999999</v>
      </c>
      <c r="E56" s="6">
        <v>38.4</v>
      </c>
      <c r="F56" s="6">
        <v>190</v>
      </c>
      <c r="G56" s="6">
        <v>5</v>
      </c>
      <c r="H56" s="6">
        <v>8.8000000000000007</v>
      </c>
      <c r="I56" s="6"/>
      <c r="J56" s="6"/>
      <c r="K56" s="6"/>
      <c r="L56" s="20"/>
      <c r="M56" s="84">
        <f t="shared" si="0"/>
        <v>190</v>
      </c>
      <c r="N56" s="248">
        <f>RHcount!X50</f>
        <v>0</v>
      </c>
      <c r="O56" s="17"/>
      <c r="P56" s="17"/>
      <c r="Q56" s="17"/>
      <c r="R56" s="17"/>
      <c r="S56" s="17"/>
      <c r="T56" s="17"/>
      <c r="U56" s="4"/>
      <c r="V56" s="4"/>
    </row>
    <row r="57" spans="1:22" x14ac:dyDescent="0.25">
      <c r="A57" s="318" t="str">
        <f t="shared" si="5"/>
        <v>Tue</v>
      </c>
      <c r="B57" s="15">
        <v>44551</v>
      </c>
      <c r="C57" s="16">
        <v>4.1666666666666664E-2</v>
      </c>
      <c r="D57" s="6">
        <v>18.5</v>
      </c>
      <c r="E57" s="6">
        <v>42.5</v>
      </c>
      <c r="F57" s="6">
        <v>267</v>
      </c>
      <c r="G57" s="6">
        <v>6</v>
      </c>
      <c r="H57" s="6">
        <v>8.8000000000000007</v>
      </c>
      <c r="I57" s="6"/>
      <c r="J57" s="6"/>
      <c r="K57" s="6"/>
      <c r="L57" s="20"/>
      <c r="M57" s="84">
        <f t="shared" si="0"/>
        <v>267</v>
      </c>
      <c r="N57" s="248">
        <f>RHcount!X51</f>
        <v>0</v>
      </c>
      <c r="O57" s="17"/>
      <c r="P57" s="17"/>
      <c r="Q57" s="17"/>
      <c r="R57" s="17"/>
      <c r="S57" s="17"/>
      <c r="T57" s="17"/>
      <c r="U57" s="4"/>
      <c r="V57" s="4"/>
    </row>
    <row r="58" spans="1:22" x14ac:dyDescent="0.25">
      <c r="A58" s="318" t="str">
        <f t="shared" si="5"/>
        <v>Tue</v>
      </c>
      <c r="B58" s="15">
        <v>44551</v>
      </c>
      <c r="C58" s="16">
        <v>8.3333333333333329E-2</v>
      </c>
      <c r="D58" s="6">
        <v>17.2</v>
      </c>
      <c r="E58" s="6">
        <v>47.4</v>
      </c>
      <c r="F58" s="6">
        <v>245</v>
      </c>
      <c r="G58" s="6">
        <v>6</v>
      </c>
      <c r="H58" s="6">
        <v>8.8000000000000007</v>
      </c>
      <c r="I58" s="6"/>
      <c r="J58" s="6"/>
      <c r="K58" s="6"/>
      <c r="L58" s="20"/>
      <c r="M58" s="84">
        <f t="shared" si="0"/>
        <v>245</v>
      </c>
      <c r="N58" s="248">
        <f>RHcount!X52</f>
        <v>0</v>
      </c>
      <c r="O58" s="17"/>
      <c r="P58" s="17"/>
      <c r="Q58" s="17"/>
      <c r="R58" s="17"/>
      <c r="S58" s="17"/>
      <c r="T58" s="17"/>
      <c r="U58" s="4"/>
      <c r="V58" s="4"/>
    </row>
    <row r="59" spans="1:22" x14ac:dyDescent="0.25">
      <c r="A59" s="318" t="str">
        <f t="shared" si="5"/>
        <v>Tue</v>
      </c>
      <c r="B59" s="15">
        <v>44551</v>
      </c>
      <c r="C59" s="16">
        <v>0.125</v>
      </c>
      <c r="D59" s="6">
        <v>16.3</v>
      </c>
      <c r="E59" s="6">
        <v>50.2</v>
      </c>
      <c r="F59" s="6">
        <v>226</v>
      </c>
      <c r="G59" s="6">
        <v>6</v>
      </c>
      <c r="H59" s="6">
        <v>8.8000000000000007</v>
      </c>
      <c r="I59" s="6"/>
      <c r="J59" s="6"/>
      <c r="K59" s="6"/>
      <c r="L59" s="20"/>
      <c r="M59" s="84">
        <f t="shared" si="0"/>
        <v>226</v>
      </c>
      <c r="N59" s="248">
        <f>RHcount!X53</f>
        <v>0</v>
      </c>
      <c r="O59" s="17"/>
      <c r="P59" s="17"/>
      <c r="Q59" s="17"/>
      <c r="R59" s="17"/>
      <c r="S59" s="17"/>
      <c r="T59" s="17"/>
      <c r="U59" s="4"/>
      <c r="V59" s="4"/>
    </row>
    <row r="60" spans="1:22" x14ac:dyDescent="0.25">
      <c r="A60" s="318" t="str">
        <f t="shared" si="5"/>
        <v>Tue</v>
      </c>
      <c r="B60" s="15">
        <v>44551</v>
      </c>
      <c r="C60" s="16">
        <v>0.16666666666666666</v>
      </c>
      <c r="D60" s="6">
        <v>15.5</v>
      </c>
      <c r="E60" s="6">
        <v>54.3</v>
      </c>
      <c r="F60" s="6">
        <v>216</v>
      </c>
      <c r="G60" s="6">
        <v>6</v>
      </c>
      <c r="H60" s="6">
        <v>8.8000000000000007</v>
      </c>
      <c r="I60" s="6"/>
      <c r="J60" s="6"/>
      <c r="K60" s="6"/>
      <c r="L60" s="20"/>
      <c r="M60" s="84">
        <f t="shared" si="0"/>
        <v>216</v>
      </c>
      <c r="N60" s="248">
        <f>RHcount!X54</f>
        <v>0</v>
      </c>
      <c r="O60" s="17"/>
      <c r="P60" s="17"/>
      <c r="Q60" s="17"/>
      <c r="R60" s="17"/>
      <c r="S60" s="17"/>
      <c r="T60" s="17"/>
      <c r="U60" s="4"/>
      <c r="V60" s="4"/>
    </row>
    <row r="61" spans="1:22" x14ac:dyDescent="0.25">
      <c r="A61" s="318" t="str">
        <f t="shared" si="5"/>
        <v>Tue</v>
      </c>
      <c r="B61" s="15">
        <v>44551</v>
      </c>
      <c r="C61" s="16">
        <v>0.20833333333333334</v>
      </c>
      <c r="D61" s="6">
        <v>14.5</v>
      </c>
      <c r="E61" s="6">
        <v>62.4</v>
      </c>
      <c r="F61" s="6">
        <v>188</v>
      </c>
      <c r="G61" s="6">
        <v>9</v>
      </c>
      <c r="H61" s="6">
        <v>8.8000000000000007</v>
      </c>
      <c r="I61" s="6"/>
      <c r="J61" s="6"/>
      <c r="K61" s="6"/>
      <c r="L61" s="20"/>
      <c r="M61" s="84">
        <f t="shared" si="0"/>
        <v>188</v>
      </c>
      <c r="N61" s="248">
        <f>RHcount!X55</f>
        <v>0</v>
      </c>
      <c r="O61" s="17"/>
      <c r="P61" s="17"/>
      <c r="Q61" s="17"/>
      <c r="R61" s="17"/>
      <c r="S61" s="17"/>
      <c r="T61" s="17"/>
      <c r="U61" s="4"/>
      <c r="V61" s="4"/>
    </row>
    <row r="62" spans="1:22" x14ac:dyDescent="0.25">
      <c r="A62" s="318" t="str">
        <f t="shared" si="5"/>
        <v>Tue</v>
      </c>
      <c r="B62" s="15">
        <v>44551</v>
      </c>
      <c r="C62" s="16">
        <v>0.25</v>
      </c>
      <c r="D62" s="6">
        <v>13.9</v>
      </c>
      <c r="E62" s="6">
        <v>65.3</v>
      </c>
      <c r="F62" s="6">
        <v>189</v>
      </c>
      <c r="G62" s="6">
        <v>10</v>
      </c>
      <c r="H62" s="6">
        <v>8.8000000000000007</v>
      </c>
      <c r="I62" s="6"/>
      <c r="J62" s="6"/>
      <c r="K62" s="6"/>
      <c r="L62" s="20"/>
      <c r="M62" s="84">
        <f t="shared" si="0"/>
        <v>189</v>
      </c>
      <c r="N62" s="248">
        <f>RHcount!X56</f>
        <v>0</v>
      </c>
      <c r="O62" s="17"/>
      <c r="P62" s="17"/>
      <c r="Q62" s="17"/>
      <c r="R62" s="17"/>
      <c r="S62" s="17"/>
      <c r="T62" s="17"/>
      <c r="U62" s="4"/>
      <c r="V62" s="4"/>
    </row>
    <row r="63" spans="1:22" x14ac:dyDescent="0.25">
      <c r="A63" s="318" t="str">
        <f t="shared" si="5"/>
        <v>Tue</v>
      </c>
      <c r="B63" s="15">
        <v>44551</v>
      </c>
      <c r="C63" s="16">
        <v>0.29166666666666669</v>
      </c>
      <c r="D63" s="6">
        <v>15.8</v>
      </c>
      <c r="E63" s="6">
        <v>58.6</v>
      </c>
      <c r="F63" s="6">
        <v>178</v>
      </c>
      <c r="G63" s="6">
        <v>12</v>
      </c>
      <c r="H63" s="6">
        <v>8.8000000000000007</v>
      </c>
      <c r="I63" s="6"/>
      <c r="J63" s="6"/>
      <c r="K63" s="6"/>
      <c r="L63" s="20"/>
      <c r="M63" s="84">
        <f t="shared" si="0"/>
        <v>178</v>
      </c>
      <c r="N63" s="248">
        <f>RHcount!X57</f>
        <v>0</v>
      </c>
      <c r="O63" s="17"/>
      <c r="P63" s="17"/>
      <c r="Q63" s="17"/>
      <c r="R63" s="17"/>
      <c r="S63" s="17"/>
      <c r="T63" s="17"/>
      <c r="U63" s="4"/>
      <c r="V63" s="4"/>
    </row>
    <row r="64" spans="1:22" x14ac:dyDescent="0.25">
      <c r="A64" s="318" t="str">
        <f t="shared" si="5"/>
        <v>Tue</v>
      </c>
      <c r="B64" s="15">
        <v>44551</v>
      </c>
      <c r="C64" s="16">
        <v>0.33333333333333331</v>
      </c>
      <c r="D64" s="6">
        <v>19.100000000000001</v>
      </c>
      <c r="E64" s="6">
        <v>48.2</v>
      </c>
      <c r="F64" s="6">
        <v>183</v>
      </c>
      <c r="G64" s="6">
        <v>16</v>
      </c>
      <c r="H64" s="6">
        <v>8.8000000000000007</v>
      </c>
      <c r="I64" s="6"/>
      <c r="J64" s="6"/>
      <c r="K64" s="6"/>
      <c r="L64" s="20"/>
      <c r="M64" s="84">
        <f t="shared" si="0"/>
        <v>183</v>
      </c>
      <c r="N64" s="248">
        <f>RHcount!X58</f>
        <v>0</v>
      </c>
      <c r="O64" s="17"/>
      <c r="P64" s="17"/>
      <c r="Q64" s="17"/>
      <c r="R64" s="17"/>
      <c r="S64" s="17"/>
      <c r="T64" s="17"/>
      <c r="U64" s="4"/>
      <c r="V64" s="4"/>
    </row>
    <row r="65" spans="1:22" x14ac:dyDescent="0.25">
      <c r="A65" s="318" t="str">
        <f t="shared" si="5"/>
        <v>Tue</v>
      </c>
      <c r="B65" s="15">
        <v>44551</v>
      </c>
      <c r="C65" s="16">
        <v>0.375</v>
      </c>
      <c r="D65" s="6">
        <v>21.8</v>
      </c>
      <c r="E65" s="6">
        <v>42</v>
      </c>
      <c r="F65" s="6">
        <v>179</v>
      </c>
      <c r="G65" s="6">
        <v>10</v>
      </c>
      <c r="H65" s="6">
        <v>8.8000000000000007</v>
      </c>
      <c r="I65" s="6"/>
      <c r="J65" s="6"/>
      <c r="K65" s="6"/>
      <c r="L65" s="20"/>
      <c r="M65" s="84">
        <f t="shared" si="0"/>
        <v>179</v>
      </c>
      <c r="N65" s="248">
        <f>RHcount!X59</f>
        <v>0</v>
      </c>
      <c r="O65" s="17"/>
      <c r="P65" s="17"/>
      <c r="Q65" s="17"/>
      <c r="R65" s="17"/>
      <c r="S65" s="17"/>
      <c r="T65" s="17"/>
      <c r="U65" s="4"/>
      <c r="V65" s="4"/>
    </row>
    <row r="66" spans="1:22" x14ac:dyDescent="0.25">
      <c r="A66" s="318" t="str">
        <f t="shared" si="5"/>
        <v>Tue</v>
      </c>
      <c r="B66" s="15">
        <v>44551</v>
      </c>
      <c r="C66" s="16">
        <v>0.41666666666666669</v>
      </c>
      <c r="D66" s="6">
        <v>24.5</v>
      </c>
      <c r="E66" s="6">
        <v>33.1</v>
      </c>
      <c r="F66" s="6">
        <v>158</v>
      </c>
      <c r="G66" s="6">
        <v>14</v>
      </c>
      <c r="H66" s="6">
        <v>8.8000000000000007</v>
      </c>
      <c r="I66" s="6"/>
      <c r="J66" s="6"/>
      <c r="K66" s="6"/>
      <c r="L66" s="20"/>
      <c r="M66" s="84">
        <f t="shared" si="0"/>
        <v>158</v>
      </c>
      <c r="N66" s="248">
        <f>RHcount!X60</f>
        <v>0</v>
      </c>
      <c r="O66" s="17"/>
      <c r="P66" s="17"/>
      <c r="Q66" s="17"/>
      <c r="R66" s="17"/>
      <c r="S66" s="17"/>
      <c r="T66" s="17"/>
      <c r="U66" s="4"/>
      <c r="V66" s="4"/>
    </row>
    <row r="67" spans="1:22" x14ac:dyDescent="0.25">
      <c r="A67" s="318" t="str">
        <f t="shared" si="5"/>
        <v>Tue</v>
      </c>
      <c r="B67" s="15">
        <v>44551</v>
      </c>
      <c r="C67" s="16">
        <v>0.45833333333333331</v>
      </c>
      <c r="D67" s="6">
        <v>26.9</v>
      </c>
      <c r="E67" s="6">
        <v>27.9</v>
      </c>
      <c r="F67" s="6">
        <v>153</v>
      </c>
      <c r="G67" s="6">
        <v>11</v>
      </c>
      <c r="H67" s="6">
        <v>8.8000000000000007</v>
      </c>
      <c r="I67" s="6"/>
      <c r="J67" s="6"/>
      <c r="K67" s="6"/>
      <c r="L67" s="20"/>
      <c r="M67" s="84">
        <f t="shared" si="0"/>
        <v>153</v>
      </c>
      <c r="N67" s="248">
        <f>RHcount!X61</f>
        <v>0</v>
      </c>
      <c r="O67" s="17"/>
      <c r="P67" s="17"/>
      <c r="Q67" s="17"/>
      <c r="R67" s="17"/>
      <c r="S67" s="17"/>
      <c r="T67" s="17"/>
      <c r="U67" s="4"/>
      <c r="V67" s="4"/>
    </row>
    <row r="68" spans="1:22" x14ac:dyDescent="0.25">
      <c r="A68" s="318" t="str">
        <f t="shared" si="5"/>
        <v>Tue</v>
      </c>
      <c r="B68" s="15">
        <v>44551</v>
      </c>
      <c r="C68" s="16">
        <v>0.5</v>
      </c>
      <c r="D68" s="6">
        <v>28</v>
      </c>
      <c r="E68" s="6">
        <v>25</v>
      </c>
      <c r="F68" s="6">
        <v>162</v>
      </c>
      <c r="G68" s="6">
        <v>11</v>
      </c>
      <c r="H68" s="6">
        <v>8.8000000000000007</v>
      </c>
      <c r="I68" s="6"/>
      <c r="J68" s="6"/>
      <c r="K68" s="6"/>
      <c r="L68" s="20"/>
      <c r="M68" s="84">
        <f t="shared" si="0"/>
        <v>162</v>
      </c>
      <c r="N68" s="248">
        <f>RHcount!X62</f>
        <v>0</v>
      </c>
      <c r="O68" s="17"/>
      <c r="P68" s="17"/>
      <c r="Q68" s="17"/>
      <c r="R68" s="17"/>
      <c r="S68" s="17"/>
      <c r="T68" s="17"/>
      <c r="U68" s="4"/>
      <c r="V68" s="4"/>
    </row>
    <row r="69" spans="1:22" x14ac:dyDescent="0.25">
      <c r="A69" s="318" t="str">
        <f t="shared" si="5"/>
        <v>Tue</v>
      </c>
      <c r="B69" s="15">
        <v>44551</v>
      </c>
      <c r="C69" s="16">
        <v>0.54166666666666663</v>
      </c>
      <c r="D69" s="6">
        <v>29.5</v>
      </c>
      <c r="E69" s="6">
        <v>22</v>
      </c>
      <c r="F69" s="6">
        <v>198</v>
      </c>
      <c r="G69" s="6">
        <v>11</v>
      </c>
      <c r="H69" s="6">
        <v>8.9000009999999996</v>
      </c>
      <c r="I69" s="6"/>
      <c r="J69" s="6"/>
      <c r="K69" s="6"/>
      <c r="L69" s="20"/>
      <c r="M69" s="84">
        <f t="shared" si="0"/>
        <v>198</v>
      </c>
      <c r="N69" s="248">
        <f>RHcount!X63</f>
        <v>0</v>
      </c>
      <c r="O69" s="17"/>
      <c r="P69" s="17"/>
      <c r="Q69" s="17"/>
      <c r="R69" s="17"/>
      <c r="S69" s="17"/>
      <c r="T69" s="17"/>
      <c r="U69" s="4"/>
      <c r="V69" s="4"/>
    </row>
    <row r="70" spans="1:22" x14ac:dyDescent="0.25">
      <c r="A70" s="318" t="str">
        <f t="shared" si="5"/>
        <v>Tue</v>
      </c>
      <c r="B70" s="15">
        <v>44551</v>
      </c>
      <c r="C70" s="16">
        <v>0.58333333333333337</v>
      </c>
      <c r="D70" s="6">
        <v>31.4</v>
      </c>
      <c r="E70" s="6">
        <v>18.600000000000001</v>
      </c>
      <c r="F70" s="6">
        <v>208</v>
      </c>
      <c r="G70" s="6">
        <v>11</v>
      </c>
      <c r="H70" s="6">
        <v>8.9000009999999996</v>
      </c>
      <c r="I70" s="6"/>
      <c r="J70" s="6"/>
      <c r="K70" s="6"/>
      <c r="L70" s="20"/>
      <c r="M70" s="84">
        <f t="shared" si="0"/>
        <v>208</v>
      </c>
      <c r="N70" s="248">
        <f>RHcount!X64</f>
        <v>0</v>
      </c>
      <c r="O70" s="17"/>
      <c r="P70" s="17"/>
      <c r="Q70" s="17"/>
      <c r="R70" s="17"/>
      <c r="S70" s="17"/>
      <c r="T70" s="17"/>
      <c r="U70" s="4"/>
      <c r="V70" s="4"/>
    </row>
    <row r="71" spans="1:22" x14ac:dyDescent="0.25">
      <c r="A71" s="318" t="str">
        <f t="shared" si="5"/>
        <v>Tue</v>
      </c>
      <c r="B71" s="15">
        <v>44551</v>
      </c>
      <c r="C71" s="16">
        <v>0.625</v>
      </c>
      <c r="D71" s="6">
        <v>32.4</v>
      </c>
      <c r="E71" s="6">
        <v>16.5</v>
      </c>
      <c r="F71" s="6">
        <v>212</v>
      </c>
      <c r="G71" s="6">
        <v>9</v>
      </c>
      <c r="H71" s="6">
        <v>8.9000009999999996</v>
      </c>
      <c r="I71" s="6"/>
      <c r="J71" s="6"/>
      <c r="K71" s="6"/>
      <c r="L71" s="20"/>
      <c r="M71" s="84">
        <f t="shared" si="0"/>
        <v>212</v>
      </c>
      <c r="N71" s="248">
        <f>RHcount!X65</f>
        <v>0</v>
      </c>
      <c r="O71" s="17"/>
      <c r="P71" s="17"/>
      <c r="Q71" s="17"/>
      <c r="R71" s="17"/>
      <c r="S71" s="17"/>
      <c r="T71" s="17"/>
      <c r="U71" s="4"/>
      <c r="V71" s="4"/>
    </row>
    <row r="72" spans="1:22" x14ac:dyDescent="0.25">
      <c r="A72" s="318" t="str">
        <f t="shared" si="5"/>
        <v>Tue</v>
      </c>
      <c r="B72" s="15">
        <v>44551</v>
      </c>
      <c r="C72" s="16">
        <v>0.66666666666666663</v>
      </c>
      <c r="D72" s="6">
        <v>33.299999999999997</v>
      </c>
      <c r="E72" s="6">
        <v>15.6</v>
      </c>
      <c r="F72" s="6">
        <v>216</v>
      </c>
      <c r="G72" s="6">
        <v>11</v>
      </c>
      <c r="H72" s="6">
        <v>8.9000009999999996</v>
      </c>
      <c r="I72" s="6"/>
      <c r="J72" s="6"/>
      <c r="K72" s="6"/>
      <c r="L72" s="20"/>
      <c r="M72" s="84">
        <f t="shared" si="0"/>
        <v>216</v>
      </c>
      <c r="N72" s="248">
        <f>RHcount!X66</f>
        <v>0</v>
      </c>
      <c r="O72" s="17"/>
      <c r="P72" s="17"/>
      <c r="Q72" s="17"/>
      <c r="R72" s="17"/>
      <c r="S72" s="17"/>
      <c r="T72" s="17"/>
      <c r="U72" s="4"/>
      <c r="V72" s="4"/>
    </row>
    <row r="73" spans="1:22" x14ac:dyDescent="0.25">
      <c r="A73" s="318" t="str">
        <f t="shared" si="5"/>
        <v>Tue</v>
      </c>
      <c r="B73" s="15">
        <v>44551</v>
      </c>
      <c r="C73" s="16">
        <v>0.70833333333333337</v>
      </c>
      <c r="D73" s="6">
        <v>34</v>
      </c>
      <c r="E73" s="6">
        <v>14.5</v>
      </c>
      <c r="F73" s="6">
        <v>218</v>
      </c>
      <c r="G73" s="6">
        <v>10</v>
      </c>
      <c r="H73" s="6">
        <v>8.9000009999999996</v>
      </c>
      <c r="I73" s="6"/>
      <c r="J73" s="6"/>
      <c r="K73" s="6"/>
      <c r="L73" s="20"/>
      <c r="M73" s="84">
        <f t="shared" si="0"/>
        <v>218</v>
      </c>
      <c r="N73" s="248">
        <f>RHcount!X67</f>
        <v>0</v>
      </c>
      <c r="O73" s="17"/>
      <c r="P73" s="17"/>
      <c r="Q73" s="17"/>
      <c r="R73" s="17"/>
      <c r="S73" s="17"/>
      <c r="T73" s="17"/>
      <c r="U73" s="4"/>
      <c r="V73" s="4"/>
    </row>
    <row r="74" spans="1:22" x14ac:dyDescent="0.25">
      <c r="A74" s="318" t="str">
        <f t="shared" si="5"/>
        <v>Tue</v>
      </c>
      <c r="B74" s="15">
        <v>44551</v>
      </c>
      <c r="C74" s="16">
        <v>0.75</v>
      </c>
      <c r="D74" s="6">
        <v>33.5</v>
      </c>
      <c r="E74" s="6">
        <v>15.3</v>
      </c>
      <c r="F74" s="6">
        <v>205</v>
      </c>
      <c r="G74" s="6">
        <v>12</v>
      </c>
      <c r="H74" s="6">
        <v>8.9000009999999996</v>
      </c>
      <c r="I74" s="6"/>
      <c r="J74" s="6"/>
      <c r="K74" s="6"/>
      <c r="L74" s="20"/>
      <c r="M74" s="84">
        <f t="shared" si="0"/>
        <v>205</v>
      </c>
      <c r="N74" s="248">
        <f>RHcount!X68</f>
        <v>0</v>
      </c>
      <c r="O74" s="17"/>
      <c r="P74" s="17"/>
      <c r="Q74" s="17"/>
      <c r="R74" s="17"/>
      <c r="S74" s="17"/>
      <c r="T74" s="17"/>
      <c r="U74" s="4"/>
      <c r="V74" s="4"/>
    </row>
    <row r="75" spans="1:22" x14ac:dyDescent="0.25">
      <c r="A75" s="318" t="str">
        <f t="shared" si="5"/>
        <v>Tue</v>
      </c>
      <c r="B75" s="15">
        <v>44551</v>
      </c>
      <c r="C75" s="16">
        <v>0.79166666666666663</v>
      </c>
      <c r="D75" s="6">
        <v>33.299999999999997</v>
      </c>
      <c r="E75" s="6">
        <v>15.4</v>
      </c>
      <c r="F75" s="6">
        <v>202</v>
      </c>
      <c r="G75" s="6">
        <v>11</v>
      </c>
      <c r="H75" s="6">
        <v>8.9000009999999996</v>
      </c>
      <c r="I75" s="6"/>
      <c r="J75" s="6"/>
      <c r="K75" s="6"/>
      <c r="L75" s="20"/>
      <c r="M75" s="84">
        <f t="shared" ref="M75:M138" si="8">IF(F75&gt;"a",VLOOKUP(F75,$U$11:$V$26,2),F75)</f>
        <v>202</v>
      </c>
      <c r="N75" s="248">
        <f>RHcount!X69</f>
        <v>0</v>
      </c>
      <c r="O75" s="17"/>
      <c r="P75" s="17"/>
      <c r="Q75" s="17"/>
      <c r="R75" s="17"/>
      <c r="S75" s="17"/>
      <c r="T75" s="17"/>
      <c r="U75" s="4"/>
      <c r="V75" s="4"/>
    </row>
    <row r="76" spans="1:22" x14ac:dyDescent="0.25">
      <c r="A76" s="318" t="str">
        <f t="shared" si="5"/>
        <v>Tue</v>
      </c>
      <c r="B76" s="15">
        <v>44551</v>
      </c>
      <c r="C76" s="16">
        <v>0.83333333333333337</v>
      </c>
      <c r="D76" s="6">
        <v>32.200000000000003</v>
      </c>
      <c r="E76" s="6">
        <v>17.600000000000001</v>
      </c>
      <c r="F76" s="6">
        <v>206</v>
      </c>
      <c r="G76" s="6">
        <v>11</v>
      </c>
      <c r="H76" s="6">
        <v>8.9000009999999996</v>
      </c>
      <c r="I76" s="6"/>
      <c r="J76" s="6"/>
      <c r="K76" s="6"/>
      <c r="L76" s="20"/>
      <c r="M76" s="84">
        <f t="shared" si="8"/>
        <v>206</v>
      </c>
      <c r="N76" s="248">
        <f>RHcount!X70</f>
        <v>0</v>
      </c>
      <c r="O76" s="17"/>
      <c r="P76" s="17"/>
      <c r="Q76" s="17"/>
      <c r="R76" s="17"/>
      <c r="S76" s="17"/>
      <c r="T76" s="17"/>
      <c r="U76" s="4"/>
      <c r="V76" s="4"/>
    </row>
    <row r="77" spans="1:22" x14ac:dyDescent="0.25">
      <c r="A77" s="318" t="str">
        <f t="shared" si="5"/>
        <v>Tue</v>
      </c>
      <c r="B77" s="15">
        <v>44551</v>
      </c>
      <c r="C77" s="16">
        <v>0.875</v>
      </c>
      <c r="D77" s="6">
        <v>29.1</v>
      </c>
      <c r="E77" s="6">
        <v>23.4</v>
      </c>
      <c r="F77" s="6">
        <v>199</v>
      </c>
      <c r="G77" s="6">
        <v>9</v>
      </c>
      <c r="H77" s="6">
        <v>8.9000009999999996</v>
      </c>
      <c r="I77" s="6"/>
      <c r="J77" s="6"/>
      <c r="K77" s="6"/>
      <c r="L77" s="20"/>
      <c r="M77" s="84">
        <f t="shared" si="8"/>
        <v>199</v>
      </c>
      <c r="N77" s="248">
        <f>RHcount!X71</f>
        <v>0</v>
      </c>
      <c r="O77" s="17"/>
      <c r="P77" s="17"/>
      <c r="Q77" s="17"/>
      <c r="R77" s="17"/>
      <c r="S77" s="17"/>
      <c r="T77" s="17"/>
      <c r="U77" s="4"/>
      <c r="V77" s="4"/>
    </row>
    <row r="78" spans="1:22" x14ac:dyDescent="0.25">
      <c r="A78" s="318" t="str">
        <f t="shared" ref="A78:A141" si="9">TEXT(B78,"ddd")</f>
        <v>Tue</v>
      </c>
      <c r="B78" s="15">
        <v>44551</v>
      </c>
      <c r="C78" s="16">
        <v>0.91666666666666663</v>
      </c>
      <c r="D78" s="6">
        <v>26.6</v>
      </c>
      <c r="E78" s="6">
        <v>28</v>
      </c>
      <c r="F78" s="6">
        <v>192</v>
      </c>
      <c r="G78" s="6">
        <v>8</v>
      </c>
      <c r="H78" s="6">
        <v>8.9000009999999996</v>
      </c>
      <c r="I78" s="6"/>
      <c r="J78" s="6"/>
      <c r="K78" s="6"/>
      <c r="L78" s="20"/>
      <c r="M78" s="84">
        <f t="shared" si="8"/>
        <v>192</v>
      </c>
      <c r="N78" s="248">
        <f>RHcount!X72</f>
        <v>0</v>
      </c>
      <c r="O78" s="17"/>
      <c r="P78" s="17"/>
      <c r="Q78" s="17"/>
      <c r="R78" s="17"/>
      <c r="S78" s="17"/>
      <c r="T78" s="17"/>
      <c r="U78" s="4"/>
      <c r="V78" s="4"/>
    </row>
    <row r="79" spans="1:22" x14ac:dyDescent="0.25">
      <c r="A79" s="318" t="str">
        <f t="shared" si="9"/>
        <v>Tue</v>
      </c>
      <c r="B79" s="15">
        <v>44551</v>
      </c>
      <c r="C79" s="16">
        <v>0.95833333333333337</v>
      </c>
      <c r="D79" s="6">
        <v>24.5</v>
      </c>
      <c r="E79" s="6">
        <v>31.5</v>
      </c>
      <c r="F79" s="6">
        <v>185</v>
      </c>
      <c r="G79" s="6">
        <v>7</v>
      </c>
      <c r="H79" s="6">
        <v>8.9000009999999996</v>
      </c>
      <c r="I79" s="6"/>
      <c r="J79" s="6"/>
      <c r="K79" s="6"/>
      <c r="L79" s="20"/>
      <c r="M79" s="84">
        <f t="shared" si="8"/>
        <v>185</v>
      </c>
      <c r="N79" s="248">
        <f>RHcount!X73</f>
        <v>0</v>
      </c>
      <c r="O79" s="17"/>
      <c r="P79" s="17"/>
      <c r="Q79" s="17"/>
      <c r="R79" s="17"/>
      <c r="S79" s="17"/>
      <c r="T79" s="17"/>
      <c r="U79" s="4"/>
      <c r="V79" s="4"/>
    </row>
    <row r="80" spans="1:22" x14ac:dyDescent="0.25">
      <c r="A80" s="318" t="str">
        <f t="shared" si="9"/>
        <v>Wed</v>
      </c>
      <c r="B80" s="15">
        <v>44552</v>
      </c>
      <c r="C80" s="16">
        <v>0</v>
      </c>
      <c r="D80" s="6">
        <v>23.6</v>
      </c>
      <c r="E80" s="6">
        <v>34</v>
      </c>
      <c r="F80" s="6">
        <v>182</v>
      </c>
      <c r="G80" s="6">
        <v>7</v>
      </c>
      <c r="H80" s="6">
        <v>8.9000009999999996</v>
      </c>
      <c r="I80" s="6"/>
      <c r="J80" s="6"/>
      <c r="K80" s="6"/>
      <c r="L80" s="20"/>
      <c r="M80" s="84">
        <f t="shared" si="8"/>
        <v>182</v>
      </c>
      <c r="N80" s="248">
        <f>RHcount!X74</f>
        <v>0</v>
      </c>
      <c r="O80" s="17"/>
      <c r="P80" s="17"/>
      <c r="Q80" s="17"/>
      <c r="R80" s="17"/>
      <c r="S80" s="17"/>
      <c r="T80" s="17"/>
      <c r="U80" s="4"/>
      <c r="V80" s="4"/>
    </row>
    <row r="81" spans="1:22" x14ac:dyDescent="0.25">
      <c r="A81" s="318" t="str">
        <f t="shared" si="9"/>
        <v>Wed</v>
      </c>
      <c r="B81" s="15">
        <v>44552</v>
      </c>
      <c r="C81" s="16">
        <v>4.1666666666666664E-2</v>
      </c>
      <c r="D81" s="6">
        <v>22.5</v>
      </c>
      <c r="E81" s="6">
        <v>35.6</v>
      </c>
      <c r="F81" s="6">
        <v>196</v>
      </c>
      <c r="G81" s="6">
        <v>9</v>
      </c>
      <c r="H81" s="6">
        <v>8.9000009999999996</v>
      </c>
      <c r="I81" s="6"/>
      <c r="J81" s="6"/>
      <c r="K81" s="6"/>
      <c r="L81" s="20"/>
      <c r="M81" s="84">
        <f t="shared" si="8"/>
        <v>196</v>
      </c>
      <c r="N81" s="248">
        <f>RHcount!X75</f>
        <v>0</v>
      </c>
      <c r="O81" s="17"/>
      <c r="P81" s="17"/>
      <c r="Q81" s="17"/>
      <c r="R81" s="17"/>
      <c r="S81" s="17"/>
      <c r="T81" s="17"/>
      <c r="U81" s="4"/>
      <c r="V81" s="4"/>
    </row>
    <row r="82" spans="1:22" x14ac:dyDescent="0.25">
      <c r="A82" s="318" t="str">
        <f t="shared" si="9"/>
        <v>Wed</v>
      </c>
      <c r="B82" s="15">
        <v>44552</v>
      </c>
      <c r="C82" s="16">
        <v>8.3333333333333329E-2</v>
      </c>
      <c r="D82" s="6">
        <v>21.6</v>
      </c>
      <c r="E82" s="6">
        <v>37.299999999999997</v>
      </c>
      <c r="F82" s="6">
        <v>179</v>
      </c>
      <c r="G82" s="6">
        <v>11</v>
      </c>
      <c r="H82" s="6">
        <v>8.9000009999999996</v>
      </c>
      <c r="I82" s="6"/>
      <c r="J82" s="6"/>
      <c r="K82" s="6"/>
      <c r="L82" s="20"/>
      <c r="M82" s="84">
        <f t="shared" si="8"/>
        <v>179</v>
      </c>
      <c r="N82" s="248">
        <f>RHcount!X76</f>
        <v>0</v>
      </c>
      <c r="O82" s="17"/>
      <c r="P82" s="17"/>
      <c r="Q82" s="17"/>
      <c r="R82" s="17"/>
      <c r="S82" s="17"/>
      <c r="T82" s="17"/>
      <c r="U82" s="4"/>
      <c r="V82" s="4"/>
    </row>
    <row r="83" spans="1:22" x14ac:dyDescent="0.25">
      <c r="A83" s="318" t="str">
        <f t="shared" si="9"/>
        <v>Wed</v>
      </c>
      <c r="B83" s="15">
        <v>44552</v>
      </c>
      <c r="C83" s="16">
        <v>0.125</v>
      </c>
      <c r="D83" s="6">
        <v>20.6</v>
      </c>
      <c r="E83" s="6">
        <v>41.6</v>
      </c>
      <c r="F83" s="6">
        <v>177</v>
      </c>
      <c r="G83" s="6">
        <v>11</v>
      </c>
      <c r="H83" s="6">
        <v>8.9000009999999996</v>
      </c>
      <c r="I83" s="6"/>
      <c r="J83" s="6"/>
      <c r="K83" s="6"/>
      <c r="L83" s="20"/>
      <c r="M83" s="84">
        <f t="shared" si="8"/>
        <v>177</v>
      </c>
      <c r="N83" s="248">
        <f>RHcount!X77</f>
        <v>0</v>
      </c>
      <c r="O83" s="17"/>
      <c r="P83" s="17"/>
      <c r="Q83" s="17"/>
      <c r="R83" s="17"/>
      <c r="S83" s="17"/>
      <c r="T83" s="17"/>
      <c r="U83" s="4"/>
      <c r="V83" s="4"/>
    </row>
    <row r="84" spans="1:22" x14ac:dyDescent="0.25">
      <c r="A84" s="318" t="str">
        <f t="shared" si="9"/>
        <v>Wed</v>
      </c>
      <c r="B84" s="15">
        <v>44552</v>
      </c>
      <c r="C84" s="16">
        <v>0.16666666666666666</v>
      </c>
      <c r="D84" s="6">
        <v>20</v>
      </c>
      <c r="E84" s="6">
        <v>45</v>
      </c>
      <c r="F84" s="6">
        <v>181</v>
      </c>
      <c r="G84" s="6">
        <v>12</v>
      </c>
      <c r="H84" s="6">
        <v>8.9000009999999996</v>
      </c>
      <c r="I84" s="6"/>
      <c r="J84" s="6"/>
      <c r="K84" s="6"/>
      <c r="L84" s="20"/>
      <c r="M84" s="84">
        <f t="shared" si="8"/>
        <v>181</v>
      </c>
      <c r="N84" s="248">
        <f>RHcount!X78</f>
        <v>0</v>
      </c>
      <c r="O84" s="17"/>
      <c r="P84" s="17"/>
      <c r="Q84" s="17"/>
      <c r="R84" s="17"/>
      <c r="S84" s="17"/>
      <c r="T84" s="17"/>
      <c r="U84" s="4"/>
      <c r="V84" s="4"/>
    </row>
    <row r="85" spans="1:22" x14ac:dyDescent="0.25">
      <c r="A85" s="318" t="str">
        <f t="shared" si="9"/>
        <v>Wed</v>
      </c>
      <c r="B85" s="15">
        <v>44552</v>
      </c>
      <c r="C85" s="16">
        <v>0.20833333333333334</v>
      </c>
      <c r="D85" s="6">
        <v>19.2</v>
      </c>
      <c r="E85" s="6">
        <v>49.3</v>
      </c>
      <c r="F85" s="6">
        <v>184</v>
      </c>
      <c r="G85" s="6">
        <v>16</v>
      </c>
      <c r="H85" s="6">
        <v>8.9000009999999996</v>
      </c>
      <c r="I85" s="6"/>
      <c r="J85" s="6"/>
      <c r="K85" s="6"/>
      <c r="L85" s="20"/>
      <c r="M85" s="84">
        <f t="shared" si="8"/>
        <v>184</v>
      </c>
      <c r="N85" s="248">
        <f>RHcount!X79</f>
        <v>0</v>
      </c>
      <c r="O85" s="17"/>
      <c r="P85" s="17"/>
      <c r="Q85" s="17"/>
      <c r="R85" s="17"/>
      <c r="S85" s="17"/>
      <c r="T85" s="17"/>
      <c r="U85" s="4"/>
      <c r="V85" s="4"/>
    </row>
    <row r="86" spans="1:22" x14ac:dyDescent="0.25">
      <c r="A86" s="318" t="str">
        <f t="shared" si="9"/>
        <v>Wed</v>
      </c>
      <c r="B86" s="15">
        <v>44552</v>
      </c>
      <c r="C86" s="16">
        <v>0.25</v>
      </c>
      <c r="D86" s="6">
        <v>18.3</v>
      </c>
      <c r="E86" s="6">
        <v>51.8</v>
      </c>
      <c r="F86" s="6">
        <v>182</v>
      </c>
      <c r="G86" s="6">
        <v>17</v>
      </c>
      <c r="H86" s="6">
        <v>8.9000009999999996</v>
      </c>
      <c r="I86" s="6"/>
      <c r="J86" s="6"/>
      <c r="K86" s="6"/>
      <c r="L86" s="20"/>
      <c r="M86" s="84">
        <f t="shared" si="8"/>
        <v>182</v>
      </c>
      <c r="N86" s="248">
        <f>RHcount!X80</f>
        <v>0</v>
      </c>
      <c r="O86" s="17"/>
      <c r="P86" s="17"/>
      <c r="Q86" s="17"/>
      <c r="R86" s="17"/>
      <c r="S86" s="17"/>
      <c r="T86" s="17"/>
      <c r="U86" s="4"/>
      <c r="V86" s="4"/>
    </row>
    <row r="87" spans="1:22" x14ac:dyDescent="0.25">
      <c r="A87" s="318" t="str">
        <f t="shared" si="9"/>
        <v>Wed</v>
      </c>
      <c r="B87" s="15">
        <v>44552</v>
      </c>
      <c r="C87" s="16">
        <v>0.29166666666666669</v>
      </c>
      <c r="D87" s="6">
        <v>19</v>
      </c>
      <c r="E87" s="6">
        <v>48.9</v>
      </c>
      <c r="F87" s="6">
        <v>176</v>
      </c>
      <c r="G87" s="6">
        <v>18</v>
      </c>
      <c r="H87" s="6">
        <v>8.9000009999999996</v>
      </c>
      <c r="I87" s="6"/>
      <c r="J87" s="6"/>
      <c r="K87" s="6"/>
      <c r="L87" s="20"/>
      <c r="M87" s="84">
        <f t="shared" si="8"/>
        <v>176</v>
      </c>
      <c r="N87" s="248">
        <f>RHcount!X81</f>
        <v>0</v>
      </c>
      <c r="O87" s="17"/>
      <c r="P87" s="17"/>
      <c r="Q87" s="17"/>
      <c r="R87" s="17"/>
      <c r="S87" s="17"/>
      <c r="T87" s="17"/>
      <c r="U87" s="4"/>
      <c r="V87" s="4"/>
    </row>
    <row r="88" spans="1:22" x14ac:dyDescent="0.25">
      <c r="A88" s="318" t="str">
        <f t="shared" si="9"/>
        <v>Wed</v>
      </c>
      <c r="B88" s="15">
        <v>44552</v>
      </c>
      <c r="C88" s="16">
        <v>0.33333333333333331</v>
      </c>
      <c r="D88" s="6">
        <v>21.4</v>
      </c>
      <c r="E88" s="6">
        <v>43</v>
      </c>
      <c r="F88" s="6">
        <v>179</v>
      </c>
      <c r="G88" s="6">
        <v>22</v>
      </c>
      <c r="H88" s="6">
        <v>8.9000009999999996</v>
      </c>
      <c r="I88" s="6"/>
      <c r="J88" s="6"/>
      <c r="K88" s="6"/>
      <c r="L88" s="20"/>
      <c r="M88" s="84">
        <f t="shared" si="8"/>
        <v>179</v>
      </c>
      <c r="N88" s="248">
        <f>RHcount!X82</f>
        <v>0</v>
      </c>
      <c r="O88" s="17"/>
      <c r="P88" s="17"/>
      <c r="Q88" s="17"/>
      <c r="R88" s="17"/>
      <c r="S88" s="17"/>
      <c r="T88" s="17"/>
      <c r="U88" s="4"/>
      <c r="V88" s="4"/>
    </row>
    <row r="89" spans="1:22" x14ac:dyDescent="0.25">
      <c r="A89" s="318" t="str">
        <f t="shared" si="9"/>
        <v>Wed</v>
      </c>
      <c r="B89" s="15">
        <v>44552</v>
      </c>
      <c r="C89" s="16">
        <v>0.375</v>
      </c>
      <c r="D89" s="6">
        <v>23.5</v>
      </c>
      <c r="E89" s="6">
        <v>40</v>
      </c>
      <c r="F89" s="6">
        <v>167</v>
      </c>
      <c r="G89" s="6">
        <v>15</v>
      </c>
      <c r="H89" s="6">
        <v>8.9000009999999996</v>
      </c>
      <c r="I89" s="6"/>
      <c r="J89" s="6"/>
      <c r="K89" s="6"/>
      <c r="L89" s="20"/>
      <c r="M89" s="84">
        <f t="shared" si="8"/>
        <v>167</v>
      </c>
      <c r="N89" s="248">
        <f>RHcount!X83</f>
        <v>0</v>
      </c>
      <c r="O89" s="17"/>
      <c r="P89" s="17"/>
      <c r="Q89" s="17"/>
      <c r="R89" s="17"/>
      <c r="S89" s="17"/>
      <c r="T89" s="17"/>
      <c r="U89" s="4"/>
      <c r="V89" s="4"/>
    </row>
    <row r="90" spans="1:22" x14ac:dyDescent="0.25">
      <c r="A90" s="318" t="str">
        <f t="shared" si="9"/>
        <v>Wed</v>
      </c>
      <c r="B90" s="15">
        <v>44552</v>
      </c>
      <c r="C90" s="16">
        <v>0.41666666666666669</v>
      </c>
      <c r="D90" s="6">
        <v>25.9</v>
      </c>
      <c r="E90" s="6">
        <v>34.200000000000003</v>
      </c>
      <c r="F90" s="6">
        <v>164</v>
      </c>
      <c r="G90" s="6">
        <v>20</v>
      </c>
      <c r="H90" s="6">
        <v>8.9000009999999996</v>
      </c>
      <c r="I90" s="6"/>
      <c r="J90" s="6"/>
      <c r="K90" s="6"/>
      <c r="L90" s="20"/>
      <c r="M90" s="84">
        <f t="shared" si="8"/>
        <v>164</v>
      </c>
      <c r="N90" s="248">
        <f>RHcount!X84</f>
        <v>0</v>
      </c>
      <c r="O90" s="17"/>
      <c r="P90" s="17"/>
      <c r="Q90" s="17"/>
      <c r="R90" s="17"/>
      <c r="S90" s="17"/>
      <c r="T90" s="17"/>
      <c r="U90" s="4"/>
      <c r="V90" s="4"/>
    </row>
    <row r="91" spans="1:22" x14ac:dyDescent="0.25">
      <c r="A91" s="318" t="str">
        <f t="shared" si="9"/>
        <v>Wed</v>
      </c>
      <c r="B91" s="15">
        <v>44552</v>
      </c>
      <c r="C91" s="16">
        <v>0.45833333333333331</v>
      </c>
      <c r="D91" s="6">
        <v>28.1</v>
      </c>
      <c r="E91" s="6">
        <v>30</v>
      </c>
      <c r="F91" s="6">
        <v>165</v>
      </c>
      <c r="G91" s="6">
        <v>18</v>
      </c>
      <c r="H91" s="6">
        <v>8.9000009999999996</v>
      </c>
      <c r="I91" s="6"/>
      <c r="J91" s="6"/>
      <c r="K91" s="6"/>
      <c r="L91" s="20"/>
      <c r="M91" s="84">
        <f t="shared" si="8"/>
        <v>165</v>
      </c>
      <c r="N91" s="248">
        <f>RHcount!X85</f>
        <v>0</v>
      </c>
      <c r="O91" s="17"/>
      <c r="P91" s="17"/>
      <c r="Q91" s="17"/>
      <c r="R91" s="17"/>
      <c r="S91" s="17"/>
      <c r="T91" s="17"/>
      <c r="U91" s="4"/>
      <c r="V91" s="4"/>
    </row>
    <row r="92" spans="1:22" x14ac:dyDescent="0.25">
      <c r="A92" s="318" t="str">
        <f t="shared" si="9"/>
        <v>Wed</v>
      </c>
      <c r="B92" s="15">
        <v>44552</v>
      </c>
      <c r="C92" s="16">
        <v>0.5</v>
      </c>
      <c r="D92" s="6">
        <v>29.8</v>
      </c>
      <c r="E92" s="6">
        <v>26.2</v>
      </c>
      <c r="F92" s="6">
        <v>170</v>
      </c>
      <c r="G92" s="6">
        <v>17</v>
      </c>
      <c r="H92" s="6">
        <v>8.9000009999999996</v>
      </c>
      <c r="I92" s="6"/>
      <c r="J92" s="6"/>
      <c r="K92" s="6"/>
      <c r="L92" s="20"/>
      <c r="M92" s="84">
        <f t="shared" si="8"/>
        <v>170</v>
      </c>
      <c r="N92" s="248">
        <f>RHcount!X86</f>
        <v>0</v>
      </c>
      <c r="O92" s="17"/>
      <c r="P92" s="17"/>
      <c r="Q92" s="17"/>
      <c r="R92" s="17"/>
      <c r="S92" s="17"/>
      <c r="T92" s="17"/>
      <c r="U92" s="4"/>
      <c r="V92" s="4"/>
    </row>
    <row r="93" spans="1:22" x14ac:dyDescent="0.25">
      <c r="A93" s="318" t="str">
        <f t="shared" si="9"/>
        <v>Wed</v>
      </c>
      <c r="B93" s="15">
        <v>44552</v>
      </c>
      <c r="C93" s="16">
        <v>0.54166666666666663</v>
      </c>
      <c r="D93" s="6">
        <v>31.4</v>
      </c>
      <c r="E93" s="6">
        <v>22.5</v>
      </c>
      <c r="F93" s="6">
        <v>194</v>
      </c>
      <c r="G93" s="6">
        <v>18</v>
      </c>
      <c r="H93" s="6">
        <v>9</v>
      </c>
      <c r="I93" s="6"/>
      <c r="J93" s="6"/>
      <c r="K93" s="6"/>
      <c r="L93" s="20"/>
      <c r="M93" s="84">
        <f t="shared" si="8"/>
        <v>194</v>
      </c>
      <c r="N93" s="248">
        <f>RHcount!X87</f>
        <v>0</v>
      </c>
      <c r="O93" s="17"/>
      <c r="P93" s="17"/>
      <c r="Q93" s="17"/>
      <c r="R93" s="17"/>
      <c r="S93" s="17"/>
      <c r="T93" s="17"/>
      <c r="U93" s="4"/>
      <c r="V93" s="4"/>
    </row>
    <row r="94" spans="1:22" x14ac:dyDescent="0.25">
      <c r="A94" s="318" t="str">
        <f t="shared" si="9"/>
        <v>Wed</v>
      </c>
      <c r="B94" s="15">
        <v>44552</v>
      </c>
      <c r="C94" s="16">
        <v>0.58333333333333337</v>
      </c>
      <c r="D94" s="6">
        <v>33.1</v>
      </c>
      <c r="E94" s="6">
        <v>18.8</v>
      </c>
      <c r="F94" s="6">
        <v>198</v>
      </c>
      <c r="G94" s="6">
        <v>18</v>
      </c>
      <c r="H94" s="6">
        <v>9</v>
      </c>
      <c r="I94" s="6"/>
      <c r="J94" s="6"/>
      <c r="K94" s="6"/>
      <c r="L94" s="20"/>
      <c r="M94" s="84">
        <f t="shared" si="8"/>
        <v>198</v>
      </c>
      <c r="N94" s="248">
        <f>RHcount!X88</f>
        <v>0</v>
      </c>
      <c r="O94" s="17"/>
      <c r="P94" s="17"/>
      <c r="Q94" s="17"/>
      <c r="R94" s="17"/>
      <c r="S94" s="17"/>
      <c r="T94" s="17"/>
      <c r="U94" s="4"/>
      <c r="V94" s="4"/>
    </row>
    <row r="95" spans="1:22" x14ac:dyDescent="0.25">
      <c r="A95" s="318" t="str">
        <f t="shared" si="9"/>
        <v>Wed</v>
      </c>
      <c r="B95" s="15">
        <v>44552</v>
      </c>
      <c r="C95" s="16">
        <v>0.625</v>
      </c>
      <c r="D95" s="6">
        <v>34</v>
      </c>
      <c r="E95" s="6">
        <v>16.100000000000001</v>
      </c>
      <c r="F95" s="6">
        <v>200</v>
      </c>
      <c r="G95" s="6">
        <v>17</v>
      </c>
      <c r="H95" s="6">
        <v>9</v>
      </c>
      <c r="I95" s="6"/>
      <c r="J95" s="6"/>
      <c r="K95" s="6"/>
      <c r="L95" s="20"/>
      <c r="M95" s="84">
        <f t="shared" si="8"/>
        <v>200</v>
      </c>
      <c r="N95" s="248">
        <f>RHcount!X89</f>
        <v>0</v>
      </c>
      <c r="O95" s="17"/>
      <c r="P95" s="17"/>
      <c r="Q95" s="17"/>
      <c r="R95" s="17"/>
      <c r="S95" s="17"/>
      <c r="T95" s="17"/>
      <c r="U95" s="4"/>
      <c r="V95" s="4"/>
    </row>
    <row r="96" spans="1:22" x14ac:dyDescent="0.25">
      <c r="A96" s="318" t="str">
        <f t="shared" si="9"/>
        <v>Wed</v>
      </c>
      <c r="B96" s="15">
        <v>44552</v>
      </c>
      <c r="C96" s="16">
        <v>0.66666666666666663</v>
      </c>
      <c r="D96" s="6">
        <v>34.5</v>
      </c>
      <c r="E96" s="6">
        <v>14.9</v>
      </c>
      <c r="F96" s="6">
        <v>202</v>
      </c>
      <c r="G96" s="6">
        <v>19</v>
      </c>
      <c r="H96" s="6">
        <v>9</v>
      </c>
      <c r="I96" s="6"/>
      <c r="J96" s="6"/>
      <c r="K96" s="6"/>
      <c r="L96" s="20"/>
      <c r="M96" s="84">
        <f t="shared" si="8"/>
        <v>202</v>
      </c>
      <c r="N96" s="248">
        <f>RHcount!X90</f>
        <v>0</v>
      </c>
      <c r="O96" s="17"/>
      <c r="P96" s="17"/>
      <c r="Q96" s="17"/>
      <c r="R96" s="17"/>
      <c r="S96" s="17"/>
      <c r="T96" s="17"/>
      <c r="U96" s="4"/>
      <c r="V96" s="4"/>
    </row>
    <row r="97" spans="1:22" x14ac:dyDescent="0.25">
      <c r="A97" s="318" t="str">
        <f t="shared" si="9"/>
        <v>Wed</v>
      </c>
      <c r="B97" s="15">
        <v>44552</v>
      </c>
      <c r="C97" s="16">
        <v>0.70833333333333337</v>
      </c>
      <c r="D97" s="6">
        <v>34.700000000000003</v>
      </c>
      <c r="E97" s="6">
        <v>13.7</v>
      </c>
      <c r="F97" s="6">
        <v>203</v>
      </c>
      <c r="G97" s="6">
        <v>19</v>
      </c>
      <c r="H97" s="6">
        <v>9</v>
      </c>
      <c r="I97" s="6"/>
      <c r="J97" s="6"/>
      <c r="K97" s="6"/>
      <c r="L97" s="20"/>
      <c r="M97" s="84">
        <f t="shared" si="8"/>
        <v>203</v>
      </c>
      <c r="N97" s="248">
        <f>RHcount!X91</f>
        <v>0</v>
      </c>
      <c r="O97" s="17"/>
      <c r="P97" s="17"/>
      <c r="Q97" s="17"/>
      <c r="R97" s="17"/>
      <c r="S97" s="17"/>
      <c r="T97" s="17"/>
      <c r="U97" s="4"/>
      <c r="V97" s="4"/>
    </row>
    <row r="98" spans="1:22" x14ac:dyDescent="0.25">
      <c r="A98" s="318" t="str">
        <f t="shared" si="9"/>
        <v>Wed</v>
      </c>
      <c r="B98" s="15">
        <v>44552</v>
      </c>
      <c r="C98" s="16">
        <v>0.75</v>
      </c>
      <c r="D98" s="6">
        <v>34</v>
      </c>
      <c r="E98" s="6">
        <v>14.3</v>
      </c>
      <c r="F98" s="6">
        <v>204</v>
      </c>
      <c r="G98" s="6">
        <v>21</v>
      </c>
      <c r="H98" s="6">
        <v>9</v>
      </c>
      <c r="I98" s="6"/>
      <c r="J98" s="6"/>
      <c r="K98" s="6"/>
      <c r="L98" s="20"/>
      <c r="M98" s="84">
        <f t="shared" si="8"/>
        <v>204</v>
      </c>
      <c r="N98" s="248">
        <f>RHcount!X92</f>
        <v>0</v>
      </c>
      <c r="O98" s="17"/>
      <c r="P98" s="17"/>
      <c r="Q98" s="17"/>
      <c r="R98" s="17"/>
      <c r="S98" s="17"/>
      <c r="T98" s="17"/>
      <c r="U98" s="4"/>
      <c r="V98" s="4"/>
    </row>
    <row r="99" spans="1:22" x14ac:dyDescent="0.25">
      <c r="A99" s="318" t="str">
        <f t="shared" si="9"/>
        <v>Wed</v>
      </c>
      <c r="B99" s="15">
        <v>44552</v>
      </c>
      <c r="C99" s="16">
        <v>0.79166666666666663</v>
      </c>
      <c r="D99" s="6">
        <v>33.4</v>
      </c>
      <c r="E99" s="6">
        <v>14.5</v>
      </c>
      <c r="F99" s="6">
        <v>204</v>
      </c>
      <c r="G99" s="6">
        <v>19</v>
      </c>
      <c r="H99" s="6">
        <v>9</v>
      </c>
      <c r="I99" s="6"/>
      <c r="J99" s="6"/>
      <c r="K99" s="6"/>
      <c r="L99" s="20"/>
      <c r="M99" s="84">
        <f t="shared" si="8"/>
        <v>204</v>
      </c>
      <c r="N99" s="248">
        <f>RHcount!X93</f>
        <v>0</v>
      </c>
      <c r="O99" s="17"/>
      <c r="P99" s="17"/>
      <c r="Q99" s="17"/>
      <c r="R99" s="17"/>
      <c r="S99" s="17"/>
      <c r="T99" s="17"/>
      <c r="U99" s="4"/>
      <c r="V99" s="4"/>
    </row>
    <row r="100" spans="1:22" x14ac:dyDescent="0.25">
      <c r="A100" s="318" t="str">
        <f t="shared" si="9"/>
        <v>Wed</v>
      </c>
      <c r="B100" s="15">
        <v>44552</v>
      </c>
      <c r="C100" s="16">
        <v>0.83333333333333337</v>
      </c>
      <c r="D100" s="6">
        <v>31.9</v>
      </c>
      <c r="E100" s="6">
        <v>16</v>
      </c>
      <c r="F100" s="6">
        <v>204</v>
      </c>
      <c r="G100" s="6">
        <v>17</v>
      </c>
      <c r="H100" s="6">
        <v>9</v>
      </c>
      <c r="I100" s="6"/>
      <c r="J100" s="6"/>
      <c r="K100" s="6"/>
      <c r="L100" s="20"/>
      <c r="M100" s="84">
        <f t="shared" si="8"/>
        <v>204</v>
      </c>
      <c r="N100" s="248">
        <f>RHcount!X94</f>
        <v>0</v>
      </c>
      <c r="O100" s="17"/>
      <c r="P100" s="17"/>
      <c r="Q100" s="17"/>
      <c r="R100" s="17"/>
      <c r="S100" s="17"/>
      <c r="T100" s="17"/>
      <c r="U100" s="4"/>
      <c r="V100" s="4"/>
    </row>
    <row r="101" spans="1:22" x14ac:dyDescent="0.25">
      <c r="A101" s="318" t="str">
        <f t="shared" si="9"/>
        <v>Wed</v>
      </c>
      <c r="B101" s="15">
        <v>44552</v>
      </c>
      <c r="C101" s="16">
        <v>0.875</v>
      </c>
      <c r="D101" s="6">
        <v>29.2</v>
      </c>
      <c r="E101" s="6">
        <v>19.3</v>
      </c>
      <c r="F101" s="6">
        <v>198</v>
      </c>
      <c r="G101" s="6">
        <v>15</v>
      </c>
      <c r="H101" s="6">
        <v>9</v>
      </c>
      <c r="I101" s="6"/>
      <c r="J101" s="6"/>
      <c r="K101" s="6"/>
      <c r="L101" s="20"/>
      <c r="M101" s="84">
        <f t="shared" si="8"/>
        <v>198</v>
      </c>
      <c r="N101" s="248">
        <f>RHcount!X95</f>
        <v>0</v>
      </c>
      <c r="O101" s="17"/>
      <c r="P101" s="17"/>
      <c r="Q101" s="17"/>
      <c r="R101" s="17"/>
      <c r="S101" s="17"/>
      <c r="T101" s="17"/>
      <c r="U101" s="4"/>
      <c r="V101" s="4"/>
    </row>
    <row r="102" spans="1:22" x14ac:dyDescent="0.25">
      <c r="A102" s="318" t="str">
        <f t="shared" si="9"/>
        <v>Wed</v>
      </c>
      <c r="B102" s="15">
        <v>44552</v>
      </c>
      <c r="C102" s="16">
        <v>0.91666666666666663</v>
      </c>
      <c r="D102" s="6">
        <v>26.8</v>
      </c>
      <c r="E102" s="6">
        <v>23.5</v>
      </c>
      <c r="F102" s="6">
        <v>191</v>
      </c>
      <c r="G102" s="6">
        <v>14</v>
      </c>
      <c r="H102" s="6">
        <v>9</v>
      </c>
      <c r="I102" s="6"/>
      <c r="J102" s="6"/>
      <c r="K102" s="6"/>
      <c r="L102" s="20"/>
      <c r="M102" s="84">
        <f t="shared" si="8"/>
        <v>191</v>
      </c>
      <c r="N102" s="248">
        <f>RHcount!X96</f>
        <v>0</v>
      </c>
      <c r="O102" s="17"/>
      <c r="P102" s="17"/>
      <c r="Q102" s="17"/>
      <c r="R102" s="17"/>
      <c r="S102" s="17"/>
      <c r="T102" s="17"/>
      <c r="U102" s="4"/>
      <c r="V102" s="4"/>
    </row>
    <row r="103" spans="1:22" x14ac:dyDescent="0.25">
      <c r="A103" s="318" t="str">
        <f t="shared" si="9"/>
        <v>Wed</v>
      </c>
      <c r="B103" s="15">
        <v>44552</v>
      </c>
      <c r="C103" s="16">
        <v>0.95833333333333337</v>
      </c>
      <c r="D103" s="6">
        <v>24.9</v>
      </c>
      <c r="E103" s="6">
        <v>26.8</v>
      </c>
      <c r="F103" s="6">
        <v>185</v>
      </c>
      <c r="G103" s="6">
        <v>12</v>
      </c>
      <c r="H103" s="6">
        <v>9</v>
      </c>
      <c r="I103" s="6"/>
      <c r="J103" s="6"/>
      <c r="K103" s="6"/>
      <c r="L103" s="20"/>
      <c r="M103" s="84">
        <f t="shared" si="8"/>
        <v>185</v>
      </c>
      <c r="N103" s="248">
        <f>RHcount!X97</f>
        <v>0</v>
      </c>
      <c r="O103" s="17"/>
      <c r="P103" s="17"/>
      <c r="Q103" s="17"/>
      <c r="R103" s="17"/>
      <c r="S103" s="17"/>
      <c r="T103" s="17"/>
      <c r="U103" s="4"/>
      <c r="V103" s="4"/>
    </row>
    <row r="104" spans="1:22" x14ac:dyDescent="0.25">
      <c r="A104" s="318" t="str">
        <f t="shared" si="9"/>
        <v>Thu</v>
      </c>
      <c r="B104" s="15">
        <v>44553</v>
      </c>
      <c r="C104" s="16">
        <v>0</v>
      </c>
      <c r="D104" s="6">
        <v>24.1</v>
      </c>
      <c r="E104" s="6">
        <v>27.3</v>
      </c>
      <c r="F104" s="6">
        <v>175</v>
      </c>
      <c r="G104" s="6">
        <v>12</v>
      </c>
      <c r="H104" s="6">
        <v>9</v>
      </c>
      <c r="I104" s="6"/>
      <c r="J104" s="6"/>
      <c r="K104" s="6"/>
      <c r="L104" s="20"/>
      <c r="M104" s="84">
        <f t="shared" si="8"/>
        <v>175</v>
      </c>
      <c r="N104" s="248">
        <f>RHcount!X98</f>
        <v>0</v>
      </c>
      <c r="O104" s="17"/>
      <c r="P104" s="17"/>
      <c r="Q104" s="17"/>
      <c r="R104" s="17"/>
      <c r="S104" s="17"/>
      <c r="T104" s="17"/>
      <c r="U104" s="4"/>
      <c r="V104" s="4"/>
    </row>
    <row r="105" spans="1:22" x14ac:dyDescent="0.25">
      <c r="A105" s="318" t="str">
        <f t="shared" si="9"/>
        <v>Thu</v>
      </c>
      <c r="B105" s="15">
        <v>44553</v>
      </c>
      <c r="C105" s="16">
        <v>4.1666666666666664E-2</v>
      </c>
      <c r="D105" s="6">
        <v>23</v>
      </c>
      <c r="E105" s="6">
        <v>28.2</v>
      </c>
      <c r="F105" s="6">
        <v>177</v>
      </c>
      <c r="G105" s="6">
        <v>14</v>
      </c>
      <c r="H105" s="6">
        <v>9</v>
      </c>
      <c r="I105" s="6"/>
      <c r="J105" s="6"/>
      <c r="K105" s="6"/>
      <c r="L105" s="20"/>
      <c r="M105" s="84">
        <f t="shared" si="8"/>
        <v>177</v>
      </c>
      <c r="N105" s="248">
        <f>RHcount!X99</f>
        <v>0</v>
      </c>
      <c r="O105" s="17"/>
      <c r="P105" s="17"/>
      <c r="Q105" s="17"/>
      <c r="R105" s="17"/>
      <c r="S105" s="17"/>
      <c r="T105" s="17"/>
      <c r="U105" s="4"/>
      <c r="V105" s="4"/>
    </row>
    <row r="106" spans="1:22" x14ac:dyDescent="0.25">
      <c r="A106" s="318" t="str">
        <f t="shared" si="9"/>
        <v>Thu</v>
      </c>
      <c r="B106" s="15">
        <v>44553</v>
      </c>
      <c r="C106" s="16">
        <v>8.3333333333333329E-2</v>
      </c>
      <c r="D106" s="6">
        <v>21.8</v>
      </c>
      <c r="E106" s="6">
        <v>30.1</v>
      </c>
      <c r="F106" s="6">
        <v>180</v>
      </c>
      <c r="G106" s="6">
        <v>14</v>
      </c>
      <c r="H106" s="6">
        <v>9</v>
      </c>
      <c r="I106" s="6"/>
      <c r="J106" s="6"/>
      <c r="K106" s="6"/>
      <c r="L106" s="20"/>
      <c r="M106" s="84">
        <f t="shared" si="8"/>
        <v>180</v>
      </c>
      <c r="N106" s="248">
        <f>RHcount!X100</f>
        <v>0</v>
      </c>
      <c r="O106" s="17"/>
      <c r="P106" s="17"/>
      <c r="Q106" s="17"/>
      <c r="R106" s="17"/>
      <c r="S106" s="17"/>
      <c r="T106" s="17"/>
      <c r="U106" s="4"/>
      <c r="V106" s="4"/>
    </row>
    <row r="107" spans="1:22" x14ac:dyDescent="0.25">
      <c r="A107" s="318" t="str">
        <f t="shared" si="9"/>
        <v>Thu</v>
      </c>
      <c r="B107" s="15">
        <v>44553</v>
      </c>
      <c r="C107" s="16">
        <v>0.125</v>
      </c>
      <c r="D107" s="6">
        <v>20.399999999999999</v>
      </c>
      <c r="E107" s="6">
        <v>36.200000000000003</v>
      </c>
      <c r="F107" s="6">
        <v>173</v>
      </c>
      <c r="G107" s="6">
        <v>14</v>
      </c>
      <c r="H107" s="6">
        <v>9</v>
      </c>
      <c r="I107" s="6"/>
      <c r="J107" s="6"/>
      <c r="K107" s="6"/>
      <c r="L107" s="20"/>
      <c r="M107" s="84">
        <f t="shared" si="8"/>
        <v>173</v>
      </c>
      <c r="N107" s="248">
        <f>RHcount!X101</f>
        <v>0</v>
      </c>
      <c r="O107" s="17"/>
      <c r="P107" s="17"/>
      <c r="Q107" s="17"/>
      <c r="R107" s="17"/>
      <c r="S107" s="17"/>
      <c r="T107" s="17"/>
      <c r="U107" s="4"/>
      <c r="V107" s="4"/>
    </row>
    <row r="108" spans="1:22" x14ac:dyDescent="0.25">
      <c r="A108" s="318" t="str">
        <f t="shared" si="9"/>
        <v>Thu</v>
      </c>
      <c r="B108" s="15">
        <v>44553</v>
      </c>
      <c r="C108" s="16">
        <v>0.16666666666666666</v>
      </c>
      <c r="D108" s="6">
        <v>19.3</v>
      </c>
      <c r="E108" s="6">
        <v>43.6</v>
      </c>
      <c r="F108" s="6">
        <v>171</v>
      </c>
      <c r="G108" s="6">
        <v>14</v>
      </c>
      <c r="H108" s="6">
        <v>9</v>
      </c>
      <c r="I108" s="6"/>
      <c r="J108" s="6"/>
      <c r="K108" s="6"/>
      <c r="L108" s="20"/>
      <c r="M108" s="84">
        <f t="shared" si="8"/>
        <v>171</v>
      </c>
      <c r="N108" s="248">
        <f>RHcount!X102</f>
        <v>0</v>
      </c>
      <c r="O108" s="17"/>
      <c r="P108" s="17"/>
      <c r="Q108" s="17"/>
      <c r="R108" s="17"/>
      <c r="S108" s="17"/>
      <c r="T108" s="17"/>
      <c r="U108" s="4"/>
      <c r="V108" s="4"/>
    </row>
    <row r="109" spans="1:22" x14ac:dyDescent="0.25">
      <c r="A109" s="318" t="str">
        <f t="shared" si="9"/>
        <v>Thu</v>
      </c>
      <c r="B109" s="15">
        <v>44553</v>
      </c>
      <c r="C109" s="16">
        <v>0.20833333333333334</v>
      </c>
      <c r="D109" s="6">
        <v>18.5</v>
      </c>
      <c r="E109" s="6">
        <v>49.4</v>
      </c>
      <c r="F109" s="6">
        <v>168</v>
      </c>
      <c r="G109" s="6">
        <v>16</v>
      </c>
      <c r="H109" s="6">
        <v>9</v>
      </c>
      <c r="I109" s="6"/>
      <c r="J109" s="6"/>
      <c r="K109" s="6"/>
      <c r="L109" s="20"/>
      <c r="M109" s="84">
        <f t="shared" si="8"/>
        <v>168</v>
      </c>
      <c r="N109" s="248">
        <f>RHcount!X103</f>
        <v>0</v>
      </c>
      <c r="O109" s="17"/>
      <c r="P109" s="17"/>
      <c r="Q109" s="17"/>
      <c r="R109" s="17"/>
      <c r="S109" s="17"/>
      <c r="T109" s="17"/>
      <c r="U109" s="4"/>
      <c r="V109" s="4"/>
    </row>
    <row r="110" spans="1:22" x14ac:dyDescent="0.25">
      <c r="A110" s="318" t="str">
        <f t="shared" si="9"/>
        <v>Thu</v>
      </c>
      <c r="B110" s="15">
        <v>44553</v>
      </c>
      <c r="C110" s="16">
        <v>0.25</v>
      </c>
      <c r="D110" s="6">
        <v>17.3</v>
      </c>
      <c r="E110" s="6">
        <v>51.8</v>
      </c>
      <c r="F110" s="6">
        <v>174</v>
      </c>
      <c r="G110" s="6">
        <v>17</v>
      </c>
      <c r="H110" s="6">
        <v>9</v>
      </c>
      <c r="I110" s="6"/>
      <c r="J110" s="6"/>
      <c r="K110" s="6"/>
      <c r="L110" s="20"/>
      <c r="M110" s="84">
        <f t="shared" si="8"/>
        <v>174</v>
      </c>
      <c r="N110" s="248">
        <f>RHcount!X104</f>
        <v>0</v>
      </c>
      <c r="O110" s="17"/>
      <c r="P110" s="17"/>
      <c r="Q110" s="17"/>
      <c r="R110" s="17"/>
      <c r="S110" s="17"/>
      <c r="T110" s="17"/>
      <c r="U110" s="4"/>
      <c r="V110" s="4"/>
    </row>
    <row r="111" spans="1:22" x14ac:dyDescent="0.25">
      <c r="A111" s="318" t="str">
        <f t="shared" si="9"/>
        <v>Thu</v>
      </c>
      <c r="B111" s="15">
        <v>44553</v>
      </c>
      <c r="C111" s="16">
        <v>0.29166666666666669</v>
      </c>
      <c r="D111" s="6">
        <v>17.7</v>
      </c>
      <c r="E111" s="6">
        <v>48.5</v>
      </c>
      <c r="F111" s="6">
        <v>156</v>
      </c>
      <c r="G111" s="6">
        <v>19</v>
      </c>
      <c r="H111" s="6">
        <v>9</v>
      </c>
      <c r="I111" s="6"/>
      <c r="J111" s="6"/>
      <c r="K111" s="6"/>
      <c r="L111" s="20"/>
      <c r="M111" s="84">
        <f t="shared" si="8"/>
        <v>156</v>
      </c>
      <c r="N111" s="248">
        <f>RHcount!X105</f>
        <v>0</v>
      </c>
      <c r="O111" s="17"/>
      <c r="P111" s="17"/>
      <c r="Q111" s="17"/>
      <c r="R111" s="17"/>
      <c r="S111" s="17"/>
      <c r="T111" s="17"/>
      <c r="U111" s="4"/>
      <c r="V111" s="4"/>
    </row>
    <row r="112" spans="1:22" x14ac:dyDescent="0.25">
      <c r="A112" s="318" t="str">
        <f t="shared" si="9"/>
        <v>Thu</v>
      </c>
      <c r="B112" s="15">
        <v>44553</v>
      </c>
      <c r="C112" s="16">
        <v>0.33333333333333331</v>
      </c>
      <c r="D112" s="6">
        <v>20</v>
      </c>
      <c r="E112" s="6">
        <v>41.5</v>
      </c>
      <c r="F112" s="6">
        <v>157</v>
      </c>
      <c r="G112" s="6">
        <v>24</v>
      </c>
      <c r="H112" s="6">
        <v>9</v>
      </c>
      <c r="I112" s="6"/>
      <c r="J112" s="6"/>
      <c r="K112" s="6"/>
      <c r="L112" s="20"/>
      <c r="M112" s="84">
        <f t="shared" si="8"/>
        <v>157</v>
      </c>
      <c r="N112" s="248">
        <f>RHcount!X106</f>
        <v>0</v>
      </c>
      <c r="O112" s="17"/>
      <c r="P112" s="17"/>
      <c r="Q112" s="17"/>
      <c r="R112" s="17"/>
      <c r="S112" s="17"/>
      <c r="T112" s="17"/>
      <c r="U112" s="4"/>
      <c r="V112" s="4"/>
    </row>
    <row r="113" spans="1:22" x14ac:dyDescent="0.25">
      <c r="A113" s="318" t="str">
        <f t="shared" si="9"/>
        <v>Thu</v>
      </c>
      <c r="B113" s="15">
        <v>44553</v>
      </c>
      <c r="C113" s="16">
        <v>0.375</v>
      </c>
      <c r="D113" s="6">
        <v>22.1</v>
      </c>
      <c r="E113" s="6">
        <v>37.5</v>
      </c>
      <c r="F113" s="6">
        <v>161</v>
      </c>
      <c r="G113" s="6">
        <v>17</v>
      </c>
      <c r="H113" s="6">
        <v>9</v>
      </c>
      <c r="I113" s="6"/>
      <c r="J113" s="6"/>
      <c r="K113" s="6"/>
      <c r="L113" s="20"/>
      <c r="M113" s="84">
        <f t="shared" si="8"/>
        <v>161</v>
      </c>
      <c r="N113" s="248">
        <f>RHcount!X107</f>
        <v>0</v>
      </c>
      <c r="O113" s="17"/>
      <c r="P113" s="17"/>
      <c r="Q113" s="17"/>
      <c r="R113" s="17"/>
      <c r="S113" s="17"/>
      <c r="T113" s="17"/>
      <c r="U113" s="4"/>
      <c r="V113" s="4"/>
    </row>
    <row r="114" spans="1:22" x14ac:dyDescent="0.25">
      <c r="A114" s="318" t="str">
        <f t="shared" si="9"/>
        <v>Thu</v>
      </c>
      <c r="B114" s="15">
        <v>44553</v>
      </c>
      <c r="C114" s="16">
        <v>0.41666666666666669</v>
      </c>
      <c r="D114" s="6">
        <v>24.6</v>
      </c>
      <c r="E114" s="6">
        <v>31.3</v>
      </c>
      <c r="F114" s="6">
        <v>163</v>
      </c>
      <c r="G114" s="6">
        <v>22</v>
      </c>
      <c r="H114" s="6">
        <v>9</v>
      </c>
      <c r="I114" s="6"/>
      <c r="J114" s="6"/>
      <c r="K114" s="6"/>
      <c r="L114" s="20"/>
      <c r="M114" s="84">
        <f t="shared" si="8"/>
        <v>163</v>
      </c>
      <c r="N114" s="248">
        <f>RHcount!X108</f>
        <v>0</v>
      </c>
      <c r="O114" s="17"/>
      <c r="P114" s="17"/>
      <c r="Q114" s="17"/>
      <c r="R114" s="17"/>
      <c r="S114" s="17"/>
      <c r="T114" s="17"/>
      <c r="U114" s="4"/>
      <c r="V114" s="4"/>
    </row>
    <row r="115" spans="1:22" x14ac:dyDescent="0.25">
      <c r="A115" s="318" t="str">
        <f t="shared" si="9"/>
        <v>Thu</v>
      </c>
      <c r="B115" s="15">
        <v>44553</v>
      </c>
      <c r="C115" s="16">
        <v>0.45833333333333331</v>
      </c>
      <c r="D115" s="6">
        <v>26.7</v>
      </c>
      <c r="E115" s="6">
        <v>28.1</v>
      </c>
      <c r="F115" s="6">
        <v>159</v>
      </c>
      <c r="G115" s="6">
        <v>20</v>
      </c>
      <c r="H115" s="6">
        <v>9</v>
      </c>
      <c r="I115" s="6"/>
      <c r="J115" s="6"/>
      <c r="K115" s="6"/>
      <c r="L115" s="20"/>
      <c r="M115" s="84">
        <f t="shared" si="8"/>
        <v>159</v>
      </c>
      <c r="N115" s="248">
        <f>RHcount!X109</f>
        <v>0</v>
      </c>
      <c r="O115" s="17"/>
      <c r="P115" s="17"/>
      <c r="Q115" s="17"/>
      <c r="R115" s="17"/>
      <c r="S115" s="17"/>
      <c r="T115" s="17"/>
      <c r="U115" s="4"/>
      <c r="V115" s="4"/>
    </row>
    <row r="116" spans="1:22" x14ac:dyDescent="0.25">
      <c r="A116" s="318" t="str">
        <f t="shared" si="9"/>
        <v>Thu</v>
      </c>
      <c r="B116" s="15">
        <v>44553</v>
      </c>
      <c r="C116" s="16">
        <v>0.5</v>
      </c>
      <c r="D116" s="6">
        <v>28.6</v>
      </c>
      <c r="E116" s="6">
        <v>23.8</v>
      </c>
      <c r="F116" s="6">
        <v>164</v>
      </c>
      <c r="G116" s="6">
        <v>20</v>
      </c>
      <c r="H116" s="6">
        <v>9</v>
      </c>
      <c r="I116" s="6"/>
      <c r="J116" s="6"/>
      <c r="K116" s="6"/>
      <c r="L116" s="20"/>
      <c r="M116" s="84">
        <f t="shared" si="8"/>
        <v>164</v>
      </c>
      <c r="N116" s="248">
        <f>RHcount!X110</f>
        <v>0</v>
      </c>
      <c r="O116" s="17"/>
      <c r="P116" s="17"/>
      <c r="Q116" s="17"/>
      <c r="R116" s="17"/>
      <c r="S116" s="17"/>
      <c r="T116" s="17"/>
      <c r="U116" s="4"/>
      <c r="V116" s="4"/>
    </row>
    <row r="117" spans="1:22" x14ac:dyDescent="0.25">
      <c r="A117" s="318" t="str">
        <f t="shared" si="9"/>
        <v>Thu</v>
      </c>
      <c r="B117" s="15">
        <v>44553</v>
      </c>
      <c r="C117" s="16">
        <v>0.54166666666666663</v>
      </c>
      <c r="D117" s="6">
        <v>30.2</v>
      </c>
      <c r="E117" s="6">
        <v>19.899999999999999</v>
      </c>
      <c r="F117" s="6">
        <v>178</v>
      </c>
      <c r="G117" s="6">
        <v>20</v>
      </c>
      <c r="H117" s="6">
        <v>9</v>
      </c>
      <c r="I117" s="6"/>
      <c r="J117" s="6"/>
      <c r="K117" s="6"/>
      <c r="L117" s="20"/>
      <c r="M117" s="84">
        <f t="shared" si="8"/>
        <v>178</v>
      </c>
      <c r="N117" s="248">
        <f>RHcount!X111</f>
        <v>0</v>
      </c>
      <c r="O117" s="17"/>
      <c r="P117" s="17"/>
      <c r="Q117" s="17"/>
      <c r="R117" s="17"/>
      <c r="S117" s="17"/>
      <c r="T117" s="17"/>
      <c r="U117" s="4"/>
      <c r="V117" s="4"/>
    </row>
    <row r="118" spans="1:22" x14ac:dyDescent="0.25">
      <c r="A118" s="318" t="str">
        <f t="shared" si="9"/>
        <v>Thu</v>
      </c>
      <c r="B118" s="15">
        <v>44553</v>
      </c>
      <c r="C118" s="16">
        <v>0.58333333333333337</v>
      </c>
      <c r="D118" s="6">
        <v>32.1</v>
      </c>
      <c r="E118" s="6">
        <v>16.100000000000001</v>
      </c>
      <c r="F118" s="6">
        <v>176</v>
      </c>
      <c r="G118" s="6">
        <v>20</v>
      </c>
      <c r="H118" s="6">
        <v>9</v>
      </c>
      <c r="I118" s="6"/>
      <c r="J118" s="6"/>
      <c r="K118" s="6"/>
      <c r="L118" s="20"/>
      <c r="M118" s="84">
        <f t="shared" si="8"/>
        <v>176</v>
      </c>
      <c r="N118" s="248">
        <f>RHcount!X112</f>
        <v>0</v>
      </c>
      <c r="O118" s="17"/>
      <c r="P118" s="17"/>
      <c r="Q118" s="17"/>
      <c r="R118" s="17"/>
      <c r="S118" s="17"/>
      <c r="T118" s="17"/>
      <c r="U118" s="4"/>
      <c r="V118" s="4"/>
    </row>
    <row r="119" spans="1:22" x14ac:dyDescent="0.25">
      <c r="A119" s="318" t="str">
        <f t="shared" si="9"/>
        <v>Thu</v>
      </c>
      <c r="B119" s="15">
        <v>44553</v>
      </c>
      <c r="C119" s="16">
        <v>0.625</v>
      </c>
      <c r="D119" s="6">
        <v>33</v>
      </c>
      <c r="E119" s="6">
        <v>14.1</v>
      </c>
      <c r="F119" s="6">
        <v>176</v>
      </c>
      <c r="G119" s="6">
        <v>18</v>
      </c>
      <c r="H119" s="6">
        <v>9</v>
      </c>
      <c r="I119" s="6"/>
      <c r="J119" s="6"/>
      <c r="K119" s="6"/>
      <c r="L119" s="20"/>
      <c r="M119" s="84">
        <f t="shared" si="8"/>
        <v>176</v>
      </c>
      <c r="N119" s="248">
        <f>RHcount!X113</f>
        <v>0</v>
      </c>
      <c r="O119" s="17"/>
      <c r="P119" s="17"/>
      <c r="Q119" s="17"/>
      <c r="R119" s="17"/>
      <c r="S119" s="17"/>
      <c r="T119" s="17"/>
      <c r="U119" s="4"/>
      <c r="V119" s="4"/>
    </row>
    <row r="120" spans="1:22" x14ac:dyDescent="0.25">
      <c r="A120" s="318" t="str">
        <f t="shared" si="9"/>
        <v>Thu</v>
      </c>
      <c r="B120" s="15">
        <v>44553</v>
      </c>
      <c r="C120" s="16">
        <v>0.66666666666666663</v>
      </c>
      <c r="D120" s="6">
        <v>33.6</v>
      </c>
      <c r="E120" s="6">
        <v>12.8</v>
      </c>
      <c r="F120" s="6">
        <v>179</v>
      </c>
      <c r="G120" s="6">
        <v>19</v>
      </c>
      <c r="H120" s="6">
        <v>9</v>
      </c>
      <c r="I120" s="6"/>
      <c r="J120" s="6"/>
      <c r="K120" s="6"/>
      <c r="L120" s="20"/>
      <c r="M120" s="84">
        <f t="shared" si="8"/>
        <v>179</v>
      </c>
      <c r="N120" s="248">
        <f>RHcount!X114</f>
        <v>0</v>
      </c>
      <c r="O120" s="17"/>
      <c r="P120" s="17"/>
      <c r="Q120" s="17"/>
      <c r="R120" s="17"/>
      <c r="S120" s="17"/>
      <c r="T120" s="17"/>
      <c r="U120" s="4"/>
      <c r="V120" s="4"/>
    </row>
    <row r="121" spans="1:22" x14ac:dyDescent="0.25">
      <c r="A121" s="318" t="str">
        <f t="shared" si="9"/>
        <v>Thu</v>
      </c>
      <c r="B121" s="15">
        <v>44553</v>
      </c>
      <c r="C121" s="16">
        <v>0.70833333333333337</v>
      </c>
      <c r="D121" s="6">
        <v>33.799999999999997</v>
      </c>
      <c r="E121" s="6">
        <v>11.6</v>
      </c>
      <c r="F121" s="6">
        <v>177</v>
      </c>
      <c r="G121" s="6">
        <v>19</v>
      </c>
      <c r="H121" s="6">
        <v>9</v>
      </c>
      <c r="I121" s="6"/>
      <c r="J121" s="6"/>
      <c r="K121" s="6"/>
      <c r="L121" s="20"/>
      <c r="M121" s="84">
        <f t="shared" si="8"/>
        <v>177</v>
      </c>
      <c r="N121" s="248">
        <f>RHcount!X115</f>
        <v>0</v>
      </c>
      <c r="O121" s="17"/>
      <c r="P121" s="17"/>
      <c r="Q121" s="17"/>
      <c r="R121" s="17"/>
      <c r="S121" s="17"/>
      <c r="T121" s="17"/>
      <c r="U121" s="4"/>
      <c r="V121" s="4"/>
    </row>
    <row r="122" spans="1:22" x14ac:dyDescent="0.25">
      <c r="A122" s="318" t="str">
        <f t="shared" si="9"/>
        <v>Thu</v>
      </c>
      <c r="B122" s="15">
        <v>44553</v>
      </c>
      <c r="C122" s="16">
        <v>0.75</v>
      </c>
      <c r="D122" s="6">
        <v>33.200000000000003</v>
      </c>
      <c r="E122" s="6">
        <v>11.8</v>
      </c>
      <c r="F122" s="6">
        <v>173</v>
      </c>
      <c r="G122" s="6">
        <v>21</v>
      </c>
      <c r="H122" s="6">
        <v>9</v>
      </c>
      <c r="I122" s="6"/>
      <c r="J122" s="6"/>
      <c r="K122" s="6"/>
      <c r="L122" s="20"/>
      <c r="M122" s="84">
        <f t="shared" si="8"/>
        <v>173</v>
      </c>
      <c r="N122" s="248">
        <f>RHcount!X116</f>
        <v>0</v>
      </c>
      <c r="O122" s="17"/>
      <c r="P122" s="17"/>
      <c r="Q122" s="17"/>
      <c r="R122" s="17"/>
      <c r="S122" s="17"/>
      <c r="T122" s="17"/>
      <c r="U122" s="4"/>
      <c r="V122" s="4"/>
    </row>
    <row r="123" spans="1:22" x14ac:dyDescent="0.25">
      <c r="A123" s="318" t="str">
        <f t="shared" si="9"/>
        <v>Thu</v>
      </c>
      <c r="B123" s="15">
        <v>44553</v>
      </c>
      <c r="C123" s="16">
        <v>0.79166666666666663</v>
      </c>
      <c r="D123" s="6">
        <v>32.700000000000003</v>
      </c>
      <c r="E123" s="6">
        <v>12</v>
      </c>
      <c r="F123" s="6">
        <v>176</v>
      </c>
      <c r="G123" s="6">
        <v>19</v>
      </c>
      <c r="H123" s="6">
        <v>9</v>
      </c>
      <c r="I123" s="6"/>
      <c r="J123" s="6"/>
      <c r="K123" s="6"/>
      <c r="L123" s="20"/>
      <c r="M123" s="84">
        <f t="shared" si="8"/>
        <v>176</v>
      </c>
      <c r="N123" s="248">
        <f>RHcount!X117</f>
        <v>0</v>
      </c>
      <c r="O123" s="17"/>
      <c r="P123" s="17"/>
      <c r="Q123" s="17"/>
      <c r="R123" s="17"/>
      <c r="S123" s="17"/>
      <c r="T123" s="17"/>
      <c r="U123" s="4"/>
      <c r="V123" s="4"/>
    </row>
    <row r="124" spans="1:22" x14ac:dyDescent="0.25">
      <c r="A124" s="318" t="str">
        <f t="shared" si="9"/>
        <v>Thu</v>
      </c>
      <c r="B124" s="15">
        <v>44553</v>
      </c>
      <c r="C124" s="16">
        <v>0.83333333333333337</v>
      </c>
      <c r="D124" s="6">
        <v>31.1</v>
      </c>
      <c r="E124" s="6">
        <v>14.3</v>
      </c>
      <c r="F124" s="6">
        <v>170</v>
      </c>
      <c r="G124" s="6">
        <v>17</v>
      </c>
      <c r="H124" s="6">
        <v>9</v>
      </c>
      <c r="I124" s="6"/>
      <c r="J124" s="6"/>
      <c r="K124" s="6"/>
      <c r="L124" s="20"/>
      <c r="M124" s="84">
        <f t="shared" si="8"/>
        <v>170</v>
      </c>
      <c r="N124" s="248">
        <f>RHcount!X118</f>
        <v>0</v>
      </c>
      <c r="O124" s="17"/>
      <c r="P124" s="17"/>
      <c r="Q124" s="17"/>
      <c r="R124" s="17"/>
      <c r="S124" s="17"/>
      <c r="T124" s="17"/>
      <c r="U124" s="4"/>
      <c r="V124" s="4"/>
    </row>
    <row r="125" spans="1:22" x14ac:dyDescent="0.25">
      <c r="A125" s="318" t="str">
        <f t="shared" si="9"/>
        <v>Thu</v>
      </c>
      <c r="B125" s="15">
        <v>44553</v>
      </c>
      <c r="C125" s="16">
        <v>0.875</v>
      </c>
      <c r="D125" s="6">
        <v>28.5</v>
      </c>
      <c r="E125" s="6">
        <v>17.7</v>
      </c>
      <c r="F125" s="6">
        <v>169</v>
      </c>
      <c r="G125" s="6">
        <v>14</v>
      </c>
      <c r="H125" s="6">
        <v>9</v>
      </c>
      <c r="I125" s="6"/>
      <c r="J125" s="6"/>
      <c r="K125" s="6"/>
      <c r="L125" s="20"/>
      <c r="M125" s="84">
        <f t="shared" si="8"/>
        <v>169</v>
      </c>
      <c r="N125" s="248">
        <f>RHcount!X119</f>
        <v>0</v>
      </c>
      <c r="O125" s="17"/>
      <c r="P125" s="17"/>
      <c r="Q125" s="17"/>
      <c r="R125" s="17"/>
      <c r="S125" s="17"/>
      <c r="T125" s="17"/>
      <c r="U125" s="4"/>
      <c r="V125" s="4"/>
    </row>
    <row r="126" spans="1:22" x14ac:dyDescent="0.25">
      <c r="A126" s="318" t="str">
        <f t="shared" si="9"/>
        <v>Thu</v>
      </c>
      <c r="B126" s="15">
        <v>44553</v>
      </c>
      <c r="C126" s="16">
        <v>0.91666666666666663</v>
      </c>
      <c r="D126" s="6">
        <v>26.2</v>
      </c>
      <c r="E126" s="6">
        <v>22</v>
      </c>
      <c r="F126" s="6">
        <v>172</v>
      </c>
      <c r="G126" s="6">
        <v>12</v>
      </c>
      <c r="H126" s="6">
        <v>9</v>
      </c>
      <c r="I126" s="6"/>
      <c r="J126" s="6"/>
      <c r="K126" s="6"/>
      <c r="L126" s="20"/>
      <c r="M126" s="84">
        <f t="shared" si="8"/>
        <v>172</v>
      </c>
      <c r="N126" s="248">
        <f>RHcount!X120</f>
        <v>0</v>
      </c>
      <c r="O126" s="17"/>
      <c r="P126" s="17"/>
      <c r="Q126" s="17"/>
      <c r="R126" s="17"/>
      <c r="S126" s="17"/>
      <c r="T126" s="17"/>
      <c r="U126" s="4"/>
      <c r="V126" s="4"/>
    </row>
    <row r="127" spans="1:22" x14ac:dyDescent="0.25">
      <c r="A127" s="318" t="str">
        <f t="shared" si="9"/>
        <v>Thu</v>
      </c>
      <c r="B127" s="15">
        <v>44553</v>
      </c>
      <c r="C127" s="16">
        <v>0.95833333333333337</v>
      </c>
      <c r="D127" s="6">
        <v>24.3</v>
      </c>
      <c r="E127" s="6">
        <v>25.5</v>
      </c>
      <c r="F127" s="6">
        <v>169</v>
      </c>
      <c r="G127" s="6">
        <v>11</v>
      </c>
      <c r="H127" s="6">
        <v>9</v>
      </c>
      <c r="I127" s="6"/>
      <c r="J127" s="6"/>
      <c r="K127" s="6"/>
      <c r="L127" s="20"/>
      <c r="M127" s="84">
        <f t="shared" si="8"/>
        <v>169</v>
      </c>
      <c r="N127" s="248">
        <f>RHcount!X121</f>
        <v>0</v>
      </c>
      <c r="O127" s="17"/>
      <c r="P127" s="17"/>
      <c r="Q127" s="17"/>
      <c r="R127" s="17"/>
      <c r="S127" s="17"/>
      <c r="T127" s="17"/>
      <c r="U127" s="4"/>
      <c r="V127" s="4"/>
    </row>
    <row r="128" spans="1:22" x14ac:dyDescent="0.25">
      <c r="A128" s="318" t="str">
        <f t="shared" si="9"/>
        <v>Fri</v>
      </c>
      <c r="B128" s="15">
        <v>44554</v>
      </c>
      <c r="C128" s="16">
        <v>0</v>
      </c>
      <c r="D128" s="6">
        <v>24.1</v>
      </c>
      <c r="E128" s="6">
        <v>26</v>
      </c>
      <c r="F128" s="6">
        <v>153</v>
      </c>
      <c r="G128" s="6">
        <v>10</v>
      </c>
      <c r="H128" s="6">
        <v>9</v>
      </c>
      <c r="I128" s="6"/>
      <c r="J128" s="6"/>
      <c r="K128" s="6"/>
      <c r="L128" s="20"/>
      <c r="M128" s="84">
        <f t="shared" si="8"/>
        <v>153</v>
      </c>
      <c r="N128" s="248">
        <f>RHcount!X122</f>
        <v>0</v>
      </c>
      <c r="O128" s="17"/>
      <c r="P128" s="17"/>
      <c r="Q128" s="17"/>
      <c r="R128" s="17"/>
      <c r="S128" s="17"/>
      <c r="T128" s="17"/>
      <c r="U128" s="4"/>
      <c r="V128" s="4"/>
    </row>
    <row r="129" spans="1:22" x14ac:dyDescent="0.25">
      <c r="A129" s="318" t="str">
        <f t="shared" si="9"/>
        <v>Fri</v>
      </c>
      <c r="B129" s="15">
        <v>44554</v>
      </c>
      <c r="C129" s="16">
        <v>4.1666666666666664E-2</v>
      </c>
      <c r="D129" s="6">
        <v>22.8</v>
      </c>
      <c r="E129" s="6">
        <v>27.7</v>
      </c>
      <c r="F129" s="6">
        <v>152</v>
      </c>
      <c r="G129" s="6">
        <v>12</v>
      </c>
      <c r="H129" s="6">
        <v>9</v>
      </c>
      <c r="I129" s="6"/>
      <c r="J129" s="6"/>
      <c r="K129" s="6"/>
      <c r="L129" s="20"/>
      <c r="M129" s="84">
        <f t="shared" si="8"/>
        <v>152</v>
      </c>
      <c r="N129" s="248">
        <f>RHcount!X123</f>
        <v>0</v>
      </c>
      <c r="O129" s="17"/>
      <c r="P129" s="17"/>
      <c r="Q129" s="17"/>
      <c r="R129" s="17"/>
      <c r="S129" s="17"/>
      <c r="T129" s="17"/>
      <c r="U129" s="4"/>
      <c r="V129" s="4"/>
    </row>
    <row r="130" spans="1:22" x14ac:dyDescent="0.25">
      <c r="A130" s="318" t="str">
        <f t="shared" si="9"/>
        <v>Fri</v>
      </c>
      <c r="B130" s="15">
        <v>44554</v>
      </c>
      <c r="C130" s="16">
        <v>8.3333333333333329E-2</v>
      </c>
      <c r="D130" s="6">
        <v>21.6</v>
      </c>
      <c r="E130" s="6">
        <v>29.6</v>
      </c>
      <c r="F130" s="6">
        <v>151</v>
      </c>
      <c r="G130" s="6">
        <v>13</v>
      </c>
      <c r="H130" s="6">
        <v>9</v>
      </c>
      <c r="I130" s="6"/>
      <c r="J130" s="6"/>
      <c r="K130" s="6"/>
      <c r="L130" s="20"/>
      <c r="M130" s="84">
        <f t="shared" si="8"/>
        <v>151</v>
      </c>
      <c r="N130" s="248">
        <f>RHcount!X124</f>
        <v>0</v>
      </c>
      <c r="O130" s="17"/>
      <c r="P130" s="17"/>
      <c r="Q130" s="17"/>
      <c r="R130" s="17"/>
      <c r="S130" s="17"/>
      <c r="T130" s="17"/>
      <c r="U130" s="4"/>
      <c r="V130" s="4"/>
    </row>
    <row r="131" spans="1:22" x14ac:dyDescent="0.25">
      <c r="A131" s="318" t="str">
        <f t="shared" si="9"/>
        <v>Fri</v>
      </c>
      <c r="B131" s="15">
        <v>44554</v>
      </c>
      <c r="C131" s="16">
        <v>0.125</v>
      </c>
      <c r="D131" s="6">
        <v>20.3</v>
      </c>
      <c r="E131" s="6">
        <v>32.1</v>
      </c>
      <c r="F131" s="6">
        <v>151</v>
      </c>
      <c r="G131" s="6">
        <v>11</v>
      </c>
      <c r="H131" s="6">
        <v>9</v>
      </c>
      <c r="I131" s="6"/>
      <c r="J131" s="6"/>
      <c r="K131" s="6"/>
      <c r="L131" s="20"/>
      <c r="M131" s="84">
        <f t="shared" si="8"/>
        <v>151</v>
      </c>
      <c r="N131" s="248">
        <f>RHcount!X125</f>
        <v>0</v>
      </c>
      <c r="O131" s="17"/>
      <c r="P131" s="17"/>
      <c r="Q131" s="17"/>
      <c r="R131" s="17"/>
      <c r="S131" s="17"/>
      <c r="T131" s="17"/>
      <c r="U131" s="4"/>
      <c r="V131" s="4"/>
    </row>
    <row r="132" spans="1:22" x14ac:dyDescent="0.25">
      <c r="A132" s="318" t="str">
        <f t="shared" si="9"/>
        <v>Fri</v>
      </c>
      <c r="B132" s="15">
        <v>44554</v>
      </c>
      <c r="C132" s="16">
        <v>0.16666666666666666</v>
      </c>
      <c r="D132" s="6">
        <v>19.5</v>
      </c>
      <c r="E132" s="6">
        <v>34</v>
      </c>
      <c r="F132" s="6">
        <v>149</v>
      </c>
      <c r="G132" s="6">
        <v>10</v>
      </c>
      <c r="H132" s="6">
        <v>9</v>
      </c>
      <c r="I132" s="6"/>
      <c r="J132" s="6"/>
      <c r="K132" s="6"/>
      <c r="L132" s="20"/>
      <c r="M132" s="84">
        <f t="shared" si="8"/>
        <v>149</v>
      </c>
      <c r="N132" s="248">
        <f>RHcount!X126</f>
        <v>0</v>
      </c>
      <c r="O132" s="17"/>
      <c r="P132" s="17"/>
      <c r="Q132" s="17"/>
      <c r="R132" s="17"/>
      <c r="S132" s="17"/>
      <c r="T132" s="17"/>
      <c r="U132" s="4"/>
      <c r="V132" s="4"/>
    </row>
    <row r="133" spans="1:22" x14ac:dyDescent="0.25">
      <c r="A133" s="318" t="str">
        <f t="shared" si="9"/>
        <v>Fri</v>
      </c>
      <c r="B133" s="15">
        <v>44554</v>
      </c>
      <c r="C133" s="16">
        <v>0.20833333333333334</v>
      </c>
      <c r="D133" s="6">
        <v>18.8</v>
      </c>
      <c r="E133" s="6">
        <v>34.5</v>
      </c>
      <c r="F133" s="6">
        <v>145</v>
      </c>
      <c r="G133" s="6">
        <v>11</v>
      </c>
      <c r="H133" s="6">
        <v>9</v>
      </c>
      <c r="I133" s="6"/>
      <c r="J133" s="6"/>
      <c r="K133" s="6"/>
      <c r="L133" s="20"/>
      <c r="M133" s="84">
        <f t="shared" si="8"/>
        <v>145</v>
      </c>
      <c r="N133" s="248">
        <f>RHcount!X127</f>
        <v>0</v>
      </c>
      <c r="O133" s="17"/>
      <c r="P133" s="17"/>
      <c r="Q133" s="17"/>
      <c r="R133" s="17"/>
      <c r="S133" s="17"/>
      <c r="T133" s="17"/>
      <c r="U133" s="4"/>
      <c r="V133" s="4"/>
    </row>
    <row r="134" spans="1:22" x14ac:dyDescent="0.25">
      <c r="A134" s="318" t="str">
        <f t="shared" si="9"/>
        <v>Fri</v>
      </c>
      <c r="B134" s="15">
        <v>44554</v>
      </c>
      <c r="C134" s="16">
        <v>0.25</v>
      </c>
      <c r="D134" s="6">
        <v>18.100000000000001</v>
      </c>
      <c r="E134" s="6">
        <v>37.299999999999997</v>
      </c>
      <c r="F134" s="6">
        <v>142</v>
      </c>
      <c r="G134" s="6">
        <v>12</v>
      </c>
      <c r="H134" s="6">
        <v>9</v>
      </c>
      <c r="I134" s="6"/>
      <c r="J134" s="6"/>
      <c r="K134" s="6"/>
      <c r="L134" s="20"/>
      <c r="M134" s="84">
        <f t="shared" si="8"/>
        <v>142</v>
      </c>
      <c r="N134" s="248">
        <f>RHcount!X128</f>
        <v>0</v>
      </c>
      <c r="O134" s="17"/>
      <c r="P134" s="17"/>
      <c r="Q134" s="17"/>
      <c r="R134" s="17"/>
      <c r="S134" s="17"/>
      <c r="T134" s="17"/>
      <c r="U134" s="4"/>
      <c r="V134" s="4"/>
    </row>
    <row r="135" spans="1:22" x14ac:dyDescent="0.25">
      <c r="A135" s="318" t="str">
        <f t="shared" si="9"/>
        <v>Fri</v>
      </c>
      <c r="B135" s="15">
        <v>44554</v>
      </c>
      <c r="C135" s="16">
        <v>0.29166666666666669</v>
      </c>
      <c r="D135" s="6">
        <v>19.2</v>
      </c>
      <c r="E135" s="6">
        <v>35.799999999999997</v>
      </c>
      <c r="F135" s="6">
        <v>141</v>
      </c>
      <c r="G135" s="6">
        <v>14</v>
      </c>
      <c r="H135" s="6">
        <v>9</v>
      </c>
      <c r="I135" s="6"/>
      <c r="J135" s="6"/>
      <c r="K135" s="6"/>
      <c r="L135" s="20"/>
      <c r="M135" s="84">
        <f t="shared" si="8"/>
        <v>141</v>
      </c>
      <c r="N135" s="248">
        <f>RHcount!X129</f>
        <v>0</v>
      </c>
      <c r="O135" s="17"/>
      <c r="P135" s="17"/>
      <c r="Q135" s="17"/>
      <c r="R135" s="17"/>
      <c r="S135" s="17"/>
      <c r="T135" s="17"/>
      <c r="U135" s="4"/>
      <c r="V135" s="4"/>
    </row>
    <row r="136" spans="1:22" x14ac:dyDescent="0.25">
      <c r="A136" s="318" t="str">
        <f t="shared" si="9"/>
        <v>Fri</v>
      </c>
      <c r="B136" s="15">
        <v>44554</v>
      </c>
      <c r="C136" s="16">
        <v>0.33333333333333331</v>
      </c>
      <c r="D136" s="6">
        <v>22</v>
      </c>
      <c r="E136" s="6">
        <v>31.5</v>
      </c>
      <c r="F136" s="6">
        <v>138</v>
      </c>
      <c r="G136" s="6">
        <v>19</v>
      </c>
      <c r="H136" s="6">
        <v>9</v>
      </c>
      <c r="I136" s="6"/>
      <c r="J136" s="6"/>
      <c r="K136" s="6"/>
      <c r="L136" s="20"/>
      <c r="M136" s="84">
        <f t="shared" si="8"/>
        <v>138</v>
      </c>
      <c r="N136" s="248">
        <f>RHcount!X130</f>
        <v>0</v>
      </c>
      <c r="O136" s="17"/>
      <c r="P136" s="17"/>
      <c r="Q136" s="17"/>
      <c r="R136" s="17"/>
      <c r="S136" s="17"/>
      <c r="T136" s="17"/>
      <c r="U136" s="4"/>
      <c r="V136" s="4"/>
    </row>
    <row r="137" spans="1:22" x14ac:dyDescent="0.25">
      <c r="A137" s="318" t="str">
        <f t="shared" si="9"/>
        <v>Fri</v>
      </c>
      <c r="B137" s="15">
        <v>44554</v>
      </c>
      <c r="C137" s="16">
        <v>0.375</v>
      </c>
      <c r="D137" s="6">
        <v>24.3</v>
      </c>
      <c r="E137" s="6">
        <v>28</v>
      </c>
      <c r="F137" s="6">
        <v>136</v>
      </c>
      <c r="G137" s="6">
        <v>12</v>
      </c>
      <c r="H137" s="6">
        <v>9</v>
      </c>
      <c r="I137" s="6"/>
      <c r="J137" s="6"/>
      <c r="K137" s="6"/>
      <c r="L137" s="20"/>
      <c r="M137" s="84">
        <f t="shared" si="8"/>
        <v>136</v>
      </c>
      <c r="N137" s="248">
        <f>RHcount!X131</f>
        <v>0</v>
      </c>
      <c r="O137" s="17"/>
      <c r="P137" s="17"/>
      <c r="Q137" s="17"/>
      <c r="R137" s="17"/>
      <c r="S137" s="17"/>
      <c r="T137" s="17"/>
      <c r="U137" s="4"/>
      <c r="V137" s="4"/>
    </row>
    <row r="138" spans="1:22" x14ac:dyDescent="0.25">
      <c r="A138" s="318" t="str">
        <f t="shared" si="9"/>
        <v>Fri</v>
      </c>
      <c r="B138" s="15">
        <v>44554</v>
      </c>
      <c r="C138" s="16">
        <v>0.41666666666666669</v>
      </c>
      <c r="D138" s="6">
        <v>26.9</v>
      </c>
      <c r="E138" s="6">
        <v>23.2</v>
      </c>
      <c r="F138" s="6">
        <v>138</v>
      </c>
      <c r="G138" s="6">
        <v>16</v>
      </c>
      <c r="H138" s="6">
        <v>9</v>
      </c>
      <c r="I138" s="6"/>
      <c r="J138" s="6"/>
      <c r="K138" s="6"/>
      <c r="L138" s="20"/>
      <c r="M138" s="84">
        <f t="shared" si="8"/>
        <v>138</v>
      </c>
      <c r="N138" s="248">
        <f>RHcount!X132</f>
        <v>0</v>
      </c>
      <c r="O138" s="17"/>
      <c r="P138" s="17"/>
      <c r="Q138" s="17"/>
      <c r="R138" s="17"/>
      <c r="S138" s="17"/>
      <c r="T138" s="17"/>
      <c r="U138" s="4"/>
      <c r="V138" s="4"/>
    </row>
    <row r="139" spans="1:22" x14ac:dyDescent="0.25">
      <c r="A139" s="318" t="str">
        <f t="shared" si="9"/>
        <v>Fri</v>
      </c>
      <c r="B139" s="15">
        <v>44554</v>
      </c>
      <c r="C139" s="16">
        <v>0.45833333333333331</v>
      </c>
      <c r="D139" s="6">
        <v>28.8</v>
      </c>
      <c r="E139" s="6">
        <v>20.399999999999999</v>
      </c>
      <c r="F139" s="6">
        <v>136</v>
      </c>
      <c r="G139" s="6">
        <v>13</v>
      </c>
      <c r="H139" s="6">
        <v>9</v>
      </c>
      <c r="I139" s="6"/>
      <c r="J139" s="6"/>
      <c r="K139" s="6"/>
      <c r="L139" s="20"/>
      <c r="M139" s="84">
        <f t="shared" ref="M139:M202" si="10">IF(F139&gt;"a",VLOOKUP(F139,$U$11:$V$26,2),F139)</f>
        <v>136</v>
      </c>
      <c r="N139" s="248">
        <f>RHcount!X133</f>
        <v>0</v>
      </c>
      <c r="O139" s="17"/>
      <c r="P139" s="17"/>
      <c r="Q139" s="17"/>
      <c r="R139" s="17"/>
      <c r="S139" s="17"/>
      <c r="T139" s="17"/>
      <c r="U139" s="4"/>
      <c r="V139" s="4"/>
    </row>
    <row r="140" spans="1:22" x14ac:dyDescent="0.25">
      <c r="A140" s="318" t="str">
        <f t="shared" si="9"/>
        <v>Fri</v>
      </c>
      <c r="B140" s="15">
        <v>44554</v>
      </c>
      <c r="C140" s="16">
        <v>0.5</v>
      </c>
      <c r="D140" s="6">
        <v>30.8</v>
      </c>
      <c r="E140" s="6">
        <v>17.600000000000001</v>
      </c>
      <c r="F140" s="6">
        <v>141</v>
      </c>
      <c r="G140" s="6">
        <v>13</v>
      </c>
      <c r="H140" s="6">
        <v>9</v>
      </c>
      <c r="I140" s="6"/>
      <c r="J140" s="6"/>
      <c r="K140" s="6"/>
      <c r="L140" s="20"/>
      <c r="M140" s="84">
        <f t="shared" si="10"/>
        <v>141</v>
      </c>
      <c r="N140" s="248">
        <f>RHcount!X134</f>
        <v>0</v>
      </c>
      <c r="O140" s="17"/>
      <c r="P140" s="17"/>
      <c r="Q140" s="17"/>
      <c r="R140" s="17"/>
      <c r="S140" s="17"/>
      <c r="T140" s="17"/>
      <c r="U140" s="4"/>
      <c r="V140" s="4"/>
    </row>
    <row r="141" spans="1:22" x14ac:dyDescent="0.25">
      <c r="A141" s="318" t="str">
        <f t="shared" si="9"/>
        <v>Fri</v>
      </c>
      <c r="B141" s="15">
        <v>44554</v>
      </c>
      <c r="C141" s="16">
        <v>0.54166666666666663</v>
      </c>
      <c r="D141" s="6">
        <v>32.6</v>
      </c>
      <c r="E141" s="6">
        <v>15.3</v>
      </c>
      <c r="F141" s="6">
        <v>145</v>
      </c>
      <c r="G141" s="6">
        <v>13</v>
      </c>
      <c r="H141" s="6">
        <v>9.1</v>
      </c>
      <c r="I141" s="6"/>
      <c r="J141" s="6"/>
      <c r="K141" s="6"/>
      <c r="L141" s="20"/>
      <c r="M141" s="84">
        <f t="shared" si="10"/>
        <v>145</v>
      </c>
      <c r="N141" s="248">
        <f>RHcount!X135</f>
        <v>0</v>
      </c>
      <c r="O141" s="17"/>
      <c r="P141" s="17"/>
      <c r="Q141" s="17"/>
      <c r="R141" s="17"/>
      <c r="S141" s="17"/>
      <c r="T141" s="17"/>
      <c r="U141" s="4"/>
      <c r="V141" s="4"/>
    </row>
    <row r="142" spans="1:22" x14ac:dyDescent="0.25">
      <c r="A142" s="318" t="str">
        <f t="shared" ref="A142:A190" si="11">TEXT(B142,"ddd")</f>
        <v>Fri</v>
      </c>
      <c r="B142" s="15">
        <v>44554</v>
      </c>
      <c r="C142" s="16">
        <v>0.58333333333333337</v>
      </c>
      <c r="D142" s="6">
        <v>34.299999999999997</v>
      </c>
      <c r="E142" s="6">
        <v>13.4</v>
      </c>
      <c r="F142" s="6">
        <v>150</v>
      </c>
      <c r="G142" s="6">
        <v>13</v>
      </c>
      <c r="H142" s="6">
        <v>9.1</v>
      </c>
      <c r="I142" s="6"/>
      <c r="J142" s="6"/>
      <c r="K142" s="6"/>
      <c r="L142" s="20"/>
      <c r="M142" s="84">
        <f t="shared" si="10"/>
        <v>150</v>
      </c>
      <c r="N142" s="248">
        <f>RHcount!X136</f>
        <v>0</v>
      </c>
      <c r="O142" s="17"/>
      <c r="P142" s="17"/>
      <c r="Q142" s="17"/>
      <c r="R142" s="17"/>
      <c r="S142" s="17"/>
      <c r="T142" s="17"/>
      <c r="U142" s="4"/>
      <c r="V142" s="4"/>
    </row>
    <row r="143" spans="1:22" x14ac:dyDescent="0.25">
      <c r="A143" s="318" t="str">
        <f t="shared" si="11"/>
        <v>Fri</v>
      </c>
      <c r="B143" s="15">
        <v>44554</v>
      </c>
      <c r="C143" s="16">
        <v>0.625</v>
      </c>
      <c r="D143" s="6">
        <v>35.4</v>
      </c>
      <c r="E143" s="6">
        <v>12.1</v>
      </c>
      <c r="F143" s="6">
        <v>154</v>
      </c>
      <c r="G143" s="6">
        <v>11</v>
      </c>
      <c r="H143" s="6">
        <v>9.1</v>
      </c>
      <c r="I143" s="6"/>
      <c r="J143" s="6"/>
      <c r="K143" s="6"/>
      <c r="L143" s="20"/>
      <c r="M143" s="84">
        <f t="shared" si="10"/>
        <v>154</v>
      </c>
      <c r="N143" s="248">
        <f>RHcount!X137</f>
        <v>0</v>
      </c>
      <c r="O143" s="17"/>
      <c r="P143" s="17"/>
      <c r="Q143" s="17"/>
      <c r="R143" s="17"/>
      <c r="S143" s="17"/>
      <c r="T143" s="17"/>
      <c r="U143" s="4"/>
      <c r="V143" s="4"/>
    </row>
    <row r="144" spans="1:22" x14ac:dyDescent="0.25">
      <c r="A144" s="318" t="str">
        <f t="shared" si="11"/>
        <v>Fri</v>
      </c>
      <c r="B144" s="15">
        <v>44554</v>
      </c>
      <c r="C144" s="16">
        <v>0.66666666666666663</v>
      </c>
      <c r="D144" s="6">
        <v>36.1</v>
      </c>
      <c r="E144" s="6">
        <v>11.4</v>
      </c>
      <c r="F144" s="6">
        <v>159</v>
      </c>
      <c r="G144" s="6">
        <v>12</v>
      </c>
      <c r="H144" s="6">
        <v>9.1</v>
      </c>
      <c r="I144" s="6"/>
      <c r="J144" s="6"/>
      <c r="K144" s="6"/>
      <c r="L144" s="20"/>
      <c r="M144" s="84">
        <f t="shared" si="10"/>
        <v>159</v>
      </c>
      <c r="N144" s="248">
        <f>RHcount!X138</f>
        <v>0</v>
      </c>
      <c r="O144" s="17"/>
      <c r="P144" s="17"/>
      <c r="Q144" s="17"/>
      <c r="R144" s="17"/>
      <c r="S144" s="17"/>
      <c r="T144" s="17"/>
      <c r="U144" s="4"/>
      <c r="V144" s="4"/>
    </row>
    <row r="145" spans="1:22" x14ac:dyDescent="0.25">
      <c r="A145" s="318" t="str">
        <f t="shared" si="11"/>
        <v>Fri</v>
      </c>
      <c r="B145" s="15">
        <v>44554</v>
      </c>
      <c r="C145" s="16">
        <v>0.70833333333333337</v>
      </c>
      <c r="D145" s="6">
        <v>36.6</v>
      </c>
      <c r="E145" s="6">
        <v>10.8</v>
      </c>
      <c r="F145" s="6">
        <v>164</v>
      </c>
      <c r="G145" s="6">
        <v>11</v>
      </c>
      <c r="H145" s="6">
        <v>9.1</v>
      </c>
      <c r="I145" s="6"/>
      <c r="J145" s="6"/>
      <c r="K145" s="6"/>
      <c r="L145" s="20"/>
      <c r="M145" s="84">
        <f t="shared" si="10"/>
        <v>164</v>
      </c>
      <c r="N145" s="248">
        <f>RHcount!X139</f>
        <v>0</v>
      </c>
      <c r="O145" s="17"/>
      <c r="P145" s="17"/>
      <c r="Q145" s="17"/>
      <c r="R145" s="17"/>
      <c r="S145" s="17"/>
      <c r="T145" s="17"/>
      <c r="U145" s="4"/>
      <c r="V145" s="4"/>
    </row>
    <row r="146" spans="1:22" x14ac:dyDescent="0.25">
      <c r="A146" s="318" t="str">
        <f t="shared" si="11"/>
        <v>Fri</v>
      </c>
      <c r="B146" s="15">
        <v>44554</v>
      </c>
      <c r="C146" s="16">
        <v>0.75</v>
      </c>
      <c r="D146" s="6">
        <v>36</v>
      </c>
      <c r="E146" s="6">
        <v>11.3</v>
      </c>
      <c r="F146" s="6">
        <v>157</v>
      </c>
      <c r="G146" s="6">
        <v>12</v>
      </c>
      <c r="H146" s="6">
        <v>9.1</v>
      </c>
      <c r="I146" s="6"/>
      <c r="J146" s="6"/>
      <c r="K146" s="6"/>
      <c r="L146" s="20"/>
      <c r="M146" s="84">
        <f t="shared" si="10"/>
        <v>157</v>
      </c>
      <c r="N146" s="248">
        <f>RHcount!X140</f>
        <v>0</v>
      </c>
      <c r="O146" s="17"/>
      <c r="P146" s="17"/>
      <c r="Q146" s="17"/>
      <c r="R146" s="17"/>
      <c r="S146" s="17"/>
      <c r="T146" s="17"/>
      <c r="U146" s="4"/>
      <c r="V146" s="4"/>
    </row>
    <row r="147" spans="1:22" x14ac:dyDescent="0.25">
      <c r="A147" s="318" t="str">
        <f t="shared" si="11"/>
        <v>Fri</v>
      </c>
      <c r="B147" s="15">
        <v>44554</v>
      </c>
      <c r="C147" s="16">
        <v>0.79166666666666663</v>
      </c>
      <c r="D147" s="6">
        <v>35.5</v>
      </c>
      <c r="E147" s="6">
        <v>11.5</v>
      </c>
      <c r="F147" s="6">
        <v>154</v>
      </c>
      <c r="G147" s="6">
        <v>11</v>
      </c>
      <c r="H147" s="6">
        <v>9.1</v>
      </c>
      <c r="I147" s="6"/>
      <c r="J147" s="6"/>
      <c r="K147" s="6"/>
      <c r="L147" s="20"/>
      <c r="M147" s="84">
        <f t="shared" si="10"/>
        <v>154</v>
      </c>
      <c r="N147" s="248">
        <f>RHcount!X141</f>
        <v>0</v>
      </c>
      <c r="O147" s="17"/>
      <c r="P147" s="17"/>
      <c r="Q147" s="17"/>
      <c r="R147" s="17"/>
      <c r="S147" s="17"/>
      <c r="T147" s="17"/>
      <c r="U147" s="4"/>
      <c r="V147" s="4"/>
    </row>
    <row r="148" spans="1:22" x14ac:dyDescent="0.25">
      <c r="A148" s="318" t="str">
        <f t="shared" si="11"/>
        <v>Fri</v>
      </c>
      <c r="B148" s="15">
        <v>44554</v>
      </c>
      <c r="C148" s="16">
        <v>0.83333333333333337</v>
      </c>
      <c r="D148" s="6">
        <v>34</v>
      </c>
      <c r="E148" s="6">
        <v>12.6</v>
      </c>
      <c r="F148" s="6">
        <v>152</v>
      </c>
      <c r="G148" s="6">
        <v>9</v>
      </c>
      <c r="H148" s="6">
        <v>9.1</v>
      </c>
      <c r="I148" s="6"/>
      <c r="J148" s="6"/>
      <c r="K148" s="6"/>
      <c r="L148" s="20"/>
      <c r="M148" s="84">
        <f t="shared" si="10"/>
        <v>152</v>
      </c>
      <c r="N148" s="248">
        <f>RHcount!X142</f>
        <v>0</v>
      </c>
      <c r="O148" s="17"/>
      <c r="P148" s="17"/>
      <c r="Q148" s="17"/>
      <c r="R148" s="17"/>
      <c r="S148" s="17"/>
      <c r="T148" s="17"/>
      <c r="U148" s="4"/>
      <c r="V148" s="4"/>
    </row>
    <row r="149" spans="1:22" x14ac:dyDescent="0.25">
      <c r="A149" s="318" t="str">
        <f t="shared" si="11"/>
        <v>Fri</v>
      </c>
      <c r="B149" s="15">
        <v>44554</v>
      </c>
      <c r="C149" s="16">
        <v>0.875</v>
      </c>
      <c r="D149" s="6">
        <v>30.8</v>
      </c>
      <c r="E149" s="6">
        <v>16.3</v>
      </c>
      <c r="F149" s="6">
        <v>150</v>
      </c>
      <c r="G149" s="6">
        <v>8</v>
      </c>
      <c r="H149" s="6">
        <v>9.1</v>
      </c>
      <c r="I149" s="6"/>
      <c r="J149" s="6"/>
      <c r="K149" s="6"/>
      <c r="L149" s="20"/>
      <c r="M149" s="84">
        <f t="shared" si="10"/>
        <v>150</v>
      </c>
      <c r="N149" s="248">
        <f>RHcount!X143</f>
        <v>0</v>
      </c>
      <c r="O149" s="17"/>
      <c r="P149" s="17"/>
      <c r="Q149" s="17"/>
      <c r="R149" s="17"/>
      <c r="S149" s="17"/>
      <c r="T149" s="17"/>
      <c r="U149" s="4"/>
      <c r="V149" s="4"/>
    </row>
    <row r="150" spans="1:22" x14ac:dyDescent="0.25">
      <c r="A150" s="318" t="str">
        <f t="shared" si="11"/>
        <v>Fri</v>
      </c>
      <c r="B150" s="15">
        <v>44554</v>
      </c>
      <c r="C150" s="16">
        <v>0.91666666666666663</v>
      </c>
      <c r="D150" s="6">
        <v>28.5</v>
      </c>
      <c r="E150" s="6">
        <v>19.399999999999999</v>
      </c>
      <c r="F150" s="6">
        <v>148</v>
      </c>
      <c r="G150" s="6">
        <v>9</v>
      </c>
      <c r="H150" s="6">
        <v>9.1</v>
      </c>
      <c r="I150" s="6"/>
      <c r="J150" s="6"/>
      <c r="K150" s="6"/>
      <c r="L150" s="20"/>
      <c r="M150" s="84">
        <f t="shared" si="10"/>
        <v>148</v>
      </c>
      <c r="N150" s="248">
        <f>RHcount!X144</f>
        <v>0</v>
      </c>
      <c r="O150" s="17"/>
      <c r="P150" s="17"/>
      <c r="Q150" s="17"/>
      <c r="R150" s="17"/>
      <c r="S150" s="17"/>
      <c r="T150" s="17"/>
      <c r="U150" s="4"/>
      <c r="V150" s="4"/>
    </row>
    <row r="151" spans="1:22" x14ac:dyDescent="0.25">
      <c r="A151" s="318" t="str">
        <f t="shared" si="11"/>
        <v>Fri</v>
      </c>
      <c r="B151" s="15">
        <v>44554</v>
      </c>
      <c r="C151" s="16">
        <v>0.95833333333333337</v>
      </c>
      <c r="D151" s="6">
        <v>26.7</v>
      </c>
      <c r="E151" s="6">
        <v>22</v>
      </c>
      <c r="F151" s="6">
        <v>145</v>
      </c>
      <c r="G151" s="6">
        <v>9</v>
      </c>
      <c r="H151" s="6">
        <v>9.1</v>
      </c>
      <c r="I151" s="6"/>
      <c r="J151" s="6"/>
      <c r="K151" s="6"/>
      <c r="L151" s="20"/>
      <c r="M151" s="84">
        <f t="shared" si="10"/>
        <v>145</v>
      </c>
      <c r="N151" s="248">
        <f>RHcount!X145</f>
        <v>0</v>
      </c>
      <c r="O151" s="17"/>
      <c r="P151" s="17"/>
      <c r="Q151" s="17"/>
      <c r="R151" s="17"/>
      <c r="S151" s="17"/>
      <c r="T151" s="17"/>
      <c r="U151" s="4"/>
      <c r="V151" s="4"/>
    </row>
    <row r="152" spans="1:22" x14ac:dyDescent="0.25">
      <c r="A152" s="318" t="str">
        <f t="shared" si="11"/>
        <v>Sat</v>
      </c>
      <c r="B152" s="15">
        <v>44555</v>
      </c>
      <c r="C152" s="16">
        <v>0</v>
      </c>
      <c r="D152" s="6">
        <v>26</v>
      </c>
      <c r="E152" s="6">
        <v>23.4</v>
      </c>
      <c r="F152" s="6">
        <v>131</v>
      </c>
      <c r="G152" s="6">
        <v>9</v>
      </c>
      <c r="H152" s="6">
        <v>9.1</v>
      </c>
      <c r="I152" s="6"/>
      <c r="J152" s="6"/>
      <c r="K152" s="6"/>
      <c r="L152" s="20"/>
      <c r="M152" s="84">
        <f t="shared" si="10"/>
        <v>131</v>
      </c>
      <c r="N152" s="248">
        <f>RHcount!X146</f>
        <v>0</v>
      </c>
      <c r="O152" s="17"/>
      <c r="P152" s="17"/>
      <c r="Q152" s="17"/>
      <c r="R152" s="17"/>
      <c r="S152" s="17"/>
      <c r="T152" s="17"/>
      <c r="U152" s="4"/>
      <c r="V152" s="4"/>
    </row>
    <row r="153" spans="1:22" x14ac:dyDescent="0.25">
      <c r="A153" s="318" t="str">
        <f t="shared" si="11"/>
        <v>Sat</v>
      </c>
      <c r="B153" s="15">
        <v>44555</v>
      </c>
      <c r="C153" s="16">
        <v>4.1666666666666664E-2</v>
      </c>
      <c r="D153" s="6">
        <v>24.8</v>
      </c>
      <c r="E153" s="6">
        <v>25</v>
      </c>
      <c r="F153" s="6">
        <v>122</v>
      </c>
      <c r="G153" s="6">
        <v>10</v>
      </c>
      <c r="H153" s="6">
        <v>9.1</v>
      </c>
      <c r="I153" s="6"/>
      <c r="J153" s="6"/>
      <c r="K153" s="6"/>
      <c r="L153" s="20"/>
      <c r="M153" s="84">
        <f t="shared" si="10"/>
        <v>122</v>
      </c>
      <c r="N153" s="248">
        <f>RHcount!X147</f>
        <v>0</v>
      </c>
      <c r="O153" s="17"/>
      <c r="P153" s="17"/>
      <c r="Q153" s="17"/>
      <c r="R153" s="17"/>
      <c r="S153" s="17"/>
      <c r="T153" s="17"/>
      <c r="U153" s="4"/>
      <c r="V153" s="4"/>
    </row>
    <row r="154" spans="1:22" x14ac:dyDescent="0.25">
      <c r="A154" s="318" t="str">
        <f t="shared" si="11"/>
        <v>Sat</v>
      </c>
      <c r="B154" s="15">
        <v>44555</v>
      </c>
      <c r="C154" s="16">
        <v>8.3333333333333329E-2</v>
      </c>
      <c r="D154" s="6">
        <v>23.8</v>
      </c>
      <c r="E154" s="6">
        <v>26.7</v>
      </c>
      <c r="F154" s="6">
        <v>123</v>
      </c>
      <c r="G154" s="6">
        <v>10</v>
      </c>
      <c r="H154" s="6">
        <v>9.1</v>
      </c>
      <c r="I154" s="6"/>
      <c r="J154" s="6"/>
      <c r="K154" s="6"/>
      <c r="L154" s="20"/>
      <c r="M154" s="84">
        <f t="shared" si="10"/>
        <v>123</v>
      </c>
      <c r="N154" s="248">
        <f>RHcount!X148</f>
        <v>0</v>
      </c>
      <c r="O154" s="17"/>
      <c r="P154" s="17"/>
      <c r="Q154" s="17"/>
      <c r="R154" s="17"/>
      <c r="S154" s="17"/>
      <c r="T154" s="17"/>
      <c r="U154" s="4"/>
      <c r="V154" s="4"/>
    </row>
    <row r="155" spans="1:22" x14ac:dyDescent="0.25">
      <c r="A155" s="318" t="str">
        <f t="shared" si="11"/>
        <v>Sat</v>
      </c>
      <c r="B155" s="15">
        <v>44555</v>
      </c>
      <c r="C155" s="16">
        <v>0.125</v>
      </c>
      <c r="D155" s="6">
        <v>22.5</v>
      </c>
      <c r="E155" s="6">
        <v>32.700000000000003</v>
      </c>
      <c r="F155" s="6">
        <v>121</v>
      </c>
      <c r="G155" s="6">
        <v>10</v>
      </c>
      <c r="H155" s="6">
        <v>9.1</v>
      </c>
      <c r="I155" s="6"/>
      <c r="J155" s="6"/>
      <c r="K155" s="6"/>
      <c r="L155" s="20"/>
      <c r="M155" s="84">
        <f t="shared" si="10"/>
        <v>121</v>
      </c>
      <c r="N155" s="248">
        <f>RHcount!X149</f>
        <v>0</v>
      </c>
      <c r="O155" s="17"/>
      <c r="P155" s="17"/>
      <c r="Q155" s="17"/>
      <c r="R155" s="17"/>
      <c r="S155" s="17"/>
      <c r="T155" s="17"/>
      <c r="U155" s="4"/>
      <c r="V155" s="4"/>
    </row>
    <row r="156" spans="1:22" x14ac:dyDescent="0.25">
      <c r="A156" s="318" t="str">
        <f t="shared" si="11"/>
        <v>Sat</v>
      </c>
      <c r="B156" s="15">
        <v>44555</v>
      </c>
      <c r="C156" s="16">
        <v>0.16666666666666666</v>
      </c>
      <c r="D156" s="6">
        <v>21.6</v>
      </c>
      <c r="E156" s="6">
        <v>38.4</v>
      </c>
      <c r="F156" s="6">
        <v>119</v>
      </c>
      <c r="G156" s="6">
        <v>9</v>
      </c>
      <c r="H156" s="6">
        <v>9.1</v>
      </c>
      <c r="I156" s="6"/>
      <c r="J156" s="6"/>
      <c r="K156" s="6"/>
      <c r="L156" s="20"/>
      <c r="M156" s="84">
        <f t="shared" si="10"/>
        <v>119</v>
      </c>
      <c r="N156" s="248">
        <f>RHcount!X150</f>
        <v>0</v>
      </c>
      <c r="O156" s="17"/>
      <c r="P156" s="17"/>
      <c r="Q156" s="17"/>
      <c r="R156" s="17"/>
      <c r="S156" s="17"/>
      <c r="T156" s="17"/>
      <c r="U156" s="4"/>
      <c r="V156" s="4"/>
    </row>
    <row r="157" spans="1:22" x14ac:dyDescent="0.25">
      <c r="A157" s="318" t="str">
        <f t="shared" si="11"/>
        <v>Sat</v>
      </c>
      <c r="B157" s="15">
        <v>44555</v>
      </c>
      <c r="C157" s="16">
        <v>0.20833333333333334</v>
      </c>
      <c r="D157" s="6">
        <v>20.7</v>
      </c>
      <c r="E157" s="6">
        <v>44.9</v>
      </c>
      <c r="F157" s="6">
        <v>117</v>
      </c>
      <c r="G157" s="6">
        <v>9</v>
      </c>
      <c r="H157" s="6">
        <v>9.1</v>
      </c>
      <c r="I157" s="6"/>
      <c r="J157" s="6"/>
      <c r="K157" s="6"/>
      <c r="L157" s="20"/>
      <c r="M157" s="84">
        <f t="shared" si="10"/>
        <v>117</v>
      </c>
      <c r="N157" s="248">
        <f>RHcount!X151</f>
        <v>0</v>
      </c>
      <c r="O157" s="17"/>
      <c r="P157" s="17"/>
      <c r="Q157" s="17"/>
      <c r="R157" s="17"/>
      <c r="S157" s="17"/>
      <c r="T157" s="17"/>
      <c r="U157" s="4"/>
      <c r="V157" s="4"/>
    </row>
    <row r="158" spans="1:22" x14ac:dyDescent="0.25">
      <c r="A158" s="318" t="str">
        <f t="shared" si="11"/>
        <v>Sat</v>
      </c>
      <c r="B158" s="15">
        <v>44555</v>
      </c>
      <c r="C158" s="16">
        <v>0.25</v>
      </c>
      <c r="D158" s="6">
        <v>20.6</v>
      </c>
      <c r="E158" s="6">
        <v>46.4</v>
      </c>
      <c r="F158" s="6">
        <v>113</v>
      </c>
      <c r="G158" s="6">
        <v>9</v>
      </c>
      <c r="H158" s="6">
        <v>9.1</v>
      </c>
      <c r="I158" s="6"/>
      <c r="J158" s="6"/>
      <c r="K158" s="6"/>
      <c r="L158" s="20"/>
      <c r="M158" s="84">
        <f t="shared" si="10"/>
        <v>113</v>
      </c>
      <c r="N158" s="248">
        <f>RHcount!X152</f>
        <v>0</v>
      </c>
      <c r="O158" s="17"/>
      <c r="P158" s="17"/>
      <c r="Q158" s="17"/>
      <c r="R158" s="17"/>
      <c r="S158" s="17"/>
      <c r="T158" s="17"/>
      <c r="U158" s="4"/>
      <c r="V158" s="4"/>
    </row>
    <row r="159" spans="1:22" x14ac:dyDescent="0.25">
      <c r="A159" s="318" t="str">
        <f t="shared" si="11"/>
        <v>Sat</v>
      </c>
      <c r="B159" s="15">
        <v>44555</v>
      </c>
      <c r="C159" s="16">
        <v>0.29166666666666669</v>
      </c>
      <c r="D159" s="6">
        <v>22.2</v>
      </c>
      <c r="E159" s="6">
        <v>42.7</v>
      </c>
      <c r="F159" s="6">
        <v>111</v>
      </c>
      <c r="G159" s="6">
        <v>10</v>
      </c>
      <c r="H159" s="6">
        <v>9.1</v>
      </c>
      <c r="I159" s="6"/>
      <c r="J159" s="6"/>
      <c r="K159" s="6"/>
      <c r="L159" s="20"/>
      <c r="M159" s="84">
        <f t="shared" si="10"/>
        <v>111</v>
      </c>
      <c r="N159" s="248">
        <f>RHcount!X153</f>
        <v>0</v>
      </c>
      <c r="O159" s="17"/>
      <c r="P159" s="17"/>
      <c r="Q159" s="17"/>
      <c r="R159" s="17"/>
      <c r="S159" s="17"/>
      <c r="T159" s="17"/>
      <c r="U159" s="4"/>
      <c r="V159" s="4"/>
    </row>
    <row r="160" spans="1:22" x14ac:dyDescent="0.25">
      <c r="A160" s="318" t="str">
        <f t="shared" si="11"/>
        <v>Sat</v>
      </c>
      <c r="B160" s="15">
        <v>44555</v>
      </c>
      <c r="C160" s="16">
        <v>0.33333333333333331</v>
      </c>
      <c r="D160" s="6">
        <v>25.5</v>
      </c>
      <c r="E160" s="6">
        <v>35.700000000000003</v>
      </c>
      <c r="F160" s="6">
        <v>98</v>
      </c>
      <c r="G160" s="6">
        <v>14</v>
      </c>
      <c r="H160" s="6">
        <v>9.1</v>
      </c>
      <c r="I160" s="6"/>
      <c r="J160" s="6"/>
      <c r="K160" s="6"/>
      <c r="L160" s="20"/>
      <c r="M160" s="84">
        <f t="shared" si="10"/>
        <v>98</v>
      </c>
      <c r="N160" s="248">
        <f>RHcount!X154</f>
        <v>0</v>
      </c>
      <c r="O160" s="17"/>
      <c r="P160" s="17"/>
      <c r="Q160" s="17"/>
      <c r="R160" s="17"/>
      <c r="S160" s="17"/>
      <c r="T160" s="17"/>
      <c r="U160" s="4"/>
      <c r="V160" s="4"/>
    </row>
    <row r="161" spans="1:22" x14ac:dyDescent="0.25">
      <c r="A161" s="318" t="str">
        <f t="shared" si="11"/>
        <v>Sat</v>
      </c>
      <c r="B161" s="15">
        <v>44555</v>
      </c>
      <c r="C161" s="16">
        <v>0.375</v>
      </c>
      <c r="D161" s="6">
        <v>28.4</v>
      </c>
      <c r="E161" s="6">
        <v>31.8</v>
      </c>
      <c r="F161" s="6">
        <v>79</v>
      </c>
      <c r="G161" s="6">
        <v>10</v>
      </c>
      <c r="H161" s="6">
        <v>9.1</v>
      </c>
      <c r="I161" s="6"/>
      <c r="J161" s="6"/>
      <c r="K161" s="6"/>
      <c r="L161" s="20"/>
      <c r="M161" s="84">
        <f t="shared" si="10"/>
        <v>79</v>
      </c>
      <c r="N161" s="248">
        <f>RHcount!X155</f>
        <v>0</v>
      </c>
      <c r="O161" s="17"/>
      <c r="P161" s="17"/>
      <c r="Q161" s="17"/>
      <c r="R161" s="17"/>
      <c r="S161" s="17"/>
      <c r="T161" s="17"/>
      <c r="U161" s="4"/>
      <c r="V161" s="4"/>
    </row>
    <row r="162" spans="1:22" x14ac:dyDescent="0.25">
      <c r="A162" s="318" t="str">
        <f t="shared" si="11"/>
        <v>Sat</v>
      </c>
      <c r="B162" s="15">
        <v>44555</v>
      </c>
      <c r="C162" s="16">
        <v>0.41666666666666669</v>
      </c>
      <c r="D162" s="6">
        <v>31.4</v>
      </c>
      <c r="E162" s="6">
        <v>24.7</v>
      </c>
      <c r="F162" s="6">
        <v>61</v>
      </c>
      <c r="G162" s="6">
        <v>16</v>
      </c>
      <c r="H162" s="6">
        <v>9.1</v>
      </c>
      <c r="I162" s="6"/>
      <c r="J162" s="6"/>
      <c r="K162" s="6"/>
      <c r="L162" s="20"/>
      <c r="M162" s="84">
        <f t="shared" si="10"/>
        <v>61</v>
      </c>
      <c r="N162" s="248">
        <f>RHcount!X156</f>
        <v>0</v>
      </c>
      <c r="O162" s="17"/>
      <c r="P162" s="17"/>
      <c r="Q162" s="17"/>
      <c r="R162" s="17"/>
      <c r="S162" s="17"/>
      <c r="T162" s="17"/>
      <c r="U162" s="4"/>
      <c r="V162" s="4"/>
    </row>
    <row r="163" spans="1:22" x14ac:dyDescent="0.25">
      <c r="A163" s="318" t="str">
        <f t="shared" si="11"/>
        <v>Sat</v>
      </c>
      <c r="B163" s="15">
        <v>44555</v>
      </c>
      <c r="C163" s="16">
        <v>0.45833333333333331</v>
      </c>
      <c r="D163" s="6">
        <v>33.9</v>
      </c>
      <c r="E163" s="6">
        <v>20.3</v>
      </c>
      <c r="F163" s="6">
        <v>56</v>
      </c>
      <c r="G163" s="6">
        <v>17</v>
      </c>
      <c r="H163" s="6">
        <v>9.1</v>
      </c>
      <c r="I163" s="6"/>
      <c r="J163" s="6"/>
      <c r="K163" s="6"/>
      <c r="L163" s="20"/>
      <c r="M163" s="84">
        <f t="shared" si="10"/>
        <v>56</v>
      </c>
      <c r="N163" s="248">
        <f>RHcount!X157</f>
        <v>0</v>
      </c>
      <c r="O163" s="17"/>
      <c r="P163" s="17"/>
      <c r="Q163" s="17"/>
      <c r="R163" s="17"/>
      <c r="S163" s="17"/>
      <c r="T163" s="17"/>
      <c r="U163" s="4"/>
      <c r="V163" s="4"/>
    </row>
    <row r="164" spans="1:22" x14ac:dyDescent="0.25">
      <c r="A164" s="318" t="str">
        <f t="shared" si="11"/>
        <v>Sat</v>
      </c>
      <c r="B164" s="15">
        <v>44555</v>
      </c>
      <c r="C164" s="16">
        <v>0.5</v>
      </c>
      <c r="D164" s="6">
        <v>35.4</v>
      </c>
      <c r="E164" s="6">
        <v>18.5</v>
      </c>
      <c r="F164" s="6">
        <v>90</v>
      </c>
      <c r="G164" s="6">
        <v>17</v>
      </c>
      <c r="H164" s="6">
        <v>9.1</v>
      </c>
      <c r="I164" s="6"/>
      <c r="J164" s="6"/>
      <c r="K164" s="6"/>
      <c r="L164" s="20"/>
      <c r="M164" s="84">
        <f t="shared" si="10"/>
        <v>90</v>
      </c>
      <c r="N164" s="248">
        <f>RHcount!X158</f>
        <v>0</v>
      </c>
      <c r="O164" s="17"/>
      <c r="P164" s="17"/>
      <c r="Q164" s="17"/>
      <c r="R164" s="17"/>
      <c r="S164" s="17"/>
      <c r="T164" s="17"/>
      <c r="U164" s="4"/>
      <c r="V164" s="4"/>
    </row>
    <row r="165" spans="1:22" x14ac:dyDescent="0.25">
      <c r="A165" s="318" t="str">
        <f t="shared" si="11"/>
        <v>Sat</v>
      </c>
      <c r="B165" s="15">
        <v>44555</v>
      </c>
      <c r="C165" s="16">
        <v>0.54166666666666663</v>
      </c>
      <c r="D165" s="6">
        <v>36.6</v>
      </c>
      <c r="E165" s="6">
        <v>16.899999999999999</v>
      </c>
      <c r="F165" s="6">
        <v>117</v>
      </c>
      <c r="G165" s="6">
        <v>18</v>
      </c>
      <c r="H165" s="6">
        <v>9.1</v>
      </c>
      <c r="I165" s="6"/>
      <c r="J165" s="6"/>
      <c r="K165" s="6"/>
      <c r="L165" s="20"/>
      <c r="M165" s="84">
        <f t="shared" si="10"/>
        <v>117</v>
      </c>
      <c r="N165" s="248">
        <f>RHcount!X159</f>
        <v>0</v>
      </c>
      <c r="O165" s="17"/>
      <c r="P165" s="17"/>
      <c r="Q165" s="17"/>
      <c r="R165" s="17"/>
      <c r="S165" s="17"/>
      <c r="T165" s="17"/>
      <c r="U165" s="4"/>
      <c r="V165" s="4"/>
    </row>
    <row r="166" spans="1:22" x14ac:dyDescent="0.25">
      <c r="A166" s="318" t="str">
        <f t="shared" si="11"/>
        <v>Sat</v>
      </c>
      <c r="B166" s="15">
        <v>44555</v>
      </c>
      <c r="C166" s="16">
        <v>0.58333333333333337</v>
      </c>
      <c r="D166" s="6">
        <v>37.6</v>
      </c>
      <c r="E166" s="6">
        <v>14.9</v>
      </c>
      <c r="F166" s="6">
        <v>131</v>
      </c>
      <c r="G166" s="6">
        <v>19</v>
      </c>
      <c r="H166" s="6">
        <v>9.1</v>
      </c>
      <c r="I166" s="6"/>
      <c r="J166" s="6"/>
      <c r="K166" s="6"/>
      <c r="L166" s="20"/>
      <c r="M166" s="84">
        <f t="shared" si="10"/>
        <v>131</v>
      </c>
      <c r="N166" s="248">
        <f>RHcount!X160</f>
        <v>0</v>
      </c>
      <c r="O166" s="17"/>
      <c r="P166" s="17"/>
      <c r="Q166" s="17"/>
      <c r="R166" s="17"/>
      <c r="S166" s="17"/>
      <c r="T166" s="17"/>
      <c r="U166" s="4"/>
      <c r="V166" s="4"/>
    </row>
    <row r="167" spans="1:22" x14ac:dyDescent="0.25">
      <c r="A167" s="318" t="str">
        <f t="shared" si="11"/>
        <v>Sat</v>
      </c>
      <c r="B167" s="15">
        <v>44555</v>
      </c>
      <c r="C167" s="16">
        <v>0.625</v>
      </c>
      <c r="D167" s="6">
        <v>38</v>
      </c>
      <c r="E167" s="6">
        <v>14.2</v>
      </c>
      <c r="F167" s="6">
        <v>176</v>
      </c>
      <c r="G167" s="6">
        <v>17</v>
      </c>
      <c r="H167" s="6">
        <v>9.1</v>
      </c>
      <c r="I167" s="6"/>
      <c r="J167" s="6"/>
      <c r="K167" s="6"/>
      <c r="L167" s="20"/>
      <c r="M167" s="84">
        <f t="shared" si="10"/>
        <v>176</v>
      </c>
      <c r="N167" s="248">
        <f>RHcount!X161</f>
        <v>0</v>
      </c>
      <c r="O167" s="17"/>
      <c r="P167" s="17"/>
      <c r="Q167" s="17"/>
      <c r="R167" s="17"/>
      <c r="S167" s="17"/>
      <c r="T167" s="17"/>
      <c r="U167" s="4"/>
      <c r="V167" s="4"/>
    </row>
    <row r="168" spans="1:22" x14ac:dyDescent="0.25">
      <c r="A168" s="318" t="str">
        <f t="shared" si="11"/>
        <v>Sat</v>
      </c>
      <c r="B168" s="15">
        <v>44555</v>
      </c>
      <c r="C168" s="16">
        <v>0.66666666666666663</v>
      </c>
      <c r="D168" s="6">
        <v>38.6</v>
      </c>
      <c r="E168" s="6">
        <v>13.4</v>
      </c>
      <c r="F168" s="6">
        <v>188</v>
      </c>
      <c r="G168" s="6">
        <v>18</v>
      </c>
      <c r="H168" s="6">
        <v>9.1</v>
      </c>
      <c r="I168" s="6"/>
      <c r="J168" s="6"/>
      <c r="K168" s="6"/>
      <c r="L168" s="20"/>
      <c r="M168" s="84">
        <f t="shared" si="10"/>
        <v>188</v>
      </c>
      <c r="N168" s="248">
        <f>RHcount!X162</f>
        <v>0</v>
      </c>
      <c r="O168" s="17"/>
      <c r="P168" s="17"/>
      <c r="Q168" s="17"/>
      <c r="R168" s="17"/>
      <c r="S168" s="17"/>
      <c r="T168" s="17"/>
      <c r="U168" s="4"/>
      <c r="V168" s="4"/>
    </row>
    <row r="169" spans="1:22" x14ac:dyDescent="0.25">
      <c r="A169" s="318" t="str">
        <f t="shared" si="11"/>
        <v>Sat</v>
      </c>
      <c r="B169" s="15">
        <v>44555</v>
      </c>
      <c r="C169" s="16">
        <v>0.70833333333333337</v>
      </c>
      <c r="D169" s="6">
        <v>38.6</v>
      </c>
      <c r="E169" s="6">
        <v>13.1</v>
      </c>
      <c r="F169" s="6">
        <v>195</v>
      </c>
      <c r="G169" s="6">
        <v>17</v>
      </c>
      <c r="H169" s="6">
        <v>9.1</v>
      </c>
      <c r="I169" s="6"/>
      <c r="J169" s="6"/>
      <c r="K169" s="6"/>
      <c r="L169" s="20"/>
      <c r="M169" s="84">
        <f t="shared" si="10"/>
        <v>195</v>
      </c>
      <c r="N169" s="248">
        <f>RHcount!X163</f>
        <v>0</v>
      </c>
      <c r="O169" s="17"/>
      <c r="P169" s="17"/>
      <c r="Q169" s="17"/>
      <c r="R169" s="17"/>
      <c r="S169" s="17"/>
      <c r="T169" s="17"/>
      <c r="U169" s="4"/>
      <c r="V169" s="4"/>
    </row>
    <row r="170" spans="1:22" x14ac:dyDescent="0.25">
      <c r="A170" s="318" t="str">
        <f t="shared" si="11"/>
        <v>Sat</v>
      </c>
      <c r="B170" s="15">
        <v>44555</v>
      </c>
      <c r="C170" s="16">
        <v>0.75</v>
      </c>
      <c r="D170" s="6">
        <v>37.799999999999997</v>
      </c>
      <c r="E170" s="6">
        <v>13.6</v>
      </c>
      <c r="F170" s="6">
        <v>191</v>
      </c>
      <c r="G170" s="6">
        <v>19</v>
      </c>
      <c r="H170" s="6">
        <v>9.1</v>
      </c>
      <c r="I170" s="6"/>
      <c r="J170" s="6"/>
      <c r="K170" s="6"/>
      <c r="L170" s="20"/>
      <c r="M170" s="84">
        <f t="shared" si="10"/>
        <v>191</v>
      </c>
      <c r="N170" s="248">
        <f>RHcount!X164</f>
        <v>0</v>
      </c>
      <c r="O170" s="17"/>
      <c r="P170" s="17"/>
      <c r="Q170" s="17"/>
      <c r="R170" s="17"/>
      <c r="S170" s="17"/>
      <c r="T170" s="17"/>
      <c r="U170" s="4"/>
      <c r="V170" s="4"/>
    </row>
    <row r="171" spans="1:22" x14ac:dyDescent="0.25">
      <c r="A171" s="318" t="str">
        <f t="shared" si="11"/>
        <v>Sat</v>
      </c>
      <c r="B171" s="15">
        <v>44555</v>
      </c>
      <c r="C171" s="16">
        <v>0.79166666666666663</v>
      </c>
      <c r="D171" s="6">
        <v>37</v>
      </c>
      <c r="E171" s="6">
        <v>14.3</v>
      </c>
      <c r="F171" s="6">
        <v>185</v>
      </c>
      <c r="G171" s="6">
        <v>16</v>
      </c>
      <c r="H171" s="6">
        <v>9.1</v>
      </c>
      <c r="I171" s="6"/>
      <c r="J171" s="6"/>
      <c r="K171" s="6"/>
      <c r="L171" s="20"/>
      <c r="M171" s="84">
        <f t="shared" si="10"/>
        <v>185</v>
      </c>
      <c r="N171" s="248">
        <f>RHcount!X165</f>
        <v>0</v>
      </c>
      <c r="O171" s="17"/>
      <c r="P171" s="17"/>
      <c r="Q171" s="17"/>
      <c r="R171" s="17"/>
      <c r="S171" s="17"/>
      <c r="T171" s="17"/>
      <c r="U171" s="4"/>
      <c r="V171" s="4"/>
    </row>
    <row r="172" spans="1:22" x14ac:dyDescent="0.25">
      <c r="A172" s="318" t="str">
        <f t="shared" si="11"/>
        <v>Sat</v>
      </c>
      <c r="B172" s="15">
        <v>44555</v>
      </c>
      <c r="C172" s="16">
        <v>0.83333333333333337</v>
      </c>
      <c r="D172" s="6">
        <v>35.4</v>
      </c>
      <c r="E172" s="6">
        <v>16.3</v>
      </c>
      <c r="F172" s="6">
        <v>175</v>
      </c>
      <c r="G172" s="6">
        <v>15</v>
      </c>
      <c r="H172" s="6">
        <v>9.1</v>
      </c>
      <c r="I172" s="6"/>
      <c r="J172" s="6"/>
      <c r="K172" s="6"/>
      <c r="L172" s="20"/>
      <c r="M172" s="84">
        <f t="shared" si="10"/>
        <v>175</v>
      </c>
      <c r="N172" s="248">
        <f>RHcount!X166</f>
        <v>0</v>
      </c>
      <c r="O172" s="17"/>
      <c r="P172" s="17"/>
      <c r="Q172" s="17"/>
      <c r="R172" s="17"/>
      <c r="S172" s="17"/>
      <c r="T172" s="17"/>
      <c r="U172" s="4"/>
      <c r="V172" s="4"/>
    </row>
    <row r="173" spans="1:22" x14ac:dyDescent="0.25">
      <c r="A173" s="318" t="str">
        <f t="shared" si="11"/>
        <v>Sat</v>
      </c>
      <c r="B173" s="15">
        <v>44555</v>
      </c>
      <c r="C173" s="16">
        <v>0.875</v>
      </c>
      <c r="D173" s="6">
        <v>32.799999999999997</v>
      </c>
      <c r="E173" s="6">
        <v>19.899999999999999</v>
      </c>
      <c r="F173" s="6">
        <v>175</v>
      </c>
      <c r="G173" s="6">
        <v>14</v>
      </c>
      <c r="H173" s="6">
        <v>9.1</v>
      </c>
      <c r="I173" s="6"/>
      <c r="J173" s="6"/>
      <c r="K173" s="6"/>
      <c r="L173" s="20"/>
      <c r="M173" s="84">
        <f t="shared" si="10"/>
        <v>175</v>
      </c>
      <c r="N173" s="248">
        <f>RHcount!X167</f>
        <v>0</v>
      </c>
      <c r="O173" s="17"/>
      <c r="P173" s="17"/>
      <c r="Q173" s="17"/>
      <c r="R173" s="17"/>
      <c r="S173" s="17"/>
      <c r="T173" s="17"/>
      <c r="U173" s="4"/>
      <c r="V173" s="4"/>
    </row>
    <row r="174" spans="1:22" x14ac:dyDescent="0.25">
      <c r="A174" s="318" t="str">
        <f t="shared" si="11"/>
        <v>Sat</v>
      </c>
      <c r="B174" s="15">
        <v>44555</v>
      </c>
      <c r="C174" s="16">
        <v>0.91666666666666663</v>
      </c>
      <c r="D174" s="6">
        <v>30.4</v>
      </c>
      <c r="E174" s="6">
        <v>23.9</v>
      </c>
      <c r="F174" s="6">
        <v>155</v>
      </c>
      <c r="G174" s="6">
        <v>14</v>
      </c>
      <c r="H174" s="6">
        <v>9.1</v>
      </c>
      <c r="I174" s="6"/>
      <c r="J174" s="6"/>
      <c r="K174" s="6"/>
      <c r="L174" s="20"/>
      <c r="M174" s="84">
        <f t="shared" si="10"/>
        <v>155</v>
      </c>
      <c r="N174" s="248">
        <f>RHcount!X168</f>
        <v>0</v>
      </c>
      <c r="O174" s="17"/>
      <c r="P174" s="17"/>
      <c r="Q174" s="17"/>
      <c r="R174" s="17"/>
      <c r="S174" s="17"/>
      <c r="T174" s="17"/>
      <c r="U174" s="4"/>
      <c r="V174" s="4"/>
    </row>
    <row r="175" spans="1:22" x14ac:dyDescent="0.25">
      <c r="A175" s="318" t="str">
        <f t="shared" si="11"/>
        <v>Sat</v>
      </c>
      <c r="B175" s="15">
        <v>44555</v>
      </c>
      <c r="C175" s="16">
        <v>0.95833333333333337</v>
      </c>
      <c r="D175" s="6">
        <v>28.7</v>
      </c>
      <c r="E175" s="6">
        <v>27.7</v>
      </c>
      <c r="F175" s="6">
        <v>152</v>
      </c>
      <c r="G175" s="6">
        <v>15</v>
      </c>
      <c r="H175" s="6">
        <v>9.1</v>
      </c>
      <c r="I175" s="6"/>
      <c r="J175" s="6"/>
      <c r="K175" s="6"/>
      <c r="L175" s="20"/>
      <c r="M175" s="84">
        <f t="shared" si="10"/>
        <v>152</v>
      </c>
      <c r="N175" s="248">
        <f>RHcount!X169</f>
        <v>0</v>
      </c>
      <c r="O175" s="17"/>
      <c r="P175" s="17"/>
      <c r="Q175" s="17"/>
      <c r="R175" s="17"/>
      <c r="S175" s="17"/>
      <c r="T175" s="17"/>
      <c r="U175" s="4"/>
      <c r="V175" s="4"/>
    </row>
    <row r="176" spans="1:22" x14ac:dyDescent="0.25">
      <c r="A176" s="318" t="str">
        <f t="shared" si="11"/>
        <v>Sun</v>
      </c>
      <c r="B176" s="15">
        <v>44556</v>
      </c>
      <c r="C176" s="16">
        <v>0</v>
      </c>
      <c r="D176" s="6">
        <v>26.9</v>
      </c>
      <c r="E176" s="6">
        <v>32</v>
      </c>
      <c r="F176" s="6">
        <v>160</v>
      </c>
      <c r="G176" s="6">
        <v>14</v>
      </c>
      <c r="H176" s="6">
        <v>9.1</v>
      </c>
      <c r="I176" s="6"/>
      <c r="J176" s="6"/>
      <c r="K176" s="6"/>
      <c r="L176" s="20"/>
      <c r="M176" s="84">
        <f t="shared" si="10"/>
        <v>160</v>
      </c>
      <c r="N176" s="248">
        <f>RHcount!X170</f>
        <v>0</v>
      </c>
      <c r="O176" s="17"/>
      <c r="P176" s="17"/>
      <c r="Q176" s="17"/>
      <c r="R176" s="17"/>
      <c r="S176" s="17"/>
      <c r="T176" s="17"/>
      <c r="U176" s="4"/>
      <c r="V176" s="4"/>
    </row>
    <row r="177" spans="1:22" x14ac:dyDescent="0.25">
      <c r="A177" s="318" t="str">
        <f t="shared" si="11"/>
        <v>Sun</v>
      </c>
      <c r="B177" s="15">
        <v>44556</v>
      </c>
      <c r="C177" s="16">
        <v>4.1666666666666664E-2</v>
      </c>
      <c r="D177" s="6">
        <v>25.2</v>
      </c>
      <c r="E177" s="6">
        <v>35.4</v>
      </c>
      <c r="F177" s="6">
        <v>190</v>
      </c>
      <c r="G177" s="6">
        <v>15</v>
      </c>
      <c r="H177" s="6">
        <v>9.1</v>
      </c>
      <c r="I177" s="6"/>
      <c r="J177" s="6"/>
      <c r="K177" s="6"/>
      <c r="L177" s="20"/>
      <c r="M177" s="84">
        <f t="shared" si="10"/>
        <v>190</v>
      </c>
      <c r="N177" s="248">
        <f>RHcount!X171</f>
        <v>0</v>
      </c>
      <c r="O177" s="17"/>
      <c r="P177" s="17"/>
      <c r="Q177" s="17"/>
      <c r="R177" s="17"/>
      <c r="S177" s="17"/>
      <c r="T177" s="17"/>
      <c r="U177" s="4"/>
      <c r="V177" s="4"/>
    </row>
    <row r="178" spans="1:22" x14ac:dyDescent="0.25">
      <c r="A178" s="318" t="str">
        <f t="shared" si="11"/>
        <v>Sat</v>
      </c>
      <c r="B178" s="15"/>
      <c r="C178" s="16"/>
      <c r="D178" s="6"/>
      <c r="E178" s="6"/>
      <c r="F178" s="6"/>
      <c r="G178" s="6"/>
      <c r="H178" s="6"/>
      <c r="I178" s="6"/>
      <c r="J178" s="6"/>
      <c r="K178" s="6"/>
      <c r="L178" s="20"/>
      <c r="M178" s="84">
        <f t="shared" si="10"/>
        <v>0</v>
      </c>
      <c r="N178" s="248">
        <f>RHcount!X172</f>
        <v>0</v>
      </c>
      <c r="O178" s="17"/>
      <c r="P178" s="17"/>
      <c r="Q178" s="17"/>
      <c r="R178" s="17"/>
      <c r="S178" s="17"/>
      <c r="T178" s="17"/>
      <c r="U178" s="4"/>
      <c r="V178" s="4"/>
    </row>
    <row r="179" spans="1:22" x14ac:dyDescent="0.25">
      <c r="A179" s="318" t="str">
        <f t="shared" si="11"/>
        <v>Sat</v>
      </c>
      <c r="B179" s="15"/>
      <c r="C179" s="16"/>
      <c r="D179" s="6"/>
      <c r="E179" s="6"/>
      <c r="F179" s="6"/>
      <c r="G179" s="6"/>
      <c r="H179" s="6"/>
      <c r="I179" s="6"/>
      <c r="J179" s="6"/>
      <c r="K179" s="6"/>
      <c r="L179" s="20"/>
      <c r="M179" s="84">
        <f t="shared" si="10"/>
        <v>0</v>
      </c>
      <c r="N179" s="248">
        <f>RHcount!X173</f>
        <v>0</v>
      </c>
      <c r="O179" s="17"/>
      <c r="P179" s="17"/>
      <c r="Q179" s="17"/>
      <c r="R179" s="17"/>
      <c r="S179" s="17"/>
      <c r="T179" s="17"/>
      <c r="U179" s="4"/>
      <c r="V179" s="4"/>
    </row>
    <row r="180" spans="1:22" x14ac:dyDescent="0.25">
      <c r="A180" s="318" t="str">
        <f t="shared" si="11"/>
        <v>Sat</v>
      </c>
      <c r="B180" s="15"/>
      <c r="C180" s="16"/>
      <c r="D180" s="6"/>
      <c r="E180" s="6"/>
      <c r="F180" s="6"/>
      <c r="G180" s="6"/>
      <c r="H180" s="6"/>
      <c r="I180" s="6"/>
      <c r="J180" s="6"/>
      <c r="K180" s="6"/>
      <c r="L180" s="20"/>
      <c r="M180" s="84">
        <f t="shared" si="10"/>
        <v>0</v>
      </c>
      <c r="N180" s="248">
        <f>RHcount!X174</f>
        <v>0</v>
      </c>
      <c r="O180" s="17"/>
      <c r="P180" s="17"/>
      <c r="Q180" s="17"/>
      <c r="R180" s="17"/>
      <c r="S180" s="17"/>
      <c r="T180" s="17"/>
      <c r="U180" s="4"/>
      <c r="V180" s="4"/>
    </row>
    <row r="181" spans="1:22" x14ac:dyDescent="0.25">
      <c r="A181" s="318" t="str">
        <f t="shared" si="11"/>
        <v>Sat</v>
      </c>
      <c r="B181" s="15"/>
      <c r="C181" s="16"/>
      <c r="D181" s="6"/>
      <c r="E181" s="6"/>
      <c r="F181" s="6"/>
      <c r="G181" s="6"/>
      <c r="H181" s="6"/>
      <c r="I181" s="6"/>
      <c r="J181" s="6"/>
      <c r="K181" s="6"/>
      <c r="L181" s="20"/>
      <c r="M181" s="84">
        <f t="shared" si="10"/>
        <v>0</v>
      </c>
      <c r="N181" s="248">
        <f>RHcount!X175</f>
        <v>0</v>
      </c>
      <c r="O181" s="17"/>
      <c r="P181" s="17"/>
      <c r="Q181" s="17"/>
      <c r="R181" s="17"/>
      <c r="S181" s="17"/>
      <c r="T181" s="17"/>
      <c r="U181" s="4"/>
      <c r="V181" s="4"/>
    </row>
    <row r="182" spans="1:22" x14ac:dyDescent="0.25">
      <c r="A182" s="318" t="str">
        <f t="shared" si="11"/>
        <v>Sat</v>
      </c>
      <c r="B182" s="15"/>
      <c r="C182" s="16"/>
      <c r="D182" s="6"/>
      <c r="E182" s="6"/>
      <c r="F182" s="6"/>
      <c r="G182" s="6"/>
      <c r="H182" s="6"/>
      <c r="I182" s="6"/>
      <c r="J182" s="6"/>
      <c r="K182" s="6"/>
      <c r="L182" s="20"/>
      <c r="M182" s="84">
        <f t="shared" si="10"/>
        <v>0</v>
      </c>
      <c r="N182" s="248">
        <f>RHcount!X176</f>
        <v>0</v>
      </c>
      <c r="O182" s="17"/>
      <c r="P182" s="17"/>
      <c r="Q182" s="17"/>
      <c r="R182" s="17"/>
      <c r="S182" s="17"/>
      <c r="T182" s="17"/>
      <c r="U182" s="4"/>
      <c r="V182" s="4"/>
    </row>
    <row r="183" spans="1:22" x14ac:dyDescent="0.25">
      <c r="A183" s="318" t="str">
        <f t="shared" si="11"/>
        <v>Sat</v>
      </c>
      <c r="B183" s="15"/>
      <c r="C183" s="16"/>
      <c r="D183" s="6"/>
      <c r="E183" s="6"/>
      <c r="F183" s="6"/>
      <c r="G183" s="6"/>
      <c r="H183" s="6"/>
      <c r="I183" s="6"/>
      <c r="J183" s="6"/>
      <c r="K183" s="6"/>
      <c r="L183" s="20"/>
      <c r="M183" s="84">
        <f t="shared" si="10"/>
        <v>0</v>
      </c>
      <c r="N183" s="248">
        <f>RHcount!X177</f>
        <v>0</v>
      </c>
      <c r="O183" s="17"/>
      <c r="P183" s="17"/>
      <c r="Q183" s="17"/>
      <c r="R183" s="17"/>
      <c r="S183" s="17"/>
      <c r="T183" s="17"/>
      <c r="U183" s="4"/>
      <c r="V183" s="4"/>
    </row>
    <row r="184" spans="1:22" x14ac:dyDescent="0.25">
      <c r="A184" s="318" t="str">
        <f t="shared" si="11"/>
        <v>Sat</v>
      </c>
      <c r="B184" s="15"/>
      <c r="C184" s="16"/>
      <c r="D184" s="6"/>
      <c r="E184" s="6"/>
      <c r="F184" s="6"/>
      <c r="G184" s="6"/>
      <c r="H184" s="6"/>
      <c r="I184" s="6"/>
      <c r="J184" s="6"/>
      <c r="K184" s="6"/>
      <c r="L184" s="20"/>
      <c r="M184" s="84">
        <f t="shared" si="10"/>
        <v>0</v>
      </c>
      <c r="N184" s="248">
        <f>RHcount!X178</f>
        <v>0</v>
      </c>
      <c r="O184" s="17"/>
      <c r="P184" s="17"/>
      <c r="Q184" s="17"/>
      <c r="R184" s="17"/>
      <c r="S184" s="17"/>
      <c r="T184" s="17"/>
      <c r="U184" s="4"/>
      <c r="V184" s="4"/>
    </row>
    <row r="185" spans="1:22" x14ac:dyDescent="0.25">
      <c r="A185" s="318" t="str">
        <f t="shared" si="11"/>
        <v>Sat</v>
      </c>
      <c r="B185" s="15"/>
      <c r="C185" s="16"/>
      <c r="D185" s="6"/>
      <c r="E185" s="6"/>
      <c r="F185" s="6"/>
      <c r="G185" s="6"/>
      <c r="H185" s="6"/>
      <c r="I185" s="6"/>
      <c r="J185" s="6"/>
      <c r="K185" s="6"/>
      <c r="L185" s="20"/>
      <c r="M185" s="84">
        <f t="shared" si="10"/>
        <v>0</v>
      </c>
      <c r="N185" s="248">
        <f>RHcount!X179</f>
        <v>0</v>
      </c>
      <c r="O185" s="17"/>
      <c r="P185" s="17"/>
      <c r="Q185" s="17"/>
      <c r="R185" s="17"/>
      <c r="S185" s="17"/>
      <c r="T185" s="17"/>
      <c r="U185" s="4"/>
      <c r="V185" s="4"/>
    </row>
    <row r="186" spans="1:22" x14ac:dyDescent="0.25">
      <c r="A186" s="318" t="str">
        <f t="shared" si="11"/>
        <v>Sat</v>
      </c>
      <c r="B186" s="15"/>
      <c r="C186" s="16"/>
      <c r="D186" s="6"/>
      <c r="E186" s="6"/>
      <c r="F186" s="6"/>
      <c r="G186" s="6"/>
      <c r="H186" s="6"/>
      <c r="I186" s="6"/>
      <c r="J186" s="6"/>
      <c r="K186" s="6"/>
      <c r="L186" s="20"/>
      <c r="M186" s="84">
        <f t="shared" si="10"/>
        <v>0</v>
      </c>
      <c r="N186" s="248">
        <f>RHcount!X180</f>
        <v>0</v>
      </c>
      <c r="O186" s="17"/>
      <c r="P186" s="17"/>
      <c r="Q186" s="17"/>
      <c r="R186" s="17"/>
      <c r="S186" s="17"/>
      <c r="T186" s="17"/>
      <c r="U186" s="4"/>
      <c r="V186" s="4"/>
    </row>
    <row r="187" spans="1:22" x14ac:dyDescent="0.25">
      <c r="A187" s="318" t="str">
        <f t="shared" si="11"/>
        <v>Sat</v>
      </c>
      <c r="B187" s="15"/>
      <c r="C187" s="16"/>
      <c r="D187" s="6"/>
      <c r="E187" s="6"/>
      <c r="F187" s="6"/>
      <c r="G187" s="6"/>
      <c r="H187" s="6"/>
      <c r="I187" s="6"/>
      <c r="J187" s="6"/>
      <c r="K187" s="6"/>
      <c r="L187" s="20"/>
      <c r="M187" s="84">
        <f t="shared" si="10"/>
        <v>0</v>
      </c>
      <c r="N187" s="248">
        <f>RHcount!X181</f>
        <v>0</v>
      </c>
      <c r="O187" s="17"/>
      <c r="P187" s="17"/>
      <c r="Q187" s="17"/>
      <c r="R187" s="17"/>
      <c r="S187" s="17"/>
      <c r="T187" s="17"/>
      <c r="U187" s="4"/>
      <c r="V187" s="4"/>
    </row>
    <row r="188" spans="1:22" x14ac:dyDescent="0.25">
      <c r="A188" s="318" t="str">
        <f t="shared" si="11"/>
        <v>Sat</v>
      </c>
      <c r="B188" s="15"/>
      <c r="C188" s="16"/>
      <c r="D188" s="6"/>
      <c r="E188" s="6"/>
      <c r="F188" s="6"/>
      <c r="G188" s="6"/>
      <c r="H188" s="6"/>
      <c r="I188" s="6"/>
      <c r="J188" s="6"/>
      <c r="K188" s="6"/>
      <c r="L188" s="20"/>
      <c r="M188" s="84">
        <f t="shared" si="10"/>
        <v>0</v>
      </c>
      <c r="N188" s="248">
        <f>RHcount!X182</f>
        <v>0</v>
      </c>
      <c r="O188" s="17"/>
      <c r="P188" s="17"/>
      <c r="Q188" s="17"/>
      <c r="R188" s="17"/>
      <c r="S188" s="17"/>
      <c r="T188" s="17"/>
      <c r="U188" s="4"/>
      <c r="V188" s="4"/>
    </row>
    <row r="189" spans="1:22" x14ac:dyDescent="0.25">
      <c r="A189" s="318" t="str">
        <f t="shared" si="11"/>
        <v>Sat</v>
      </c>
      <c r="B189" s="15"/>
      <c r="C189" s="16"/>
      <c r="D189" s="6"/>
      <c r="E189" s="6"/>
      <c r="F189" s="6"/>
      <c r="G189" s="6"/>
      <c r="H189" s="6"/>
      <c r="I189" s="6"/>
      <c r="J189" s="6"/>
      <c r="K189" s="6"/>
      <c r="L189" s="20"/>
      <c r="M189" s="84">
        <f t="shared" si="10"/>
        <v>0</v>
      </c>
      <c r="N189" s="248">
        <f>RHcount!X183</f>
        <v>0</v>
      </c>
      <c r="O189" s="17"/>
      <c r="P189" s="17"/>
      <c r="Q189" s="17"/>
      <c r="R189" s="17"/>
      <c r="S189" s="17"/>
      <c r="T189" s="17"/>
      <c r="U189" s="4"/>
      <c r="V189" s="4"/>
    </row>
    <row r="190" spans="1:22" x14ac:dyDescent="0.25">
      <c r="A190" s="318" t="str">
        <f t="shared" si="11"/>
        <v>Sat</v>
      </c>
      <c r="B190" s="15"/>
      <c r="C190" s="16"/>
      <c r="D190" s="6"/>
      <c r="E190" s="6"/>
      <c r="F190" s="6"/>
      <c r="G190" s="6"/>
      <c r="H190" s="6"/>
      <c r="I190" s="6"/>
      <c r="J190" s="6"/>
      <c r="K190" s="6"/>
      <c r="L190" s="20"/>
      <c r="M190" s="84">
        <f t="shared" si="10"/>
        <v>0</v>
      </c>
      <c r="N190" s="248">
        <f>RHcount!X184</f>
        <v>0</v>
      </c>
      <c r="O190" s="17"/>
      <c r="P190" s="17"/>
      <c r="Q190" s="17"/>
      <c r="R190" s="17"/>
      <c r="S190" s="17"/>
      <c r="T190" s="17"/>
      <c r="U190" s="4"/>
      <c r="V190" s="4"/>
    </row>
    <row r="191" spans="1:22" x14ac:dyDescent="0.25">
      <c r="A191" s="318" t="str">
        <f t="shared" ref="A191:A204" si="12">TEXT(B191,"ddd")</f>
        <v>Sat</v>
      </c>
      <c r="B191" s="15"/>
      <c r="C191" s="16"/>
      <c r="D191" s="6"/>
      <c r="E191" s="6"/>
      <c r="F191" s="6"/>
      <c r="G191" s="6"/>
      <c r="H191" s="6"/>
      <c r="I191" s="6"/>
      <c r="J191" s="6"/>
      <c r="K191" s="6"/>
      <c r="L191" s="20"/>
      <c r="M191" s="84">
        <f t="shared" si="10"/>
        <v>0</v>
      </c>
      <c r="N191" s="248">
        <f>RHcount!X185</f>
        <v>0</v>
      </c>
      <c r="O191" s="17"/>
      <c r="P191" s="17"/>
      <c r="Q191" s="17"/>
      <c r="R191" s="17"/>
      <c r="S191" s="17"/>
      <c r="T191" s="17"/>
      <c r="U191" s="4"/>
      <c r="V191" s="4"/>
    </row>
    <row r="192" spans="1:22" x14ac:dyDescent="0.25">
      <c r="A192" s="318" t="str">
        <f t="shared" si="12"/>
        <v>Sat</v>
      </c>
      <c r="B192" s="15"/>
      <c r="C192" s="16"/>
      <c r="D192" s="6"/>
      <c r="E192" s="6"/>
      <c r="F192" s="6"/>
      <c r="G192" s="6"/>
      <c r="H192" s="6"/>
      <c r="I192" s="6"/>
      <c r="J192" s="6"/>
      <c r="K192" s="6"/>
      <c r="L192" s="20"/>
      <c r="M192" s="84">
        <f t="shared" si="10"/>
        <v>0</v>
      </c>
      <c r="N192" s="248">
        <f>RHcount!X186</f>
        <v>0</v>
      </c>
      <c r="O192" s="17"/>
      <c r="P192" s="17"/>
      <c r="Q192" s="17"/>
      <c r="R192" s="17"/>
      <c r="S192" s="17"/>
      <c r="T192" s="17"/>
      <c r="U192" s="4"/>
      <c r="V192" s="4"/>
    </row>
    <row r="193" spans="1:22" x14ac:dyDescent="0.25">
      <c r="A193" s="318" t="str">
        <f t="shared" si="12"/>
        <v>Sat</v>
      </c>
      <c r="B193" s="15"/>
      <c r="C193" s="16"/>
      <c r="D193" s="6"/>
      <c r="E193" s="6"/>
      <c r="F193" s="6"/>
      <c r="G193" s="6"/>
      <c r="H193" s="6"/>
      <c r="I193" s="6"/>
      <c r="J193" s="6"/>
      <c r="K193" s="6"/>
      <c r="L193" s="20"/>
      <c r="M193" s="84">
        <f t="shared" si="10"/>
        <v>0</v>
      </c>
      <c r="N193" s="248">
        <f>RHcount!X187</f>
        <v>0</v>
      </c>
      <c r="O193" s="17"/>
      <c r="P193" s="17"/>
      <c r="Q193" s="17"/>
      <c r="R193" s="17"/>
      <c r="S193" s="17"/>
      <c r="T193" s="17"/>
      <c r="U193" s="4"/>
      <c r="V193" s="4"/>
    </row>
    <row r="194" spans="1:22" x14ac:dyDescent="0.25">
      <c r="A194" s="318" t="str">
        <f t="shared" si="12"/>
        <v>Sat</v>
      </c>
      <c r="B194" s="15"/>
      <c r="C194" s="16"/>
      <c r="D194" s="6"/>
      <c r="E194" s="6"/>
      <c r="F194" s="6"/>
      <c r="G194" s="6"/>
      <c r="H194" s="6"/>
      <c r="I194" s="6"/>
      <c r="J194" s="6"/>
      <c r="K194" s="6"/>
      <c r="L194" s="20"/>
      <c r="M194" s="84">
        <f t="shared" si="10"/>
        <v>0</v>
      </c>
      <c r="N194" s="248">
        <f>RHcount!X188</f>
        <v>0</v>
      </c>
      <c r="O194" s="17"/>
      <c r="P194" s="17"/>
      <c r="Q194" s="17"/>
      <c r="R194" s="17"/>
      <c r="S194" s="17"/>
      <c r="T194" s="17"/>
      <c r="U194" s="4"/>
      <c r="V194" s="4"/>
    </row>
    <row r="195" spans="1:22" x14ac:dyDescent="0.25">
      <c r="A195" s="318" t="str">
        <f t="shared" si="12"/>
        <v>Sat</v>
      </c>
      <c r="B195" s="15"/>
      <c r="C195" s="16"/>
      <c r="D195" s="6"/>
      <c r="E195" s="6"/>
      <c r="F195" s="6"/>
      <c r="G195" s="6"/>
      <c r="H195" s="6"/>
      <c r="I195" s="6"/>
      <c r="J195" s="6"/>
      <c r="K195" s="6"/>
      <c r="L195" s="20"/>
      <c r="M195" s="84">
        <f t="shared" si="10"/>
        <v>0</v>
      </c>
      <c r="N195" s="248">
        <f>RHcount!X189</f>
        <v>0</v>
      </c>
      <c r="O195" s="17"/>
      <c r="P195" s="17"/>
      <c r="Q195" s="17"/>
      <c r="R195" s="17"/>
      <c r="S195" s="17"/>
      <c r="T195" s="17"/>
      <c r="U195" s="4"/>
      <c r="V195" s="4"/>
    </row>
    <row r="196" spans="1:22" x14ac:dyDescent="0.25">
      <c r="A196" s="318" t="str">
        <f t="shared" si="12"/>
        <v>Sat</v>
      </c>
      <c r="B196" s="15"/>
      <c r="C196" s="16"/>
      <c r="D196" s="6"/>
      <c r="E196" s="6"/>
      <c r="F196" s="6"/>
      <c r="G196" s="6"/>
      <c r="H196" s="6"/>
      <c r="I196" s="6"/>
      <c r="J196" s="6"/>
      <c r="K196" s="6"/>
      <c r="L196" s="20"/>
      <c r="M196" s="84">
        <f t="shared" si="10"/>
        <v>0</v>
      </c>
      <c r="N196" s="248">
        <f>RHcount!X190</f>
        <v>0</v>
      </c>
      <c r="O196" s="17"/>
      <c r="P196" s="17"/>
      <c r="Q196" s="17"/>
      <c r="R196" s="17"/>
      <c r="S196" s="17"/>
      <c r="T196" s="17"/>
      <c r="U196" s="4"/>
      <c r="V196" s="4"/>
    </row>
    <row r="197" spans="1:22" x14ac:dyDescent="0.25">
      <c r="A197" s="318" t="str">
        <f t="shared" si="12"/>
        <v>Sat</v>
      </c>
      <c r="B197" s="15"/>
      <c r="C197" s="16"/>
      <c r="D197" s="6"/>
      <c r="E197" s="6"/>
      <c r="F197" s="6"/>
      <c r="G197" s="6"/>
      <c r="H197" s="6"/>
      <c r="I197" s="6"/>
      <c r="J197" s="6"/>
      <c r="K197" s="6"/>
      <c r="L197" s="20"/>
      <c r="M197" s="84">
        <f t="shared" si="10"/>
        <v>0</v>
      </c>
      <c r="N197" s="248">
        <f>RHcount!X191</f>
        <v>0</v>
      </c>
      <c r="O197" s="17"/>
      <c r="P197" s="17"/>
      <c r="Q197" s="17"/>
      <c r="R197" s="17"/>
      <c r="S197" s="17"/>
      <c r="T197" s="17"/>
      <c r="U197" s="4"/>
      <c r="V197" s="4"/>
    </row>
    <row r="198" spans="1:22" x14ac:dyDescent="0.25">
      <c r="A198" s="318" t="str">
        <f t="shared" si="12"/>
        <v>Sat</v>
      </c>
      <c r="B198" s="15"/>
      <c r="C198" s="16"/>
      <c r="D198" s="6"/>
      <c r="E198" s="6"/>
      <c r="F198" s="6"/>
      <c r="G198" s="6"/>
      <c r="H198" s="6"/>
      <c r="I198" s="6"/>
      <c r="J198" s="6"/>
      <c r="K198" s="6"/>
      <c r="L198" s="20"/>
      <c r="M198" s="84">
        <f t="shared" si="10"/>
        <v>0</v>
      </c>
      <c r="N198" s="248">
        <f>RHcount!X192</f>
        <v>0</v>
      </c>
      <c r="O198" s="17"/>
      <c r="P198" s="17"/>
      <c r="Q198" s="17"/>
      <c r="R198" s="17"/>
      <c r="S198" s="17"/>
      <c r="T198" s="17"/>
      <c r="U198" s="4"/>
      <c r="V198" s="4"/>
    </row>
    <row r="199" spans="1:22" x14ac:dyDescent="0.25">
      <c r="A199" s="318" t="str">
        <f t="shared" si="12"/>
        <v>Sat</v>
      </c>
      <c r="B199" s="15"/>
      <c r="C199" s="16"/>
      <c r="D199" s="6"/>
      <c r="E199" s="6"/>
      <c r="F199" s="6"/>
      <c r="G199" s="6"/>
      <c r="H199" s="6"/>
      <c r="I199" s="6"/>
      <c r="J199" s="6"/>
      <c r="K199" s="6"/>
      <c r="L199" s="20"/>
      <c r="M199" s="84">
        <f t="shared" si="10"/>
        <v>0</v>
      </c>
      <c r="N199" s="248">
        <f>RHcount!X193</f>
        <v>0</v>
      </c>
      <c r="O199" s="17"/>
      <c r="P199" s="17"/>
      <c r="Q199" s="17"/>
      <c r="R199" s="17"/>
      <c r="S199" s="17"/>
      <c r="T199" s="17"/>
      <c r="U199" s="4"/>
      <c r="V199" s="4"/>
    </row>
    <row r="200" spans="1:22" x14ac:dyDescent="0.25">
      <c r="A200" s="318" t="str">
        <f t="shared" si="12"/>
        <v>Sat</v>
      </c>
      <c r="B200" s="15"/>
      <c r="C200" s="16"/>
      <c r="D200" s="6"/>
      <c r="E200" s="6"/>
      <c r="F200" s="6"/>
      <c r="G200" s="6"/>
      <c r="H200" s="6"/>
      <c r="I200" s="6"/>
      <c r="J200" s="6"/>
      <c r="K200" s="6"/>
      <c r="L200" s="20"/>
      <c r="M200" s="84">
        <f t="shared" si="10"/>
        <v>0</v>
      </c>
      <c r="N200" s="248">
        <f>RHcount!X194</f>
        <v>0</v>
      </c>
      <c r="O200" s="17"/>
      <c r="P200" s="17"/>
      <c r="Q200" s="17"/>
      <c r="R200" s="17"/>
      <c r="S200" s="17"/>
      <c r="T200" s="17"/>
      <c r="U200" s="4"/>
      <c r="V200" s="4"/>
    </row>
    <row r="201" spans="1:22" x14ac:dyDescent="0.25">
      <c r="A201" s="318" t="str">
        <f t="shared" si="12"/>
        <v>Sat</v>
      </c>
      <c r="B201" s="15"/>
      <c r="C201" s="16"/>
      <c r="D201" s="6"/>
      <c r="E201" s="6"/>
      <c r="F201" s="6"/>
      <c r="G201" s="6"/>
      <c r="H201" s="6"/>
      <c r="I201" s="6"/>
      <c r="J201" s="6"/>
      <c r="K201" s="6"/>
      <c r="L201" s="20"/>
      <c r="M201" s="84">
        <f t="shared" si="10"/>
        <v>0</v>
      </c>
      <c r="N201" s="248">
        <f>RHcount!X195</f>
        <v>0</v>
      </c>
      <c r="O201" s="17"/>
      <c r="P201" s="17"/>
      <c r="Q201" s="17"/>
      <c r="R201" s="17"/>
      <c r="S201" s="17"/>
      <c r="T201" s="17"/>
      <c r="U201" s="4"/>
      <c r="V201" s="4"/>
    </row>
    <row r="202" spans="1:22" x14ac:dyDescent="0.25">
      <c r="A202" s="318" t="str">
        <f t="shared" si="12"/>
        <v>Sat</v>
      </c>
      <c r="B202" s="15"/>
      <c r="C202" s="16"/>
      <c r="D202" s="6"/>
      <c r="E202" s="6"/>
      <c r="F202" s="6"/>
      <c r="G202" s="6"/>
      <c r="H202" s="6"/>
      <c r="I202" s="6"/>
      <c r="J202" s="6"/>
      <c r="K202" s="6"/>
      <c r="L202" s="20"/>
      <c r="M202" s="84">
        <f t="shared" si="10"/>
        <v>0</v>
      </c>
      <c r="N202" s="248">
        <f>RHcount!X196</f>
        <v>0</v>
      </c>
      <c r="O202" s="17"/>
      <c r="P202" s="17"/>
      <c r="Q202" s="17"/>
      <c r="R202" s="17"/>
      <c r="S202" s="17"/>
      <c r="T202" s="17"/>
      <c r="U202" s="4"/>
      <c r="V202" s="4"/>
    </row>
    <row r="203" spans="1:22" x14ac:dyDescent="0.25">
      <c r="A203" s="318" t="str">
        <f t="shared" si="12"/>
        <v>Sat</v>
      </c>
      <c r="B203" s="15"/>
      <c r="C203" s="16"/>
      <c r="D203" s="6"/>
      <c r="E203" s="6"/>
      <c r="F203" s="6"/>
      <c r="G203" s="6"/>
      <c r="H203" s="6"/>
      <c r="I203" s="6"/>
      <c r="J203" s="6"/>
      <c r="K203" s="6"/>
      <c r="L203" s="20"/>
      <c r="M203" s="84">
        <f t="shared" ref="M203:M266" si="13">IF(F203&gt;"a",VLOOKUP(F203,$U$11:$V$26,2),F203)</f>
        <v>0</v>
      </c>
      <c r="N203" s="248">
        <f>RHcount!X197</f>
        <v>0</v>
      </c>
      <c r="O203" s="17"/>
      <c r="P203" s="17"/>
      <c r="Q203" s="17"/>
      <c r="R203" s="17"/>
      <c r="S203" s="17"/>
      <c r="T203" s="17"/>
      <c r="U203" s="4"/>
      <c r="V203" s="4"/>
    </row>
    <row r="204" spans="1:22" x14ac:dyDescent="0.25">
      <c r="A204" s="318" t="str">
        <f t="shared" si="12"/>
        <v>Sat</v>
      </c>
      <c r="B204" s="15"/>
      <c r="C204" s="16"/>
      <c r="D204" s="6"/>
      <c r="E204" s="6"/>
      <c r="F204" s="6"/>
      <c r="G204" s="6"/>
      <c r="H204" s="6"/>
      <c r="I204" s="6"/>
      <c r="J204" s="6"/>
      <c r="K204" s="6"/>
      <c r="L204" s="20"/>
      <c r="M204" s="84">
        <f t="shared" si="13"/>
        <v>0</v>
      </c>
      <c r="N204" s="248">
        <f>RHcount!X198</f>
        <v>0</v>
      </c>
      <c r="O204" s="17"/>
      <c r="P204" s="17"/>
      <c r="Q204" s="17"/>
      <c r="R204" s="17"/>
      <c r="S204" s="17"/>
      <c r="T204" s="17"/>
      <c r="U204" s="4"/>
      <c r="V204" s="4"/>
    </row>
    <row r="205" spans="1:22" x14ac:dyDescent="0.25">
      <c r="A205" s="318" t="str">
        <f t="shared" ref="A205:A268" si="14">TEXT(B205,"ddd")</f>
        <v>Sat</v>
      </c>
      <c r="B205" s="15"/>
      <c r="C205" s="16"/>
      <c r="D205" s="6"/>
      <c r="E205" s="6"/>
      <c r="F205" s="6"/>
      <c r="G205" s="6"/>
      <c r="H205" s="6"/>
      <c r="I205" s="6"/>
      <c r="J205" s="6"/>
      <c r="K205" s="6"/>
      <c r="L205" s="20"/>
      <c r="M205" s="84">
        <f t="shared" si="13"/>
        <v>0</v>
      </c>
      <c r="N205" s="248">
        <f>RHcount!X199</f>
        <v>0</v>
      </c>
      <c r="O205" s="17"/>
      <c r="P205" s="17"/>
      <c r="Q205" s="17"/>
      <c r="R205" s="17"/>
      <c r="S205" s="17"/>
      <c r="T205" s="17"/>
      <c r="U205" s="4"/>
      <c r="V205" s="4"/>
    </row>
    <row r="206" spans="1:22" x14ac:dyDescent="0.25">
      <c r="A206" s="318" t="str">
        <f t="shared" si="14"/>
        <v>Sat</v>
      </c>
      <c r="B206" s="15"/>
      <c r="C206" s="16"/>
      <c r="D206" s="6"/>
      <c r="E206" s="6"/>
      <c r="F206" s="6"/>
      <c r="G206" s="6"/>
      <c r="H206" s="6"/>
      <c r="I206" s="6"/>
      <c r="J206" s="6"/>
      <c r="K206" s="6"/>
      <c r="L206" s="20"/>
      <c r="M206" s="84">
        <f t="shared" si="13"/>
        <v>0</v>
      </c>
      <c r="N206" s="248">
        <f>RHcount!X200</f>
        <v>0</v>
      </c>
      <c r="O206" s="17"/>
      <c r="P206" s="17"/>
      <c r="Q206" s="17"/>
      <c r="R206" s="17"/>
      <c r="S206" s="17"/>
      <c r="T206" s="17"/>
      <c r="U206" s="4"/>
      <c r="V206" s="4"/>
    </row>
    <row r="207" spans="1:22" x14ac:dyDescent="0.25">
      <c r="A207" s="318" t="str">
        <f t="shared" si="14"/>
        <v>Sat</v>
      </c>
      <c r="B207" s="15"/>
      <c r="C207" s="16"/>
      <c r="D207" s="6"/>
      <c r="E207" s="6"/>
      <c r="F207" s="6"/>
      <c r="G207" s="6"/>
      <c r="H207" s="6"/>
      <c r="I207" s="6"/>
      <c r="J207" s="6"/>
      <c r="K207" s="6"/>
      <c r="L207" s="20"/>
      <c r="M207" s="84">
        <f t="shared" si="13"/>
        <v>0</v>
      </c>
      <c r="N207" s="248">
        <f>RHcount!X201</f>
        <v>0</v>
      </c>
      <c r="O207" s="17"/>
      <c r="P207" s="17"/>
      <c r="Q207" s="17"/>
      <c r="R207" s="17"/>
      <c r="S207" s="17"/>
      <c r="T207" s="17"/>
      <c r="U207" s="4"/>
      <c r="V207" s="4"/>
    </row>
    <row r="208" spans="1:22" x14ac:dyDescent="0.25">
      <c r="A208" s="318" t="str">
        <f t="shared" si="14"/>
        <v>Sat</v>
      </c>
      <c r="B208" s="15"/>
      <c r="C208" s="16"/>
      <c r="D208" s="6"/>
      <c r="E208" s="6"/>
      <c r="F208" s="6"/>
      <c r="G208" s="6"/>
      <c r="H208" s="6"/>
      <c r="I208" s="6"/>
      <c r="J208" s="6"/>
      <c r="K208" s="6"/>
      <c r="L208" s="20"/>
      <c r="M208" s="84">
        <f t="shared" si="13"/>
        <v>0</v>
      </c>
      <c r="N208" s="248">
        <f>RHcount!X202</f>
        <v>0</v>
      </c>
      <c r="O208" s="17"/>
      <c r="P208" s="17"/>
      <c r="Q208" s="17"/>
      <c r="R208" s="17"/>
      <c r="S208" s="17"/>
      <c r="T208" s="17"/>
      <c r="U208" s="4"/>
      <c r="V208" s="4"/>
    </row>
    <row r="209" spans="1:22" x14ac:dyDescent="0.25">
      <c r="A209" s="318" t="str">
        <f t="shared" si="14"/>
        <v>Sat</v>
      </c>
      <c r="B209" s="15"/>
      <c r="C209" s="16"/>
      <c r="D209" s="6"/>
      <c r="E209" s="6"/>
      <c r="F209" s="6"/>
      <c r="G209" s="6"/>
      <c r="H209" s="6"/>
      <c r="I209" s="6"/>
      <c r="J209" s="6"/>
      <c r="K209" s="6"/>
      <c r="L209" s="20"/>
      <c r="M209" s="84">
        <f t="shared" si="13"/>
        <v>0</v>
      </c>
      <c r="N209" s="248">
        <f>RHcount!X203</f>
        <v>0</v>
      </c>
      <c r="O209" s="17"/>
      <c r="P209" s="17"/>
      <c r="Q209" s="17"/>
      <c r="R209" s="17"/>
      <c r="S209" s="17"/>
      <c r="T209" s="17"/>
      <c r="U209" s="4"/>
      <c r="V209" s="4"/>
    </row>
    <row r="210" spans="1:22" x14ac:dyDescent="0.25">
      <c r="A210" s="318" t="str">
        <f t="shared" si="14"/>
        <v>Sat</v>
      </c>
      <c r="B210" s="15"/>
      <c r="C210" s="16"/>
      <c r="D210" s="6"/>
      <c r="E210" s="6"/>
      <c r="F210" s="6"/>
      <c r="G210" s="6"/>
      <c r="H210" s="6"/>
      <c r="I210" s="6"/>
      <c r="J210" s="6"/>
      <c r="K210" s="6"/>
      <c r="L210" s="20"/>
      <c r="M210" s="84">
        <f t="shared" si="13"/>
        <v>0</v>
      </c>
      <c r="N210" s="248">
        <f>RHcount!X204</f>
        <v>0</v>
      </c>
      <c r="O210" s="17"/>
      <c r="P210" s="17"/>
      <c r="Q210" s="17"/>
      <c r="R210" s="17"/>
      <c r="S210" s="17"/>
      <c r="T210" s="17"/>
      <c r="U210" s="4"/>
      <c r="V210" s="4"/>
    </row>
    <row r="211" spans="1:22" x14ac:dyDescent="0.25">
      <c r="A211" s="318" t="str">
        <f t="shared" si="14"/>
        <v>Sat</v>
      </c>
      <c r="B211" s="15"/>
      <c r="C211" s="16"/>
      <c r="D211" s="6"/>
      <c r="E211" s="6"/>
      <c r="F211" s="6"/>
      <c r="G211" s="6"/>
      <c r="H211" s="6"/>
      <c r="I211" s="6"/>
      <c r="J211" s="6"/>
      <c r="K211" s="6"/>
      <c r="L211" s="20"/>
      <c r="M211" s="84">
        <f t="shared" si="13"/>
        <v>0</v>
      </c>
      <c r="N211" s="248">
        <f>RHcount!X205</f>
        <v>0</v>
      </c>
      <c r="O211" s="17"/>
      <c r="P211" s="17"/>
      <c r="Q211" s="17"/>
      <c r="R211" s="17"/>
      <c r="S211" s="17"/>
      <c r="T211" s="17"/>
      <c r="U211" s="4"/>
      <c r="V211" s="4"/>
    </row>
    <row r="212" spans="1:22" x14ac:dyDescent="0.25">
      <c r="A212" s="318" t="str">
        <f t="shared" si="14"/>
        <v>Sat</v>
      </c>
      <c r="B212" s="15"/>
      <c r="C212" s="16"/>
      <c r="D212" s="6"/>
      <c r="E212" s="6"/>
      <c r="F212" s="6"/>
      <c r="G212" s="6"/>
      <c r="H212" s="6"/>
      <c r="I212" s="6"/>
      <c r="J212" s="6"/>
      <c r="K212" s="6"/>
      <c r="L212" s="20"/>
      <c r="M212" s="84">
        <f t="shared" si="13"/>
        <v>0</v>
      </c>
      <c r="N212" s="248">
        <f>RHcount!X206</f>
        <v>0</v>
      </c>
      <c r="O212" s="17"/>
      <c r="P212" s="17"/>
      <c r="Q212" s="17"/>
      <c r="R212" s="17"/>
      <c r="S212" s="17"/>
      <c r="T212" s="17"/>
      <c r="U212" s="4"/>
      <c r="V212" s="4"/>
    </row>
    <row r="213" spans="1:22" x14ac:dyDescent="0.25">
      <c r="A213" s="318" t="str">
        <f t="shared" si="14"/>
        <v>Sat</v>
      </c>
      <c r="B213" s="15"/>
      <c r="C213" s="16"/>
      <c r="D213" s="6"/>
      <c r="E213" s="6"/>
      <c r="F213" s="6"/>
      <c r="G213" s="6"/>
      <c r="H213" s="6"/>
      <c r="I213" s="6"/>
      <c r="J213" s="6"/>
      <c r="K213" s="6"/>
      <c r="L213" s="20"/>
      <c r="M213" s="84">
        <f t="shared" si="13"/>
        <v>0</v>
      </c>
      <c r="N213" s="248">
        <f>RHcount!X207</f>
        <v>0</v>
      </c>
      <c r="O213" s="17"/>
      <c r="P213" s="17"/>
      <c r="Q213" s="17"/>
      <c r="R213" s="17"/>
      <c r="S213" s="17"/>
      <c r="T213" s="17"/>
      <c r="U213" s="4"/>
      <c r="V213" s="4"/>
    </row>
    <row r="214" spans="1:22" x14ac:dyDescent="0.25">
      <c r="A214" s="318" t="str">
        <f t="shared" si="14"/>
        <v>Sat</v>
      </c>
      <c r="B214" s="15"/>
      <c r="C214" s="16"/>
      <c r="D214" s="6"/>
      <c r="E214" s="6"/>
      <c r="F214" s="6"/>
      <c r="G214" s="6"/>
      <c r="H214" s="6"/>
      <c r="I214" s="6"/>
      <c r="J214" s="6"/>
      <c r="K214" s="6"/>
      <c r="L214" s="20"/>
      <c r="M214" s="84">
        <f t="shared" si="13"/>
        <v>0</v>
      </c>
      <c r="N214" s="248">
        <f>RHcount!X208</f>
        <v>0</v>
      </c>
      <c r="O214" s="17"/>
      <c r="P214" s="17"/>
      <c r="Q214" s="17"/>
      <c r="R214" s="17"/>
      <c r="S214" s="17"/>
      <c r="T214" s="17"/>
      <c r="U214" s="4"/>
      <c r="V214" s="4"/>
    </row>
    <row r="215" spans="1:22" x14ac:dyDescent="0.25">
      <c r="A215" s="318" t="str">
        <f t="shared" si="14"/>
        <v>Sat</v>
      </c>
      <c r="B215" s="15"/>
      <c r="C215" s="16"/>
      <c r="D215" s="6"/>
      <c r="E215" s="6"/>
      <c r="F215" s="6"/>
      <c r="G215" s="6"/>
      <c r="H215" s="6"/>
      <c r="I215" s="6"/>
      <c r="J215" s="6"/>
      <c r="K215" s="6"/>
      <c r="L215" s="20"/>
      <c r="M215" s="84">
        <f t="shared" si="13"/>
        <v>0</v>
      </c>
      <c r="N215" s="248">
        <f>RHcount!X209</f>
        <v>0</v>
      </c>
      <c r="O215" s="17"/>
      <c r="P215" s="17"/>
      <c r="Q215" s="17"/>
      <c r="R215" s="17"/>
      <c r="S215" s="17"/>
      <c r="T215" s="17"/>
      <c r="U215" s="4"/>
      <c r="V215" s="4"/>
    </row>
    <row r="216" spans="1:22" x14ac:dyDescent="0.25">
      <c r="A216" s="318" t="str">
        <f t="shared" si="14"/>
        <v>Sat</v>
      </c>
      <c r="B216" s="15"/>
      <c r="C216" s="16"/>
      <c r="D216" s="6"/>
      <c r="E216" s="6"/>
      <c r="F216" s="6"/>
      <c r="G216" s="6"/>
      <c r="H216" s="6"/>
      <c r="I216" s="6"/>
      <c r="J216" s="6"/>
      <c r="K216" s="6"/>
      <c r="L216" s="20"/>
      <c r="M216" s="84">
        <f t="shared" si="13"/>
        <v>0</v>
      </c>
      <c r="N216" s="248">
        <f>RHcount!X210</f>
        <v>0</v>
      </c>
      <c r="O216" s="17"/>
      <c r="P216" s="17"/>
      <c r="Q216" s="17"/>
      <c r="R216" s="17"/>
      <c r="S216" s="17"/>
      <c r="T216" s="17"/>
      <c r="U216" s="4"/>
      <c r="V216" s="4"/>
    </row>
    <row r="217" spans="1:22" x14ac:dyDescent="0.25">
      <c r="A217" s="318" t="str">
        <f t="shared" si="14"/>
        <v>Sat</v>
      </c>
      <c r="B217" s="15"/>
      <c r="C217" s="16"/>
      <c r="D217" s="6"/>
      <c r="E217" s="6"/>
      <c r="F217" s="6"/>
      <c r="G217" s="6"/>
      <c r="H217" s="6"/>
      <c r="I217" s="6"/>
      <c r="J217" s="6"/>
      <c r="K217" s="6"/>
      <c r="L217" s="20"/>
      <c r="M217" s="84">
        <f t="shared" si="13"/>
        <v>0</v>
      </c>
      <c r="N217" s="248">
        <f>RHcount!X211</f>
        <v>0</v>
      </c>
      <c r="O217" s="17"/>
      <c r="P217" s="17"/>
      <c r="Q217" s="17"/>
      <c r="R217" s="17"/>
      <c r="S217" s="17"/>
      <c r="T217" s="17"/>
      <c r="U217" s="4"/>
      <c r="V217" s="4"/>
    </row>
    <row r="218" spans="1:22" x14ac:dyDescent="0.25">
      <c r="A218" s="318" t="str">
        <f t="shared" si="14"/>
        <v>Sat</v>
      </c>
      <c r="B218" s="15"/>
      <c r="C218" s="16"/>
      <c r="D218" s="6"/>
      <c r="E218" s="6"/>
      <c r="F218" s="6"/>
      <c r="G218" s="6"/>
      <c r="H218" s="6"/>
      <c r="I218" s="6"/>
      <c r="J218" s="6"/>
      <c r="K218" s="6"/>
      <c r="L218" s="20"/>
      <c r="M218" s="84">
        <f t="shared" si="13"/>
        <v>0</v>
      </c>
      <c r="N218" s="248">
        <f>RHcount!X212</f>
        <v>0</v>
      </c>
      <c r="O218" s="17"/>
      <c r="P218" s="17"/>
      <c r="Q218" s="17"/>
      <c r="R218" s="17"/>
      <c r="S218" s="17"/>
      <c r="T218" s="17"/>
      <c r="U218" s="4"/>
      <c r="V218" s="4"/>
    </row>
    <row r="219" spans="1:22" x14ac:dyDescent="0.25">
      <c r="A219" s="318" t="str">
        <f t="shared" si="14"/>
        <v>Sat</v>
      </c>
      <c r="B219" s="15"/>
      <c r="C219" s="16"/>
      <c r="D219" s="6"/>
      <c r="E219" s="6"/>
      <c r="F219" s="6"/>
      <c r="G219" s="6"/>
      <c r="H219" s="6"/>
      <c r="I219" s="6"/>
      <c r="J219" s="6"/>
      <c r="K219" s="6"/>
      <c r="L219" s="20"/>
      <c r="M219" s="84">
        <f t="shared" si="13"/>
        <v>0</v>
      </c>
      <c r="N219" s="248">
        <f>RHcount!X213</f>
        <v>0</v>
      </c>
      <c r="O219" s="17"/>
      <c r="P219" s="17"/>
      <c r="Q219" s="17"/>
      <c r="R219" s="17"/>
      <c r="S219" s="17"/>
      <c r="T219" s="17"/>
      <c r="U219" s="4"/>
      <c r="V219" s="4"/>
    </row>
    <row r="220" spans="1:22" x14ac:dyDescent="0.25">
      <c r="A220" s="318" t="str">
        <f t="shared" si="14"/>
        <v>Sat</v>
      </c>
      <c r="B220" s="15"/>
      <c r="C220" s="16"/>
      <c r="D220" s="6"/>
      <c r="E220" s="6"/>
      <c r="F220" s="6"/>
      <c r="G220" s="6"/>
      <c r="H220" s="6"/>
      <c r="I220" s="6"/>
      <c r="J220" s="6"/>
      <c r="K220" s="6"/>
      <c r="L220" s="20"/>
      <c r="M220" s="84">
        <f t="shared" si="13"/>
        <v>0</v>
      </c>
      <c r="N220" s="248">
        <f>RHcount!X214</f>
        <v>0</v>
      </c>
      <c r="O220" s="17"/>
      <c r="P220" s="17"/>
      <c r="Q220" s="17"/>
      <c r="R220" s="17"/>
      <c r="S220" s="17"/>
      <c r="T220" s="17"/>
      <c r="U220" s="4"/>
      <c r="V220" s="4"/>
    </row>
    <row r="221" spans="1:22" x14ac:dyDescent="0.25">
      <c r="A221" s="318" t="str">
        <f t="shared" si="14"/>
        <v>Sat</v>
      </c>
      <c r="B221" s="15"/>
      <c r="C221" s="16"/>
      <c r="D221" s="6"/>
      <c r="E221" s="6"/>
      <c r="F221" s="6"/>
      <c r="G221" s="6"/>
      <c r="H221" s="6"/>
      <c r="I221" s="6"/>
      <c r="J221" s="6"/>
      <c r="K221" s="6"/>
      <c r="L221" s="20"/>
      <c r="M221" s="84">
        <f t="shared" si="13"/>
        <v>0</v>
      </c>
      <c r="N221" s="248">
        <f>RHcount!X215</f>
        <v>0</v>
      </c>
      <c r="O221" s="17"/>
      <c r="P221" s="17"/>
      <c r="Q221" s="17"/>
      <c r="R221" s="17"/>
      <c r="S221" s="17"/>
      <c r="T221" s="17"/>
      <c r="U221" s="4"/>
      <c r="V221" s="4"/>
    </row>
    <row r="222" spans="1:22" x14ac:dyDescent="0.25">
      <c r="A222" s="318" t="str">
        <f t="shared" si="14"/>
        <v>Sat</v>
      </c>
      <c r="B222" s="15"/>
      <c r="C222" s="16"/>
      <c r="D222" s="6"/>
      <c r="E222" s="6"/>
      <c r="F222" s="6"/>
      <c r="G222" s="6"/>
      <c r="H222" s="6"/>
      <c r="I222" s="6"/>
      <c r="J222" s="6"/>
      <c r="K222" s="6"/>
      <c r="L222" s="20"/>
      <c r="M222" s="84">
        <f t="shared" si="13"/>
        <v>0</v>
      </c>
      <c r="N222" s="248">
        <f>RHcount!X216</f>
        <v>0</v>
      </c>
      <c r="O222" s="17"/>
      <c r="P222" s="17"/>
      <c r="Q222" s="17"/>
      <c r="R222" s="17"/>
      <c r="S222" s="17"/>
      <c r="T222" s="17"/>
      <c r="U222" s="4"/>
      <c r="V222" s="4"/>
    </row>
    <row r="223" spans="1:22" x14ac:dyDescent="0.25">
      <c r="A223" s="318" t="str">
        <f t="shared" si="14"/>
        <v>Sat</v>
      </c>
      <c r="B223" s="15"/>
      <c r="C223" s="16"/>
      <c r="D223" s="6"/>
      <c r="E223" s="6"/>
      <c r="F223" s="6"/>
      <c r="G223" s="6"/>
      <c r="H223" s="6"/>
      <c r="I223" s="6"/>
      <c r="J223" s="6"/>
      <c r="K223" s="6"/>
      <c r="L223" s="20"/>
      <c r="M223" s="84">
        <f t="shared" si="13"/>
        <v>0</v>
      </c>
      <c r="N223" s="248">
        <f>RHcount!X217</f>
        <v>0</v>
      </c>
      <c r="O223" s="17"/>
      <c r="P223" s="17"/>
      <c r="Q223" s="17"/>
      <c r="R223" s="17"/>
      <c r="S223" s="17"/>
      <c r="T223" s="17"/>
      <c r="U223" s="4"/>
      <c r="V223" s="4"/>
    </row>
    <row r="224" spans="1:22" x14ac:dyDescent="0.25">
      <c r="A224" s="318" t="str">
        <f t="shared" si="14"/>
        <v>Sat</v>
      </c>
      <c r="B224" s="15"/>
      <c r="C224" s="16"/>
      <c r="D224" s="6"/>
      <c r="E224" s="6"/>
      <c r="F224" s="6"/>
      <c r="G224" s="6"/>
      <c r="H224" s="6"/>
      <c r="I224" s="6"/>
      <c r="J224" s="6"/>
      <c r="K224" s="6"/>
      <c r="L224" s="20"/>
      <c r="M224" s="84">
        <f t="shared" si="13"/>
        <v>0</v>
      </c>
      <c r="N224" s="248">
        <f>RHcount!X218</f>
        <v>0</v>
      </c>
      <c r="O224" s="17"/>
      <c r="P224" s="17"/>
      <c r="Q224" s="17"/>
      <c r="R224" s="17"/>
      <c r="S224" s="17"/>
      <c r="T224" s="17"/>
      <c r="U224" s="4"/>
      <c r="V224" s="4"/>
    </row>
    <row r="225" spans="1:22" x14ac:dyDescent="0.25">
      <c r="A225" s="318" t="str">
        <f t="shared" si="14"/>
        <v>Sat</v>
      </c>
      <c r="B225" s="15"/>
      <c r="C225" s="16"/>
      <c r="D225" s="6"/>
      <c r="E225" s="6"/>
      <c r="F225" s="6"/>
      <c r="G225" s="6"/>
      <c r="H225" s="6"/>
      <c r="I225" s="6"/>
      <c r="J225" s="6"/>
      <c r="K225" s="6"/>
      <c r="L225" s="20"/>
      <c r="M225" s="84">
        <f t="shared" si="13"/>
        <v>0</v>
      </c>
      <c r="N225" s="248">
        <f>RHcount!X219</f>
        <v>0</v>
      </c>
      <c r="O225" s="17"/>
      <c r="P225" s="17"/>
      <c r="Q225" s="17"/>
      <c r="R225" s="17"/>
      <c r="S225" s="17"/>
      <c r="T225" s="17"/>
      <c r="U225" s="4"/>
      <c r="V225" s="4"/>
    </row>
    <row r="226" spans="1:22" x14ac:dyDescent="0.25">
      <c r="A226" s="318" t="str">
        <f t="shared" si="14"/>
        <v>Sat</v>
      </c>
      <c r="B226" s="15"/>
      <c r="C226" s="16"/>
      <c r="D226" s="6"/>
      <c r="E226" s="6"/>
      <c r="F226" s="6"/>
      <c r="G226" s="6"/>
      <c r="H226" s="6"/>
      <c r="I226" s="6"/>
      <c r="J226" s="6"/>
      <c r="K226" s="6"/>
      <c r="L226" s="20"/>
      <c r="M226" s="84">
        <f t="shared" si="13"/>
        <v>0</v>
      </c>
      <c r="N226" s="248">
        <f>RHcount!X220</f>
        <v>0</v>
      </c>
      <c r="O226" s="17"/>
      <c r="P226" s="17"/>
      <c r="Q226" s="17"/>
      <c r="R226" s="17"/>
      <c r="S226" s="17"/>
      <c r="T226" s="17"/>
      <c r="U226" s="4"/>
      <c r="V226" s="4"/>
    </row>
    <row r="227" spans="1:22" x14ac:dyDescent="0.25">
      <c r="A227" s="318" t="str">
        <f t="shared" si="14"/>
        <v>Sat</v>
      </c>
      <c r="B227" s="15"/>
      <c r="C227" s="16"/>
      <c r="D227" s="6"/>
      <c r="E227" s="6"/>
      <c r="F227" s="6"/>
      <c r="G227" s="6"/>
      <c r="H227" s="6"/>
      <c r="I227" s="6"/>
      <c r="J227" s="6"/>
      <c r="K227" s="6"/>
      <c r="L227" s="20"/>
      <c r="M227" s="84">
        <f t="shared" si="13"/>
        <v>0</v>
      </c>
      <c r="N227" s="248">
        <f>RHcount!X221</f>
        <v>0</v>
      </c>
      <c r="O227" s="17"/>
      <c r="P227" s="17"/>
      <c r="Q227" s="17"/>
      <c r="R227" s="17"/>
      <c r="S227" s="17"/>
      <c r="T227" s="17"/>
      <c r="U227" s="4"/>
      <c r="V227" s="4"/>
    </row>
    <row r="228" spans="1:22" x14ac:dyDescent="0.25">
      <c r="A228" s="318" t="str">
        <f t="shared" si="14"/>
        <v>Sat</v>
      </c>
      <c r="B228" s="15"/>
      <c r="C228" s="16"/>
      <c r="D228" s="6"/>
      <c r="E228" s="6"/>
      <c r="F228" s="6"/>
      <c r="G228" s="6"/>
      <c r="H228" s="6"/>
      <c r="I228" s="6"/>
      <c r="J228" s="6"/>
      <c r="K228" s="6"/>
      <c r="L228" s="20"/>
      <c r="M228" s="84">
        <f t="shared" si="13"/>
        <v>0</v>
      </c>
      <c r="N228" s="248">
        <f>RHcount!X222</f>
        <v>0</v>
      </c>
      <c r="O228" s="17"/>
      <c r="P228" s="17"/>
      <c r="Q228" s="17"/>
      <c r="R228" s="17"/>
      <c r="S228" s="17"/>
      <c r="T228" s="17"/>
      <c r="U228" s="4"/>
      <c r="V228" s="4"/>
    </row>
    <row r="229" spans="1:22" x14ac:dyDescent="0.25">
      <c r="A229" s="318" t="str">
        <f t="shared" si="14"/>
        <v>Sat</v>
      </c>
      <c r="B229" s="15"/>
      <c r="C229" s="16"/>
      <c r="D229" s="6"/>
      <c r="E229" s="6"/>
      <c r="F229" s="6"/>
      <c r="G229" s="6"/>
      <c r="H229" s="6"/>
      <c r="I229" s="6"/>
      <c r="J229" s="6"/>
      <c r="K229" s="6"/>
      <c r="L229" s="20"/>
      <c r="M229" s="84">
        <f t="shared" si="13"/>
        <v>0</v>
      </c>
      <c r="N229" s="248">
        <f>RHcount!X223</f>
        <v>0</v>
      </c>
      <c r="O229" s="17"/>
      <c r="P229" s="17"/>
      <c r="Q229" s="17"/>
      <c r="R229" s="17"/>
      <c r="S229" s="17"/>
      <c r="T229" s="17"/>
      <c r="U229" s="4"/>
      <c r="V229" s="4"/>
    </row>
    <row r="230" spans="1:22" x14ac:dyDescent="0.25">
      <c r="A230" s="318" t="str">
        <f t="shared" si="14"/>
        <v>Sat</v>
      </c>
      <c r="B230" s="15"/>
      <c r="C230" s="16"/>
      <c r="D230" s="6"/>
      <c r="E230" s="6"/>
      <c r="F230" s="6"/>
      <c r="G230" s="6"/>
      <c r="H230" s="6"/>
      <c r="I230" s="6"/>
      <c r="J230" s="6"/>
      <c r="K230" s="6"/>
      <c r="L230" s="20"/>
      <c r="M230" s="84">
        <f t="shared" si="13"/>
        <v>0</v>
      </c>
      <c r="N230" s="248">
        <f>RHcount!X224</f>
        <v>0</v>
      </c>
      <c r="O230" s="17"/>
      <c r="P230" s="17"/>
      <c r="Q230" s="17"/>
      <c r="R230" s="17"/>
      <c r="S230" s="17"/>
      <c r="T230" s="17"/>
      <c r="U230" s="4"/>
      <c r="V230" s="4"/>
    </row>
    <row r="231" spans="1:22" x14ac:dyDescent="0.25">
      <c r="A231" s="318" t="str">
        <f t="shared" si="14"/>
        <v>Sat</v>
      </c>
      <c r="B231" s="15"/>
      <c r="C231" s="16"/>
      <c r="D231" s="6"/>
      <c r="E231" s="6"/>
      <c r="F231" s="6"/>
      <c r="G231" s="6"/>
      <c r="H231" s="6"/>
      <c r="I231" s="6"/>
      <c r="J231" s="6"/>
      <c r="K231" s="6"/>
      <c r="L231" s="20"/>
      <c r="M231" s="84">
        <f t="shared" si="13"/>
        <v>0</v>
      </c>
      <c r="N231" s="248">
        <f>RHcount!X225</f>
        <v>0</v>
      </c>
      <c r="O231" s="17"/>
      <c r="P231" s="17"/>
      <c r="Q231" s="17"/>
      <c r="R231" s="17"/>
      <c r="S231" s="17"/>
      <c r="T231" s="17"/>
      <c r="U231" s="4"/>
      <c r="V231" s="4"/>
    </row>
    <row r="232" spans="1:22" x14ac:dyDescent="0.25">
      <c r="A232" s="318" t="str">
        <f t="shared" si="14"/>
        <v>Sat</v>
      </c>
      <c r="B232" s="15"/>
      <c r="C232" s="16"/>
      <c r="D232" s="6"/>
      <c r="E232" s="6"/>
      <c r="F232" s="6"/>
      <c r="G232" s="6"/>
      <c r="H232" s="6"/>
      <c r="I232" s="6"/>
      <c r="J232" s="6"/>
      <c r="K232" s="6"/>
      <c r="L232" s="20"/>
      <c r="M232" s="84">
        <f t="shared" si="13"/>
        <v>0</v>
      </c>
      <c r="N232" s="248">
        <f>RHcount!X226</f>
        <v>0</v>
      </c>
      <c r="O232" s="17"/>
      <c r="P232" s="17"/>
      <c r="Q232" s="17"/>
      <c r="R232" s="17"/>
      <c r="S232" s="17"/>
      <c r="T232" s="17"/>
      <c r="U232" s="4"/>
      <c r="V232" s="4"/>
    </row>
    <row r="233" spans="1:22" x14ac:dyDescent="0.25">
      <c r="A233" s="318" t="str">
        <f t="shared" si="14"/>
        <v>Sat</v>
      </c>
      <c r="B233" s="15"/>
      <c r="C233" s="16"/>
      <c r="D233" s="6"/>
      <c r="E233" s="6"/>
      <c r="F233" s="6"/>
      <c r="G233" s="6"/>
      <c r="H233" s="6"/>
      <c r="I233" s="6"/>
      <c r="J233" s="6"/>
      <c r="K233" s="6"/>
      <c r="L233" s="20"/>
      <c r="M233" s="84">
        <f t="shared" si="13"/>
        <v>0</v>
      </c>
      <c r="N233" s="248">
        <f>RHcount!X227</f>
        <v>0</v>
      </c>
      <c r="O233" s="17"/>
      <c r="P233" s="17"/>
      <c r="Q233" s="17"/>
      <c r="R233" s="17"/>
      <c r="S233" s="17"/>
      <c r="T233" s="17"/>
      <c r="U233" s="4"/>
      <c r="V233" s="4"/>
    </row>
    <row r="234" spans="1:22" x14ac:dyDescent="0.25">
      <c r="A234" s="318" t="str">
        <f t="shared" si="14"/>
        <v>Sat</v>
      </c>
      <c r="B234" s="15"/>
      <c r="C234" s="16"/>
      <c r="D234" s="6"/>
      <c r="E234" s="6"/>
      <c r="F234" s="6"/>
      <c r="G234" s="6"/>
      <c r="H234" s="6"/>
      <c r="I234" s="6"/>
      <c r="J234" s="6"/>
      <c r="K234" s="6"/>
      <c r="L234" s="20"/>
      <c r="M234" s="84">
        <f t="shared" si="13"/>
        <v>0</v>
      </c>
      <c r="N234" s="248">
        <f>RHcount!X228</f>
        <v>0</v>
      </c>
      <c r="O234" s="17"/>
      <c r="P234" s="17"/>
      <c r="Q234" s="17"/>
      <c r="R234" s="17"/>
      <c r="S234" s="17"/>
      <c r="T234" s="17"/>
      <c r="U234" s="4"/>
      <c r="V234" s="4"/>
    </row>
    <row r="235" spans="1:22" x14ac:dyDescent="0.25">
      <c r="A235" s="318" t="str">
        <f t="shared" si="14"/>
        <v>Sat</v>
      </c>
      <c r="B235" s="15"/>
      <c r="C235" s="16"/>
      <c r="D235" s="6"/>
      <c r="E235" s="6"/>
      <c r="F235" s="6"/>
      <c r="G235" s="6"/>
      <c r="H235" s="6"/>
      <c r="I235" s="6"/>
      <c r="J235" s="6"/>
      <c r="K235" s="6"/>
      <c r="L235" s="20"/>
      <c r="M235" s="84">
        <f t="shared" si="13"/>
        <v>0</v>
      </c>
      <c r="N235" s="248">
        <f>RHcount!X229</f>
        <v>0</v>
      </c>
      <c r="O235" s="17"/>
      <c r="P235" s="17"/>
      <c r="Q235" s="17"/>
      <c r="R235" s="17"/>
      <c r="S235" s="17"/>
      <c r="T235" s="17"/>
      <c r="U235" s="4"/>
      <c r="V235" s="4"/>
    </row>
    <row r="236" spans="1:22" x14ac:dyDescent="0.25">
      <c r="A236" s="318" t="str">
        <f t="shared" si="14"/>
        <v>Sat</v>
      </c>
      <c r="B236" s="15"/>
      <c r="C236" s="16"/>
      <c r="D236" s="6"/>
      <c r="E236" s="6"/>
      <c r="F236" s="6"/>
      <c r="G236" s="6"/>
      <c r="H236" s="6"/>
      <c r="I236" s="6"/>
      <c r="J236" s="6"/>
      <c r="K236" s="6"/>
      <c r="L236" s="20"/>
      <c r="M236" s="84">
        <f t="shared" si="13"/>
        <v>0</v>
      </c>
      <c r="N236" s="248">
        <f>RHcount!X230</f>
        <v>0</v>
      </c>
      <c r="O236" s="17"/>
      <c r="P236" s="17"/>
      <c r="Q236" s="17"/>
      <c r="R236" s="17"/>
      <c r="S236" s="17"/>
      <c r="T236" s="17"/>
      <c r="U236" s="4"/>
      <c r="V236" s="4"/>
    </row>
    <row r="237" spans="1:22" x14ac:dyDescent="0.25">
      <c r="A237" s="318" t="str">
        <f t="shared" si="14"/>
        <v>Sat</v>
      </c>
      <c r="B237" s="15"/>
      <c r="C237" s="16"/>
      <c r="D237" s="6"/>
      <c r="E237" s="6"/>
      <c r="F237" s="6"/>
      <c r="G237" s="6"/>
      <c r="H237" s="6"/>
      <c r="I237" s="6"/>
      <c r="J237" s="6"/>
      <c r="K237" s="6"/>
      <c r="L237" s="20"/>
      <c r="M237" s="84">
        <f t="shared" si="13"/>
        <v>0</v>
      </c>
      <c r="N237" s="248">
        <f>RHcount!X231</f>
        <v>0</v>
      </c>
      <c r="O237" s="17"/>
      <c r="P237" s="17"/>
      <c r="Q237" s="17"/>
      <c r="R237" s="17"/>
      <c r="S237" s="17"/>
      <c r="T237" s="17"/>
      <c r="U237" s="4"/>
      <c r="V237" s="4"/>
    </row>
    <row r="238" spans="1:22" x14ac:dyDescent="0.25">
      <c r="A238" s="318" t="str">
        <f t="shared" si="14"/>
        <v>Sat</v>
      </c>
      <c r="B238" s="15"/>
      <c r="C238" s="16"/>
      <c r="D238" s="6"/>
      <c r="E238" s="6"/>
      <c r="F238" s="6"/>
      <c r="G238" s="6"/>
      <c r="H238" s="6"/>
      <c r="I238" s="6"/>
      <c r="J238" s="6"/>
      <c r="K238" s="6"/>
      <c r="L238" s="20"/>
      <c r="M238" s="84">
        <f t="shared" si="13"/>
        <v>0</v>
      </c>
      <c r="N238" s="248">
        <f>RHcount!X232</f>
        <v>0</v>
      </c>
      <c r="O238" s="17"/>
      <c r="P238" s="17"/>
      <c r="Q238" s="17"/>
      <c r="R238" s="17"/>
      <c r="S238" s="17"/>
      <c r="T238" s="17"/>
      <c r="U238" s="4"/>
      <c r="V238" s="4"/>
    </row>
    <row r="239" spans="1:22" x14ac:dyDescent="0.25">
      <c r="A239" s="318" t="str">
        <f t="shared" si="14"/>
        <v>Sat</v>
      </c>
      <c r="B239" s="15"/>
      <c r="C239" s="16"/>
      <c r="D239" s="6"/>
      <c r="E239" s="6"/>
      <c r="F239" s="6"/>
      <c r="G239" s="6"/>
      <c r="H239" s="6"/>
      <c r="I239" s="6"/>
      <c r="J239" s="6"/>
      <c r="K239" s="6"/>
      <c r="L239" s="20"/>
      <c r="M239" s="84">
        <f t="shared" si="13"/>
        <v>0</v>
      </c>
      <c r="N239" s="248">
        <f>RHcount!X233</f>
        <v>0</v>
      </c>
      <c r="O239" s="17"/>
      <c r="P239" s="17"/>
      <c r="Q239" s="17"/>
      <c r="R239" s="17"/>
      <c r="S239" s="17"/>
      <c r="T239" s="17"/>
      <c r="U239" s="4"/>
      <c r="V239" s="4"/>
    </row>
    <row r="240" spans="1:22" x14ac:dyDescent="0.25">
      <c r="A240" s="318" t="str">
        <f t="shared" si="14"/>
        <v>Sat</v>
      </c>
      <c r="B240" s="15"/>
      <c r="C240" s="16"/>
      <c r="D240" s="6"/>
      <c r="E240" s="6"/>
      <c r="F240" s="6"/>
      <c r="G240" s="6"/>
      <c r="H240" s="6"/>
      <c r="I240" s="6"/>
      <c r="J240" s="6"/>
      <c r="K240" s="6"/>
      <c r="L240" s="20"/>
      <c r="M240" s="84">
        <f t="shared" si="13"/>
        <v>0</v>
      </c>
      <c r="N240" s="248">
        <f>RHcount!X234</f>
        <v>0</v>
      </c>
      <c r="O240" s="17"/>
      <c r="P240" s="17"/>
      <c r="Q240" s="17"/>
      <c r="R240" s="17"/>
      <c r="S240" s="17"/>
      <c r="T240" s="17"/>
      <c r="U240" s="4"/>
      <c r="V240" s="4"/>
    </row>
    <row r="241" spans="1:22" x14ac:dyDescent="0.25">
      <c r="A241" s="318" t="str">
        <f t="shared" si="14"/>
        <v>Sat</v>
      </c>
      <c r="B241" s="15"/>
      <c r="C241" s="16"/>
      <c r="D241" s="6"/>
      <c r="E241" s="6"/>
      <c r="F241" s="6"/>
      <c r="G241" s="6"/>
      <c r="H241" s="6"/>
      <c r="I241" s="6"/>
      <c r="J241" s="6"/>
      <c r="K241" s="6"/>
      <c r="L241" s="20"/>
      <c r="M241" s="84">
        <f t="shared" si="13"/>
        <v>0</v>
      </c>
      <c r="N241" s="248">
        <f>RHcount!X235</f>
        <v>0</v>
      </c>
      <c r="O241" s="17"/>
      <c r="P241" s="17"/>
      <c r="Q241" s="17"/>
      <c r="R241" s="17"/>
      <c r="S241" s="17"/>
      <c r="T241" s="17"/>
      <c r="U241" s="4"/>
      <c r="V241" s="4"/>
    </row>
    <row r="242" spans="1:22" x14ac:dyDescent="0.25">
      <c r="A242" s="318" t="str">
        <f t="shared" si="14"/>
        <v>Sat</v>
      </c>
      <c r="B242" s="15"/>
      <c r="C242" s="16"/>
      <c r="D242" s="6"/>
      <c r="E242" s="6"/>
      <c r="F242" s="6"/>
      <c r="G242" s="6"/>
      <c r="H242" s="6"/>
      <c r="I242" s="6"/>
      <c r="J242" s="6"/>
      <c r="K242" s="6"/>
      <c r="L242" s="20"/>
      <c r="M242" s="84">
        <f t="shared" si="13"/>
        <v>0</v>
      </c>
      <c r="N242" s="248">
        <f>RHcount!X236</f>
        <v>0</v>
      </c>
      <c r="O242" s="17"/>
      <c r="P242" s="17"/>
      <c r="Q242" s="17"/>
      <c r="R242" s="17"/>
      <c r="S242" s="17"/>
      <c r="T242" s="17"/>
      <c r="U242" s="4"/>
      <c r="V242" s="4"/>
    </row>
    <row r="243" spans="1:22" x14ac:dyDescent="0.25">
      <c r="A243" s="318" t="str">
        <f t="shared" si="14"/>
        <v>Sat</v>
      </c>
      <c r="B243" s="15"/>
      <c r="C243" s="16"/>
      <c r="D243" s="6"/>
      <c r="E243" s="6"/>
      <c r="F243" s="6"/>
      <c r="G243" s="6"/>
      <c r="H243" s="6"/>
      <c r="I243" s="6"/>
      <c r="J243" s="6"/>
      <c r="K243" s="6"/>
      <c r="L243" s="20"/>
      <c r="M243" s="84">
        <f t="shared" si="13"/>
        <v>0</v>
      </c>
      <c r="N243" s="248">
        <f>RHcount!X237</f>
        <v>0</v>
      </c>
      <c r="O243" s="17"/>
      <c r="P243" s="17"/>
      <c r="Q243" s="17"/>
      <c r="R243" s="17"/>
      <c r="S243" s="17"/>
      <c r="T243" s="17"/>
      <c r="U243" s="4"/>
      <c r="V243" s="4"/>
    </row>
    <row r="244" spans="1:22" x14ac:dyDescent="0.25">
      <c r="A244" s="318" t="str">
        <f t="shared" si="14"/>
        <v>Sat</v>
      </c>
      <c r="B244" s="15"/>
      <c r="C244" s="16"/>
      <c r="D244" s="6"/>
      <c r="E244" s="6"/>
      <c r="F244" s="6"/>
      <c r="G244" s="6"/>
      <c r="H244" s="6"/>
      <c r="I244" s="6"/>
      <c r="J244" s="6"/>
      <c r="K244" s="6"/>
      <c r="L244" s="20"/>
      <c r="M244" s="84">
        <f t="shared" si="13"/>
        <v>0</v>
      </c>
      <c r="N244" s="248">
        <f>RHcount!X238</f>
        <v>0</v>
      </c>
      <c r="O244" s="17"/>
      <c r="P244" s="17"/>
      <c r="Q244" s="17"/>
      <c r="R244" s="17"/>
      <c r="S244" s="17"/>
      <c r="T244" s="17"/>
      <c r="U244" s="4"/>
      <c r="V244" s="4"/>
    </row>
    <row r="245" spans="1:22" x14ac:dyDescent="0.25">
      <c r="A245" s="318" t="str">
        <f t="shared" si="14"/>
        <v>Sat</v>
      </c>
      <c r="B245" s="15"/>
      <c r="C245" s="16"/>
      <c r="D245" s="6"/>
      <c r="E245" s="6"/>
      <c r="F245" s="6"/>
      <c r="G245" s="6"/>
      <c r="H245" s="6"/>
      <c r="I245" s="6"/>
      <c r="J245" s="6"/>
      <c r="K245" s="6"/>
      <c r="L245" s="20"/>
      <c r="M245" s="84">
        <f t="shared" si="13"/>
        <v>0</v>
      </c>
      <c r="N245" s="248">
        <f>RHcount!X239</f>
        <v>0</v>
      </c>
      <c r="O245" s="17"/>
      <c r="P245" s="17"/>
      <c r="Q245" s="17"/>
      <c r="R245" s="17"/>
      <c r="S245" s="17"/>
      <c r="T245" s="17"/>
      <c r="U245" s="4"/>
      <c r="V245" s="4"/>
    </row>
    <row r="246" spans="1:22" x14ac:dyDescent="0.25">
      <c r="A246" s="318" t="str">
        <f t="shared" si="14"/>
        <v>Sat</v>
      </c>
      <c r="B246" s="15"/>
      <c r="C246" s="16"/>
      <c r="D246" s="6"/>
      <c r="E246" s="6"/>
      <c r="F246" s="6"/>
      <c r="G246" s="6"/>
      <c r="H246" s="6"/>
      <c r="I246" s="6"/>
      <c r="J246" s="6"/>
      <c r="K246" s="6"/>
      <c r="L246" s="20"/>
      <c r="M246" s="84">
        <f t="shared" si="13"/>
        <v>0</v>
      </c>
      <c r="N246" s="248">
        <f>RHcount!X240</f>
        <v>0</v>
      </c>
      <c r="O246" s="17"/>
      <c r="P246" s="17"/>
      <c r="Q246" s="17"/>
      <c r="R246" s="17"/>
      <c r="S246" s="17"/>
      <c r="T246" s="17"/>
      <c r="U246" s="4"/>
      <c r="V246" s="4"/>
    </row>
    <row r="247" spans="1:22" x14ac:dyDescent="0.25">
      <c r="A247" s="318" t="str">
        <f t="shared" si="14"/>
        <v>Sat</v>
      </c>
      <c r="B247" s="15"/>
      <c r="C247" s="16"/>
      <c r="D247" s="6"/>
      <c r="E247" s="6"/>
      <c r="F247" s="6"/>
      <c r="G247" s="6"/>
      <c r="H247" s="6"/>
      <c r="I247" s="6"/>
      <c r="J247" s="6"/>
      <c r="K247" s="6"/>
      <c r="L247" s="20"/>
      <c r="M247" s="84">
        <f t="shared" si="13"/>
        <v>0</v>
      </c>
      <c r="N247" s="248">
        <f>RHcount!X241</f>
        <v>0</v>
      </c>
      <c r="O247" s="17"/>
      <c r="P247" s="17"/>
      <c r="Q247" s="17"/>
      <c r="R247" s="17"/>
      <c r="S247" s="17"/>
      <c r="T247" s="17"/>
      <c r="U247" s="4"/>
      <c r="V247" s="4"/>
    </row>
    <row r="248" spans="1:22" x14ac:dyDescent="0.25">
      <c r="A248" s="318" t="str">
        <f t="shared" si="14"/>
        <v>Sat</v>
      </c>
      <c r="B248" s="15"/>
      <c r="C248" s="16"/>
      <c r="D248" s="6"/>
      <c r="E248" s="6"/>
      <c r="F248" s="6"/>
      <c r="G248" s="6"/>
      <c r="H248" s="6"/>
      <c r="I248" s="6"/>
      <c r="J248" s="6"/>
      <c r="K248" s="6"/>
      <c r="L248" s="20"/>
      <c r="M248" s="84">
        <f t="shared" si="13"/>
        <v>0</v>
      </c>
      <c r="N248" s="248">
        <f>RHcount!X242</f>
        <v>0</v>
      </c>
      <c r="O248" s="17"/>
      <c r="P248" s="17"/>
      <c r="Q248" s="17"/>
      <c r="R248" s="17"/>
      <c r="S248" s="17"/>
      <c r="T248" s="17"/>
      <c r="U248" s="4"/>
      <c r="V248" s="4"/>
    </row>
    <row r="249" spans="1:22" x14ac:dyDescent="0.25">
      <c r="A249" s="318" t="str">
        <f t="shared" si="14"/>
        <v>Sat</v>
      </c>
      <c r="B249" s="15"/>
      <c r="C249" s="16"/>
      <c r="D249" s="6"/>
      <c r="E249" s="6"/>
      <c r="F249" s="6"/>
      <c r="G249" s="6"/>
      <c r="H249" s="6"/>
      <c r="I249" s="6"/>
      <c r="J249" s="6"/>
      <c r="K249" s="6"/>
      <c r="L249" s="20"/>
      <c r="M249" s="84">
        <f t="shared" si="13"/>
        <v>0</v>
      </c>
      <c r="N249" s="248">
        <f>RHcount!X243</f>
        <v>0</v>
      </c>
      <c r="O249" s="17"/>
      <c r="P249" s="17"/>
      <c r="Q249" s="17"/>
      <c r="R249" s="17"/>
      <c r="S249" s="17"/>
      <c r="T249" s="17"/>
      <c r="U249" s="4"/>
      <c r="V249" s="4"/>
    </row>
    <row r="250" spans="1:22" x14ac:dyDescent="0.25">
      <c r="A250" s="318" t="str">
        <f t="shared" si="14"/>
        <v>Sat</v>
      </c>
      <c r="B250" s="15"/>
      <c r="C250" s="16"/>
      <c r="D250" s="6"/>
      <c r="E250" s="6"/>
      <c r="F250" s="6"/>
      <c r="G250" s="6"/>
      <c r="H250" s="6"/>
      <c r="I250" s="6"/>
      <c r="J250" s="6"/>
      <c r="K250" s="6"/>
      <c r="L250" s="20"/>
      <c r="M250" s="84">
        <f t="shared" si="13"/>
        <v>0</v>
      </c>
      <c r="N250" s="248">
        <f>RHcount!X244</f>
        <v>0</v>
      </c>
      <c r="O250" s="17"/>
      <c r="P250" s="17"/>
      <c r="Q250" s="17"/>
      <c r="R250" s="17"/>
      <c r="S250" s="17"/>
      <c r="T250" s="17"/>
      <c r="U250" s="4"/>
      <c r="V250" s="4"/>
    </row>
    <row r="251" spans="1:22" x14ac:dyDescent="0.25">
      <c r="A251" s="318" t="str">
        <f t="shared" si="14"/>
        <v>Sat</v>
      </c>
      <c r="B251" s="15"/>
      <c r="C251" s="16"/>
      <c r="D251" s="6"/>
      <c r="E251" s="6"/>
      <c r="F251" s="6"/>
      <c r="G251" s="6"/>
      <c r="H251" s="6"/>
      <c r="I251" s="6"/>
      <c r="J251" s="6"/>
      <c r="K251" s="6"/>
      <c r="L251" s="20"/>
      <c r="M251" s="84">
        <f t="shared" si="13"/>
        <v>0</v>
      </c>
      <c r="N251" s="248">
        <f>RHcount!X245</f>
        <v>0</v>
      </c>
      <c r="O251" s="17"/>
      <c r="P251" s="17"/>
      <c r="Q251" s="17"/>
      <c r="R251" s="17"/>
      <c r="S251" s="17"/>
      <c r="T251" s="17"/>
      <c r="U251" s="4"/>
      <c r="V251" s="4"/>
    </row>
    <row r="252" spans="1:22" x14ac:dyDescent="0.25">
      <c r="A252" s="318" t="str">
        <f t="shared" si="14"/>
        <v>Sat</v>
      </c>
      <c r="B252" s="15"/>
      <c r="C252" s="16"/>
      <c r="D252" s="6"/>
      <c r="E252" s="6"/>
      <c r="F252" s="6"/>
      <c r="G252" s="6"/>
      <c r="H252" s="6"/>
      <c r="I252" s="6"/>
      <c r="J252" s="6"/>
      <c r="K252" s="6"/>
      <c r="L252" s="20"/>
      <c r="M252" s="84">
        <f t="shared" si="13"/>
        <v>0</v>
      </c>
      <c r="N252" s="248">
        <f>RHcount!X246</f>
        <v>0</v>
      </c>
      <c r="O252" s="17"/>
      <c r="P252" s="17"/>
      <c r="Q252" s="17"/>
      <c r="R252" s="17"/>
      <c r="S252" s="17"/>
      <c r="T252" s="17"/>
      <c r="U252" s="4"/>
      <c r="V252" s="4"/>
    </row>
    <row r="253" spans="1:22" x14ac:dyDescent="0.25">
      <c r="A253" s="318" t="str">
        <f t="shared" si="14"/>
        <v>Sat</v>
      </c>
      <c r="B253" s="15"/>
      <c r="C253" s="16"/>
      <c r="D253" s="6"/>
      <c r="E253" s="6"/>
      <c r="F253" s="6"/>
      <c r="G253" s="6"/>
      <c r="H253" s="6"/>
      <c r="I253" s="6"/>
      <c r="J253" s="6"/>
      <c r="K253" s="6"/>
      <c r="L253" s="20"/>
      <c r="M253" s="84">
        <f t="shared" si="13"/>
        <v>0</v>
      </c>
      <c r="N253" s="248">
        <f>RHcount!X247</f>
        <v>0</v>
      </c>
      <c r="O253" s="17"/>
      <c r="P253" s="17"/>
      <c r="Q253" s="17"/>
      <c r="R253" s="17"/>
      <c r="S253" s="17"/>
      <c r="T253" s="17"/>
      <c r="U253" s="4"/>
      <c r="V253" s="4"/>
    </row>
    <row r="254" spans="1:22" x14ac:dyDescent="0.25">
      <c r="A254" s="318" t="str">
        <f t="shared" si="14"/>
        <v>Sat</v>
      </c>
      <c r="B254" s="15"/>
      <c r="C254" s="16"/>
      <c r="D254" s="6"/>
      <c r="E254" s="6"/>
      <c r="F254" s="6"/>
      <c r="G254" s="6"/>
      <c r="H254" s="6"/>
      <c r="I254" s="6"/>
      <c r="J254" s="6"/>
      <c r="K254" s="6"/>
      <c r="L254" s="20"/>
      <c r="M254" s="84">
        <f t="shared" si="13"/>
        <v>0</v>
      </c>
      <c r="N254" s="248">
        <f>RHcount!X248</f>
        <v>0</v>
      </c>
      <c r="O254" s="17"/>
      <c r="P254" s="17"/>
      <c r="Q254" s="17"/>
      <c r="R254" s="17"/>
      <c r="S254" s="17"/>
      <c r="T254" s="17"/>
      <c r="U254" s="4"/>
      <c r="V254" s="4"/>
    </row>
    <row r="255" spans="1:22" x14ac:dyDescent="0.25">
      <c r="A255" s="318" t="str">
        <f t="shared" si="14"/>
        <v>Sat</v>
      </c>
      <c r="B255" s="15"/>
      <c r="C255" s="16"/>
      <c r="D255" s="6"/>
      <c r="E255" s="6"/>
      <c r="F255" s="6"/>
      <c r="G255" s="6"/>
      <c r="H255" s="6"/>
      <c r="I255" s="6"/>
      <c r="J255" s="6"/>
      <c r="K255" s="6"/>
      <c r="L255" s="20"/>
      <c r="M255" s="84">
        <f t="shared" si="13"/>
        <v>0</v>
      </c>
      <c r="N255" s="248">
        <f>RHcount!X249</f>
        <v>0</v>
      </c>
      <c r="O255" s="17"/>
      <c r="P255" s="17"/>
      <c r="Q255" s="17"/>
      <c r="R255" s="17"/>
      <c r="S255" s="17"/>
      <c r="T255" s="17"/>
      <c r="U255" s="4"/>
      <c r="V255" s="4"/>
    </row>
    <row r="256" spans="1:22" x14ac:dyDescent="0.25">
      <c r="A256" s="318" t="str">
        <f t="shared" si="14"/>
        <v>Sat</v>
      </c>
      <c r="B256" s="15"/>
      <c r="C256" s="16"/>
      <c r="D256" s="6"/>
      <c r="E256" s="6"/>
      <c r="F256" s="6"/>
      <c r="G256" s="6"/>
      <c r="H256" s="6"/>
      <c r="I256" s="6"/>
      <c r="J256" s="6"/>
      <c r="K256" s="6"/>
      <c r="L256" s="20"/>
      <c r="M256" s="84">
        <f t="shared" si="13"/>
        <v>0</v>
      </c>
      <c r="N256" s="248">
        <f>RHcount!X250</f>
        <v>0</v>
      </c>
      <c r="O256" s="17"/>
      <c r="P256" s="17"/>
      <c r="Q256" s="17"/>
      <c r="R256" s="17"/>
      <c r="S256" s="17"/>
      <c r="T256" s="17"/>
      <c r="U256" s="4"/>
      <c r="V256" s="4"/>
    </row>
    <row r="257" spans="1:22" x14ac:dyDescent="0.25">
      <c r="A257" s="318" t="str">
        <f t="shared" si="14"/>
        <v>Sat</v>
      </c>
      <c r="B257" s="15"/>
      <c r="C257" s="16"/>
      <c r="D257" s="6"/>
      <c r="E257" s="6"/>
      <c r="F257" s="6"/>
      <c r="G257" s="6"/>
      <c r="H257" s="6"/>
      <c r="I257" s="6"/>
      <c r="J257" s="6"/>
      <c r="K257" s="6"/>
      <c r="L257" s="20"/>
      <c r="M257" s="84">
        <f t="shared" si="13"/>
        <v>0</v>
      </c>
      <c r="N257" s="248">
        <f>RHcount!X251</f>
        <v>0</v>
      </c>
      <c r="O257" s="17"/>
      <c r="P257" s="17"/>
      <c r="Q257" s="17"/>
      <c r="R257" s="17"/>
      <c r="S257" s="17"/>
      <c r="T257" s="17"/>
      <c r="U257" s="4"/>
      <c r="V257" s="4"/>
    </row>
    <row r="258" spans="1:22" x14ac:dyDescent="0.25">
      <c r="A258" s="318" t="str">
        <f t="shared" si="14"/>
        <v>Sat</v>
      </c>
      <c r="B258" s="15"/>
      <c r="C258" s="16"/>
      <c r="D258" s="6"/>
      <c r="E258" s="6"/>
      <c r="F258" s="6"/>
      <c r="G258" s="6"/>
      <c r="H258" s="6"/>
      <c r="I258" s="6"/>
      <c r="J258" s="6"/>
      <c r="K258" s="6"/>
      <c r="L258" s="20"/>
      <c r="M258" s="84">
        <f t="shared" si="13"/>
        <v>0</v>
      </c>
      <c r="N258" s="248">
        <f>RHcount!X252</f>
        <v>0</v>
      </c>
      <c r="O258" s="17"/>
      <c r="P258" s="17"/>
      <c r="Q258" s="17"/>
      <c r="R258" s="17"/>
      <c r="S258" s="17"/>
      <c r="T258" s="17"/>
      <c r="U258" s="4"/>
      <c r="V258" s="4"/>
    </row>
    <row r="259" spans="1:22" x14ac:dyDescent="0.25">
      <c r="A259" s="318" t="str">
        <f t="shared" si="14"/>
        <v>Sat</v>
      </c>
      <c r="B259" s="15"/>
      <c r="C259" s="16"/>
      <c r="D259" s="6"/>
      <c r="E259" s="6"/>
      <c r="F259" s="6"/>
      <c r="G259" s="6"/>
      <c r="H259" s="6"/>
      <c r="I259" s="6"/>
      <c r="J259" s="6"/>
      <c r="K259" s="6"/>
      <c r="L259" s="20"/>
      <c r="M259" s="84">
        <f t="shared" si="13"/>
        <v>0</v>
      </c>
      <c r="N259" s="248">
        <f>RHcount!X253</f>
        <v>0</v>
      </c>
      <c r="O259" s="17"/>
      <c r="P259" s="17"/>
      <c r="Q259" s="17"/>
      <c r="R259" s="17"/>
      <c r="S259" s="17"/>
      <c r="T259" s="17"/>
      <c r="U259" s="4"/>
      <c r="V259" s="4"/>
    </row>
    <row r="260" spans="1:22" x14ac:dyDescent="0.25">
      <c r="A260" s="318" t="str">
        <f t="shared" si="14"/>
        <v>Sat</v>
      </c>
      <c r="B260" s="15"/>
      <c r="C260" s="16"/>
      <c r="D260" s="6"/>
      <c r="E260" s="6"/>
      <c r="F260" s="6"/>
      <c r="G260" s="6"/>
      <c r="H260" s="6"/>
      <c r="I260" s="6"/>
      <c r="J260" s="6"/>
      <c r="K260" s="6"/>
      <c r="L260" s="20"/>
      <c r="M260" s="84">
        <f t="shared" si="13"/>
        <v>0</v>
      </c>
      <c r="N260" s="248">
        <f>RHcount!X254</f>
        <v>0</v>
      </c>
      <c r="O260" s="17"/>
      <c r="P260" s="17"/>
      <c r="Q260" s="17"/>
      <c r="R260" s="17"/>
      <c r="S260" s="17"/>
      <c r="T260" s="17"/>
      <c r="U260" s="4"/>
      <c r="V260" s="4"/>
    </row>
    <row r="261" spans="1:22" x14ac:dyDescent="0.25">
      <c r="A261" s="318" t="str">
        <f t="shared" si="14"/>
        <v>Sat</v>
      </c>
      <c r="B261" s="15"/>
      <c r="C261" s="16"/>
      <c r="D261" s="6"/>
      <c r="E261" s="6"/>
      <c r="F261" s="6"/>
      <c r="G261" s="6"/>
      <c r="H261" s="6"/>
      <c r="I261" s="6"/>
      <c r="J261" s="6"/>
      <c r="K261" s="6"/>
      <c r="L261" s="20"/>
      <c r="M261" s="84">
        <f t="shared" si="13"/>
        <v>0</v>
      </c>
      <c r="N261" s="248">
        <f>RHcount!X255</f>
        <v>0</v>
      </c>
      <c r="O261" s="17"/>
      <c r="P261" s="17"/>
      <c r="Q261" s="17"/>
      <c r="R261" s="17"/>
      <c r="S261" s="17"/>
      <c r="T261" s="17"/>
      <c r="U261" s="4"/>
      <c r="V261" s="4"/>
    </row>
    <row r="262" spans="1:22" x14ac:dyDescent="0.25">
      <c r="A262" s="318" t="str">
        <f t="shared" si="14"/>
        <v>Sat</v>
      </c>
      <c r="B262" s="15"/>
      <c r="C262" s="16"/>
      <c r="D262" s="6"/>
      <c r="E262" s="6"/>
      <c r="F262" s="6"/>
      <c r="G262" s="6"/>
      <c r="H262" s="6"/>
      <c r="I262" s="6"/>
      <c r="J262" s="6"/>
      <c r="K262" s="6"/>
      <c r="L262" s="20"/>
      <c r="M262" s="84">
        <f t="shared" si="13"/>
        <v>0</v>
      </c>
      <c r="N262" s="248">
        <f>RHcount!X256</f>
        <v>0</v>
      </c>
      <c r="O262" s="17"/>
      <c r="P262" s="17"/>
      <c r="Q262" s="17"/>
      <c r="R262" s="17"/>
      <c r="S262" s="17"/>
      <c r="T262" s="17"/>
      <c r="U262" s="4"/>
      <c r="V262" s="4"/>
    </row>
    <row r="263" spans="1:22" x14ac:dyDescent="0.25">
      <c r="A263" s="318" t="str">
        <f t="shared" si="14"/>
        <v>Sat</v>
      </c>
      <c r="B263" s="15"/>
      <c r="C263" s="16"/>
      <c r="D263" s="6"/>
      <c r="E263" s="6"/>
      <c r="F263" s="6"/>
      <c r="G263" s="6"/>
      <c r="H263" s="6"/>
      <c r="I263" s="6"/>
      <c r="J263" s="6"/>
      <c r="K263" s="6"/>
      <c r="L263" s="20"/>
      <c r="M263" s="84">
        <f t="shared" si="13"/>
        <v>0</v>
      </c>
      <c r="N263" s="248">
        <f>RHcount!X257</f>
        <v>0</v>
      </c>
      <c r="O263" s="17"/>
      <c r="P263" s="17"/>
      <c r="Q263" s="17"/>
      <c r="R263" s="17"/>
      <c r="S263" s="17"/>
      <c r="T263" s="17"/>
      <c r="U263" s="4"/>
      <c r="V263" s="4"/>
    </row>
    <row r="264" spans="1:22" x14ac:dyDescent="0.25">
      <c r="A264" s="318" t="str">
        <f t="shared" si="14"/>
        <v>Sat</v>
      </c>
      <c r="B264" s="15"/>
      <c r="C264" s="16"/>
      <c r="D264" s="6"/>
      <c r="E264" s="6"/>
      <c r="F264" s="6"/>
      <c r="G264" s="6"/>
      <c r="H264" s="6"/>
      <c r="I264" s="6"/>
      <c r="J264" s="6"/>
      <c r="K264" s="6"/>
      <c r="L264" s="20"/>
      <c r="M264" s="84">
        <f t="shared" si="13"/>
        <v>0</v>
      </c>
      <c r="N264" s="248">
        <f>RHcount!X258</f>
        <v>0</v>
      </c>
      <c r="O264" s="17"/>
      <c r="P264" s="17"/>
      <c r="Q264" s="17"/>
      <c r="R264" s="17"/>
      <c r="S264" s="17"/>
      <c r="T264" s="17"/>
      <c r="U264" s="4"/>
      <c r="V264" s="4"/>
    </row>
    <row r="265" spans="1:22" x14ac:dyDescent="0.25">
      <c r="A265" s="318" t="str">
        <f t="shared" si="14"/>
        <v>Sat</v>
      </c>
      <c r="B265" s="15"/>
      <c r="C265" s="16"/>
      <c r="D265" s="6"/>
      <c r="E265" s="6"/>
      <c r="F265" s="6"/>
      <c r="G265" s="6"/>
      <c r="H265" s="6"/>
      <c r="I265" s="6"/>
      <c r="J265" s="6"/>
      <c r="K265" s="6"/>
      <c r="L265" s="20"/>
      <c r="M265" s="84">
        <f t="shared" si="13"/>
        <v>0</v>
      </c>
      <c r="N265" s="248">
        <f>RHcount!X259</f>
        <v>0</v>
      </c>
      <c r="O265" s="17"/>
      <c r="P265" s="17"/>
      <c r="Q265" s="17"/>
      <c r="R265" s="17"/>
      <c r="S265" s="17"/>
      <c r="T265" s="17"/>
      <c r="U265" s="4"/>
      <c r="V265" s="4"/>
    </row>
    <row r="266" spans="1:22" x14ac:dyDescent="0.25">
      <c r="A266" s="318" t="str">
        <f t="shared" si="14"/>
        <v>Sat</v>
      </c>
      <c r="B266" s="15"/>
      <c r="C266" s="16"/>
      <c r="D266" s="6"/>
      <c r="E266" s="6"/>
      <c r="F266" s="6"/>
      <c r="G266" s="6"/>
      <c r="H266" s="6"/>
      <c r="I266" s="6"/>
      <c r="J266" s="6"/>
      <c r="K266" s="6"/>
      <c r="L266" s="20"/>
      <c r="M266" s="84">
        <f t="shared" si="13"/>
        <v>0</v>
      </c>
      <c r="N266" s="248">
        <f>RHcount!X260</f>
        <v>0</v>
      </c>
      <c r="O266" s="17"/>
      <c r="P266" s="17"/>
      <c r="Q266" s="17"/>
      <c r="R266" s="17"/>
      <c r="S266" s="17"/>
      <c r="T266" s="17"/>
      <c r="U266" s="4"/>
      <c r="V266" s="4"/>
    </row>
    <row r="267" spans="1:22" x14ac:dyDescent="0.25">
      <c r="A267" s="318" t="str">
        <f t="shared" si="14"/>
        <v>Sat</v>
      </c>
      <c r="B267" s="15"/>
      <c r="C267" s="16"/>
      <c r="D267" s="6"/>
      <c r="E267" s="6"/>
      <c r="F267" s="6"/>
      <c r="G267" s="6"/>
      <c r="H267" s="6"/>
      <c r="I267" s="6"/>
      <c r="J267" s="6"/>
      <c r="K267" s="6"/>
      <c r="L267" s="20"/>
      <c r="M267" s="84">
        <f t="shared" ref="M267:M330" si="15">IF(F267&gt;"a",VLOOKUP(F267,$U$11:$V$26,2),F267)</f>
        <v>0</v>
      </c>
      <c r="N267" s="248">
        <f>RHcount!X261</f>
        <v>0</v>
      </c>
      <c r="O267" s="17"/>
      <c r="P267" s="17"/>
      <c r="Q267" s="17"/>
      <c r="R267" s="17"/>
      <c r="S267" s="17"/>
      <c r="T267" s="17"/>
      <c r="U267" s="4"/>
      <c r="V267" s="4"/>
    </row>
    <row r="268" spans="1:22" x14ac:dyDescent="0.25">
      <c r="A268" s="318" t="str">
        <f t="shared" si="14"/>
        <v>Sat</v>
      </c>
      <c r="B268" s="15"/>
      <c r="C268" s="16"/>
      <c r="D268" s="6"/>
      <c r="E268" s="6"/>
      <c r="F268" s="6"/>
      <c r="G268" s="6"/>
      <c r="H268" s="6"/>
      <c r="I268" s="6"/>
      <c r="J268" s="6"/>
      <c r="K268" s="6"/>
      <c r="L268" s="20"/>
      <c r="M268" s="84">
        <f t="shared" si="15"/>
        <v>0</v>
      </c>
      <c r="N268" s="248">
        <f>RHcount!X262</f>
        <v>0</v>
      </c>
      <c r="O268" s="17"/>
      <c r="P268" s="17"/>
      <c r="Q268" s="17"/>
      <c r="R268" s="17"/>
      <c r="S268" s="17"/>
      <c r="T268" s="17"/>
      <c r="U268" s="4"/>
      <c r="V268" s="4"/>
    </row>
    <row r="269" spans="1:22" x14ac:dyDescent="0.25">
      <c r="A269" s="318" t="str">
        <f t="shared" ref="A269:A332" si="16">TEXT(B269,"ddd")</f>
        <v>Sat</v>
      </c>
      <c r="B269" s="15"/>
      <c r="C269" s="16"/>
      <c r="D269" s="6"/>
      <c r="E269" s="6"/>
      <c r="F269" s="6"/>
      <c r="G269" s="6"/>
      <c r="H269" s="6"/>
      <c r="I269" s="6"/>
      <c r="J269" s="6"/>
      <c r="K269" s="6"/>
      <c r="L269" s="20"/>
      <c r="M269" s="84">
        <f t="shared" si="15"/>
        <v>0</v>
      </c>
      <c r="N269" s="248">
        <f>RHcount!X263</f>
        <v>0</v>
      </c>
      <c r="O269" s="17"/>
      <c r="P269" s="17"/>
      <c r="Q269" s="17"/>
      <c r="R269" s="17"/>
      <c r="S269" s="17"/>
      <c r="T269" s="17"/>
      <c r="U269" s="4"/>
      <c r="V269" s="4"/>
    </row>
    <row r="270" spans="1:22" x14ac:dyDescent="0.25">
      <c r="A270" s="318" t="str">
        <f t="shared" si="16"/>
        <v>Sat</v>
      </c>
      <c r="B270" s="15"/>
      <c r="C270" s="16"/>
      <c r="D270" s="6"/>
      <c r="E270" s="6"/>
      <c r="F270" s="6"/>
      <c r="G270" s="6"/>
      <c r="H270" s="6"/>
      <c r="I270" s="6"/>
      <c r="J270" s="6"/>
      <c r="K270" s="6"/>
      <c r="L270" s="20"/>
      <c r="M270" s="84">
        <f t="shared" si="15"/>
        <v>0</v>
      </c>
      <c r="N270" s="248">
        <f>RHcount!X264</f>
        <v>0</v>
      </c>
      <c r="O270" s="17"/>
      <c r="P270" s="17"/>
      <c r="Q270" s="17"/>
      <c r="R270" s="17"/>
      <c r="S270" s="17"/>
      <c r="T270" s="17"/>
      <c r="U270" s="4"/>
      <c r="V270" s="4"/>
    </row>
    <row r="271" spans="1:22" x14ac:dyDescent="0.25">
      <c r="A271" s="318" t="str">
        <f t="shared" si="16"/>
        <v>Sat</v>
      </c>
      <c r="B271" s="15"/>
      <c r="C271" s="16"/>
      <c r="D271" s="6"/>
      <c r="E271" s="6"/>
      <c r="F271" s="6"/>
      <c r="G271" s="6"/>
      <c r="H271" s="6"/>
      <c r="I271" s="6"/>
      <c r="J271" s="6"/>
      <c r="K271" s="6"/>
      <c r="L271" s="20"/>
      <c r="M271" s="84">
        <f t="shared" si="15"/>
        <v>0</v>
      </c>
      <c r="N271" s="248">
        <f>RHcount!X265</f>
        <v>0</v>
      </c>
      <c r="O271" s="17"/>
      <c r="P271" s="17"/>
      <c r="Q271" s="17"/>
      <c r="R271" s="17"/>
      <c r="S271" s="17"/>
      <c r="T271" s="17"/>
      <c r="U271" s="4"/>
      <c r="V271" s="4"/>
    </row>
    <row r="272" spans="1:22" x14ac:dyDescent="0.25">
      <c r="A272" s="318" t="str">
        <f t="shared" si="16"/>
        <v>Sat</v>
      </c>
      <c r="B272" s="15"/>
      <c r="C272" s="16"/>
      <c r="D272" s="6"/>
      <c r="E272" s="6"/>
      <c r="F272" s="6"/>
      <c r="G272" s="6"/>
      <c r="H272" s="6"/>
      <c r="I272" s="6"/>
      <c r="J272" s="6"/>
      <c r="K272" s="6"/>
      <c r="L272" s="20"/>
      <c r="M272" s="84">
        <f t="shared" si="15"/>
        <v>0</v>
      </c>
      <c r="N272" s="248">
        <f>RHcount!X266</f>
        <v>0</v>
      </c>
      <c r="O272" s="17"/>
      <c r="P272" s="17"/>
      <c r="Q272" s="17"/>
      <c r="R272" s="17"/>
      <c r="S272" s="17"/>
      <c r="T272" s="17"/>
      <c r="U272" s="4"/>
      <c r="V272" s="4"/>
    </row>
    <row r="273" spans="1:22" x14ac:dyDescent="0.25">
      <c r="A273" s="318" t="str">
        <f t="shared" si="16"/>
        <v>Sat</v>
      </c>
      <c r="B273" s="15"/>
      <c r="C273" s="16"/>
      <c r="D273" s="6"/>
      <c r="E273" s="6"/>
      <c r="F273" s="6"/>
      <c r="G273" s="6"/>
      <c r="H273" s="6"/>
      <c r="I273" s="6"/>
      <c r="J273" s="6"/>
      <c r="K273" s="6"/>
      <c r="L273" s="20"/>
      <c r="M273" s="84">
        <f t="shared" si="15"/>
        <v>0</v>
      </c>
      <c r="N273" s="248">
        <f>RHcount!X267</f>
        <v>0</v>
      </c>
      <c r="O273" s="17"/>
      <c r="P273" s="17"/>
      <c r="Q273" s="17"/>
      <c r="R273" s="17"/>
      <c r="S273" s="17"/>
      <c r="T273" s="17"/>
      <c r="U273" s="4"/>
      <c r="V273" s="4"/>
    </row>
    <row r="274" spans="1:22" x14ac:dyDescent="0.25">
      <c r="A274" s="318" t="str">
        <f t="shared" si="16"/>
        <v>Sat</v>
      </c>
      <c r="B274" s="15"/>
      <c r="C274" s="16"/>
      <c r="D274" s="6"/>
      <c r="E274" s="6"/>
      <c r="F274" s="6"/>
      <c r="G274" s="6"/>
      <c r="H274" s="6"/>
      <c r="I274" s="6"/>
      <c r="J274" s="6"/>
      <c r="K274" s="6"/>
      <c r="L274" s="20"/>
      <c r="M274" s="84">
        <f t="shared" si="15"/>
        <v>0</v>
      </c>
      <c r="N274" s="248">
        <f>RHcount!X268</f>
        <v>0</v>
      </c>
      <c r="O274" s="17"/>
      <c r="P274" s="17"/>
      <c r="Q274" s="17"/>
      <c r="R274" s="17"/>
      <c r="S274" s="17"/>
      <c r="T274" s="17"/>
      <c r="U274" s="4"/>
      <c r="V274" s="4"/>
    </row>
    <row r="275" spans="1:22" x14ac:dyDescent="0.25">
      <c r="A275" s="318" t="str">
        <f t="shared" si="16"/>
        <v>Sat</v>
      </c>
      <c r="B275" s="15"/>
      <c r="C275" s="16"/>
      <c r="D275" s="6"/>
      <c r="E275" s="6"/>
      <c r="F275" s="6"/>
      <c r="G275" s="6"/>
      <c r="H275" s="6"/>
      <c r="I275" s="6"/>
      <c r="J275" s="6"/>
      <c r="K275" s="6"/>
      <c r="L275" s="20"/>
      <c r="M275" s="84">
        <f t="shared" si="15"/>
        <v>0</v>
      </c>
      <c r="N275" s="248">
        <f>RHcount!X269</f>
        <v>0</v>
      </c>
      <c r="O275" s="17"/>
      <c r="P275" s="17"/>
      <c r="Q275" s="17"/>
      <c r="R275" s="17"/>
      <c r="S275" s="17"/>
      <c r="T275" s="17"/>
      <c r="U275" s="4"/>
      <c r="V275" s="4"/>
    </row>
    <row r="276" spans="1:22" x14ac:dyDescent="0.25">
      <c r="A276" s="318" t="str">
        <f t="shared" si="16"/>
        <v>Sat</v>
      </c>
      <c r="B276" s="15"/>
      <c r="C276" s="16"/>
      <c r="D276" s="6"/>
      <c r="E276" s="6"/>
      <c r="F276" s="6"/>
      <c r="G276" s="6"/>
      <c r="H276" s="6"/>
      <c r="I276" s="6"/>
      <c r="J276" s="6"/>
      <c r="K276" s="6"/>
      <c r="L276" s="20"/>
      <c r="M276" s="84">
        <f t="shared" si="15"/>
        <v>0</v>
      </c>
      <c r="N276" s="248">
        <f>RHcount!X270</f>
        <v>0</v>
      </c>
      <c r="O276" s="17"/>
      <c r="P276" s="17"/>
      <c r="Q276" s="17"/>
      <c r="R276" s="17"/>
      <c r="S276" s="17"/>
      <c r="T276" s="17"/>
      <c r="U276" s="4"/>
      <c r="V276" s="4"/>
    </row>
    <row r="277" spans="1:22" x14ac:dyDescent="0.25">
      <c r="A277" s="318" t="str">
        <f t="shared" si="16"/>
        <v>Sat</v>
      </c>
      <c r="B277" s="15"/>
      <c r="C277" s="16"/>
      <c r="D277" s="6"/>
      <c r="E277" s="6"/>
      <c r="F277" s="6"/>
      <c r="G277" s="6"/>
      <c r="H277" s="6"/>
      <c r="I277" s="6"/>
      <c r="J277" s="6"/>
      <c r="K277" s="6"/>
      <c r="L277" s="20"/>
      <c r="M277" s="84">
        <f t="shared" si="15"/>
        <v>0</v>
      </c>
      <c r="N277" s="248">
        <f>RHcount!X271</f>
        <v>0</v>
      </c>
      <c r="O277" s="17"/>
      <c r="P277" s="17"/>
      <c r="Q277" s="17"/>
      <c r="R277" s="17"/>
      <c r="S277" s="17"/>
      <c r="T277" s="17"/>
      <c r="U277" s="4"/>
      <c r="V277" s="4"/>
    </row>
    <row r="278" spans="1:22" x14ac:dyDescent="0.25">
      <c r="A278" s="318" t="str">
        <f t="shared" si="16"/>
        <v>Sat</v>
      </c>
      <c r="B278" s="15"/>
      <c r="C278" s="16"/>
      <c r="D278" s="6"/>
      <c r="E278" s="6"/>
      <c r="F278" s="6"/>
      <c r="G278" s="6"/>
      <c r="H278" s="6"/>
      <c r="I278" s="6"/>
      <c r="J278" s="6"/>
      <c r="K278" s="6"/>
      <c r="L278" s="20"/>
      <c r="M278" s="84">
        <f t="shared" si="15"/>
        <v>0</v>
      </c>
      <c r="N278" s="248">
        <f>RHcount!X272</f>
        <v>0</v>
      </c>
      <c r="O278" s="17"/>
      <c r="P278" s="17"/>
      <c r="Q278" s="17"/>
      <c r="R278" s="17"/>
      <c r="S278" s="17"/>
      <c r="T278" s="17"/>
      <c r="U278" s="4"/>
      <c r="V278" s="4"/>
    </row>
    <row r="279" spans="1:22" x14ac:dyDescent="0.25">
      <c r="A279" s="318" t="str">
        <f t="shared" si="16"/>
        <v>Sat</v>
      </c>
      <c r="B279" s="15"/>
      <c r="C279" s="16"/>
      <c r="D279" s="6"/>
      <c r="E279" s="6"/>
      <c r="F279" s="6"/>
      <c r="G279" s="6"/>
      <c r="H279" s="6"/>
      <c r="I279" s="6"/>
      <c r="J279" s="6"/>
      <c r="K279" s="6"/>
      <c r="L279" s="20"/>
      <c r="M279" s="84">
        <f t="shared" si="15"/>
        <v>0</v>
      </c>
      <c r="N279" s="248">
        <f>RHcount!X273</f>
        <v>0</v>
      </c>
      <c r="O279" s="17"/>
      <c r="P279" s="17"/>
      <c r="Q279" s="17"/>
      <c r="R279" s="17"/>
      <c r="S279" s="17"/>
      <c r="T279" s="17"/>
      <c r="U279" s="4"/>
      <c r="V279" s="4"/>
    </row>
    <row r="280" spans="1:22" x14ac:dyDescent="0.25">
      <c r="A280" s="318" t="str">
        <f t="shared" si="16"/>
        <v>Sat</v>
      </c>
      <c r="B280" s="15"/>
      <c r="C280" s="16"/>
      <c r="D280" s="6"/>
      <c r="E280" s="6"/>
      <c r="F280" s="6"/>
      <c r="G280" s="6"/>
      <c r="H280" s="6"/>
      <c r="I280" s="6"/>
      <c r="J280" s="6"/>
      <c r="K280" s="6"/>
      <c r="L280" s="20"/>
      <c r="M280" s="84">
        <f t="shared" si="15"/>
        <v>0</v>
      </c>
      <c r="N280" s="248">
        <f>RHcount!X274</f>
        <v>0</v>
      </c>
      <c r="O280" s="17"/>
      <c r="P280" s="17"/>
      <c r="Q280" s="17"/>
      <c r="R280" s="17"/>
      <c r="S280" s="17"/>
      <c r="T280" s="17"/>
      <c r="U280" s="4"/>
      <c r="V280" s="4"/>
    </row>
    <row r="281" spans="1:22" x14ac:dyDescent="0.25">
      <c r="A281" s="318" t="str">
        <f t="shared" si="16"/>
        <v>Sat</v>
      </c>
      <c r="B281" s="15"/>
      <c r="C281" s="16"/>
      <c r="D281" s="6"/>
      <c r="E281" s="6"/>
      <c r="F281" s="6"/>
      <c r="G281" s="6"/>
      <c r="H281" s="6"/>
      <c r="I281" s="6"/>
      <c r="J281" s="6"/>
      <c r="K281" s="6"/>
      <c r="L281" s="20"/>
      <c r="M281" s="84">
        <f t="shared" si="15"/>
        <v>0</v>
      </c>
      <c r="N281" s="248">
        <f>RHcount!X275</f>
        <v>0</v>
      </c>
      <c r="O281" s="17"/>
      <c r="P281" s="17"/>
      <c r="Q281" s="17"/>
      <c r="R281" s="17"/>
      <c r="S281" s="17"/>
      <c r="T281" s="17"/>
      <c r="U281" s="4"/>
      <c r="V281" s="4"/>
    </row>
    <row r="282" spans="1:22" x14ac:dyDescent="0.25">
      <c r="A282" s="318" t="str">
        <f t="shared" si="16"/>
        <v>Sat</v>
      </c>
      <c r="B282" s="15"/>
      <c r="C282" s="16"/>
      <c r="D282" s="6"/>
      <c r="E282" s="6"/>
      <c r="F282" s="6"/>
      <c r="G282" s="6"/>
      <c r="H282" s="6"/>
      <c r="I282" s="6"/>
      <c r="J282" s="6"/>
      <c r="K282" s="6"/>
      <c r="L282" s="20"/>
      <c r="M282" s="84">
        <f t="shared" si="15"/>
        <v>0</v>
      </c>
      <c r="N282" s="248">
        <f>RHcount!X276</f>
        <v>0</v>
      </c>
      <c r="O282" s="17"/>
      <c r="P282" s="17"/>
      <c r="Q282" s="17"/>
      <c r="R282" s="17"/>
      <c r="S282" s="17"/>
      <c r="T282" s="17"/>
      <c r="U282" s="4"/>
      <c r="V282" s="4"/>
    </row>
    <row r="283" spans="1:22" x14ac:dyDescent="0.25">
      <c r="A283" s="318" t="str">
        <f t="shared" si="16"/>
        <v>Sat</v>
      </c>
      <c r="B283" s="15"/>
      <c r="C283" s="16"/>
      <c r="D283" s="6"/>
      <c r="E283" s="6"/>
      <c r="F283" s="6"/>
      <c r="G283" s="6"/>
      <c r="H283" s="6"/>
      <c r="I283" s="6"/>
      <c r="J283" s="6"/>
      <c r="K283" s="6"/>
      <c r="L283" s="20"/>
      <c r="M283" s="84">
        <f t="shared" si="15"/>
        <v>0</v>
      </c>
      <c r="N283" s="248">
        <f>RHcount!X277</f>
        <v>0</v>
      </c>
      <c r="O283" s="17"/>
      <c r="P283" s="17"/>
      <c r="Q283" s="17"/>
      <c r="R283" s="17"/>
      <c r="S283" s="17"/>
      <c r="T283" s="17"/>
      <c r="U283" s="4"/>
      <c r="V283" s="4"/>
    </row>
    <row r="284" spans="1:22" x14ac:dyDescent="0.25">
      <c r="A284" s="318" t="str">
        <f t="shared" si="16"/>
        <v>Sat</v>
      </c>
      <c r="B284" s="15"/>
      <c r="C284" s="16"/>
      <c r="D284" s="6"/>
      <c r="E284" s="6"/>
      <c r="F284" s="6"/>
      <c r="G284" s="6"/>
      <c r="H284" s="6"/>
      <c r="I284" s="6"/>
      <c r="J284" s="6"/>
      <c r="K284" s="6"/>
      <c r="L284" s="20"/>
      <c r="M284" s="84">
        <f t="shared" si="15"/>
        <v>0</v>
      </c>
      <c r="N284" s="248">
        <f>RHcount!X278</f>
        <v>0</v>
      </c>
      <c r="O284" s="17"/>
      <c r="P284" s="17"/>
      <c r="Q284" s="17"/>
      <c r="R284" s="17"/>
      <c r="S284" s="17"/>
      <c r="T284" s="17"/>
      <c r="U284" s="4"/>
      <c r="V284" s="4"/>
    </row>
    <row r="285" spans="1:22" x14ac:dyDescent="0.25">
      <c r="A285" s="318" t="str">
        <f t="shared" si="16"/>
        <v>Sat</v>
      </c>
      <c r="B285" s="15"/>
      <c r="C285" s="16"/>
      <c r="D285" s="6"/>
      <c r="E285" s="6"/>
      <c r="F285" s="6"/>
      <c r="G285" s="6"/>
      <c r="H285" s="6"/>
      <c r="I285" s="6"/>
      <c r="J285" s="6"/>
      <c r="K285" s="6"/>
      <c r="L285" s="20"/>
      <c r="M285" s="84">
        <f t="shared" si="15"/>
        <v>0</v>
      </c>
      <c r="N285" s="248">
        <f>RHcount!X279</f>
        <v>0</v>
      </c>
      <c r="O285" s="17"/>
      <c r="P285" s="17"/>
      <c r="Q285" s="17"/>
      <c r="R285" s="17"/>
      <c r="S285" s="17"/>
      <c r="T285" s="17"/>
      <c r="U285" s="4"/>
      <c r="V285" s="4"/>
    </row>
    <row r="286" spans="1:22" x14ac:dyDescent="0.25">
      <c r="A286" s="318" t="str">
        <f t="shared" si="16"/>
        <v>Sat</v>
      </c>
      <c r="B286" s="15"/>
      <c r="C286" s="16"/>
      <c r="D286" s="6"/>
      <c r="E286" s="6"/>
      <c r="F286" s="6"/>
      <c r="G286" s="6"/>
      <c r="H286" s="6"/>
      <c r="I286" s="6"/>
      <c r="J286" s="6"/>
      <c r="K286" s="6"/>
      <c r="L286" s="20"/>
      <c r="M286" s="84">
        <f t="shared" si="15"/>
        <v>0</v>
      </c>
      <c r="N286" s="248">
        <f>RHcount!X280</f>
        <v>0</v>
      </c>
      <c r="O286" s="17"/>
      <c r="P286" s="17"/>
      <c r="Q286" s="17"/>
      <c r="R286" s="17"/>
      <c r="S286" s="17"/>
      <c r="T286" s="17"/>
      <c r="U286" s="4"/>
      <c r="V286" s="4"/>
    </row>
    <row r="287" spans="1:22" x14ac:dyDescent="0.25">
      <c r="A287" s="318" t="str">
        <f t="shared" si="16"/>
        <v>Sat</v>
      </c>
      <c r="B287" s="15"/>
      <c r="C287" s="16"/>
      <c r="D287" s="6"/>
      <c r="E287" s="6"/>
      <c r="F287" s="6"/>
      <c r="G287" s="6"/>
      <c r="H287" s="6"/>
      <c r="I287" s="6"/>
      <c r="J287" s="6"/>
      <c r="K287" s="6"/>
      <c r="L287" s="20"/>
      <c r="M287" s="84">
        <f t="shared" si="15"/>
        <v>0</v>
      </c>
      <c r="N287" s="248">
        <f>RHcount!X281</f>
        <v>0</v>
      </c>
      <c r="O287" s="17"/>
      <c r="P287" s="17"/>
      <c r="Q287" s="17"/>
      <c r="R287" s="17"/>
      <c r="S287" s="17"/>
      <c r="T287" s="17"/>
      <c r="U287" s="4"/>
      <c r="V287" s="4"/>
    </row>
    <row r="288" spans="1:22" x14ac:dyDescent="0.25">
      <c r="A288" s="318" t="str">
        <f t="shared" si="16"/>
        <v>Sat</v>
      </c>
      <c r="B288" s="15"/>
      <c r="C288" s="16"/>
      <c r="D288" s="6"/>
      <c r="E288" s="6"/>
      <c r="F288" s="6"/>
      <c r="G288" s="6"/>
      <c r="H288" s="6"/>
      <c r="I288" s="6"/>
      <c r="J288" s="6"/>
      <c r="K288" s="6"/>
      <c r="L288" s="20"/>
      <c r="M288" s="84">
        <f t="shared" si="15"/>
        <v>0</v>
      </c>
      <c r="N288" s="248">
        <f>RHcount!X282</f>
        <v>0</v>
      </c>
      <c r="O288" s="17"/>
      <c r="P288" s="17"/>
      <c r="Q288" s="17"/>
      <c r="R288" s="17"/>
      <c r="S288" s="17"/>
      <c r="T288" s="17"/>
      <c r="U288" s="4"/>
      <c r="V288" s="4"/>
    </row>
    <row r="289" spans="1:22" x14ac:dyDescent="0.25">
      <c r="A289" s="318" t="str">
        <f t="shared" si="16"/>
        <v>Sat</v>
      </c>
      <c r="B289" s="15"/>
      <c r="C289" s="16"/>
      <c r="D289" s="6"/>
      <c r="E289" s="6"/>
      <c r="F289" s="6"/>
      <c r="G289" s="6"/>
      <c r="H289" s="6"/>
      <c r="I289" s="6"/>
      <c r="J289" s="6"/>
      <c r="K289" s="6"/>
      <c r="L289" s="20"/>
      <c r="M289" s="84">
        <f t="shared" si="15"/>
        <v>0</v>
      </c>
      <c r="N289" s="248">
        <f>RHcount!X283</f>
        <v>0</v>
      </c>
      <c r="O289" s="17"/>
      <c r="P289" s="17"/>
      <c r="Q289" s="17"/>
      <c r="R289" s="17"/>
      <c r="S289" s="17"/>
      <c r="T289" s="17"/>
      <c r="U289" s="4"/>
      <c r="V289" s="4"/>
    </row>
    <row r="290" spans="1:22" x14ac:dyDescent="0.25">
      <c r="A290" s="318" t="str">
        <f t="shared" si="16"/>
        <v>Sat</v>
      </c>
      <c r="B290" s="15"/>
      <c r="C290" s="16"/>
      <c r="D290" s="6"/>
      <c r="E290" s="6"/>
      <c r="F290" s="6"/>
      <c r="G290" s="6"/>
      <c r="H290" s="6"/>
      <c r="I290" s="6"/>
      <c r="J290" s="6"/>
      <c r="K290" s="6"/>
      <c r="L290" s="20"/>
      <c r="M290" s="84">
        <f t="shared" si="15"/>
        <v>0</v>
      </c>
      <c r="N290" s="248">
        <f>RHcount!X284</f>
        <v>0</v>
      </c>
      <c r="O290" s="17"/>
      <c r="P290" s="17"/>
      <c r="Q290" s="17"/>
      <c r="R290" s="17"/>
      <c r="S290" s="17"/>
      <c r="T290" s="17"/>
      <c r="U290" s="4"/>
      <c r="V290" s="4"/>
    </row>
    <row r="291" spans="1:22" x14ac:dyDescent="0.25">
      <c r="A291" s="318" t="str">
        <f t="shared" si="16"/>
        <v>Sat</v>
      </c>
      <c r="B291" s="15"/>
      <c r="C291" s="16"/>
      <c r="D291" s="6"/>
      <c r="E291" s="6"/>
      <c r="F291" s="6"/>
      <c r="G291" s="6"/>
      <c r="H291" s="6"/>
      <c r="I291" s="6"/>
      <c r="J291" s="6"/>
      <c r="K291" s="6"/>
      <c r="L291" s="20"/>
      <c r="M291" s="84">
        <f t="shared" si="15"/>
        <v>0</v>
      </c>
      <c r="N291" s="248">
        <f>RHcount!X285</f>
        <v>0</v>
      </c>
      <c r="O291" s="17"/>
      <c r="P291" s="17"/>
      <c r="Q291" s="17"/>
      <c r="R291" s="17"/>
      <c r="S291" s="17"/>
      <c r="T291" s="17"/>
      <c r="U291" s="4"/>
      <c r="V291" s="4"/>
    </row>
    <row r="292" spans="1:22" x14ac:dyDescent="0.25">
      <c r="A292" s="318" t="str">
        <f t="shared" si="16"/>
        <v>Sat</v>
      </c>
      <c r="B292" s="15"/>
      <c r="C292" s="16"/>
      <c r="D292" s="6"/>
      <c r="E292" s="6"/>
      <c r="F292" s="6"/>
      <c r="G292" s="6"/>
      <c r="H292" s="6"/>
      <c r="I292" s="6"/>
      <c r="J292" s="6"/>
      <c r="K292" s="6"/>
      <c r="L292" s="20"/>
      <c r="M292" s="84">
        <f t="shared" si="15"/>
        <v>0</v>
      </c>
      <c r="N292" s="248">
        <f>RHcount!X286</f>
        <v>0</v>
      </c>
      <c r="O292" s="17"/>
      <c r="P292" s="17"/>
      <c r="Q292" s="17"/>
      <c r="R292" s="17"/>
      <c r="S292" s="17"/>
      <c r="T292" s="17"/>
      <c r="U292" s="4"/>
      <c r="V292" s="4"/>
    </row>
    <row r="293" spans="1:22" x14ac:dyDescent="0.25">
      <c r="A293" s="318" t="str">
        <f t="shared" si="16"/>
        <v>Sat</v>
      </c>
      <c r="B293" s="15"/>
      <c r="C293" s="16"/>
      <c r="D293" s="6"/>
      <c r="E293" s="6"/>
      <c r="F293" s="6"/>
      <c r="G293" s="6"/>
      <c r="H293" s="6"/>
      <c r="I293" s="6"/>
      <c r="J293" s="6"/>
      <c r="K293" s="6"/>
      <c r="L293" s="20"/>
      <c r="M293" s="84">
        <f t="shared" si="15"/>
        <v>0</v>
      </c>
      <c r="N293" s="248">
        <f>RHcount!X287</f>
        <v>0</v>
      </c>
      <c r="O293" s="17"/>
      <c r="P293" s="17"/>
      <c r="Q293" s="17"/>
      <c r="R293" s="17"/>
      <c r="S293" s="17"/>
      <c r="T293" s="17"/>
      <c r="U293" s="4"/>
      <c r="V293" s="4"/>
    </row>
    <row r="294" spans="1:22" x14ac:dyDescent="0.25">
      <c r="A294" s="318" t="str">
        <f t="shared" si="16"/>
        <v>Sat</v>
      </c>
      <c r="B294" s="15"/>
      <c r="C294" s="16"/>
      <c r="D294" s="6"/>
      <c r="E294" s="6"/>
      <c r="F294" s="6"/>
      <c r="G294" s="6"/>
      <c r="H294" s="6"/>
      <c r="I294" s="6"/>
      <c r="J294" s="6"/>
      <c r="K294" s="6"/>
      <c r="L294" s="20"/>
      <c r="M294" s="84">
        <f t="shared" si="15"/>
        <v>0</v>
      </c>
      <c r="N294" s="248">
        <f>RHcount!X288</f>
        <v>0</v>
      </c>
      <c r="O294" s="17"/>
      <c r="P294" s="17"/>
      <c r="Q294" s="17"/>
      <c r="R294" s="17"/>
      <c r="S294" s="17"/>
      <c r="T294" s="17"/>
      <c r="U294" s="4"/>
      <c r="V294" s="4"/>
    </row>
    <row r="295" spans="1:22" x14ac:dyDescent="0.25">
      <c r="A295" s="318" t="str">
        <f t="shared" si="16"/>
        <v>Sat</v>
      </c>
      <c r="B295" s="15"/>
      <c r="C295" s="16"/>
      <c r="D295" s="6"/>
      <c r="E295" s="6"/>
      <c r="F295" s="6"/>
      <c r="G295" s="6"/>
      <c r="H295" s="6"/>
      <c r="I295" s="6"/>
      <c r="J295" s="6"/>
      <c r="K295" s="6"/>
      <c r="L295" s="20"/>
      <c r="M295" s="84">
        <f t="shared" si="15"/>
        <v>0</v>
      </c>
      <c r="N295" s="248">
        <f>RHcount!X289</f>
        <v>0</v>
      </c>
      <c r="O295" s="17"/>
      <c r="P295" s="17"/>
      <c r="Q295" s="17"/>
      <c r="R295" s="17"/>
      <c r="S295" s="17"/>
      <c r="T295" s="17"/>
      <c r="U295" s="4"/>
      <c r="V295" s="4"/>
    </row>
    <row r="296" spans="1:22" x14ac:dyDescent="0.25">
      <c r="A296" s="318" t="str">
        <f t="shared" si="16"/>
        <v>Sat</v>
      </c>
      <c r="B296" s="15"/>
      <c r="C296" s="16"/>
      <c r="D296" s="6"/>
      <c r="E296" s="6"/>
      <c r="F296" s="6"/>
      <c r="G296" s="6"/>
      <c r="H296" s="6"/>
      <c r="I296" s="6"/>
      <c r="J296" s="6"/>
      <c r="K296" s="6"/>
      <c r="L296" s="20"/>
      <c r="M296" s="84">
        <f t="shared" si="15"/>
        <v>0</v>
      </c>
      <c r="N296" s="248">
        <f>RHcount!X290</f>
        <v>0</v>
      </c>
      <c r="O296" s="17"/>
      <c r="P296" s="17"/>
      <c r="Q296" s="17"/>
      <c r="R296" s="17"/>
      <c r="S296" s="17"/>
      <c r="T296" s="17"/>
      <c r="U296" s="4"/>
      <c r="V296" s="4"/>
    </row>
    <row r="297" spans="1:22" x14ac:dyDescent="0.25">
      <c r="A297" s="318" t="str">
        <f t="shared" si="16"/>
        <v>Sat</v>
      </c>
      <c r="B297" s="15"/>
      <c r="C297" s="16"/>
      <c r="D297" s="6"/>
      <c r="E297" s="6"/>
      <c r="F297" s="6"/>
      <c r="G297" s="6"/>
      <c r="H297" s="6"/>
      <c r="I297" s="6"/>
      <c r="J297" s="6"/>
      <c r="K297" s="6"/>
      <c r="L297" s="20"/>
      <c r="M297" s="84">
        <f t="shared" si="15"/>
        <v>0</v>
      </c>
      <c r="N297" s="248">
        <f>RHcount!X291</f>
        <v>0</v>
      </c>
      <c r="O297" s="17"/>
      <c r="P297" s="17"/>
      <c r="Q297" s="17"/>
      <c r="R297" s="17"/>
      <c r="S297" s="17"/>
      <c r="T297" s="17"/>
      <c r="U297" s="4"/>
      <c r="V297" s="4"/>
    </row>
    <row r="298" spans="1:22" x14ac:dyDescent="0.25">
      <c r="A298" s="318" t="str">
        <f t="shared" si="16"/>
        <v>Sat</v>
      </c>
      <c r="B298" s="15"/>
      <c r="C298" s="16"/>
      <c r="D298" s="6"/>
      <c r="E298" s="6"/>
      <c r="F298" s="6"/>
      <c r="G298" s="6"/>
      <c r="H298" s="6"/>
      <c r="I298" s="6"/>
      <c r="J298" s="6"/>
      <c r="K298" s="6"/>
      <c r="L298" s="20"/>
      <c r="M298" s="84">
        <f t="shared" si="15"/>
        <v>0</v>
      </c>
      <c r="N298" s="248">
        <f>RHcount!X292</f>
        <v>0</v>
      </c>
      <c r="O298" s="17"/>
      <c r="P298" s="17"/>
      <c r="Q298" s="17"/>
      <c r="R298" s="17"/>
      <c r="S298" s="17"/>
      <c r="T298" s="17"/>
      <c r="U298" s="4"/>
      <c r="V298" s="4"/>
    </row>
    <row r="299" spans="1:22" x14ac:dyDescent="0.25">
      <c r="A299" s="318" t="str">
        <f t="shared" si="16"/>
        <v>Sat</v>
      </c>
      <c r="B299" s="15"/>
      <c r="C299" s="16"/>
      <c r="D299" s="6"/>
      <c r="E299" s="6"/>
      <c r="F299" s="6"/>
      <c r="G299" s="6"/>
      <c r="H299" s="6"/>
      <c r="I299" s="6"/>
      <c r="J299" s="6"/>
      <c r="K299" s="6"/>
      <c r="L299" s="20"/>
      <c r="M299" s="84">
        <f t="shared" si="15"/>
        <v>0</v>
      </c>
      <c r="N299" s="248">
        <f>RHcount!X293</f>
        <v>0</v>
      </c>
      <c r="O299" s="17"/>
      <c r="P299" s="17"/>
      <c r="Q299" s="17"/>
      <c r="R299" s="17"/>
      <c r="S299" s="17"/>
      <c r="T299" s="17"/>
      <c r="U299" s="4"/>
      <c r="V299" s="4"/>
    </row>
    <row r="300" spans="1:22" x14ac:dyDescent="0.25">
      <c r="A300" s="318" t="str">
        <f t="shared" si="16"/>
        <v>Sat</v>
      </c>
      <c r="B300" s="15"/>
      <c r="C300" s="16"/>
      <c r="D300" s="6"/>
      <c r="E300" s="6"/>
      <c r="F300" s="6"/>
      <c r="G300" s="6"/>
      <c r="H300" s="6"/>
      <c r="I300" s="6"/>
      <c r="J300" s="6"/>
      <c r="K300" s="6"/>
      <c r="L300" s="20"/>
      <c r="M300" s="84">
        <f t="shared" si="15"/>
        <v>0</v>
      </c>
      <c r="N300" s="248">
        <f>RHcount!X294</f>
        <v>0</v>
      </c>
      <c r="O300" s="17"/>
      <c r="P300" s="17"/>
      <c r="Q300" s="17"/>
      <c r="R300" s="17"/>
      <c r="S300" s="17"/>
      <c r="T300" s="17"/>
      <c r="U300" s="4"/>
      <c r="V300" s="4"/>
    </row>
    <row r="301" spans="1:22" x14ac:dyDescent="0.25">
      <c r="A301" s="318" t="str">
        <f t="shared" si="16"/>
        <v>Sat</v>
      </c>
      <c r="B301" s="15"/>
      <c r="C301" s="16"/>
      <c r="D301" s="6"/>
      <c r="E301" s="6"/>
      <c r="F301" s="6"/>
      <c r="G301" s="6"/>
      <c r="H301" s="6"/>
      <c r="I301" s="6"/>
      <c r="J301" s="6"/>
      <c r="K301" s="6"/>
      <c r="L301" s="20"/>
      <c r="M301" s="84">
        <f t="shared" si="15"/>
        <v>0</v>
      </c>
      <c r="N301" s="248">
        <f>RHcount!X295</f>
        <v>0</v>
      </c>
      <c r="O301" s="17"/>
      <c r="P301" s="17"/>
      <c r="Q301" s="17"/>
      <c r="R301" s="17"/>
      <c r="S301" s="17"/>
      <c r="T301" s="17"/>
      <c r="U301" s="4"/>
      <c r="V301" s="4"/>
    </row>
    <row r="302" spans="1:22" x14ac:dyDescent="0.25">
      <c r="A302" s="318" t="str">
        <f t="shared" si="16"/>
        <v>Sat</v>
      </c>
      <c r="B302" s="15"/>
      <c r="C302" s="16"/>
      <c r="D302" s="6"/>
      <c r="E302" s="6"/>
      <c r="F302" s="6"/>
      <c r="G302" s="6"/>
      <c r="H302" s="6"/>
      <c r="I302" s="6"/>
      <c r="J302" s="6"/>
      <c r="K302" s="6"/>
      <c r="L302" s="20"/>
      <c r="M302" s="84">
        <f t="shared" si="15"/>
        <v>0</v>
      </c>
      <c r="N302" s="248">
        <f>RHcount!X296</f>
        <v>0</v>
      </c>
      <c r="O302" s="17"/>
      <c r="P302" s="17"/>
      <c r="Q302" s="17"/>
      <c r="R302" s="17"/>
      <c r="S302" s="17"/>
      <c r="T302" s="17"/>
      <c r="U302" s="4"/>
      <c r="V302" s="4"/>
    </row>
    <row r="303" spans="1:22" x14ac:dyDescent="0.25">
      <c r="A303" s="318" t="str">
        <f t="shared" si="16"/>
        <v>Sat</v>
      </c>
      <c r="B303" s="15"/>
      <c r="C303" s="16"/>
      <c r="D303" s="6"/>
      <c r="E303" s="6"/>
      <c r="F303" s="6"/>
      <c r="G303" s="6"/>
      <c r="H303" s="6"/>
      <c r="I303" s="6"/>
      <c r="J303" s="6"/>
      <c r="K303" s="6"/>
      <c r="L303" s="20"/>
      <c r="M303" s="84">
        <f t="shared" si="15"/>
        <v>0</v>
      </c>
      <c r="N303" s="248">
        <f>RHcount!X297</f>
        <v>0</v>
      </c>
      <c r="O303" s="17"/>
      <c r="P303" s="17"/>
      <c r="Q303" s="17"/>
      <c r="R303" s="17"/>
      <c r="S303" s="17"/>
      <c r="T303" s="17"/>
      <c r="U303" s="4"/>
      <c r="V303" s="4"/>
    </row>
    <row r="304" spans="1:22" x14ac:dyDescent="0.25">
      <c r="A304" s="318" t="str">
        <f t="shared" si="16"/>
        <v>Sat</v>
      </c>
      <c r="B304" s="15"/>
      <c r="C304" s="16"/>
      <c r="D304" s="6"/>
      <c r="E304" s="6"/>
      <c r="F304" s="6"/>
      <c r="G304" s="6"/>
      <c r="H304" s="6"/>
      <c r="I304" s="6"/>
      <c r="J304" s="6"/>
      <c r="K304" s="6"/>
      <c r="L304" s="20"/>
      <c r="M304" s="84">
        <f t="shared" si="15"/>
        <v>0</v>
      </c>
      <c r="N304" s="248">
        <f>RHcount!X298</f>
        <v>0</v>
      </c>
      <c r="O304" s="17"/>
      <c r="P304" s="17"/>
      <c r="Q304" s="17"/>
      <c r="R304" s="17"/>
      <c r="S304" s="17"/>
      <c r="T304" s="17"/>
      <c r="U304" s="4"/>
      <c r="V304" s="4"/>
    </row>
    <row r="305" spans="1:22" x14ac:dyDescent="0.25">
      <c r="A305" s="318" t="str">
        <f t="shared" si="16"/>
        <v>Sat</v>
      </c>
      <c r="B305" s="15"/>
      <c r="C305" s="16"/>
      <c r="D305" s="6"/>
      <c r="E305" s="6"/>
      <c r="F305" s="6"/>
      <c r="G305" s="6"/>
      <c r="H305" s="6"/>
      <c r="I305" s="6"/>
      <c r="J305" s="6"/>
      <c r="K305" s="6"/>
      <c r="L305" s="20"/>
      <c r="M305" s="84">
        <f t="shared" si="15"/>
        <v>0</v>
      </c>
      <c r="N305" s="248">
        <f>RHcount!X299</f>
        <v>0</v>
      </c>
      <c r="O305" s="17"/>
      <c r="P305" s="17"/>
      <c r="Q305" s="17"/>
      <c r="R305" s="17"/>
      <c r="S305" s="17"/>
      <c r="T305" s="17"/>
      <c r="U305" s="4"/>
      <c r="V305" s="4"/>
    </row>
    <row r="306" spans="1:22" x14ac:dyDescent="0.25">
      <c r="A306" s="318" t="str">
        <f t="shared" si="16"/>
        <v>Sat</v>
      </c>
      <c r="B306" s="15"/>
      <c r="C306" s="16"/>
      <c r="D306" s="6"/>
      <c r="E306" s="6"/>
      <c r="F306" s="6"/>
      <c r="G306" s="6"/>
      <c r="H306" s="6"/>
      <c r="I306" s="6"/>
      <c r="J306" s="6"/>
      <c r="K306" s="6"/>
      <c r="L306" s="20"/>
      <c r="M306" s="84">
        <f t="shared" si="15"/>
        <v>0</v>
      </c>
      <c r="N306" s="248">
        <f>RHcount!X300</f>
        <v>0</v>
      </c>
      <c r="O306" s="17"/>
      <c r="P306" s="17"/>
      <c r="Q306" s="17"/>
      <c r="R306" s="17"/>
      <c r="S306" s="17"/>
      <c r="T306" s="17"/>
      <c r="U306" s="4"/>
      <c r="V306" s="4"/>
    </row>
    <row r="307" spans="1:22" x14ac:dyDescent="0.25">
      <c r="A307" s="318" t="str">
        <f t="shared" si="16"/>
        <v>Sat</v>
      </c>
      <c r="B307" s="15"/>
      <c r="C307" s="16"/>
      <c r="D307" s="6"/>
      <c r="E307" s="6"/>
      <c r="F307" s="6"/>
      <c r="G307" s="6"/>
      <c r="H307" s="6"/>
      <c r="I307" s="6"/>
      <c r="J307" s="6"/>
      <c r="K307" s="6"/>
      <c r="L307" s="20"/>
      <c r="M307" s="84">
        <f t="shared" si="15"/>
        <v>0</v>
      </c>
      <c r="N307" s="248">
        <f>RHcount!X301</f>
        <v>0</v>
      </c>
      <c r="O307" s="17"/>
      <c r="P307" s="17"/>
      <c r="Q307" s="17"/>
      <c r="R307" s="17"/>
      <c r="S307" s="17"/>
      <c r="T307" s="17"/>
      <c r="U307" s="4"/>
      <c r="V307" s="4"/>
    </row>
    <row r="308" spans="1:22" x14ac:dyDescent="0.25">
      <c r="A308" s="318" t="str">
        <f t="shared" si="16"/>
        <v>Sat</v>
      </c>
      <c r="B308" s="15"/>
      <c r="C308" s="16"/>
      <c r="D308" s="6"/>
      <c r="E308" s="6"/>
      <c r="F308" s="6"/>
      <c r="G308" s="6"/>
      <c r="H308" s="6"/>
      <c r="I308" s="6"/>
      <c r="J308" s="6"/>
      <c r="K308" s="6"/>
      <c r="L308" s="20"/>
      <c r="M308" s="84">
        <f t="shared" si="15"/>
        <v>0</v>
      </c>
      <c r="N308" s="248">
        <f>RHcount!X302</f>
        <v>0</v>
      </c>
      <c r="O308" s="17"/>
      <c r="P308" s="17"/>
      <c r="Q308" s="17"/>
      <c r="R308" s="17"/>
      <c r="S308" s="17"/>
      <c r="T308" s="17"/>
      <c r="U308" s="4"/>
      <c r="V308" s="4"/>
    </row>
    <row r="309" spans="1:22" x14ac:dyDescent="0.25">
      <c r="A309" s="318" t="str">
        <f t="shared" si="16"/>
        <v>Sat</v>
      </c>
      <c r="B309" s="15"/>
      <c r="C309" s="16"/>
      <c r="D309" s="6"/>
      <c r="E309" s="6"/>
      <c r="F309" s="6"/>
      <c r="G309" s="6"/>
      <c r="H309" s="6"/>
      <c r="I309" s="6"/>
      <c r="J309" s="6"/>
      <c r="K309" s="6"/>
      <c r="L309" s="20"/>
      <c r="M309" s="84">
        <f t="shared" si="15"/>
        <v>0</v>
      </c>
      <c r="N309" s="248">
        <f>RHcount!X303</f>
        <v>0</v>
      </c>
      <c r="O309" s="17"/>
      <c r="P309" s="17"/>
      <c r="Q309" s="17"/>
      <c r="R309" s="17"/>
      <c r="S309" s="17"/>
      <c r="T309" s="17"/>
      <c r="U309" s="4"/>
      <c r="V309" s="4"/>
    </row>
    <row r="310" spans="1:22" x14ac:dyDescent="0.25">
      <c r="A310" s="318" t="str">
        <f t="shared" si="16"/>
        <v>Sat</v>
      </c>
      <c r="B310" s="15"/>
      <c r="C310" s="16"/>
      <c r="D310" s="6"/>
      <c r="E310" s="6"/>
      <c r="F310" s="6"/>
      <c r="G310" s="6"/>
      <c r="H310" s="6"/>
      <c r="I310" s="6"/>
      <c r="J310" s="6"/>
      <c r="K310" s="6"/>
      <c r="L310" s="20"/>
      <c r="M310" s="84">
        <f t="shared" si="15"/>
        <v>0</v>
      </c>
      <c r="N310" s="248">
        <f>RHcount!X304</f>
        <v>0</v>
      </c>
      <c r="O310" s="17"/>
      <c r="P310" s="17"/>
      <c r="Q310" s="17"/>
      <c r="R310" s="17"/>
      <c r="S310" s="17"/>
      <c r="T310" s="17"/>
      <c r="U310" s="4"/>
      <c r="V310" s="4"/>
    </row>
    <row r="311" spans="1:22" x14ac:dyDescent="0.25">
      <c r="A311" s="318" t="str">
        <f t="shared" si="16"/>
        <v>Sat</v>
      </c>
      <c r="B311" s="15"/>
      <c r="C311" s="16"/>
      <c r="D311" s="6"/>
      <c r="E311" s="6"/>
      <c r="F311" s="6"/>
      <c r="G311" s="6"/>
      <c r="H311" s="6"/>
      <c r="I311" s="6"/>
      <c r="J311" s="6"/>
      <c r="K311" s="6"/>
      <c r="L311" s="20"/>
      <c r="M311" s="84">
        <f t="shared" si="15"/>
        <v>0</v>
      </c>
      <c r="N311" s="248">
        <f>RHcount!X305</f>
        <v>0</v>
      </c>
      <c r="O311" s="17"/>
      <c r="P311" s="17"/>
      <c r="Q311" s="17"/>
      <c r="R311" s="17"/>
      <c r="S311" s="17"/>
      <c r="T311" s="17"/>
      <c r="U311" s="4"/>
      <c r="V311" s="4"/>
    </row>
    <row r="312" spans="1:22" x14ac:dyDescent="0.25">
      <c r="A312" s="318" t="str">
        <f t="shared" si="16"/>
        <v>Sat</v>
      </c>
      <c r="B312" s="15"/>
      <c r="C312" s="16"/>
      <c r="D312" s="6"/>
      <c r="E312" s="6"/>
      <c r="F312" s="6"/>
      <c r="G312" s="6"/>
      <c r="H312" s="6"/>
      <c r="I312" s="6"/>
      <c r="J312" s="6"/>
      <c r="K312" s="6"/>
      <c r="L312" s="20"/>
      <c r="M312" s="84">
        <f t="shared" si="15"/>
        <v>0</v>
      </c>
      <c r="N312" s="248">
        <f>RHcount!X306</f>
        <v>0</v>
      </c>
      <c r="O312" s="17"/>
      <c r="P312" s="17"/>
      <c r="Q312" s="17"/>
      <c r="R312" s="17"/>
      <c r="S312" s="17"/>
      <c r="T312" s="17"/>
      <c r="U312" s="4"/>
      <c r="V312" s="4"/>
    </row>
    <row r="313" spans="1:22" x14ac:dyDescent="0.25">
      <c r="A313" s="318" t="str">
        <f t="shared" si="16"/>
        <v>Sat</v>
      </c>
      <c r="B313" s="15"/>
      <c r="C313" s="16"/>
      <c r="D313" s="6"/>
      <c r="E313" s="6"/>
      <c r="F313" s="6"/>
      <c r="G313" s="6"/>
      <c r="H313" s="6"/>
      <c r="I313" s="6"/>
      <c r="J313" s="6"/>
      <c r="K313" s="6"/>
      <c r="L313" s="20"/>
      <c r="M313" s="84">
        <f t="shared" si="15"/>
        <v>0</v>
      </c>
      <c r="N313" s="248">
        <f>RHcount!X307</f>
        <v>0</v>
      </c>
      <c r="O313" s="17"/>
      <c r="P313" s="17"/>
      <c r="Q313" s="17"/>
      <c r="R313" s="17"/>
      <c r="S313" s="17"/>
      <c r="T313" s="17"/>
      <c r="U313" s="4"/>
      <c r="V313" s="4"/>
    </row>
    <row r="314" spans="1:22" x14ac:dyDescent="0.25">
      <c r="A314" s="318" t="str">
        <f t="shared" si="16"/>
        <v>Sat</v>
      </c>
      <c r="B314" s="15"/>
      <c r="C314" s="16"/>
      <c r="D314" s="6"/>
      <c r="E314" s="6"/>
      <c r="F314" s="6"/>
      <c r="G314" s="6"/>
      <c r="H314" s="6"/>
      <c r="I314" s="6"/>
      <c r="J314" s="6"/>
      <c r="K314" s="6"/>
      <c r="L314" s="20"/>
      <c r="M314" s="84">
        <f t="shared" si="15"/>
        <v>0</v>
      </c>
      <c r="N314" s="248">
        <f>RHcount!X308</f>
        <v>0</v>
      </c>
      <c r="O314" s="17"/>
      <c r="P314" s="17"/>
      <c r="Q314" s="17"/>
      <c r="R314" s="17"/>
      <c r="S314" s="17"/>
      <c r="T314" s="17"/>
      <c r="U314" s="4"/>
      <c r="V314" s="4"/>
    </row>
    <row r="315" spans="1:22" x14ac:dyDescent="0.25">
      <c r="A315" s="318" t="str">
        <f t="shared" si="16"/>
        <v>Sat</v>
      </c>
      <c r="B315" s="15"/>
      <c r="C315" s="16"/>
      <c r="D315" s="6"/>
      <c r="E315" s="6"/>
      <c r="F315" s="6"/>
      <c r="G315" s="6"/>
      <c r="H315" s="6"/>
      <c r="I315" s="6"/>
      <c r="J315" s="6"/>
      <c r="K315" s="6"/>
      <c r="L315" s="20"/>
      <c r="M315" s="84">
        <f t="shared" si="15"/>
        <v>0</v>
      </c>
      <c r="N315" s="248">
        <f>RHcount!X309</f>
        <v>0</v>
      </c>
      <c r="O315" s="17"/>
      <c r="P315" s="17"/>
      <c r="Q315" s="17"/>
      <c r="R315" s="17"/>
      <c r="S315" s="17"/>
      <c r="T315" s="17"/>
      <c r="U315" s="4"/>
      <c r="V315" s="4"/>
    </row>
    <row r="316" spans="1:22" x14ac:dyDescent="0.25">
      <c r="A316" s="318" t="str">
        <f t="shared" si="16"/>
        <v>Sat</v>
      </c>
      <c r="B316" s="15"/>
      <c r="C316" s="16"/>
      <c r="D316" s="6"/>
      <c r="E316" s="6"/>
      <c r="F316" s="6"/>
      <c r="G316" s="6"/>
      <c r="H316" s="6"/>
      <c r="I316" s="6"/>
      <c r="J316" s="6"/>
      <c r="K316" s="6"/>
      <c r="L316" s="20"/>
      <c r="M316" s="84">
        <f t="shared" si="15"/>
        <v>0</v>
      </c>
      <c r="N316" s="248">
        <f>RHcount!X310</f>
        <v>0</v>
      </c>
      <c r="O316" s="17"/>
      <c r="P316" s="17"/>
      <c r="Q316" s="17"/>
      <c r="R316" s="17"/>
      <c r="S316" s="17"/>
      <c r="T316" s="17"/>
      <c r="U316" s="4"/>
      <c r="V316" s="4"/>
    </row>
    <row r="317" spans="1:22" x14ac:dyDescent="0.25">
      <c r="A317" s="318" t="str">
        <f t="shared" si="16"/>
        <v>Sat</v>
      </c>
      <c r="B317" s="15"/>
      <c r="C317" s="16"/>
      <c r="D317" s="6"/>
      <c r="E317" s="6"/>
      <c r="F317" s="6"/>
      <c r="G317" s="6"/>
      <c r="H317" s="6"/>
      <c r="I317" s="6"/>
      <c r="J317" s="6"/>
      <c r="K317" s="6"/>
      <c r="L317" s="20"/>
      <c r="M317" s="84">
        <f t="shared" si="15"/>
        <v>0</v>
      </c>
      <c r="N317" s="248">
        <f>RHcount!X311</f>
        <v>0</v>
      </c>
      <c r="O317" s="17"/>
      <c r="P317" s="17"/>
      <c r="Q317" s="17"/>
      <c r="R317" s="17"/>
      <c r="S317" s="17"/>
      <c r="T317" s="17"/>
      <c r="U317" s="4"/>
      <c r="V317" s="4"/>
    </row>
    <row r="318" spans="1:22" x14ac:dyDescent="0.25">
      <c r="A318" s="318" t="str">
        <f t="shared" si="16"/>
        <v>Sat</v>
      </c>
      <c r="B318" s="15"/>
      <c r="C318" s="16"/>
      <c r="D318" s="6"/>
      <c r="E318" s="6"/>
      <c r="F318" s="6"/>
      <c r="G318" s="6"/>
      <c r="H318" s="6"/>
      <c r="I318" s="6"/>
      <c r="J318" s="6"/>
      <c r="K318" s="6"/>
      <c r="L318" s="20"/>
      <c r="M318" s="84">
        <f t="shared" si="15"/>
        <v>0</v>
      </c>
      <c r="N318" s="248">
        <f>RHcount!X312</f>
        <v>0</v>
      </c>
      <c r="O318" s="17"/>
      <c r="P318" s="17"/>
      <c r="Q318" s="17"/>
      <c r="R318" s="17"/>
      <c r="S318" s="17"/>
      <c r="T318" s="17"/>
      <c r="U318" s="4"/>
      <c r="V318" s="4"/>
    </row>
    <row r="319" spans="1:22" x14ac:dyDescent="0.25">
      <c r="A319" s="318" t="str">
        <f t="shared" si="16"/>
        <v>Sat</v>
      </c>
      <c r="B319" s="15"/>
      <c r="C319" s="16"/>
      <c r="D319" s="6"/>
      <c r="E319" s="6"/>
      <c r="F319" s="6"/>
      <c r="G319" s="6"/>
      <c r="H319" s="6"/>
      <c r="I319" s="6"/>
      <c r="J319" s="6"/>
      <c r="K319" s="6"/>
      <c r="L319" s="20"/>
      <c r="M319" s="84">
        <f t="shared" si="15"/>
        <v>0</v>
      </c>
      <c r="N319" s="248">
        <f>RHcount!X313</f>
        <v>0</v>
      </c>
      <c r="O319" s="17"/>
      <c r="P319" s="17"/>
      <c r="Q319" s="17"/>
      <c r="R319" s="17"/>
      <c r="S319" s="17"/>
      <c r="T319" s="17"/>
      <c r="U319" s="4"/>
      <c r="V319" s="4"/>
    </row>
    <row r="320" spans="1:22" x14ac:dyDescent="0.25">
      <c r="A320" s="318" t="str">
        <f t="shared" si="16"/>
        <v>Sat</v>
      </c>
      <c r="B320" s="15"/>
      <c r="C320" s="16"/>
      <c r="D320" s="6"/>
      <c r="E320" s="6"/>
      <c r="F320" s="6"/>
      <c r="G320" s="6"/>
      <c r="H320" s="6"/>
      <c r="I320" s="6"/>
      <c r="J320" s="6"/>
      <c r="K320" s="6"/>
      <c r="L320" s="20"/>
      <c r="M320" s="84">
        <f t="shared" si="15"/>
        <v>0</v>
      </c>
      <c r="N320" s="248">
        <f>RHcount!X314</f>
        <v>0</v>
      </c>
      <c r="O320" s="17"/>
      <c r="P320" s="17"/>
      <c r="Q320" s="17"/>
      <c r="R320" s="17"/>
      <c r="S320" s="17"/>
      <c r="T320" s="17"/>
      <c r="U320" s="4"/>
      <c r="V320" s="4"/>
    </row>
    <row r="321" spans="1:22" x14ac:dyDescent="0.25">
      <c r="A321" s="318" t="str">
        <f t="shared" si="16"/>
        <v>Sat</v>
      </c>
      <c r="B321" s="15"/>
      <c r="C321" s="16"/>
      <c r="D321" s="6"/>
      <c r="E321" s="6"/>
      <c r="F321" s="6"/>
      <c r="G321" s="6"/>
      <c r="H321" s="6"/>
      <c r="I321" s="6"/>
      <c r="J321" s="6"/>
      <c r="K321" s="6"/>
      <c r="L321" s="20"/>
      <c r="M321" s="84">
        <f t="shared" si="15"/>
        <v>0</v>
      </c>
      <c r="N321" s="248">
        <f>RHcount!X315</f>
        <v>0</v>
      </c>
      <c r="O321" s="17"/>
      <c r="P321" s="17"/>
      <c r="Q321" s="17"/>
      <c r="R321" s="17"/>
      <c r="S321" s="17"/>
      <c r="T321" s="17"/>
      <c r="U321" s="4"/>
      <c r="V321" s="4"/>
    </row>
    <row r="322" spans="1:22" x14ac:dyDescent="0.25">
      <c r="A322" s="318" t="str">
        <f t="shared" si="16"/>
        <v>Sat</v>
      </c>
      <c r="B322" s="15"/>
      <c r="C322" s="16"/>
      <c r="D322" s="6"/>
      <c r="E322" s="6"/>
      <c r="F322" s="6"/>
      <c r="G322" s="6"/>
      <c r="H322" s="6"/>
      <c r="I322" s="6"/>
      <c r="J322" s="6"/>
      <c r="K322" s="6"/>
      <c r="L322" s="20"/>
      <c r="M322" s="84">
        <f t="shared" si="15"/>
        <v>0</v>
      </c>
      <c r="N322" s="248">
        <f>RHcount!X316</f>
        <v>0</v>
      </c>
      <c r="O322" s="17"/>
      <c r="P322" s="17"/>
      <c r="Q322" s="17"/>
      <c r="R322" s="17"/>
      <c r="S322" s="17"/>
      <c r="T322" s="17"/>
      <c r="U322" s="4"/>
      <c r="V322" s="4"/>
    </row>
    <row r="323" spans="1:22" x14ac:dyDescent="0.25">
      <c r="A323" s="318" t="str">
        <f t="shared" si="16"/>
        <v>Sat</v>
      </c>
      <c r="B323" s="15"/>
      <c r="C323" s="16"/>
      <c r="D323" s="6"/>
      <c r="E323" s="6"/>
      <c r="F323" s="6"/>
      <c r="G323" s="6"/>
      <c r="H323" s="6"/>
      <c r="I323" s="6"/>
      <c r="J323" s="6"/>
      <c r="K323" s="6"/>
      <c r="L323" s="20"/>
      <c r="M323" s="84">
        <f t="shared" si="15"/>
        <v>0</v>
      </c>
      <c r="N323" s="248">
        <f>RHcount!X317</f>
        <v>0</v>
      </c>
      <c r="O323" s="17"/>
      <c r="P323" s="17"/>
      <c r="Q323" s="17"/>
      <c r="R323" s="17"/>
      <c r="S323" s="17"/>
      <c r="T323" s="17"/>
      <c r="U323" s="4"/>
      <c r="V323" s="4"/>
    </row>
    <row r="324" spans="1:22" x14ac:dyDescent="0.25">
      <c r="A324" s="318" t="str">
        <f t="shared" si="16"/>
        <v>Sat</v>
      </c>
      <c r="B324" s="15"/>
      <c r="C324" s="16"/>
      <c r="D324" s="6"/>
      <c r="E324" s="6"/>
      <c r="F324" s="6"/>
      <c r="G324" s="6"/>
      <c r="H324" s="6"/>
      <c r="I324" s="6"/>
      <c r="J324" s="6"/>
      <c r="K324" s="6"/>
      <c r="L324" s="20"/>
      <c r="M324" s="84">
        <f t="shared" si="15"/>
        <v>0</v>
      </c>
      <c r="N324" s="248">
        <f>RHcount!X318</f>
        <v>0</v>
      </c>
      <c r="O324" s="17"/>
      <c r="P324" s="17"/>
      <c r="Q324" s="17"/>
      <c r="R324" s="17"/>
      <c r="S324" s="17"/>
      <c r="T324" s="17"/>
      <c r="U324" s="4"/>
      <c r="V324" s="4"/>
    </row>
    <row r="325" spans="1:22" x14ac:dyDescent="0.25">
      <c r="A325" s="318" t="str">
        <f t="shared" si="16"/>
        <v>Sat</v>
      </c>
      <c r="B325" s="15"/>
      <c r="C325" s="16"/>
      <c r="D325" s="6"/>
      <c r="E325" s="6"/>
      <c r="F325" s="6"/>
      <c r="G325" s="6"/>
      <c r="H325" s="6"/>
      <c r="I325" s="6"/>
      <c r="J325" s="6"/>
      <c r="K325" s="6"/>
      <c r="L325" s="20"/>
      <c r="M325" s="84">
        <f t="shared" si="15"/>
        <v>0</v>
      </c>
      <c r="N325" s="248">
        <f>RHcount!X319</f>
        <v>0</v>
      </c>
      <c r="O325" s="17"/>
      <c r="P325" s="17"/>
      <c r="Q325" s="17"/>
      <c r="R325" s="17"/>
      <c r="S325" s="17"/>
      <c r="T325" s="17"/>
      <c r="U325" s="4"/>
      <c r="V325" s="4"/>
    </row>
    <row r="326" spans="1:22" x14ac:dyDescent="0.25">
      <c r="A326" s="318" t="str">
        <f t="shared" si="16"/>
        <v>Sat</v>
      </c>
      <c r="B326" s="15"/>
      <c r="C326" s="16"/>
      <c r="D326" s="6"/>
      <c r="E326" s="6"/>
      <c r="F326" s="6"/>
      <c r="G326" s="6"/>
      <c r="H326" s="6"/>
      <c r="I326" s="6"/>
      <c r="J326" s="6"/>
      <c r="K326" s="6"/>
      <c r="L326" s="20"/>
      <c r="M326" s="84">
        <f t="shared" si="15"/>
        <v>0</v>
      </c>
      <c r="N326" s="248">
        <f>RHcount!X320</f>
        <v>0</v>
      </c>
      <c r="O326" s="17"/>
      <c r="P326" s="17"/>
      <c r="Q326" s="17"/>
      <c r="R326" s="17"/>
      <c r="S326" s="17"/>
      <c r="T326" s="17"/>
      <c r="U326" s="4"/>
      <c r="V326" s="4"/>
    </row>
    <row r="327" spans="1:22" x14ac:dyDescent="0.25">
      <c r="A327" s="318" t="str">
        <f t="shared" si="16"/>
        <v>Sat</v>
      </c>
      <c r="B327" s="15"/>
      <c r="C327" s="16"/>
      <c r="D327" s="6"/>
      <c r="E327" s="6"/>
      <c r="F327" s="6"/>
      <c r="G327" s="6"/>
      <c r="H327" s="6"/>
      <c r="I327" s="6"/>
      <c r="J327" s="6"/>
      <c r="K327" s="6"/>
      <c r="L327" s="20"/>
      <c r="M327" s="84">
        <f t="shared" si="15"/>
        <v>0</v>
      </c>
      <c r="N327" s="248">
        <f>RHcount!X321</f>
        <v>0</v>
      </c>
      <c r="O327" s="17"/>
      <c r="P327" s="17"/>
      <c r="Q327" s="17"/>
      <c r="R327" s="17"/>
      <c r="S327" s="17"/>
      <c r="T327" s="17"/>
      <c r="U327" s="4"/>
      <c r="V327" s="4"/>
    </row>
    <row r="328" spans="1:22" x14ac:dyDescent="0.25">
      <c r="A328" s="318" t="str">
        <f t="shared" si="16"/>
        <v>Sat</v>
      </c>
      <c r="B328" s="15"/>
      <c r="C328" s="16"/>
      <c r="D328" s="6"/>
      <c r="E328" s="6"/>
      <c r="F328" s="6"/>
      <c r="G328" s="6"/>
      <c r="H328" s="6"/>
      <c r="I328" s="6"/>
      <c r="J328" s="6"/>
      <c r="K328" s="6"/>
      <c r="L328" s="20"/>
      <c r="M328" s="84">
        <f t="shared" si="15"/>
        <v>0</v>
      </c>
      <c r="N328" s="248">
        <f>RHcount!X322</f>
        <v>0</v>
      </c>
      <c r="O328" s="17"/>
      <c r="P328" s="17"/>
      <c r="Q328" s="17"/>
      <c r="R328" s="17"/>
      <c r="S328" s="17"/>
      <c r="T328" s="17"/>
      <c r="U328" s="4"/>
      <c r="V328" s="4"/>
    </row>
    <row r="329" spans="1:22" x14ac:dyDescent="0.25">
      <c r="A329" s="318" t="str">
        <f t="shared" si="16"/>
        <v>Sat</v>
      </c>
      <c r="B329" s="15"/>
      <c r="C329" s="16"/>
      <c r="D329" s="6"/>
      <c r="E329" s="6"/>
      <c r="F329" s="6"/>
      <c r="G329" s="6"/>
      <c r="H329" s="6"/>
      <c r="I329" s="6"/>
      <c r="J329" s="6"/>
      <c r="K329" s="6"/>
      <c r="L329" s="20"/>
      <c r="M329" s="84">
        <f t="shared" si="15"/>
        <v>0</v>
      </c>
      <c r="N329" s="248">
        <f>RHcount!X323</f>
        <v>0</v>
      </c>
      <c r="O329" s="17"/>
      <c r="P329" s="17"/>
      <c r="Q329" s="17"/>
      <c r="R329" s="17"/>
      <c r="S329" s="17"/>
      <c r="T329" s="17"/>
      <c r="U329" s="4"/>
      <c r="V329" s="4"/>
    </row>
    <row r="330" spans="1:22" x14ac:dyDescent="0.25">
      <c r="A330" s="318" t="str">
        <f t="shared" si="16"/>
        <v>Sat</v>
      </c>
      <c r="B330" s="15"/>
      <c r="C330" s="16"/>
      <c r="D330" s="6"/>
      <c r="E330" s="6"/>
      <c r="F330" s="6"/>
      <c r="G330" s="6"/>
      <c r="H330" s="6"/>
      <c r="I330" s="6"/>
      <c r="J330" s="6"/>
      <c r="K330" s="6"/>
      <c r="L330" s="20"/>
      <c r="M330" s="84">
        <f t="shared" si="15"/>
        <v>0</v>
      </c>
      <c r="N330" s="248">
        <f>RHcount!X324</f>
        <v>0</v>
      </c>
      <c r="O330" s="17"/>
      <c r="P330" s="17"/>
      <c r="Q330" s="17"/>
      <c r="R330" s="17"/>
      <c r="S330" s="17"/>
      <c r="T330" s="17"/>
      <c r="U330" s="4"/>
      <c r="V330" s="4"/>
    </row>
    <row r="331" spans="1:22" x14ac:dyDescent="0.25">
      <c r="A331" s="318" t="str">
        <f t="shared" si="16"/>
        <v>Sat</v>
      </c>
      <c r="B331" s="15"/>
      <c r="C331" s="16"/>
      <c r="D331" s="6"/>
      <c r="E331" s="6"/>
      <c r="F331" s="6"/>
      <c r="G331" s="6"/>
      <c r="H331" s="6"/>
      <c r="I331" s="6"/>
      <c r="J331" s="6"/>
      <c r="K331" s="6"/>
      <c r="L331" s="20"/>
      <c r="M331" s="84">
        <f t="shared" ref="M331:M394" si="17">IF(F331&gt;"a",VLOOKUP(F331,$U$11:$V$26,2),F331)</f>
        <v>0</v>
      </c>
      <c r="N331" s="248">
        <f>RHcount!X325</f>
        <v>0</v>
      </c>
      <c r="O331" s="17"/>
      <c r="P331" s="17"/>
      <c r="Q331" s="17"/>
      <c r="R331" s="17"/>
      <c r="S331" s="17"/>
      <c r="T331" s="17"/>
      <c r="U331" s="4"/>
      <c r="V331" s="4"/>
    </row>
    <row r="332" spans="1:22" x14ac:dyDescent="0.25">
      <c r="A332" s="318" t="str">
        <f t="shared" si="16"/>
        <v>Sat</v>
      </c>
      <c r="B332" s="15"/>
      <c r="C332" s="16"/>
      <c r="D332" s="6"/>
      <c r="E332" s="6"/>
      <c r="F332" s="6"/>
      <c r="G332" s="6"/>
      <c r="H332" s="6"/>
      <c r="I332" s="6"/>
      <c r="J332" s="6"/>
      <c r="K332" s="6"/>
      <c r="L332" s="20"/>
      <c r="M332" s="84">
        <f t="shared" si="17"/>
        <v>0</v>
      </c>
      <c r="N332" s="248">
        <f>RHcount!X326</f>
        <v>0</v>
      </c>
      <c r="O332" s="17"/>
      <c r="P332" s="17"/>
      <c r="Q332" s="17"/>
      <c r="R332" s="17"/>
      <c r="S332" s="17"/>
      <c r="T332" s="17"/>
      <c r="U332" s="4"/>
      <c r="V332" s="4"/>
    </row>
    <row r="333" spans="1:22" x14ac:dyDescent="0.25">
      <c r="A333" s="318" t="str">
        <f t="shared" ref="A333:A396" si="18">TEXT(B333,"ddd")</f>
        <v>Sat</v>
      </c>
      <c r="B333" s="15"/>
      <c r="C333" s="16"/>
      <c r="D333" s="6"/>
      <c r="E333" s="6"/>
      <c r="F333" s="6"/>
      <c r="G333" s="6"/>
      <c r="H333" s="6"/>
      <c r="I333" s="6"/>
      <c r="J333" s="6"/>
      <c r="K333" s="6"/>
      <c r="L333" s="20"/>
      <c r="M333" s="84">
        <f t="shared" si="17"/>
        <v>0</v>
      </c>
      <c r="N333" s="248">
        <f>RHcount!X327</f>
        <v>0</v>
      </c>
      <c r="O333" s="17"/>
      <c r="P333" s="17"/>
      <c r="Q333" s="17"/>
      <c r="R333" s="17"/>
      <c r="S333" s="17"/>
      <c r="T333" s="17"/>
      <c r="U333" s="4"/>
      <c r="V333" s="4"/>
    </row>
    <row r="334" spans="1:22" x14ac:dyDescent="0.25">
      <c r="A334" s="318" t="str">
        <f t="shared" si="18"/>
        <v>Sat</v>
      </c>
      <c r="B334" s="15"/>
      <c r="C334" s="16"/>
      <c r="D334" s="6"/>
      <c r="E334" s="6"/>
      <c r="F334" s="6"/>
      <c r="G334" s="6"/>
      <c r="H334" s="6"/>
      <c r="I334" s="6"/>
      <c r="J334" s="6"/>
      <c r="K334" s="6"/>
      <c r="L334" s="20"/>
      <c r="M334" s="84">
        <f t="shared" si="17"/>
        <v>0</v>
      </c>
      <c r="N334" s="248">
        <f>RHcount!X328</f>
        <v>0</v>
      </c>
      <c r="O334" s="17"/>
      <c r="P334" s="17"/>
      <c r="Q334" s="17"/>
      <c r="R334" s="17"/>
      <c r="S334" s="17"/>
      <c r="T334" s="17"/>
      <c r="U334" s="4"/>
      <c r="V334" s="4"/>
    </row>
    <row r="335" spans="1:22" x14ac:dyDescent="0.25">
      <c r="A335" s="318" t="str">
        <f t="shared" si="18"/>
        <v>Sat</v>
      </c>
      <c r="B335" s="15"/>
      <c r="C335" s="16"/>
      <c r="D335" s="6"/>
      <c r="E335" s="6"/>
      <c r="F335" s="6"/>
      <c r="G335" s="6"/>
      <c r="H335" s="6"/>
      <c r="I335" s="6"/>
      <c r="J335" s="6"/>
      <c r="K335" s="6"/>
      <c r="L335" s="20"/>
      <c r="M335" s="84">
        <f t="shared" si="17"/>
        <v>0</v>
      </c>
      <c r="N335" s="248">
        <f>RHcount!X329</f>
        <v>0</v>
      </c>
      <c r="O335" s="17"/>
      <c r="P335" s="17"/>
      <c r="Q335" s="17"/>
      <c r="R335" s="17"/>
      <c r="S335" s="17"/>
      <c r="T335" s="17"/>
      <c r="U335" s="4"/>
      <c r="V335" s="4"/>
    </row>
    <row r="336" spans="1:22" x14ac:dyDescent="0.25">
      <c r="A336" s="318" t="str">
        <f t="shared" si="18"/>
        <v>Sat</v>
      </c>
      <c r="B336" s="15"/>
      <c r="C336" s="16"/>
      <c r="D336" s="6"/>
      <c r="E336" s="6"/>
      <c r="F336" s="6"/>
      <c r="G336" s="6"/>
      <c r="H336" s="6"/>
      <c r="I336" s="6"/>
      <c r="J336" s="6"/>
      <c r="K336" s="6"/>
      <c r="L336" s="20"/>
      <c r="M336" s="84">
        <f t="shared" si="17"/>
        <v>0</v>
      </c>
      <c r="N336" s="248">
        <f>RHcount!X330</f>
        <v>0</v>
      </c>
      <c r="O336" s="17"/>
      <c r="P336" s="17"/>
      <c r="Q336" s="17"/>
      <c r="R336" s="17"/>
      <c r="S336" s="17"/>
      <c r="T336" s="17"/>
      <c r="U336" s="4"/>
      <c r="V336" s="4"/>
    </row>
    <row r="337" spans="1:22" x14ac:dyDescent="0.25">
      <c r="A337" s="318" t="str">
        <f t="shared" si="18"/>
        <v>Sat</v>
      </c>
      <c r="B337" s="15"/>
      <c r="C337" s="16"/>
      <c r="D337" s="6"/>
      <c r="E337" s="6"/>
      <c r="F337" s="6"/>
      <c r="G337" s="6"/>
      <c r="H337" s="6"/>
      <c r="I337" s="6"/>
      <c r="J337" s="6"/>
      <c r="K337" s="6"/>
      <c r="L337" s="20"/>
      <c r="M337" s="84">
        <f t="shared" si="17"/>
        <v>0</v>
      </c>
      <c r="N337" s="248">
        <f>RHcount!X331</f>
        <v>0</v>
      </c>
      <c r="O337" s="17"/>
      <c r="P337" s="17"/>
      <c r="Q337" s="17"/>
      <c r="R337" s="17"/>
      <c r="S337" s="17"/>
      <c r="T337" s="17"/>
      <c r="U337" s="4"/>
      <c r="V337" s="4"/>
    </row>
    <row r="338" spans="1:22" x14ac:dyDescent="0.25">
      <c r="A338" s="318" t="str">
        <f t="shared" si="18"/>
        <v>Sat</v>
      </c>
      <c r="B338" s="15"/>
      <c r="C338" s="16"/>
      <c r="D338" s="6"/>
      <c r="E338" s="6"/>
      <c r="F338" s="6"/>
      <c r="G338" s="6"/>
      <c r="H338" s="6"/>
      <c r="I338" s="6"/>
      <c r="J338" s="6"/>
      <c r="K338" s="6"/>
      <c r="L338" s="20"/>
      <c r="M338" s="84">
        <f t="shared" si="17"/>
        <v>0</v>
      </c>
      <c r="N338" s="248">
        <f>RHcount!X332</f>
        <v>0</v>
      </c>
      <c r="O338" s="17"/>
      <c r="P338" s="17"/>
      <c r="Q338" s="17"/>
      <c r="R338" s="17"/>
      <c r="S338" s="17"/>
      <c r="T338" s="17"/>
      <c r="U338" s="4"/>
      <c r="V338" s="4"/>
    </row>
    <row r="339" spans="1:22" x14ac:dyDescent="0.25">
      <c r="A339" s="318" t="str">
        <f t="shared" si="18"/>
        <v>Sat</v>
      </c>
      <c r="B339" s="15"/>
      <c r="C339" s="16"/>
      <c r="D339" s="6"/>
      <c r="E339" s="6"/>
      <c r="F339" s="6"/>
      <c r="G339" s="6"/>
      <c r="H339" s="6"/>
      <c r="I339" s="6"/>
      <c r="J339" s="6"/>
      <c r="K339" s="6"/>
      <c r="L339" s="20"/>
      <c r="M339" s="84">
        <f t="shared" si="17"/>
        <v>0</v>
      </c>
      <c r="N339" s="248">
        <f>RHcount!X333</f>
        <v>0</v>
      </c>
      <c r="O339" s="17"/>
      <c r="P339" s="17"/>
      <c r="Q339" s="17"/>
      <c r="R339" s="17"/>
      <c r="S339" s="17"/>
      <c r="T339" s="17"/>
      <c r="U339" s="4"/>
      <c r="V339" s="4"/>
    </row>
    <row r="340" spans="1:22" x14ac:dyDescent="0.25">
      <c r="A340" s="318" t="str">
        <f t="shared" si="18"/>
        <v>Sat</v>
      </c>
      <c r="B340" s="15"/>
      <c r="C340" s="16"/>
      <c r="D340" s="6"/>
      <c r="E340" s="6"/>
      <c r="F340" s="6"/>
      <c r="G340" s="6"/>
      <c r="H340" s="6"/>
      <c r="I340" s="6"/>
      <c r="J340" s="6"/>
      <c r="K340" s="6"/>
      <c r="L340" s="20"/>
      <c r="M340" s="84">
        <f t="shared" si="17"/>
        <v>0</v>
      </c>
      <c r="N340" s="248">
        <f>RHcount!X334</f>
        <v>0</v>
      </c>
      <c r="O340" s="17"/>
      <c r="P340" s="17"/>
      <c r="Q340" s="17"/>
      <c r="R340" s="17"/>
      <c r="S340" s="17"/>
      <c r="T340" s="17"/>
      <c r="U340" s="4"/>
      <c r="V340" s="4"/>
    </row>
    <row r="341" spans="1:22" x14ac:dyDescent="0.25">
      <c r="A341" s="318" t="str">
        <f t="shared" si="18"/>
        <v>Sat</v>
      </c>
      <c r="B341" s="15"/>
      <c r="C341" s="16"/>
      <c r="D341" s="6"/>
      <c r="E341" s="6"/>
      <c r="F341" s="6"/>
      <c r="G341" s="6"/>
      <c r="H341" s="6"/>
      <c r="I341" s="6"/>
      <c r="J341" s="6"/>
      <c r="K341" s="6"/>
      <c r="L341" s="20"/>
      <c r="M341" s="84">
        <f t="shared" si="17"/>
        <v>0</v>
      </c>
      <c r="N341" s="248">
        <f>RHcount!X335</f>
        <v>0</v>
      </c>
      <c r="O341" s="17"/>
      <c r="P341" s="17"/>
      <c r="Q341" s="17"/>
      <c r="R341" s="17"/>
      <c r="S341" s="17"/>
      <c r="T341" s="17"/>
      <c r="U341" s="4"/>
      <c r="V341" s="4"/>
    </row>
    <row r="342" spans="1:22" x14ac:dyDescent="0.25">
      <c r="A342" s="318" t="str">
        <f t="shared" si="18"/>
        <v>Sat</v>
      </c>
      <c r="B342" s="15"/>
      <c r="C342" s="16"/>
      <c r="D342" s="6"/>
      <c r="E342" s="6"/>
      <c r="F342" s="6"/>
      <c r="G342" s="6"/>
      <c r="H342" s="6"/>
      <c r="I342" s="6"/>
      <c r="J342" s="6"/>
      <c r="K342" s="6"/>
      <c r="L342" s="20"/>
      <c r="M342" s="84">
        <f t="shared" si="17"/>
        <v>0</v>
      </c>
      <c r="N342" s="248">
        <f>RHcount!X336</f>
        <v>0</v>
      </c>
      <c r="O342" s="17"/>
      <c r="P342" s="17"/>
      <c r="Q342" s="17"/>
      <c r="R342" s="17"/>
      <c r="S342" s="17"/>
      <c r="T342" s="17"/>
      <c r="U342" s="4"/>
      <c r="V342" s="4"/>
    </row>
    <row r="343" spans="1:22" x14ac:dyDescent="0.25">
      <c r="A343" s="318" t="str">
        <f t="shared" si="18"/>
        <v>Sat</v>
      </c>
      <c r="B343" s="15"/>
      <c r="C343" s="16"/>
      <c r="D343" s="6"/>
      <c r="E343" s="6"/>
      <c r="F343" s="6"/>
      <c r="G343" s="6"/>
      <c r="H343" s="6"/>
      <c r="I343" s="6"/>
      <c r="J343" s="6"/>
      <c r="K343" s="6"/>
      <c r="L343" s="20"/>
      <c r="M343" s="84">
        <f t="shared" si="17"/>
        <v>0</v>
      </c>
      <c r="N343" s="248">
        <f>RHcount!X337</f>
        <v>0</v>
      </c>
      <c r="O343" s="17"/>
      <c r="P343" s="17"/>
      <c r="Q343" s="17"/>
      <c r="R343" s="17"/>
      <c r="S343" s="17"/>
      <c r="T343" s="17"/>
      <c r="U343" s="4"/>
      <c r="V343" s="4"/>
    </row>
    <row r="344" spans="1:22" x14ac:dyDescent="0.25">
      <c r="A344" s="318" t="str">
        <f t="shared" si="18"/>
        <v>Sat</v>
      </c>
      <c r="B344" s="15"/>
      <c r="C344" s="16"/>
      <c r="D344" s="6"/>
      <c r="E344" s="6"/>
      <c r="F344" s="6"/>
      <c r="G344" s="6"/>
      <c r="H344" s="6"/>
      <c r="I344" s="6"/>
      <c r="J344" s="6"/>
      <c r="K344" s="6"/>
      <c r="L344" s="20"/>
      <c r="M344" s="84">
        <f t="shared" si="17"/>
        <v>0</v>
      </c>
      <c r="N344" s="248">
        <f>RHcount!X338</f>
        <v>0</v>
      </c>
      <c r="O344" s="17"/>
      <c r="P344" s="17"/>
      <c r="Q344" s="17"/>
      <c r="R344" s="17"/>
      <c r="S344" s="17"/>
      <c r="T344" s="17"/>
      <c r="U344" s="4"/>
      <c r="V344" s="4"/>
    </row>
    <row r="345" spans="1:22" x14ac:dyDescent="0.25">
      <c r="A345" s="318" t="str">
        <f t="shared" si="18"/>
        <v>Sat</v>
      </c>
      <c r="B345" s="15"/>
      <c r="C345" s="16"/>
      <c r="D345" s="6"/>
      <c r="E345" s="6"/>
      <c r="F345" s="6"/>
      <c r="G345" s="6"/>
      <c r="H345" s="6"/>
      <c r="I345" s="6"/>
      <c r="J345" s="6"/>
      <c r="K345" s="6"/>
      <c r="L345" s="20"/>
      <c r="M345" s="84">
        <f t="shared" si="17"/>
        <v>0</v>
      </c>
      <c r="N345" s="248">
        <f>RHcount!X339</f>
        <v>0</v>
      </c>
      <c r="O345" s="17"/>
      <c r="P345" s="17"/>
      <c r="Q345" s="17"/>
      <c r="R345" s="17"/>
      <c r="S345" s="17"/>
      <c r="T345" s="17"/>
      <c r="U345" s="4"/>
      <c r="V345" s="4"/>
    </row>
    <row r="346" spans="1:22" x14ac:dyDescent="0.25">
      <c r="A346" s="318" t="str">
        <f t="shared" si="18"/>
        <v>Sat</v>
      </c>
      <c r="B346" s="15"/>
      <c r="C346" s="16"/>
      <c r="D346" s="6"/>
      <c r="E346" s="6"/>
      <c r="F346" s="6"/>
      <c r="G346" s="6"/>
      <c r="H346" s="6"/>
      <c r="I346" s="6"/>
      <c r="J346" s="6"/>
      <c r="K346" s="6"/>
      <c r="L346" s="20"/>
      <c r="M346" s="84">
        <f t="shared" si="17"/>
        <v>0</v>
      </c>
      <c r="N346" s="248">
        <f>RHcount!X340</f>
        <v>0</v>
      </c>
      <c r="O346" s="17"/>
      <c r="P346" s="17"/>
      <c r="Q346" s="17"/>
      <c r="R346" s="17"/>
      <c r="S346" s="17"/>
      <c r="T346" s="17"/>
      <c r="U346" s="4"/>
      <c r="V346" s="4"/>
    </row>
    <row r="347" spans="1:22" x14ac:dyDescent="0.25">
      <c r="A347" s="318" t="str">
        <f t="shared" si="18"/>
        <v>Sat</v>
      </c>
      <c r="B347" s="15"/>
      <c r="C347" s="16"/>
      <c r="D347" s="6"/>
      <c r="E347" s="6"/>
      <c r="F347" s="6"/>
      <c r="G347" s="6"/>
      <c r="H347" s="6"/>
      <c r="I347" s="6"/>
      <c r="J347" s="6"/>
      <c r="K347" s="6"/>
      <c r="L347" s="20"/>
      <c r="M347" s="84">
        <f t="shared" si="17"/>
        <v>0</v>
      </c>
      <c r="N347" s="248">
        <f>RHcount!X341</f>
        <v>0</v>
      </c>
      <c r="O347" s="17"/>
      <c r="P347" s="17"/>
      <c r="Q347" s="17"/>
      <c r="R347" s="17"/>
      <c r="S347" s="17"/>
      <c r="T347" s="17"/>
      <c r="U347" s="4"/>
      <c r="V347" s="4"/>
    </row>
    <row r="348" spans="1:22" x14ac:dyDescent="0.25">
      <c r="A348" s="318" t="str">
        <f t="shared" si="18"/>
        <v>Sat</v>
      </c>
      <c r="B348" s="15"/>
      <c r="C348" s="16"/>
      <c r="D348" s="6"/>
      <c r="E348" s="6"/>
      <c r="F348" s="6"/>
      <c r="G348" s="6"/>
      <c r="H348" s="6"/>
      <c r="I348" s="6"/>
      <c r="J348" s="6"/>
      <c r="K348" s="6"/>
      <c r="L348" s="20"/>
      <c r="M348" s="84">
        <f t="shared" si="17"/>
        <v>0</v>
      </c>
      <c r="N348" s="248">
        <f>RHcount!X342</f>
        <v>0</v>
      </c>
      <c r="O348" s="17"/>
      <c r="P348" s="17"/>
      <c r="Q348" s="17"/>
      <c r="R348" s="17"/>
      <c r="S348" s="17"/>
      <c r="T348" s="17"/>
      <c r="U348" s="4"/>
      <c r="V348" s="4"/>
    </row>
    <row r="349" spans="1:22" x14ac:dyDescent="0.25">
      <c r="A349" s="318" t="str">
        <f t="shared" si="18"/>
        <v>Sat</v>
      </c>
      <c r="B349" s="15"/>
      <c r="C349" s="16"/>
      <c r="D349" s="6"/>
      <c r="E349" s="6"/>
      <c r="F349" s="6"/>
      <c r="G349" s="6"/>
      <c r="H349" s="6"/>
      <c r="I349" s="6"/>
      <c r="J349" s="6"/>
      <c r="K349" s="6"/>
      <c r="L349" s="20"/>
      <c r="M349" s="84">
        <f t="shared" si="17"/>
        <v>0</v>
      </c>
      <c r="N349" s="248">
        <f>RHcount!X343</f>
        <v>0</v>
      </c>
      <c r="O349" s="17"/>
      <c r="P349" s="17"/>
      <c r="Q349" s="17"/>
      <c r="R349" s="17"/>
      <c r="S349" s="17"/>
      <c r="T349" s="17"/>
      <c r="U349" s="4"/>
      <c r="V349" s="4"/>
    </row>
    <row r="350" spans="1:22" x14ac:dyDescent="0.25">
      <c r="A350" s="318" t="str">
        <f t="shared" si="18"/>
        <v>Sat</v>
      </c>
      <c r="B350" s="15"/>
      <c r="C350" s="16"/>
      <c r="D350" s="6"/>
      <c r="E350" s="6"/>
      <c r="F350" s="6"/>
      <c r="G350" s="6"/>
      <c r="H350" s="6"/>
      <c r="I350" s="6"/>
      <c r="J350" s="6"/>
      <c r="K350" s="6"/>
      <c r="L350" s="20"/>
      <c r="M350" s="84">
        <f t="shared" si="17"/>
        <v>0</v>
      </c>
      <c r="N350" s="248">
        <f>RHcount!X344</f>
        <v>0</v>
      </c>
      <c r="O350" s="17"/>
      <c r="P350" s="17"/>
      <c r="Q350" s="17"/>
      <c r="R350" s="17"/>
      <c r="S350" s="17"/>
      <c r="T350" s="17"/>
      <c r="U350" s="4"/>
      <c r="V350" s="4"/>
    </row>
    <row r="351" spans="1:22" x14ac:dyDescent="0.25">
      <c r="A351" s="318" t="str">
        <f t="shared" si="18"/>
        <v>Sat</v>
      </c>
      <c r="B351" s="15"/>
      <c r="C351" s="16"/>
      <c r="D351" s="6"/>
      <c r="E351" s="6"/>
      <c r="F351" s="6"/>
      <c r="G351" s="6"/>
      <c r="H351" s="6"/>
      <c r="I351" s="6"/>
      <c r="J351" s="6"/>
      <c r="K351" s="6"/>
      <c r="L351" s="20"/>
      <c r="M351" s="84">
        <f t="shared" si="17"/>
        <v>0</v>
      </c>
      <c r="N351" s="248">
        <f>RHcount!X345</f>
        <v>0</v>
      </c>
      <c r="O351" s="17"/>
      <c r="P351" s="17"/>
      <c r="Q351" s="17"/>
      <c r="R351" s="17"/>
      <c r="S351" s="17"/>
      <c r="T351" s="17"/>
      <c r="U351" s="4"/>
      <c r="V351" s="4"/>
    </row>
    <row r="352" spans="1:22" x14ac:dyDescent="0.25">
      <c r="A352" s="318" t="str">
        <f t="shared" si="18"/>
        <v>Sat</v>
      </c>
      <c r="B352" s="15"/>
      <c r="C352" s="16"/>
      <c r="D352" s="6"/>
      <c r="E352" s="6"/>
      <c r="F352" s="6"/>
      <c r="G352" s="6"/>
      <c r="H352" s="6"/>
      <c r="I352" s="6"/>
      <c r="J352" s="6"/>
      <c r="K352" s="6"/>
      <c r="L352" s="20"/>
      <c r="M352" s="84">
        <f t="shared" si="17"/>
        <v>0</v>
      </c>
      <c r="N352" s="248">
        <f>RHcount!X346</f>
        <v>0</v>
      </c>
      <c r="O352" s="17"/>
      <c r="P352" s="17"/>
      <c r="Q352" s="17"/>
      <c r="R352" s="17"/>
      <c r="S352" s="17"/>
      <c r="T352" s="17"/>
      <c r="U352" s="4"/>
      <c r="V352" s="4"/>
    </row>
    <row r="353" spans="1:22" x14ac:dyDescent="0.25">
      <c r="A353" s="318" t="str">
        <f t="shared" si="18"/>
        <v>Sat</v>
      </c>
      <c r="B353" s="15"/>
      <c r="C353" s="16"/>
      <c r="D353" s="6"/>
      <c r="E353" s="6"/>
      <c r="F353" s="6"/>
      <c r="G353" s="6"/>
      <c r="H353" s="6"/>
      <c r="I353" s="6"/>
      <c r="J353" s="6"/>
      <c r="K353" s="6"/>
      <c r="L353" s="20"/>
      <c r="M353" s="84">
        <f t="shared" si="17"/>
        <v>0</v>
      </c>
      <c r="N353" s="248">
        <f>RHcount!X347</f>
        <v>0</v>
      </c>
      <c r="O353" s="17"/>
      <c r="P353" s="17"/>
      <c r="Q353" s="17"/>
      <c r="R353" s="17"/>
      <c r="S353" s="17"/>
      <c r="T353" s="17"/>
      <c r="U353" s="4"/>
      <c r="V353" s="4"/>
    </row>
    <row r="354" spans="1:22" x14ac:dyDescent="0.25">
      <c r="A354" s="318" t="str">
        <f t="shared" si="18"/>
        <v>Sat</v>
      </c>
      <c r="B354" s="15"/>
      <c r="C354" s="16"/>
      <c r="D354" s="6"/>
      <c r="E354" s="6"/>
      <c r="F354" s="6"/>
      <c r="G354" s="6"/>
      <c r="H354" s="6"/>
      <c r="I354" s="6"/>
      <c r="J354" s="6"/>
      <c r="K354" s="6"/>
      <c r="L354" s="20"/>
      <c r="M354" s="84">
        <f t="shared" si="17"/>
        <v>0</v>
      </c>
      <c r="N354" s="248">
        <f>RHcount!X348</f>
        <v>0</v>
      </c>
      <c r="O354" s="17"/>
      <c r="P354" s="17"/>
      <c r="Q354" s="17"/>
      <c r="R354" s="17"/>
      <c r="S354" s="17"/>
      <c r="T354" s="17"/>
      <c r="U354" s="4"/>
      <c r="V354" s="4"/>
    </row>
    <row r="355" spans="1:22" x14ac:dyDescent="0.25">
      <c r="A355" s="318" t="str">
        <f t="shared" si="18"/>
        <v>Sat</v>
      </c>
      <c r="B355" s="15"/>
      <c r="C355" s="16"/>
      <c r="D355" s="6"/>
      <c r="E355" s="6"/>
      <c r="F355" s="6"/>
      <c r="G355" s="6"/>
      <c r="H355" s="6"/>
      <c r="I355" s="6"/>
      <c r="J355" s="6"/>
      <c r="K355" s="6"/>
      <c r="L355" s="20"/>
      <c r="M355" s="84">
        <f t="shared" si="17"/>
        <v>0</v>
      </c>
      <c r="N355" s="248">
        <f>RHcount!X349</f>
        <v>0</v>
      </c>
      <c r="O355" s="17"/>
      <c r="P355" s="17"/>
      <c r="Q355" s="17"/>
      <c r="R355" s="17"/>
      <c r="S355" s="17"/>
      <c r="T355" s="17"/>
      <c r="U355" s="4"/>
      <c r="V355" s="4"/>
    </row>
    <row r="356" spans="1:22" x14ac:dyDescent="0.25">
      <c r="A356" s="318" t="str">
        <f t="shared" si="18"/>
        <v>Sat</v>
      </c>
      <c r="B356" s="15"/>
      <c r="C356" s="16"/>
      <c r="D356" s="6"/>
      <c r="E356" s="6"/>
      <c r="F356" s="6"/>
      <c r="G356" s="6"/>
      <c r="H356" s="6"/>
      <c r="I356" s="6"/>
      <c r="J356" s="6"/>
      <c r="K356" s="6"/>
      <c r="L356" s="20"/>
      <c r="M356" s="84">
        <f t="shared" si="17"/>
        <v>0</v>
      </c>
      <c r="N356" s="248">
        <f>RHcount!X350</f>
        <v>0</v>
      </c>
      <c r="O356" s="17"/>
      <c r="P356" s="17"/>
      <c r="Q356" s="17"/>
      <c r="R356" s="17"/>
      <c r="S356" s="17"/>
      <c r="T356" s="17"/>
      <c r="U356" s="4"/>
      <c r="V356" s="4"/>
    </row>
    <row r="357" spans="1:22" x14ac:dyDescent="0.25">
      <c r="A357" s="318" t="str">
        <f t="shared" si="18"/>
        <v>Sat</v>
      </c>
      <c r="B357" s="15"/>
      <c r="C357" s="16"/>
      <c r="D357" s="6"/>
      <c r="E357" s="6"/>
      <c r="F357" s="6"/>
      <c r="G357" s="6"/>
      <c r="H357" s="6"/>
      <c r="I357" s="6"/>
      <c r="J357" s="6"/>
      <c r="K357" s="6"/>
      <c r="L357" s="20"/>
      <c r="M357" s="84">
        <f t="shared" si="17"/>
        <v>0</v>
      </c>
      <c r="N357" s="248">
        <f>RHcount!X351</f>
        <v>0</v>
      </c>
      <c r="O357" s="17"/>
      <c r="P357" s="17"/>
      <c r="Q357" s="17"/>
      <c r="R357" s="17"/>
      <c r="S357" s="17"/>
      <c r="T357" s="17"/>
      <c r="U357" s="4"/>
      <c r="V357" s="4"/>
    </row>
    <row r="358" spans="1:22" x14ac:dyDescent="0.25">
      <c r="A358" s="318" t="str">
        <f t="shared" si="18"/>
        <v>Sat</v>
      </c>
      <c r="B358" s="15"/>
      <c r="C358" s="16"/>
      <c r="D358" s="6"/>
      <c r="E358" s="6"/>
      <c r="F358" s="6"/>
      <c r="G358" s="6"/>
      <c r="H358" s="6"/>
      <c r="I358" s="6"/>
      <c r="J358" s="6"/>
      <c r="K358" s="6"/>
      <c r="L358" s="20"/>
      <c r="M358" s="84">
        <f t="shared" si="17"/>
        <v>0</v>
      </c>
      <c r="N358" s="248">
        <f>RHcount!X352</f>
        <v>0</v>
      </c>
      <c r="O358" s="17"/>
      <c r="P358" s="17"/>
      <c r="Q358" s="17"/>
      <c r="R358" s="17"/>
      <c r="S358" s="17"/>
      <c r="T358" s="17"/>
      <c r="U358" s="4"/>
      <c r="V358" s="4"/>
    </row>
    <row r="359" spans="1:22" x14ac:dyDescent="0.25">
      <c r="A359" s="318" t="str">
        <f t="shared" si="18"/>
        <v>Sat</v>
      </c>
      <c r="B359" s="15"/>
      <c r="C359" s="16"/>
      <c r="D359" s="6"/>
      <c r="E359" s="6"/>
      <c r="F359" s="6"/>
      <c r="G359" s="6"/>
      <c r="H359" s="6"/>
      <c r="I359" s="6"/>
      <c r="J359" s="6"/>
      <c r="K359" s="6"/>
      <c r="L359" s="20"/>
      <c r="M359" s="84">
        <f t="shared" si="17"/>
        <v>0</v>
      </c>
      <c r="N359" s="248">
        <f>RHcount!X353</f>
        <v>0</v>
      </c>
      <c r="O359" s="17"/>
      <c r="P359" s="17"/>
      <c r="Q359" s="17"/>
      <c r="R359" s="17"/>
      <c r="S359" s="17"/>
      <c r="T359" s="17"/>
      <c r="U359" s="4"/>
      <c r="V359" s="4"/>
    </row>
    <row r="360" spans="1:22" x14ac:dyDescent="0.25">
      <c r="A360" s="318" t="str">
        <f t="shared" si="18"/>
        <v>Sat</v>
      </c>
      <c r="B360" s="15"/>
      <c r="C360" s="16"/>
      <c r="D360" s="6"/>
      <c r="E360" s="6"/>
      <c r="F360" s="6"/>
      <c r="G360" s="6"/>
      <c r="H360" s="6"/>
      <c r="I360" s="6"/>
      <c r="J360" s="6"/>
      <c r="K360" s="6"/>
      <c r="L360" s="20"/>
      <c r="M360" s="84">
        <f t="shared" si="17"/>
        <v>0</v>
      </c>
      <c r="N360" s="248">
        <f>RHcount!X354</f>
        <v>0</v>
      </c>
      <c r="O360" s="17"/>
      <c r="P360" s="17"/>
      <c r="Q360" s="17"/>
      <c r="R360" s="17"/>
      <c r="S360" s="17"/>
      <c r="T360" s="17"/>
      <c r="U360" s="4"/>
      <c r="V360" s="4"/>
    </row>
    <row r="361" spans="1:22" x14ac:dyDescent="0.25">
      <c r="A361" s="318" t="str">
        <f t="shared" si="18"/>
        <v>Sat</v>
      </c>
      <c r="B361" s="15"/>
      <c r="C361" s="16"/>
      <c r="D361" s="6"/>
      <c r="E361" s="6"/>
      <c r="F361" s="6"/>
      <c r="G361" s="6"/>
      <c r="H361" s="6"/>
      <c r="I361" s="6"/>
      <c r="J361" s="6"/>
      <c r="K361" s="6"/>
      <c r="L361" s="20"/>
      <c r="M361" s="84">
        <f t="shared" si="17"/>
        <v>0</v>
      </c>
      <c r="N361" s="248">
        <f>RHcount!X355</f>
        <v>0</v>
      </c>
      <c r="O361" s="17"/>
      <c r="P361" s="17"/>
      <c r="Q361" s="17"/>
      <c r="R361" s="17"/>
      <c r="S361" s="17"/>
      <c r="T361" s="17"/>
      <c r="U361" s="4"/>
      <c r="V361" s="4"/>
    </row>
    <row r="362" spans="1:22" x14ac:dyDescent="0.25">
      <c r="A362" s="318" t="str">
        <f t="shared" si="18"/>
        <v>Sat</v>
      </c>
      <c r="B362" s="15"/>
      <c r="C362" s="16"/>
      <c r="D362" s="6"/>
      <c r="E362" s="6"/>
      <c r="F362" s="6"/>
      <c r="G362" s="6"/>
      <c r="H362" s="6"/>
      <c r="I362" s="6"/>
      <c r="J362" s="6"/>
      <c r="K362" s="6"/>
      <c r="L362" s="20"/>
      <c r="M362" s="84">
        <f t="shared" si="17"/>
        <v>0</v>
      </c>
      <c r="N362" s="248">
        <f>RHcount!X356</f>
        <v>0</v>
      </c>
      <c r="O362" s="17"/>
      <c r="P362" s="17"/>
      <c r="Q362" s="17"/>
      <c r="R362" s="17"/>
      <c r="S362" s="17"/>
      <c r="T362" s="17"/>
      <c r="U362" s="4"/>
      <c r="V362" s="4"/>
    </row>
    <row r="363" spans="1:22" x14ac:dyDescent="0.25">
      <c r="A363" s="318" t="str">
        <f t="shared" si="18"/>
        <v>Sat</v>
      </c>
      <c r="B363" s="15"/>
      <c r="C363" s="16"/>
      <c r="D363" s="6"/>
      <c r="E363" s="6"/>
      <c r="F363" s="6"/>
      <c r="G363" s="6"/>
      <c r="H363" s="6"/>
      <c r="I363" s="6"/>
      <c r="J363" s="6"/>
      <c r="K363" s="6"/>
      <c r="L363" s="20"/>
      <c r="M363" s="84">
        <f t="shared" si="17"/>
        <v>0</v>
      </c>
      <c r="N363" s="248">
        <f>RHcount!X357</f>
        <v>0</v>
      </c>
      <c r="O363" s="17"/>
      <c r="P363" s="17"/>
      <c r="Q363" s="17"/>
      <c r="R363" s="17"/>
      <c r="S363" s="17"/>
      <c r="T363" s="17"/>
      <c r="U363" s="4"/>
      <c r="V363" s="4"/>
    </row>
    <row r="364" spans="1:22" x14ac:dyDescent="0.25">
      <c r="A364" s="318" t="str">
        <f t="shared" si="18"/>
        <v>Sat</v>
      </c>
      <c r="B364" s="15"/>
      <c r="C364" s="16"/>
      <c r="D364" s="6"/>
      <c r="E364" s="6"/>
      <c r="F364" s="6"/>
      <c r="G364" s="6"/>
      <c r="H364" s="6"/>
      <c r="I364" s="6"/>
      <c r="J364" s="6"/>
      <c r="K364" s="6"/>
      <c r="L364" s="20"/>
      <c r="M364" s="84">
        <f t="shared" si="17"/>
        <v>0</v>
      </c>
      <c r="N364" s="248">
        <f>RHcount!X358</f>
        <v>0</v>
      </c>
      <c r="O364" s="17"/>
      <c r="P364" s="17"/>
      <c r="Q364" s="17"/>
      <c r="R364" s="17"/>
      <c r="S364" s="17"/>
      <c r="T364" s="17"/>
      <c r="U364" s="4"/>
      <c r="V364" s="4"/>
    </row>
    <row r="365" spans="1:22" x14ac:dyDescent="0.25">
      <c r="A365" s="318" t="str">
        <f t="shared" si="18"/>
        <v>Sat</v>
      </c>
      <c r="B365" s="15"/>
      <c r="C365" s="16"/>
      <c r="D365" s="6"/>
      <c r="E365" s="6"/>
      <c r="F365" s="6"/>
      <c r="G365" s="6"/>
      <c r="H365" s="6"/>
      <c r="I365" s="6"/>
      <c r="J365" s="6"/>
      <c r="K365" s="6"/>
      <c r="L365" s="20"/>
      <c r="M365" s="84">
        <f t="shared" si="17"/>
        <v>0</v>
      </c>
      <c r="N365" s="248">
        <f>RHcount!X359</f>
        <v>0</v>
      </c>
      <c r="O365" s="17"/>
      <c r="P365" s="17"/>
      <c r="Q365" s="17"/>
      <c r="R365" s="17"/>
      <c r="S365" s="17"/>
      <c r="T365" s="17"/>
      <c r="U365" s="4"/>
      <c r="V365" s="4"/>
    </row>
    <row r="366" spans="1:22" x14ac:dyDescent="0.25">
      <c r="A366" s="318" t="str">
        <f t="shared" si="18"/>
        <v>Sat</v>
      </c>
      <c r="B366" s="15"/>
      <c r="C366" s="16"/>
      <c r="D366" s="6"/>
      <c r="E366" s="6"/>
      <c r="F366" s="6"/>
      <c r="G366" s="6"/>
      <c r="H366" s="6"/>
      <c r="I366" s="6"/>
      <c r="J366" s="6"/>
      <c r="K366" s="6"/>
      <c r="L366" s="20"/>
      <c r="M366" s="84">
        <f t="shared" si="17"/>
        <v>0</v>
      </c>
      <c r="N366" s="248">
        <f>RHcount!X360</f>
        <v>0</v>
      </c>
      <c r="O366" s="17"/>
      <c r="P366" s="17"/>
      <c r="Q366" s="17"/>
      <c r="R366" s="17"/>
      <c r="S366" s="17"/>
      <c r="T366" s="17"/>
      <c r="U366" s="4"/>
      <c r="V366" s="4"/>
    </row>
    <row r="367" spans="1:22" x14ac:dyDescent="0.25">
      <c r="A367" s="318" t="str">
        <f t="shared" si="18"/>
        <v>Sat</v>
      </c>
      <c r="B367" s="15"/>
      <c r="C367" s="16"/>
      <c r="D367" s="6"/>
      <c r="E367" s="6"/>
      <c r="F367" s="6"/>
      <c r="G367" s="6"/>
      <c r="H367" s="6"/>
      <c r="I367" s="6"/>
      <c r="J367" s="6"/>
      <c r="K367" s="6"/>
      <c r="L367" s="20"/>
      <c r="M367" s="84">
        <f t="shared" si="17"/>
        <v>0</v>
      </c>
      <c r="N367" s="248">
        <f>RHcount!X361</f>
        <v>0</v>
      </c>
      <c r="O367" s="17"/>
      <c r="P367" s="17"/>
      <c r="Q367" s="17"/>
      <c r="R367" s="17"/>
      <c r="S367" s="17"/>
      <c r="T367" s="17"/>
      <c r="U367" s="4"/>
      <c r="V367" s="4"/>
    </row>
    <row r="368" spans="1:22" x14ac:dyDescent="0.25">
      <c r="A368" s="318" t="str">
        <f t="shared" si="18"/>
        <v>Sat</v>
      </c>
      <c r="B368" s="15"/>
      <c r="C368" s="16"/>
      <c r="D368" s="6"/>
      <c r="E368" s="6"/>
      <c r="F368" s="6"/>
      <c r="G368" s="6"/>
      <c r="H368" s="6"/>
      <c r="I368" s="6"/>
      <c r="J368" s="6"/>
      <c r="K368" s="6"/>
      <c r="L368" s="20"/>
      <c r="M368" s="84">
        <f t="shared" si="17"/>
        <v>0</v>
      </c>
      <c r="N368" s="248">
        <f>RHcount!X362</f>
        <v>0</v>
      </c>
      <c r="O368" s="17"/>
      <c r="P368" s="17"/>
      <c r="Q368" s="17"/>
      <c r="R368" s="17"/>
      <c r="S368" s="17"/>
      <c r="T368" s="17"/>
      <c r="U368" s="4"/>
      <c r="V368" s="4"/>
    </row>
    <row r="369" spans="1:22" x14ac:dyDescent="0.25">
      <c r="A369" s="318" t="str">
        <f t="shared" si="18"/>
        <v>Sat</v>
      </c>
      <c r="B369" s="15"/>
      <c r="C369" s="16"/>
      <c r="D369" s="6"/>
      <c r="E369" s="6"/>
      <c r="F369" s="6"/>
      <c r="G369" s="6"/>
      <c r="H369" s="6"/>
      <c r="I369" s="6"/>
      <c r="J369" s="6"/>
      <c r="K369" s="6"/>
      <c r="L369" s="20"/>
      <c r="M369" s="84">
        <f t="shared" si="17"/>
        <v>0</v>
      </c>
      <c r="N369" s="248">
        <f>RHcount!X363</f>
        <v>0</v>
      </c>
      <c r="O369" s="17"/>
      <c r="P369" s="17"/>
      <c r="Q369" s="17"/>
      <c r="R369" s="17"/>
      <c r="S369" s="17"/>
      <c r="T369" s="17"/>
      <c r="U369" s="4"/>
      <c r="V369" s="4"/>
    </row>
    <row r="370" spans="1:22" x14ac:dyDescent="0.25">
      <c r="A370" s="318" t="str">
        <f t="shared" si="18"/>
        <v>Sat</v>
      </c>
      <c r="B370" s="15"/>
      <c r="C370" s="16"/>
      <c r="D370" s="6"/>
      <c r="E370" s="6"/>
      <c r="F370" s="6"/>
      <c r="G370" s="6"/>
      <c r="H370" s="6"/>
      <c r="I370" s="6"/>
      <c r="J370" s="6"/>
      <c r="K370" s="6"/>
      <c r="L370" s="20"/>
      <c r="M370" s="84">
        <f t="shared" si="17"/>
        <v>0</v>
      </c>
      <c r="N370" s="248">
        <f>RHcount!X364</f>
        <v>0</v>
      </c>
      <c r="O370" s="17"/>
      <c r="P370" s="17"/>
      <c r="Q370" s="17"/>
      <c r="R370" s="17"/>
      <c r="S370" s="17"/>
      <c r="T370" s="17"/>
      <c r="U370" s="4"/>
      <c r="V370" s="4"/>
    </row>
    <row r="371" spans="1:22" x14ac:dyDescent="0.25">
      <c r="A371" s="318" t="str">
        <f t="shared" si="18"/>
        <v>Sat</v>
      </c>
      <c r="B371" s="15"/>
      <c r="C371" s="16"/>
      <c r="D371" s="6"/>
      <c r="E371" s="6"/>
      <c r="F371" s="6"/>
      <c r="G371" s="6"/>
      <c r="H371" s="6"/>
      <c r="I371" s="6"/>
      <c r="J371" s="6"/>
      <c r="K371" s="6"/>
      <c r="L371" s="20"/>
      <c r="M371" s="84">
        <f t="shared" si="17"/>
        <v>0</v>
      </c>
      <c r="N371" s="248">
        <f>RHcount!X365</f>
        <v>0</v>
      </c>
      <c r="O371" s="17"/>
      <c r="P371" s="17"/>
      <c r="Q371" s="17"/>
      <c r="R371" s="17"/>
      <c r="S371" s="17"/>
      <c r="T371" s="17"/>
      <c r="U371" s="4"/>
      <c r="V371" s="4"/>
    </row>
    <row r="372" spans="1:22" x14ac:dyDescent="0.25">
      <c r="A372" s="318" t="str">
        <f t="shared" si="18"/>
        <v>Sat</v>
      </c>
      <c r="B372" s="15"/>
      <c r="C372" s="16"/>
      <c r="D372" s="6"/>
      <c r="E372" s="6"/>
      <c r="F372" s="6"/>
      <c r="G372" s="6"/>
      <c r="H372" s="6"/>
      <c r="I372" s="6"/>
      <c r="J372" s="6"/>
      <c r="K372" s="6"/>
      <c r="L372" s="20"/>
      <c r="M372" s="84">
        <f t="shared" si="17"/>
        <v>0</v>
      </c>
      <c r="N372" s="248">
        <f>RHcount!X366</f>
        <v>0</v>
      </c>
      <c r="O372" s="17"/>
      <c r="P372" s="17"/>
      <c r="Q372" s="17"/>
      <c r="R372" s="17"/>
      <c r="S372" s="17"/>
      <c r="T372" s="17"/>
      <c r="U372" s="4"/>
      <c r="V372" s="4"/>
    </row>
    <row r="373" spans="1:22" x14ac:dyDescent="0.25">
      <c r="A373" s="318" t="str">
        <f t="shared" si="18"/>
        <v>Sat</v>
      </c>
      <c r="B373" s="15"/>
      <c r="C373" s="16"/>
      <c r="D373" s="6"/>
      <c r="E373" s="6"/>
      <c r="F373" s="6"/>
      <c r="G373" s="6"/>
      <c r="H373" s="6"/>
      <c r="I373" s="6"/>
      <c r="J373" s="6"/>
      <c r="K373" s="6"/>
      <c r="L373" s="20"/>
      <c r="M373" s="84">
        <f t="shared" si="17"/>
        <v>0</v>
      </c>
      <c r="N373" s="248">
        <f>RHcount!X367</f>
        <v>0</v>
      </c>
      <c r="O373" s="17"/>
      <c r="P373" s="17"/>
      <c r="Q373" s="17"/>
      <c r="R373" s="17"/>
      <c r="S373" s="17"/>
      <c r="T373" s="17"/>
      <c r="U373" s="4"/>
      <c r="V373" s="4"/>
    </row>
    <row r="374" spans="1:22" x14ac:dyDescent="0.25">
      <c r="A374" s="318" t="str">
        <f t="shared" si="18"/>
        <v>Sat</v>
      </c>
      <c r="B374" s="15"/>
      <c r="C374" s="16"/>
      <c r="D374" s="6"/>
      <c r="E374" s="6"/>
      <c r="F374" s="6"/>
      <c r="G374" s="6"/>
      <c r="H374" s="6"/>
      <c r="I374" s="6"/>
      <c r="J374" s="6"/>
      <c r="K374" s="6"/>
      <c r="L374" s="20"/>
      <c r="M374" s="84">
        <f t="shared" si="17"/>
        <v>0</v>
      </c>
      <c r="N374" s="248">
        <f>RHcount!X368</f>
        <v>0</v>
      </c>
      <c r="O374" s="17"/>
      <c r="P374" s="17"/>
      <c r="Q374" s="17"/>
      <c r="R374" s="17"/>
      <c r="S374" s="17"/>
      <c r="T374" s="17"/>
      <c r="U374" s="4"/>
      <c r="V374" s="4"/>
    </row>
    <row r="375" spans="1:22" x14ac:dyDescent="0.25">
      <c r="A375" s="318" t="str">
        <f t="shared" si="18"/>
        <v>Sat</v>
      </c>
      <c r="B375" s="15"/>
      <c r="C375" s="16"/>
      <c r="D375" s="6"/>
      <c r="E375" s="6"/>
      <c r="F375" s="6"/>
      <c r="G375" s="6"/>
      <c r="H375" s="6"/>
      <c r="I375" s="6"/>
      <c r="J375" s="6"/>
      <c r="K375" s="6"/>
      <c r="L375" s="20"/>
      <c r="M375" s="84">
        <f t="shared" si="17"/>
        <v>0</v>
      </c>
      <c r="N375" s="248">
        <f>RHcount!X369</f>
        <v>0</v>
      </c>
      <c r="O375" s="17"/>
      <c r="P375" s="17"/>
      <c r="Q375" s="17"/>
      <c r="R375" s="17"/>
      <c r="S375" s="17"/>
      <c r="T375" s="17"/>
      <c r="U375" s="4"/>
      <c r="V375" s="4"/>
    </row>
    <row r="376" spans="1:22" x14ac:dyDescent="0.25">
      <c r="A376" s="318" t="str">
        <f t="shared" si="18"/>
        <v>Sat</v>
      </c>
      <c r="B376" s="15"/>
      <c r="C376" s="16"/>
      <c r="D376" s="6"/>
      <c r="E376" s="6"/>
      <c r="F376" s="6"/>
      <c r="G376" s="6"/>
      <c r="H376" s="6"/>
      <c r="I376" s="6"/>
      <c r="J376" s="6"/>
      <c r="K376" s="6"/>
      <c r="L376" s="20"/>
      <c r="M376" s="84">
        <f t="shared" si="17"/>
        <v>0</v>
      </c>
      <c r="N376" s="248">
        <f>RHcount!X370</f>
        <v>0</v>
      </c>
      <c r="O376" s="17"/>
      <c r="P376" s="17"/>
      <c r="Q376" s="17"/>
      <c r="R376" s="17"/>
      <c r="S376" s="17"/>
      <c r="T376" s="17"/>
      <c r="U376" s="4"/>
      <c r="V376" s="4"/>
    </row>
    <row r="377" spans="1:22" x14ac:dyDescent="0.25">
      <c r="A377" s="318" t="str">
        <f t="shared" si="18"/>
        <v>Sat</v>
      </c>
      <c r="B377" s="15"/>
      <c r="C377" s="16"/>
      <c r="D377" s="6"/>
      <c r="E377" s="6"/>
      <c r="F377" s="6"/>
      <c r="G377" s="6"/>
      <c r="H377" s="6"/>
      <c r="I377" s="6"/>
      <c r="J377" s="6"/>
      <c r="K377" s="6"/>
      <c r="L377" s="20"/>
      <c r="M377" s="84">
        <f t="shared" si="17"/>
        <v>0</v>
      </c>
      <c r="N377" s="248">
        <f>RHcount!X371</f>
        <v>0</v>
      </c>
      <c r="O377" s="17"/>
      <c r="P377" s="17"/>
      <c r="Q377" s="17"/>
      <c r="R377" s="17"/>
      <c r="S377" s="17"/>
      <c r="T377" s="17"/>
      <c r="U377" s="4"/>
      <c r="V377" s="4"/>
    </row>
    <row r="378" spans="1:22" x14ac:dyDescent="0.25">
      <c r="A378" s="318" t="str">
        <f t="shared" si="18"/>
        <v>Sat</v>
      </c>
      <c r="B378" s="15"/>
      <c r="C378" s="16"/>
      <c r="D378" s="6"/>
      <c r="E378" s="6"/>
      <c r="F378" s="6"/>
      <c r="G378" s="6"/>
      <c r="H378" s="6"/>
      <c r="I378" s="6"/>
      <c r="J378" s="6"/>
      <c r="K378" s="6"/>
      <c r="L378" s="20"/>
      <c r="M378" s="84">
        <f t="shared" si="17"/>
        <v>0</v>
      </c>
      <c r="N378" s="248">
        <f>RHcount!X372</f>
        <v>0</v>
      </c>
      <c r="O378" s="17"/>
      <c r="P378" s="17"/>
      <c r="Q378" s="17"/>
      <c r="R378" s="17"/>
      <c r="S378" s="17"/>
      <c r="T378" s="17"/>
      <c r="U378" s="4"/>
      <c r="V378" s="4"/>
    </row>
    <row r="379" spans="1:22" x14ac:dyDescent="0.25">
      <c r="A379" s="318" t="str">
        <f t="shared" si="18"/>
        <v>Sat</v>
      </c>
      <c r="B379" s="15"/>
      <c r="C379" s="16"/>
      <c r="D379" s="6"/>
      <c r="E379" s="6"/>
      <c r="F379" s="6"/>
      <c r="G379" s="6"/>
      <c r="H379" s="6"/>
      <c r="I379" s="6"/>
      <c r="J379" s="6"/>
      <c r="K379" s="6"/>
      <c r="L379" s="20"/>
      <c r="M379" s="84">
        <f t="shared" si="17"/>
        <v>0</v>
      </c>
      <c r="N379" s="248">
        <f>RHcount!X373</f>
        <v>0</v>
      </c>
      <c r="O379" s="17"/>
      <c r="P379" s="17"/>
      <c r="Q379" s="17"/>
      <c r="R379" s="17"/>
      <c r="S379" s="17"/>
      <c r="T379" s="17"/>
      <c r="U379" s="4"/>
      <c r="V379" s="4"/>
    </row>
    <row r="380" spans="1:22" x14ac:dyDescent="0.25">
      <c r="A380" s="318" t="str">
        <f t="shared" si="18"/>
        <v>Sat</v>
      </c>
      <c r="B380" s="15"/>
      <c r="C380" s="16"/>
      <c r="D380" s="6"/>
      <c r="E380" s="6"/>
      <c r="F380" s="6"/>
      <c r="G380" s="6"/>
      <c r="H380" s="6"/>
      <c r="I380" s="6"/>
      <c r="J380" s="6"/>
      <c r="K380" s="6"/>
      <c r="L380" s="20"/>
      <c r="M380" s="84">
        <f t="shared" si="17"/>
        <v>0</v>
      </c>
      <c r="N380" s="248">
        <f>RHcount!X374</f>
        <v>0</v>
      </c>
      <c r="O380" s="17"/>
      <c r="P380" s="17"/>
      <c r="Q380" s="17"/>
      <c r="R380" s="17"/>
      <c r="S380" s="17"/>
      <c r="T380" s="17"/>
      <c r="U380" s="4"/>
      <c r="V380" s="4"/>
    </row>
    <row r="381" spans="1:22" x14ac:dyDescent="0.25">
      <c r="A381" s="318" t="str">
        <f t="shared" si="18"/>
        <v>Sat</v>
      </c>
      <c r="B381" s="15"/>
      <c r="C381" s="16"/>
      <c r="D381" s="6"/>
      <c r="E381" s="6"/>
      <c r="F381" s="6"/>
      <c r="G381" s="6"/>
      <c r="H381" s="6"/>
      <c r="I381" s="6"/>
      <c r="J381" s="6"/>
      <c r="K381" s="6"/>
      <c r="L381" s="20"/>
      <c r="M381" s="84">
        <f t="shared" si="17"/>
        <v>0</v>
      </c>
      <c r="N381" s="248">
        <f>RHcount!X375</f>
        <v>0</v>
      </c>
      <c r="O381" s="17"/>
      <c r="P381" s="17"/>
      <c r="Q381" s="17"/>
      <c r="R381" s="17"/>
      <c r="S381" s="17"/>
      <c r="T381" s="17"/>
      <c r="U381" s="4"/>
      <c r="V381" s="4"/>
    </row>
    <row r="382" spans="1:22" x14ac:dyDescent="0.25">
      <c r="A382" s="318" t="str">
        <f t="shared" si="18"/>
        <v>Sat</v>
      </c>
      <c r="B382" s="15"/>
      <c r="C382" s="16"/>
      <c r="D382" s="6"/>
      <c r="E382" s="6"/>
      <c r="F382" s="6"/>
      <c r="G382" s="6"/>
      <c r="H382" s="6"/>
      <c r="I382" s="6"/>
      <c r="J382" s="6"/>
      <c r="K382" s="6"/>
      <c r="L382" s="20"/>
      <c r="M382" s="84">
        <f t="shared" si="17"/>
        <v>0</v>
      </c>
      <c r="N382" s="248">
        <f>RHcount!X376</f>
        <v>0</v>
      </c>
      <c r="O382" s="17"/>
      <c r="P382" s="17"/>
      <c r="Q382" s="17"/>
      <c r="R382" s="17"/>
      <c r="S382" s="17"/>
      <c r="T382" s="17"/>
      <c r="U382" s="4"/>
      <c r="V382" s="4"/>
    </row>
    <row r="383" spans="1:22" x14ac:dyDescent="0.25">
      <c r="A383" s="318" t="str">
        <f t="shared" si="18"/>
        <v>Sat</v>
      </c>
      <c r="B383" s="15"/>
      <c r="C383" s="16"/>
      <c r="D383" s="6"/>
      <c r="E383" s="6"/>
      <c r="F383" s="6"/>
      <c r="G383" s="6"/>
      <c r="H383" s="6"/>
      <c r="I383" s="6"/>
      <c r="J383" s="6"/>
      <c r="K383" s="6"/>
      <c r="L383" s="20"/>
      <c r="M383" s="84">
        <f t="shared" si="17"/>
        <v>0</v>
      </c>
      <c r="N383" s="248">
        <f>RHcount!X377</f>
        <v>0</v>
      </c>
      <c r="O383" s="17"/>
      <c r="P383" s="17"/>
      <c r="Q383" s="17"/>
      <c r="R383" s="17"/>
      <c r="S383" s="17"/>
      <c r="T383" s="17"/>
      <c r="U383" s="4"/>
      <c r="V383" s="4"/>
    </row>
    <row r="384" spans="1:22" x14ac:dyDescent="0.25">
      <c r="A384" s="318" t="str">
        <f t="shared" si="18"/>
        <v>Sat</v>
      </c>
      <c r="B384" s="15"/>
      <c r="C384" s="16"/>
      <c r="D384" s="6"/>
      <c r="E384" s="6"/>
      <c r="F384" s="6"/>
      <c r="G384" s="6"/>
      <c r="H384" s="6"/>
      <c r="I384" s="6"/>
      <c r="J384" s="6"/>
      <c r="K384" s="6"/>
      <c r="L384" s="20"/>
      <c r="M384" s="84">
        <f t="shared" si="17"/>
        <v>0</v>
      </c>
      <c r="N384" s="248">
        <f>RHcount!X378</f>
        <v>0</v>
      </c>
      <c r="O384" s="17"/>
      <c r="P384" s="17"/>
      <c r="Q384" s="17"/>
      <c r="R384" s="17"/>
      <c r="S384" s="17"/>
      <c r="T384" s="17"/>
      <c r="U384" s="4"/>
      <c r="V384" s="4"/>
    </row>
    <row r="385" spans="1:22" x14ac:dyDescent="0.25">
      <c r="A385" s="318" t="str">
        <f t="shared" si="18"/>
        <v>Sat</v>
      </c>
      <c r="B385" s="15"/>
      <c r="C385" s="16"/>
      <c r="D385" s="6"/>
      <c r="E385" s="6"/>
      <c r="F385" s="6"/>
      <c r="G385" s="6"/>
      <c r="H385" s="6"/>
      <c r="I385" s="6"/>
      <c r="J385" s="6"/>
      <c r="K385" s="6"/>
      <c r="L385" s="20"/>
      <c r="M385" s="84">
        <f t="shared" si="17"/>
        <v>0</v>
      </c>
      <c r="N385" s="248">
        <f>RHcount!X379</f>
        <v>0</v>
      </c>
      <c r="O385" s="17"/>
      <c r="P385" s="17"/>
      <c r="Q385" s="17"/>
      <c r="R385" s="17"/>
      <c r="S385" s="17"/>
      <c r="T385" s="17"/>
      <c r="U385" s="4"/>
      <c r="V385" s="4"/>
    </row>
    <row r="386" spans="1:22" x14ac:dyDescent="0.25">
      <c r="A386" s="318" t="str">
        <f t="shared" si="18"/>
        <v>Sat</v>
      </c>
      <c r="B386" s="15"/>
      <c r="C386" s="16"/>
      <c r="D386" s="6"/>
      <c r="E386" s="6"/>
      <c r="F386" s="6"/>
      <c r="G386" s="6"/>
      <c r="H386" s="6"/>
      <c r="I386" s="6"/>
      <c r="J386" s="6"/>
      <c r="K386" s="6"/>
      <c r="L386" s="20"/>
      <c r="M386" s="84">
        <f t="shared" si="17"/>
        <v>0</v>
      </c>
      <c r="N386" s="248">
        <f>RHcount!X380</f>
        <v>0</v>
      </c>
      <c r="O386" s="17"/>
      <c r="P386" s="17"/>
      <c r="Q386" s="17"/>
      <c r="R386" s="17"/>
      <c r="S386" s="17"/>
      <c r="T386" s="17"/>
      <c r="U386" s="4"/>
      <c r="V386" s="4"/>
    </row>
    <row r="387" spans="1:22" x14ac:dyDescent="0.25">
      <c r="A387" s="318" t="str">
        <f t="shared" si="18"/>
        <v>Sat</v>
      </c>
      <c r="B387" s="15"/>
      <c r="C387" s="16"/>
      <c r="D387" s="6"/>
      <c r="E387" s="6"/>
      <c r="F387" s="6"/>
      <c r="G387" s="6"/>
      <c r="H387" s="6"/>
      <c r="I387" s="6"/>
      <c r="J387" s="6"/>
      <c r="K387" s="6"/>
      <c r="L387" s="20"/>
      <c r="M387" s="84">
        <f t="shared" si="17"/>
        <v>0</v>
      </c>
      <c r="N387" s="248">
        <f>RHcount!X381</f>
        <v>0</v>
      </c>
      <c r="O387" s="17"/>
      <c r="P387" s="17"/>
      <c r="Q387" s="17"/>
      <c r="R387" s="17"/>
      <c r="S387" s="17"/>
      <c r="T387" s="17"/>
      <c r="U387" s="4"/>
      <c r="V387" s="4"/>
    </row>
    <row r="388" spans="1:22" x14ac:dyDescent="0.25">
      <c r="A388" s="318" t="str">
        <f t="shared" si="18"/>
        <v>Sat</v>
      </c>
      <c r="B388" s="15"/>
      <c r="C388" s="16"/>
      <c r="D388" s="6"/>
      <c r="E388" s="6"/>
      <c r="F388" s="6"/>
      <c r="G388" s="6"/>
      <c r="H388" s="6"/>
      <c r="I388" s="6"/>
      <c r="J388" s="6"/>
      <c r="K388" s="6"/>
      <c r="L388" s="20"/>
      <c r="M388" s="84">
        <f t="shared" si="17"/>
        <v>0</v>
      </c>
      <c r="N388" s="248">
        <f>RHcount!X382</f>
        <v>0</v>
      </c>
      <c r="O388" s="17"/>
      <c r="P388" s="17"/>
      <c r="Q388" s="17"/>
      <c r="R388" s="17"/>
      <c r="S388" s="17"/>
      <c r="T388" s="17"/>
      <c r="U388" s="4"/>
      <c r="V388" s="4"/>
    </row>
    <row r="389" spans="1:22" x14ac:dyDescent="0.25">
      <c r="A389" s="318" t="str">
        <f t="shared" si="18"/>
        <v>Sat</v>
      </c>
      <c r="B389" s="15"/>
      <c r="C389" s="16"/>
      <c r="D389" s="6"/>
      <c r="E389" s="6"/>
      <c r="F389" s="6"/>
      <c r="G389" s="6"/>
      <c r="H389" s="6"/>
      <c r="I389" s="6"/>
      <c r="J389" s="6"/>
      <c r="K389" s="6"/>
      <c r="L389" s="20"/>
      <c r="M389" s="84">
        <f t="shared" si="17"/>
        <v>0</v>
      </c>
      <c r="N389" s="248">
        <f>RHcount!X383</f>
        <v>0</v>
      </c>
      <c r="O389" s="17"/>
      <c r="P389" s="17"/>
      <c r="Q389" s="17"/>
      <c r="R389" s="17"/>
      <c r="S389" s="17"/>
      <c r="T389" s="17"/>
      <c r="U389" s="4"/>
      <c r="V389" s="4"/>
    </row>
    <row r="390" spans="1:22" x14ac:dyDescent="0.25">
      <c r="A390" s="318" t="str">
        <f t="shared" si="18"/>
        <v>Sat</v>
      </c>
      <c r="B390" s="15"/>
      <c r="C390" s="16"/>
      <c r="D390" s="6"/>
      <c r="E390" s="6"/>
      <c r="F390" s="6"/>
      <c r="G390" s="6"/>
      <c r="H390" s="6"/>
      <c r="I390" s="6"/>
      <c r="J390" s="6"/>
      <c r="K390" s="6"/>
      <c r="L390" s="20"/>
      <c r="M390" s="84">
        <f t="shared" si="17"/>
        <v>0</v>
      </c>
      <c r="N390" s="248">
        <f>RHcount!X384</f>
        <v>0</v>
      </c>
      <c r="O390" s="17"/>
      <c r="P390" s="17"/>
      <c r="Q390" s="17"/>
      <c r="R390" s="17"/>
      <c r="S390" s="17"/>
      <c r="T390" s="17"/>
      <c r="U390" s="4"/>
      <c r="V390" s="4"/>
    </row>
    <row r="391" spans="1:22" x14ac:dyDescent="0.25">
      <c r="A391" s="318" t="str">
        <f t="shared" si="18"/>
        <v>Sat</v>
      </c>
      <c r="B391" s="15"/>
      <c r="C391" s="16"/>
      <c r="D391" s="6"/>
      <c r="E391" s="6"/>
      <c r="F391" s="6"/>
      <c r="G391" s="6"/>
      <c r="H391" s="6"/>
      <c r="I391" s="6"/>
      <c r="J391" s="6"/>
      <c r="K391" s="6"/>
      <c r="L391" s="20"/>
      <c r="M391" s="84">
        <f t="shared" si="17"/>
        <v>0</v>
      </c>
      <c r="N391" s="248">
        <f>RHcount!X385</f>
        <v>0</v>
      </c>
      <c r="O391" s="17"/>
      <c r="P391" s="17"/>
      <c r="Q391" s="17"/>
      <c r="R391" s="17"/>
      <c r="S391" s="17"/>
      <c r="T391" s="17"/>
      <c r="U391" s="4"/>
      <c r="V391" s="4"/>
    </row>
    <row r="392" spans="1:22" x14ac:dyDescent="0.25">
      <c r="A392" s="318" t="str">
        <f t="shared" si="18"/>
        <v>Sat</v>
      </c>
      <c r="B392" s="15"/>
      <c r="C392" s="16"/>
      <c r="D392" s="6"/>
      <c r="E392" s="6"/>
      <c r="F392" s="6"/>
      <c r="G392" s="6"/>
      <c r="H392" s="6"/>
      <c r="I392" s="6"/>
      <c r="J392" s="6"/>
      <c r="K392" s="6"/>
      <c r="L392" s="20"/>
      <c r="M392" s="84">
        <f t="shared" si="17"/>
        <v>0</v>
      </c>
      <c r="N392" s="248">
        <f>RHcount!X386</f>
        <v>0</v>
      </c>
      <c r="O392" s="17"/>
      <c r="P392" s="17"/>
      <c r="Q392" s="17"/>
      <c r="R392" s="17"/>
      <c r="S392" s="17"/>
      <c r="T392" s="17"/>
      <c r="U392" s="4"/>
      <c r="V392" s="4"/>
    </row>
    <row r="393" spans="1:22" x14ac:dyDescent="0.25">
      <c r="A393" s="318" t="str">
        <f t="shared" si="18"/>
        <v>Sat</v>
      </c>
      <c r="B393" s="15"/>
      <c r="C393" s="16"/>
      <c r="D393" s="6"/>
      <c r="E393" s="6"/>
      <c r="F393" s="6"/>
      <c r="G393" s="6"/>
      <c r="H393" s="6"/>
      <c r="I393" s="6"/>
      <c r="J393" s="6"/>
      <c r="K393" s="6"/>
      <c r="L393" s="20"/>
      <c r="M393" s="84">
        <f t="shared" si="17"/>
        <v>0</v>
      </c>
      <c r="N393" s="248">
        <f>RHcount!X387</f>
        <v>0</v>
      </c>
      <c r="O393" s="17"/>
      <c r="P393" s="17"/>
      <c r="Q393" s="17"/>
      <c r="R393" s="17"/>
      <c r="S393" s="17"/>
      <c r="T393" s="17"/>
      <c r="U393" s="4"/>
      <c r="V393" s="4"/>
    </row>
    <row r="394" spans="1:22" x14ac:dyDescent="0.25">
      <c r="A394" s="318" t="str">
        <f t="shared" si="18"/>
        <v>Sat</v>
      </c>
      <c r="B394" s="15"/>
      <c r="C394" s="16"/>
      <c r="D394" s="6"/>
      <c r="E394" s="6"/>
      <c r="F394" s="6"/>
      <c r="G394" s="6"/>
      <c r="H394" s="6"/>
      <c r="I394" s="6"/>
      <c r="J394" s="6"/>
      <c r="K394" s="6"/>
      <c r="L394" s="20"/>
      <c r="M394" s="84">
        <f t="shared" si="17"/>
        <v>0</v>
      </c>
      <c r="N394" s="248">
        <f>RHcount!X388</f>
        <v>0</v>
      </c>
      <c r="O394" s="17"/>
      <c r="P394" s="17"/>
      <c r="Q394" s="17"/>
      <c r="R394" s="17"/>
      <c r="S394" s="17"/>
      <c r="T394" s="17"/>
      <c r="U394" s="4"/>
      <c r="V394" s="4"/>
    </row>
    <row r="395" spans="1:22" x14ac:dyDescent="0.25">
      <c r="A395" s="318" t="str">
        <f t="shared" si="18"/>
        <v>Sat</v>
      </c>
      <c r="B395" s="15"/>
      <c r="C395" s="16"/>
      <c r="D395" s="6"/>
      <c r="E395" s="6"/>
      <c r="F395" s="6"/>
      <c r="G395" s="6"/>
      <c r="H395" s="6"/>
      <c r="I395" s="6"/>
      <c r="J395" s="6"/>
      <c r="K395" s="6"/>
      <c r="L395" s="20"/>
      <c r="M395" s="84">
        <f t="shared" ref="M395:M458" si="19">IF(F395&gt;"a",VLOOKUP(F395,$U$11:$V$26,2),F395)</f>
        <v>0</v>
      </c>
      <c r="N395" s="248">
        <f>RHcount!X389</f>
        <v>0</v>
      </c>
      <c r="O395" s="17"/>
      <c r="P395" s="17"/>
      <c r="Q395" s="17"/>
      <c r="R395" s="17"/>
      <c r="S395" s="17"/>
      <c r="T395" s="17"/>
      <c r="U395" s="4"/>
      <c r="V395" s="4"/>
    </row>
    <row r="396" spans="1:22" x14ac:dyDescent="0.25">
      <c r="A396" s="318" t="str">
        <f t="shared" si="18"/>
        <v>Sat</v>
      </c>
      <c r="B396" s="15"/>
      <c r="C396" s="16"/>
      <c r="D396" s="6"/>
      <c r="E396" s="6"/>
      <c r="F396" s="6"/>
      <c r="G396" s="6"/>
      <c r="H396" s="6"/>
      <c r="I396" s="6"/>
      <c r="J396" s="6"/>
      <c r="K396" s="6"/>
      <c r="L396" s="20"/>
      <c r="M396" s="84">
        <f t="shared" si="19"/>
        <v>0</v>
      </c>
      <c r="N396" s="248">
        <f>RHcount!X390</f>
        <v>0</v>
      </c>
      <c r="O396" s="17"/>
      <c r="P396" s="17"/>
      <c r="Q396" s="17"/>
      <c r="R396" s="17"/>
      <c r="S396" s="17"/>
      <c r="T396" s="17"/>
      <c r="U396" s="4"/>
      <c r="V396" s="4"/>
    </row>
    <row r="397" spans="1:22" x14ac:dyDescent="0.25">
      <c r="A397" s="318" t="str">
        <f t="shared" ref="A397:A460" si="20">TEXT(B397,"ddd")</f>
        <v>Sat</v>
      </c>
      <c r="B397" s="15"/>
      <c r="C397" s="16"/>
      <c r="D397" s="6"/>
      <c r="E397" s="6"/>
      <c r="F397" s="6"/>
      <c r="G397" s="6"/>
      <c r="H397" s="6"/>
      <c r="I397" s="6"/>
      <c r="J397" s="6"/>
      <c r="K397" s="6"/>
      <c r="L397" s="20"/>
      <c r="M397" s="84">
        <f t="shared" si="19"/>
        <v>0</v>
      </c>
      <c r="N397" s="248">
        <f>RHcount!X391</f>
        <v>0</v>
      </c>
      <c r="O397" s="17"/>
      <c r="P397" s="17"/>
      <c r="Q397" s="17"/>
      <c r="R397" s="17"/>
      <c r="S397" s="17"/>
      <c r="T397" s="17"/>
      <c r="U397" s="4"/>
      <c r="V397" s="4"/>
    </row>
    <row r="398" spans="1:22" x14ac:dyDescent="0.25">
      <c r="A398" s="318" t="str">
        <f t="shared" si="20"/>
        <v>Sat</v>
      </c>
      <c r="B398" s="15"/>
      <c r="C398" s="16"/>
      <c r="D398" s="6"/>
      <c r="E398" s="6"/>
      <c r="F398" s="6"/>
      <c r="G398" s="6"/>
      <c r="H398" s="6"/>
      <c r="I398" s="6"/>
      <c r="J398" s="6"/>
      <c r="K398" s="6"/>
      <c r="L398" s="20"/>
      <c r="M398" s="84">
        <f t="shared" si="19"/>
        <v>0</v>
      </c>
      <c r="N398" s="248">
        <f>RHcount!X392</f>
        <v>0</v>
      </c>
      <c r="O398" s="17"/>
      <c r="P398" s="17"/>
      <c r="Q398" s="17"/>
      <c r="R398" s="17"/>
      <c r="S398" s="17"/>
      <c r="T398" s="17"/>
      <c r="U398" s="4"/>
      <c r="V398" s="4"/>
    </row>
    <row r="399" spans="1:22" x14ac:dyDescent="0.25">
      <c r="A399" s="318" t="str">
        <f t="shared" si="20"/>
        <v>Sat</v>
      </c>
      <c r="B399" s="15"/>
      <c r="C399" s="16"/>
      <c r="D399" s="6"/>
      <c r="E399" s="6"/>
      <c r="F399" s="6"/>
      <c r="G399" s="6"/>
      <c r="H399" s="6"/>
      <c r="I399" s="6"/>
      <c r="J399" s="6"/>
      <c r="K399" s="6"/>
      <c r="L399" s="20"/>
      <c r="M399" s="84">
        <f t="shared" si="19"/>
        <v>0</v>
      </c>
      <c r="N399" s="248">
        <f>RHcount!X393</f>
        <v>0</v>
      </c>
      <c r="O399" s="17"/>
      <c r="P399" s="17"/>
      <c r="Q399" s="17"/>
      <c r="R399" s="17"/>
      <c r="S399" s="17"/>
      <c r="T399" s="17"/>
      <c r="U399" s="4"/>
      <c r="V399" s="4"/>
    </row>
    <row r="400" spans="1:22" x14ac:dyDescent="0.25">
      <c r="A400" s="318" t="str">
        <f t="shared" si="20"/>
        <v>Sat</v>
      </c>
      <c r="B400" s="15"/>
      <c r="C400" s="16"/>
      <c r="D400" s="6"/>
      <c r="E400" s="6"/>
      <c r="F400" s="6"/>
      <c r="G400" s="6"/>
      <c r="H400" s="6"/>
      <c r="I400" s="6"/>
      <c r="J400" s="6"/>
      <c r="K400" s="6"/>
      <c r="L400" s="20"/>
      <c r="M400" s="84">
        <f t="shared" si="19"/>
        <v>0</v>
      </c>
      <c r="N400" s="248">
        <f>RHcount!X394</f>
        <v>0</v>
      </c>
      <c r="O400" s="17"/>
      <c r="P400" s="17"/>
      <c r="Q400" s="17"/>
      <c r="R400" s="17"/>
      <c r="S400" s="17"/>
      <c r="T400" s="17"/>
      <c r="U400" s="4"/>
      <c r="V400" s="4"/>
    </row>
    <row r="401" spans="1:22" x14ac:dyDescent="0.25">
      <c r="A401" s="318" t="str">
        <f t="shared" si="20"/>
        <v>Sat</v>
      </c>
      <c r="B401" s="15"/>
      <c r="C401" s="16"/>
      <c r="D401" s="6"/>
      <c r="E401" s="6"/>
      <c r="F401" s="6"/>
      <c r="G401" s="6"/>
      <c r="H401" s="6"/>
      <c r="I401" s="6"/>
      <c r="J401" s="6"/>
      <c r="K401" s="6"/>
      <c r="L401" s="20"/>
      <c r="M401" s="84">
        <f t="shared" si="19"/>
        <v>0</v>
      </c>
      <c r="N401" s="248">
        <f>RHcount!X395</f>
        <v>0</v>
      </c>
      <c r="O401" s="17"/>
      <c r="P401" s="17"/>
      <c r="Q401" s="17"/>
      <c r="R401" s="17"/>
      <c r="S401" s="17"/>
      <c r="T401" s="17"/>
      <c r="U401" s="4"/>
      <c r="V401" s="4"/>
    </row>
    <row r="402" spans="1:22" x14ac:dyDescent="0.25">
      <c r="A402" s="318" t="str">
        <f t="shared" si="20"/>
        <v>Sat</v>
      </c>
      <c r="B402" s="15"/>
      <c r="C402" s="16"/>
      <c r="D402" s="6"/>
      <c r="E402" s="6"/>
      <c r="F402" s="6"/>
      <c r="G402" s="6"/>
      <c r="H402" s="6"/>
      <c r="I402" s="6"/>
      <c r="J402" s="6"/>
      <c r="K402" s="6"/>
      <c r="L402" s="20"/>
      <c r="M402" s="84">
        <f t="shared" si="19"/>
        <v>0</v>
      </c>
      <c r="N402" s="248">
        <f>RHcount!X396</f>
        <v>0</v>
      </c>
      <c r="O402" s="17"/>
      <c r="P402" s="17"/>
      <c r="Q402" s="17"/>
      <c r="R402" s="17"/>
      <c r="S402" s="17"/>
      <c r="T402" s="17"/>
      <c r="U402" s="4"/>
      <c r="V402" s="4"/>
    </row>
    <row r="403" spans="1:22" x14ac:dyDescent="0.25">
      <c r="A403" s="318" t="str">
        <f t="shared" si="20"/>
        <v>Sat</v>
      </c>
      <c r="B403" s="15"/>
      <c r="C403" s="16"/>
      <c r="D403" s="6"/>
      <c r="E403" s="6"/>
      <c r="F403" s="6"/>
      <c r="G403" s="6"/>
      <c r="H403" s="6"/>
      <c r="I403" s="6"/>
      <c r="J403" s="6"/>
      <c r="K403" s="6"/>
      <c r="L403" s="20"/>
      <c r="M403" s="84">
        <f t="shared" si="19"/>
        <v>0</v>
      </c>
      <c r="N403" s="248">
        <f>RHcount!X397</f>
        <v>0</v>
      </c>
      <c r="O403" s="17"/>
      <c r="P403" s="17"/>
      <c r="Q403" s="17"/>
      <c r="R403" s="17"/>
      <c r="S403" s="17"/>
      <c r="T403" s="17"/>
      <c r="U403" s="4"/>
      <c r="V403" s="4"/>
    </row>
    <row r="404" spans="1:22" x14ac:dyDescent="0.25">
      <c r="A404" s="318" t="str">
        <f t="shared" si="20"/>
        <v>Sat</v>
      </c>
      <c r="B404" s="15"/>
      <c r="C404" s="16"/>
      <c r="D404" s="6"/>
      <c r="E404" s="6"/>
      <c r="F404" s="6"/>
      <c r="G404" s="6"/>
      <c r="H404" s="6"/>
      <c r="I404" s="6"/>
      <c r="J404" s="6"/>
      <c r="K404" s="6"/>
      <c r="L404" s="20"/>
      <c r="M404" s="84">
        <f t="shared" si="19"/>
        <v>0</v>
      </c>
      <c r="N404" s="248">
        <f>RHcount!X398</f>
        <v>0</v>
      </c>
      <c r="O404" s="17"/>
      <c r="P404" s="17"/>
      <c r="Q404" s="17"/>
      <c r="R404" s="17"/>
      <c r="S404" s="17"/>
      <c r="T404" s="17"/>
      <c r="U404" s="4"/>
      <c r="V404" s="4"/>
    </row>
    <row r="405" spans="1:22" x14ac:dyDescent="0.25">
      <c r="A405" s="318" t="str">
        <f t="shared" si="20"/>
        <v>Sat</v>
      </c>
      <c r="B405" s="15"/>
      <c r="C405" s="16"/>
      <c r="D405" s="6"/>
      <c r="E405" s="6"/>
      <c r="F405" s="6"/>
      <c r="G405" s="6"/>
      <c r="H405" s="6"/>
      <c r="I405" s="6"/>
      <c r="J405" s="6"/>
      <c r="K405" s="6"/>
      <c r="L405" s="20"/>
      <c r="M405" s="84">
        <f t="shared" si="19"/>
        <v>0</v>
      </c>
      <c r="N405" s="248">
        <f>RHcount!X399</f>
        <v>0</v>
      </c>
      <c r="O405" s="17"/>
      <c r="P405" s="17"/>
      <c r="Q405" s="17"/>
      <c r="R405" s="17"/>
      <c r="S405" s="17"/>
      <c r="T405" s="17"/>
      <c r="U405" s="4"/>
      <c r="V405" s="4"/>
    </row>
    <row r="406" spans="1:22" x14ac:dyDescent="0.25">
      <c r="A406" s="318" t="str">
        <f t="shared" si="20"/>
        <v>Sat</v>
      </c>
      <c r="B406" s="15"/>
      <c r="C406" s="16"/>
      <c r="D406" s="6"/>
      <c r="E406" s="6"/>
      <c r="F406" s="6"/>
      <c r="G406" s="6"/>
      <c r="H406" s="6"/>
      <c r="I406" s="6"/>
      <c r="J406" s="6"/>
      <c r="K406" s="6"/>
      <c r="L406" s="20"/>
      <c r="M406" s="84">
        <f t="shared" si="19"/>
        <v>0</v>
      </c>
      <c r="N406" s="248">
        <f>RHcount!X400</f>
        <v>0</v>
      </c>
      <c r="O406" s="17"/>
      <c r="P406" s="17"/>
      <c r="Q406" s="17"/>
      <c r="R406" s="17"/>
      <c r="S406" s="17"/>
      <c r="T406" s="17"/>
      <c r="U406" s="4"/>
      <c r="V406" s="4"/>
    </row>
    <row r="407" spans="1:22" x14ac:dyDescent="0.25">
      <c r="A407" s="318" t="str">
        <f t="shared" si="20"/>
        <v>Sat</v>
      </c>
      <c r="B407" s="15"/>
      <c r="C407" s="16"/>
      <c r="D407" s="6"/>
      <c r="E407" s="6"/>
      <c r="F407" s="6"/>
      <c r="G407" s="6"/>
      <c r="H407" s="6"/>
      <c r="I407" s="6"/>
      <c r="J407" s="6"/>
      <c r="K407" s="6"/>
      <c r="L407" s="20"/>
      <c r="M407" s="84">
        <f t="shared" si="19"/>
        <v>0</v>
      </c>
      <c r="N407" s="248">
        <f>RHcount!X401</f>
        <v>0</v>
      </c>
      <c r="O407" s="17"/>
      <c r="P407" s="17"/>
      <c r="Q407" s="17"/>
      <c r="R407" s="17"/>
      <c r="S407" s="17"/>
      <c r="T407" s="17"/>
      <c r="U407" s="4"/>
      <c r="V407" s="4"/>
    </row>
    <row r="408" spans="1:22" x14ac:dyDescent="0.25">
      <c r="A408" s="318" t="str">
        <f t="shared" si="20"/>
        <v>Sat</v>
      </c>
      <c r="B408" s="15"/>
      <c r="C408" s="16"/>
      <c r="D408" s="6"/>
      <c r="E408" s="6"/>
      <c r="F408" s="6"/>
      <c r="G408" s="6"/>
      <c r="H408" s="6"/>
      <c r="I408" s="6"/>
      <c r="J408" s="6"/>
      <c r="K408" s="6"/>
      <c r="L408" s="20"/>
      <c r="M408" s="84">
        <f t="shared" si="19"/>
        <v>0</v>
      </c>
      <c r="N408" s="248">
        <f>RHcount!X402</f>
        <v>0</v>
      </c>
      <c r="O408" s="17"/>
      <c r="P408" s="17"/>
      <c r="Q408" s="17"/>
      <c r="R408" s="17"/>
      <c r="S408" s="17"/>
      <c r="T408" s="17"/>
      <c r="U408" s="4"/>
      <c r="V408" s="4"/>
    </row>
    <row r="409" spans="1:22" x14ac:dyDescent="0.25">
      <c r="A409" s="318" t="str">
        <f t="shared" si="20"/>
        <v>Sat</v>
      </c>
      <c r="B409" s="15"/>
      <c r="C409" s="16"/>
      <c r="D409" s="6"/>
      <c r="E409" s="6"/>
      <c r="F409" s="6"/>
      <c r="G409" s="6"/>
      <c r="H409" s="6"/>
      <c r="I409" s="6"/>
      <c r="J409" s="6"/>
      <c r="K409" s="6"/>
      <c r="L409" s="20"/>
      <c r="M409" s="84">
        <f t="shared" si="19"/>
        <v>0</v>
      </c>
      <c r="N409" s="248">
        <f>RHcount!X403</f>
        <v>0</v>
      </c>
      <c r="O409" s="17"/>
      <c r="P409" s="17"/>
      <c r="Q409" s="17"/>
      <c r="R409" s="17"/>
      <c r="S409" s="17"/>
      <c r="T409" s="17"/>
      <c r="U409" s="4"/>
      <c r="V409" s="4"/>
    </row>
    <row r="410" spans="1:22" x14ac:dyDescent="0.25">
      <c r="A410" s="318" t="str">
        <f t="shared" si="20"/>
        <v>Sat</v>
      </c>
      <c r="B410" s="15"/>
      <c r="C410" s="16"/>
      <c r="D410" s="6"/>
      <c r="E410" s="6"/>
      <c r="F410" s="6"/>
      <c r="G410" s="6"/>
      <c r="H410" s="6"/>
      <c r="I410" s="6"/>
      <c r="J410" s="6"/>
      <c r="K410" s="6"/>
      <c r="L410" s="20"/>
      <c r="M410" s="84">
        <f t="shared" si="19"/>
        <v>0</v>
      </c>
      <c r="N410" s="248">
        <f>RHcount!X404</f>
        <v>0</v>
      </c>
      <c r="O410" s="17"/>
      <c r="P410" s="17"/>
      <c r="Q410" s="17"/>
      <c r="R410" s="17"/>
      <c r="S410" s="17"/>
      <c r="T410" s="17"/>
      <c r="U410" s="4"/>
      <c r="V410" s="4"/>
    </row>
    <row r="411" spans="1:22" x14ac:dyDescent="0.25">
      <c r="A411" s="318" t="str">
        <f t="shared" si="20"/>
        <v>Sat</v>
      </c>
      <c r="B411" s="15"/>
      <c r="C411" s="16"/>
      <c r="D411" s="6"/>
      <c r="E411" s="6"/>
      <c r="F411" s="6"/>
      <c r="G411" s="6"/>
      <c r="H411" s="6"/>
      <c r="I411" s="6"/>
      <c r="J411" s="6"/>
      <c r="K411" s="6"/>
      <c r="L411" s="20"/>
      <c r="M411" s="84">
        <f t="shared" si="19"/>
        <v>0</v>
      </c>
      <c r="N411" s="248">
        <f>RHcount!X405</f>
        <v>0</v>
      </c>
      <c r="O411" s="17"/>
      <c r="P411" s="17"/>
      <c r="Q411" s="17"/>
      <c r="R411" s="17"/>
      <c r="S411" s="17"/>
      <c r="T411" s="17"/>
      <c r="U411" s="4"/>
      <c r="V411" s="4"/>
    </row>
    <row r="412" spans="1:22" x14ac:dyDescent="0.25">
      <c r="A412" s="318" t="str">
        <f t="shared" si="20"/>
        <v>Sat</v>
      </c>
      <c r="B412" s="15"/>
      <c r="C412" s="16"/>
      <c r="D412" s="6"/>
      <c r="E412" s="6"/>
      <c r="F412" s="6"/>
      <c r="G412" s="6"/>
      <c r="H412" s="6"/>
      <c r="I412" s="6"/>
      <c r="J412" s="6"/>
      <c r="K412" s="6"/>
      <c r="L412" s="20"/>
      <c r="M412" s="84">
        <f t="shared" si="19"/>
        <v>0</v>
      </c>
      <c r="N412" s="248">
        <f>RHcount!X406</f>
        <v>0</v>
      </c>
      <c r="O412" s="17"/>
      <c r="P412" s="17"/>
      <c r="Q412" s="17"/>
      <c r="R412" s="17"/>
      <c r="S412" s="17"/>
      <c r="T412" s="17"/>
      <c r="U412" s="4"/>
      <c r="V412" s="4"/>
    </row>
    <row r="413" spans="1:22" x14ac:dyDescent="0.25">
      <c r="A413" s="318" t="str">
        <f t="shared" si="20"/>
        <v>Sat</v>
      </c>
      <c r="B413" s="15"/>
      <c r="C413" s="16"/>
      <c r="D413" s="6"/>
      <c r="E413" s="6"/>
      <c r="F413" s="6"/>
      <c r="G413" s="6"/>
      <c r="H413" s="6"/>
      <c r="I413" s="6"/>
      <c r="J413" s="6"/>
      <c r="K413" s="6"/>
      <c r="L413" s="20"/>
      <c r="M413" s="84">
        <f t="shared" si="19"/>
        <v>0</v>
      </c>
      <c r="N413" s="248">
        <f>RHcount!X407</f>
        <v>0</v>
      </c>
      <c r="O413" s="17"/>
      <c r="P413" s="17"/>
      <c r="Q413" s="17"/>
      <c r="R413" s="17"/>
      <c r="S413" s="17"/>
      <c r="T413" s="17"/>
      <c r="U413" s="4"/>
      <c r="V413" s="4"/>
    </row>
    <row r="414" spans="1:22" x14ac:dyDescent="0.25">
      <c r="A414" s="318" t="str">
        <f t="shared" si="20"/>
        <v>Sat</v>
      </c>
      <c r="B414" s="15"/>
      <c r="C414" s="16"/>
      <c r="D414" s="6"/>
      <c r="E414" s="6"/>
      <c r="F414" s="6"/>
      <c r="G414" s="6"/>
      <c r="H414" s="6"/>
      <c r="I414" s="6"/>
      <c r="J414" s="6"/>
      <c r="K414" s="6"/>
      <c r="L414" s="20"/>
      <c r="M414" s="84">
        <f t="shared" si="19"/>
        <v>0</v>
      </c>
      <c r="N414" s="248">
        <f>RHcount!X408</f>
        <v>0</v>
      </c>
      <c r="O414" s="17"/>
      <c r="P414" s="17"/>
      <c r="Q414" s="17"/>
      <c r="R414" s="17"/>
      <c r="S414" s="17"/>
      <c r="T414" s="17"/>
      <c r="U414" s="4"/>
      <c r="V414" s="4"/>
    </row>
    <row r="415" spans="1:22" x14ac:dyDescent="0.25">
      <c r="A415" s="318" t="str">
        <f t="shared" si="20"/>
        <v>Sat</v>
      </c>
      <c r="B415" s="15"/>
      <c r="C415" s="16"/>
      <c r="D415" s="6"/>
      <c r="E415" s="6"/>
      <c r="F415" s="6"/>
      <c r="G415" s="6"/>
      <c r="H415" s="6"/>
      <c r="I415" s="6"/>
      <c r="J415" s="6"/>
      <c r="K415" s="6"/>
      <c r="L415" s="20"/>
      <c r="M415" s="84">
        <f t="shared" si="19"/>
        <v>0</v>
      </c>
      <c r="N415" s="248">
        <f>RHcount!X409</f>
        <v>0</v>
      </c>
      <c r="O415" s="17"/>
      <c r="P415" s="17"/>
      <c r="Q415" s="17"/>
      <c r="R415" s="17"/>
      <c r="S415" s="17"/>
      <c r="T415" s="17"/>
      <c r="U415" s="4"/>
      <c r="V415" s="4"/>
    </row>
    <row r="416" spans="1:22" x14ac:dyDescent="0.25">
      <c r="A416" s="318" t="str">
        <f t="shared" si="20"/>
        <v>Sat</v>
      </c>
      <c r="B416" s="15"/>
      <c r="C416" s="16"/>
      <c r="D416" s="6"/>
      <c r="E416" s="6"/>
      <c r="F416" s="6"/>
      <c r="G416" s="6"/>
      <c r="H416" s="6"/>
      <c r="I416" s="6"/>
      <c r="J416" s="6"/>
      <c r="K416" s="6"/>
      <c r="L416" s="20"/>
      <c r="M416" s="84">
        <f t="shared" si="19"/>
        <v>0</v>
      </c>
      <c r="N416" s="248">
        <f>RHcount!X410</f>
        <v>0</v>
      </c>
      <c r="O416" s="17"/>
      <c r="P416" s="17"/>
      <c r="Q416" s="17"/>
      <c r="R416" s="17"/>
      <c r="S416" s="17"/>
      <c r="T416" s="17"/>
      <c r="U416" s="4"/>
      <c r="V416" s="4"/>
    </row>
    <row r="417" spans="1:22" x14ac:dyDescent="0.25">
      <c r="A417" s="318" t="str">
        <f t="shared" si="20"/>
        <v>Sat</v>
      </c>
      <c r="B417" s="15"/>
      <c r="C417" s="16"/>
      <c r="D417" s="6"/>
      <c r="E417" s="6"/>
      <c r="F417" s="6"/>
      <c r="G417" s="6"/>
      <c r="H417" s="6"/>
      <c r="I417" s="6"/>
      <c r="J417" s="6"/>
      <c r="K417" s="6"/>
      <c r="L417" s="20"/>
      <c r="M417" s="84">
        <f t="shared" si="19"/>
        <v>0</v>
      </c>
      <c r="N417" s="248">
        <f>RHcount!X411</f>
        <v>0</v>
      </c>
      <c r="O417" s="17"/>
      <c r="P417" s="17"/>
      <c r="Q417" s="17"/>
      <c r="R417" s="17"/>
      <c r="S417" s="17"/>
      <c r="T417" s="17"/>
      <c r="U417" s="4"/>
      <c r="V417" s="4"/>
    </row>
    <row r="418" spans="1:22" x14ac:dyDescent="0.25">
      <c r="A418" s="318" t="str">
        <f t="shared" si="20"/>
        <v>Sat</v>
      </c>
      <c r="B418" s="15"/>
      <c r="C418" s="16"/>
      <c r="D418" s="6"/>
      <c r="E418" s="6"/>
      <c r="F418" s="6"/>
      <c r="G418" s="6"/>
      <c r="H418" s="6"/>
      <c r="I418" s="6"/>
      <c r="J418" s="6"/>
      <c r="K418" s="6"/>
      <c r="L418" s="20"/>
      <c r="M418" s="84">
        <f t="shared" si="19"/>
        <v>0</v>
      </c>
      <c r="N418" s="248">
        <f>RHcount!X412</f>
        <v>0</v>
      </c>
      <c r="O418" s="17"/>
      <c r="P418" s="17"/>
      <c r="Q418" s="17"/>
      <c r="R418" s="17"/>
      <c r="S418" s="17"/>
      <c r="T418" s="17"/>
      <c r="U418" s="4"/>
      <c r="V418" s="4"/>
    </row>
    <row r="419" spans="1:22" x14ac:dyDescent="0.25">
      <c r="A419" s="318" t="str">
        <f t="shared" si="20"/>
        <v>Sat</v>
      </c>
      <c r="B419" s="15"/>
      <c r="C419" s="16"/>
      <c r="D419" s="6"/>
      <c r="E419" s="6"/>
      <c r="F419" s="6"/>
      <c r="G419" s="6"/>
      <c r="H419" s="6"/>
      <c r="I419" s="6"/>
      <c r="J419" s="6"/>
      <c r="K419" s="6"/>
      <c r="L419" s="20"/>
      <c r="M419" s="84">
        <f t="shared" si="19"/>
        <v>0</v>
      </c>
      <c r="N419" s="248">
        <f>RHcount!X413</f>
        <v>0</v>
      </c>
      <c r="O419" s="17"/>
      <c r="P419" s="17"/>
      <c r="Q419" s="17"/>
      <c r="R419" s="17"/>
      <c r="S419" s="17"/>
      <c r="T419" s="17"/>
      <c r="U419" s="4"/>
      <c r="V419" s="4"/>
    </row>
    <row r="420" spans="1:22" x14ac:dyDescent="0.25">
      <c r="A420" s="318" t="str">
        <f t="shared" si="20"/>
        <v>Sat</v>
      </c>
      <c r="B420" s="15"/>
      <c r="C420" s="16"/>
      <c r="D420" s="6"/>
      <c r="E420" s="6"/>
      <c r="F420" s="6"/>
      <c r="G420" s="6"/>
      <c r="H420" s="6"/>
      <c r="I420" s="6"/>
      <c r="J420" s="6"/>
      <c r="K420" s="6"/>
      <c r="L420" s="20"/>
      <c r="M420" s="84">
        <f t="shared" si="19"/>
        <v>0</v>
      </c>
      <c r="N420" s="248">
        <f>RHcount!X414</f>
        <v>0</v>
      </c>
      <c r="O420" s="17"/>
      <c r="P420" s="17"/>
      <c r="Q420" s="17"/>
      <c r="R420" s="17"/>
      <c r="S420" s="17"/>
      <c r="T420" s="17"/>
      <c r="U420" s="4"/>
      <c r="V420" s="4"/>
    </row>
    <row r="421" spans="1:22" x14ac:dyDescent="0.25">
      <c r="A421" s="318" t="str">
        <f t="shared" si="20"/>
        <v>Sat</v>
      </c>
      <c r="B421" s="15"/>
      <c r="C421" s="16"/>
      <c r="D421" s="6"/>
      <c r="E421" s="6"/>
      <c r="F421" s="6"/>
      <c r="G421" s="6"/>
      <c r="H421" s="6"/>
      <c r="I421" s="6"/>
      <c r="J421" s="6"/>
      <c r="K421" s="6"/>
      <c r="L421" s="20"/>
      <c r="M421" s="84">
        <f t="shared" si="19"/>
        <v>0</v>
      </c>
      <c r="N421" s="248">
        <f>RHcount!X415</f>
        <v>0</v>
      </c>
      <c r="O421" s="17"/>
      <c r="P421" s="17"/>
      <c r="Q421" s="17"/>
      <c r="R421" s="17"/>
      <c r="S421" s="17"/>
      <c r="T421" s="17"/>
      <c r="U421" s="4"/>
      <c r="V421" s="4"/>
    </row>
    <row r="422" spans="1:22" x14ac:dyDescent="0.25">
      <c r="A422" s="318" t="str">
        <f t="shared" si="20"/>
        <v>Sat</v>
      </c>
      <c r="B422" s="15"/>
      <c r="C422" s="16"/>
      <c r="D422" s="6"/>
      <c r="E422" s="6"/>
      <c r="F422" s="6"/>
      <c r="G422" s="6"/>
      <c r="H422" s="6"/>
      <c r="I422" s="6"/>
      <c r="J422" s="6"/>
      <c r="K422" s="6"/>
      <c r="L422" s="20"/>
      <c r="M422" s="84">
        <f t="shared" si="19"/>
        <v>0</v>
      </c>
      <c r="N422" s="248">
        <f>RHcount!X416</f>
        <v>0</v>
      </c>
      <c r="O422" s="17"/>
      <c r="P422" s="17"/>
      <c r="Q422" s="17"/>
      <c r="R422" s="17"/>
      <c r="S422" s="17"/>
      <c r="T422" s="17"/>
      <c r="U422" s="4"/>
      <c r="V422" s="4"/>
    </row>
    <row r="423" spans="1:22" x14ac:dyDescent="0.25">
      <c r="A423" s="318" t="str">
        <f t="shared" si="20"/>
        <v>Sat</v>
      </c>
      <c r="B423" s="15"/>
      <c r="C423" s="16"/>
      <c r="D423" s="6"/>
      <c r="E423" s="6"/>
      <c r="F423" s="6"/>
      <c r="G423" s="6"/>
      <c r="H423" s="6"/>
      <c r="I423" s="6"/>
      <c r="J423" s="6"/>
      <c r="K423" s="6"/>
      <c r="L423" s="20"/>
      <c r="M423" s="84">
        <f t="shared" si="19"/>
        <v>0</v>
      </c>
      <c r="N423" s="248">
        <f>RHcount!X417</f>
        <v>0</v>
      </c>
      <c r="O423" s="17"/>
      <c r="P423" s="17"/>
      <c r="Q423" s="17"/>
      <c r="R423" s="17"/>
      <c r="S423" s="17"/>
      <c r="T423" s="17"/>
      <c r="U423" s="4"/>
      <c r="V423" s="4"/>
    </row>
    <row r="424" spans="1:22" x14ac:dyDescent="0.25">
      <c r="A424" s="318" t="str">
        <f t="shared" si="20"/>
        <v>Sat</v>
      </c>
      <c r="B424" s="15"/>
      <c r="C424" s="16"/>
      <c r="D424" s="6"/>
      <c r="E424" s="6"/>
      <c r="F424" s="6"/>
      <c r="G424" s="6"/>
      <c r="H424" s="6"/>
      <c r="I424" s="6"/>
      <c r="J424" s="6"/>
      <c r="K424" s="6"/>
      <c r="L424" s="20"/>
      <c r="M424" s="84">
        <f t="shared" si="19"/>
        <v>0</v>
      </c>
      <c r="N424" s="248">
        <f>RHcount!X418</f>
        <v>0</v>
      </c>
      <c r="O424" s="17"/>
      <c r="P424" s="17"/>
      <c r="Q424" s="17"/>
      <c r="R424" s="17"/>
      <c r="S424" s="17"/>
      <c r="T424" s="17"/>
      <c r="U424" s="4"/>
      <c r="V424" s="4"/>
    </row>
    <row r="425" spans="1:22" x14ac:dyDescent="0.25">
      <c r="A425" s="318" t="str">
        <f t="shared" si="20"/>
        <v>Sat</v>
      </c>
      <c r="B425" s="15"/>
      <c r="C425" s="16"/>
      <c r="D425" s="6"/>
      <c r="E425" s="6"/>
      <c r="F425" s="6"/>
      <c r="G425" s="6"/>
      <c r="H425" s="6"/>
      <c r="I425" s="6"/>
      <c r="J425" s="6"/>
      <c r="K425" s="6"/>
      <c r="L425" s="20"/>
      <c r="M425" s="84">
        <f t="shared" si="19"/>
        <v>0</v>
      </c>
      <c r="N425" s="248">
        <f>RHcount!X419</f>
        <v>0</v>
      </c>
      <c r="O425" s="17"/>
      <c r="P425" s="17"/>
      <c r="Q425" s="17"/>
      <c r="R425" s="17"/>
      <c r="S425" s="17"/>
      <c r="T425" s="17"/>
      <c r="U425" s="4"/>
      <c r="V425" s="4"/>
    </row>
    <row r="426" spans="1:22" x14ac:dyDescent="0.25">
      <c r="A426" s="318" t="str">
        <f t="shared" si="20"/>
        <v>Sat</v>
      </c>
      <c r="B426" s="15"/>
      <c r="C426" s="16"/>
      <c r="D426" s="6"/>
      <c r="E426" s="6"/>
      <c r="F426" s="6"/>
      <c r="G426" s="6"/>
      <c r="H426" s="6"/>
      <c r="I426" s="6"/>
      <c r="J426" s="6"/>
      <c r="K426" s="6"/>
      <c r="L426" s="20"/>
      <c r="M426" s="84">
        <f t="shared" si="19"/>
        <v>0</v>
      </c>
      <c r="N426" s="248">
        <f>RHcount!X420</f>
        <v>0</v>
      </c>
      <c r="O426" s="17"/>
      <c r="P426" s="17"/>
      <c r="Q426" s="17"/>
      <c r="R426" s="17"/>
      <c r="S426" s="17"/>
      <c r="T426" s="17"/>
      <c r="U426" s="4"/>
      <c r="V426" s="4"/>
    </row>
    <row r="427" spans="1:22" x14ac:dyDescent="0.25">
      <c r="A427" s="318" t="str">
        <f t="shared" si="20"/>
        <v>Sat</v>
      </c>
      <c r="B427" s="15"/>
      <c r="C427" s="16"/>
      <c r="D427" s="6"/>
      <c r="E427" s="6"/>
      <c r="F427" s="6"/>
      <c r="G427" s="6"/>
      <c r="H427" s="6"/>
      <c r="I427" s="6"/>
      <c r="J427" s="6"/>
      <c r="K427" s="6"/>
      <c r="L427" s="20"/>
      <c r="M427" s="84">
        <f t="shared" si="19"/>
        <v>0</v>
      </c>
      <c r="N427" s="248">
        <f>RHcount!X421</f>
        <v>0</v>
      </c>
      <c r="O427" s="17"/>
      <c r="P427" s="17"/>
      <c r="Q427" s="17"/>
      <c r="R427" s="17"/>
      <c r="S427" s="17"/>
      <c r="T427" s="17"/>
      <c r="U427" s="4"/>
      <c r="V427" s="4"/>
    </row>
    <row r="428" spans="1:22" x14ac:dyDescent="0.25">
      <c r="A428" s="318" t="str">
        <f t="shared" si="20"/>
        <v>Sat</v>
      </c>
      <c r="B428" s="15"/>
      <c r="C428" s="16"/>
      <c r="D428" s="6"/>
      <c r="E428" s="6"/>
      <c r="F428" s="6"/>
      <c r="G428" s="6"/>
      <c r="H428" s="6"/>
      <c r="I428" s="6"/>
      <c r="J428" s="6"/>
      <c r="K428" s="6"/>
      <c r="L428" s="20"/>
      <c r="M428" s="84">
        <f t="shared" si="19"/>
        <v>0</v>
      </c>
      <c r="N428" s="248">
        <f>RHcount!X422</f>
        <v>0</v>
      </c>
      <c r="O428" s="17"/>
      <c r="P428" s="17"/>
      <c r="Q428" s="17"/>
      <c r="R428" s="17"/>
      <c r="S428" s="17"/>
      <c r="T428" s="17"/>
      <c r="U428" s="4"/>
      <c r="V428" s="4"/>
    </row>
    <row r="429" spans="1:22" x14ac:dyDescent="0.25">
      <c r="A429" s="318" t="str">
        <f t="shared" si="20"/>
        <v>Sat</v>
      </c>
      <c r="B429" s="15"/>
      <c r="C429" s="16"/>
      <c r="D429" s="6"/>
      <c r="E429" s="6"/>
      <c r="F429" s="6"/>
      <c r="G429" s="6"/>
      <c r="H429" s="6"/>
      <c r="I429" s="6"/>
      <c r="J429" s="6"/>
      <c r="K429" s="6"/>
      <c r="L429" s="20"/>
      <c r="M429" s="84">
        <f t="shared" si="19"/>
        <v>0</v>
      </c>
      <c r="N429" s="248">
        <f>RHcount!X423</f>
        <v>0</v>
      </c>
      <c r="O429" s="17"/>
      <c r="P429" s="17"/>
      <c r="Q429" s="17"/>
      <c r="R429" s="17"/>
      <c r="S429" s="17"/>
      <c r="T429" s="17"/>
      <c r="U429" s="4"/>
      <c r="V429" s="4"/>
    </row>
    <row r="430" spans="1:22" x14ac:dyDescent="0.25">
      <c r="A430" s="318" t="str">
        <f t="shared" si="20"/>
        <v>Sat</v>
      </c>
      <c r="B430" s="15"/>
      <c r="C430" s="16"/>
      <c r="D430" s="6"/>
      <c r="E430" s="6"/>
      <c r="F430" s="6"/>
      <c r="G430" s="6"/>
      <c r="H430" s="6"/>
      <c r="I430" s="6"/>
      <c r="J430" s="6"/>
      <c r="K430" s="6"/>
      <c r="L430" s="20"/>
      <c r="M430" s="84">
        <f t="shared" si="19"/>
        <v>0</v>
      </c>
      <c r="N430" s="248">
        <f>RHcount!X424</f>
        <v>0</v>
      </c>
      <c r="O430" s="17"/>
      <c r="P430" s="17"/>
      <c r="Q430" s="17"/>
      <c r="R430" s="17"/>
      <c r="S430" s="17"/>
      <c r="T430" s="17"/>
      <c r="U430" s="4"/>
      <c r="V430" s="4"/>
    </row>
    <row r="431" spans="1:22" x14ac:dyDescent="0.25">
      <c r="A431" s="318" t="str">
        <f t="shared" si="20"/>
        <v>Sat</v>
      </c>
      <c r="B431" s="15"/>
      <c r="C431" s="16"/>
      <c r="D431" s="6"/>
      <c r="E431" s="6"/>
      <c r="F431" s="6"/>
      <c r="G431" s="6"/>
      <c r="H431" s="6"/>
      <c r="I431" s="6"/>
      <c r="J431" s="6"/>
      <c r="K431" s="6"/>
      <c r="L431" s="20"/>
      <c r="M431" s="84">
        <f t="shared" si="19"/>
        <v>0</v>
      </c>
      <c r="N431" s="248">
        <f>RHcount!X425</f>
        <v>0</v>
      </c>
      <c r="O431" s="17"/>
      <c r="P431" s="17"/>
      <c r="Q431" s="17"/>
      <c r="R431" s="17"/>
      <c r="S431" s="17"/>
      <c r="T431" s="17"/>
      <c r="U431" s="4"/>
      <c r="V431" s="4"/>
    </row>
    <row r="432" spans="1:22" x14ac:dyDescent="0.25">
      <c r="A432" s="318" t="str">
        <f t="shared" si="20"/>
        <v>Sat</v>
      </c>
      <c r="B432" s="15"/>
      <c r="C432" s="16"/>
      <c r="D432" s="6"/>
      <c r="E432" s="6"/>
      <c r="F432" s="6"/>
      <c r="G432" s="6"/>
      <c r="H432" s="6"/>
      <c r="I432" s="6"/>
      <c r="J432" s="6"/>
      <c r="K432" s="6"/>
      <c r="L432" s="20"/>
      <c r="M432" s="84">
        <f t="shared" si="19"/>
        <v>0</v>
      </c>
      <c r="N432" s="248">
        <f>RHcount!X426</f>
        <v>0</v>
      </c>
      <c r="O432" s="17"/>
      <c r="P432" s="17"/>
      <c r="Q432" s="17"/>
      <c r="R432" s="17"/>
      <c r="S432" s="17"/>
      <c r="T432" s="17"/>
      <c r="U432" s="4"/>
      <c r="V432" s="4"/>
    </row>
    <row r="433" spans="1:22" x14ac:dyDescent="0.25">
      <c r="A433" s="318" t="str">
        <f t="shared" si="20"/>
        <v>Sat</v>
      </c>
      <c r="B433" s="15"/>
      <c r="C433" s="16"/>
      <c r="D433" s="6"/>
      <c r="E433" s="6"/>
      <c r="F433" s="6"/>
      <c r="G433" s="6"/>
      <c r="H433" s="6"/>
      <c r="I433" s="6"/>
      <c r="J433" s="6"/>
      <c r="K433" s="6"/>
      <c r="L433" s="20"/>
      <c r="M433" s="84">
        <f t="shared" si="19"/>
        <v>0</v>
      </c>
      <c r="N433" s="248">
        <f>RHcount!X427</f>
        <v>0</v>
      </c>
      <c r="O433" s="17"/>
      <c r="P433" s="17"/>
      <c r="Q433" s="17"/>
      <c r="R433" s="17"/>
      <c r="S433" s="17"/>
      <c r="T433" s="17"/>
      <c r="U433" s="4"/>
      <c r="V433" s="4"/>
    </row>
    <row r="434" spans="1:22" x14ac:dyDescent="0.25">
      <c r="A434" s="318" t="str">
        <f t="shared" si="20"/>
        <v>Sat</v>
      </c>
      <c r="B434" s="15"/>
      <c r="C434" s="16"/>
      <c r="D434" s="6"/>
      <c r="E434" s="6"/>
      <c r="F434" s="6"/>
      <c r="G434" s="6"/>
      <c r="H434" s="6"/>
      <c r="I434" s="6"/>
      <c r="J434" s="6"/>
      <c r="K434" s="6"/>
      <c r="L434" s="20"/>
      <c r="M434" s="84">
        <f t="shared" si="19"/>
        <v>0</v>
      </c>
      <c r="N434" s="248">
        <f>RHcount!X428</f>
        <v>0</v>
      </c>
      <c r="O434" s="17"/>
      <c r="P434" s="17"/>
      <c r="Q434" s="17"/>
      <c r="R434" s="17"/>
      <c r="S434" s="17"/>
      <c r="T434" s="17"/>
      <c r="U434" s="4"/>
      <c r="V434" s="4"/>
    </row>
    <row r="435" spans="1:22" x14ac:dyDescent="0.25">
      <c r="A435" s="318" t="str">
        <f t="shared" si="20"/>
        <v>Sat</v>
      </c>
      <c r="B435" s="15"/>
      <c r="C435" s="16"/>
      <c r="D435" s="6"/>
      <c r="E435" s="6"/>
      <c r="F435" s="6"/>
      <c r="G435" s="6"/>
      <c r="H435" s="6"/>
      <c r="I435" s="6"/>
      <c r="J435" s="6"/>
      <c r="K435" s="6"/>
      <c r="L435" s="20"/>
      <c r="M435" s="84">
        <f t="shared" si="19"/>
        <v>0</v>
      </c>
      <c r="N435" s="248">
        <f>RHcount!X429</f>
        <v>0</v>
      </c>
      <c r="O435" s="17"/>
      <c r="P435" s="17"/>
      <c r="Q435" s="17"/>
      <c r="R435" s="17"/>
      <c r="S435" s="17"/>
      <c r="T435" s="17"/>
      <c r="U435" s="4"/>
      <c r="V435" s="4"/>
    </row>
    <row r="436" spans="1:22" x14ac:dyDescent="0.25">
      <c r="A436" s="318" t="str">
        <f t="shared" si="20"/>
        <v>Sat</v>
      </c>
      <c r="B436" s="15"/>
      <c r="C436" s="16"/>
      <c r="D436" s="6"/>
      <c r="E436" s="6"/>
      <c r="F436" s="6"/>
      <c r="G436" s="6"/>
      <c r="H436" s="6"/>
      <c r="I436" s="6"/>
      <c r="J436" s="6"/>
      <c r="K436" s="6"/>
      <c r="L436" s="20"/>
      <c r="M436" s="84">
        <f t="shared" si="19"/>
        <v>0</v>
      </c>
      <c r="N436" s="248">
        <f>RHcount!X430</f>
        <v>0</v>
      </c>
      <c r="O436" s="17"/>
      <c r="P436" s="17"/>
      <c r="Q436" s="17"/>
      <c r="R436" s="17"/>
      <c r="S436" s="17"/>
      <c r="T436" s="17"/>
      <c r="U436" s="4"/>
      <c r="V436" s="4"/>
    </row>
    <row r="437" spans="1:22" x14ac:dyDescent="0.25">
      <c r="A437" s="318" t="str">
        <f t="shared" si="20"/>
        <v>Sat</v>
      </c>
      <c r="B437" s="15"/>
      <c r="C437" s="16"/>
      <c r="D437" s="6"/>
      <c r="E437" s="6"/>
      <c r="F437" s="6"/>
      <c r="G437" s="6"/>
      <c r="H437" s="6"/>
      <c r="I437" s="6"/>
      <c r="J437" s="6"/>
      <c r="K437" s="6"/>
      <c r="L437" s="20"/>
      <c r="M437" s="84">
        <f t="shared" si="19"/>
        <v>0</v>
      </c>
      <c r="N437" s="248">
        <f>RHcount!X431</f>
        <v>0</v>
      </c>
      <c r="O437" s="17"/>
      <c r="P437" s="17"/>
      <c r="Q437" s="17"/>
      <c r="R437" s="17"/>
      <c r="S437" s="17"/>
      <c r="T437" s="17"/>
      <c r="U437" s="4"/>
      <c r="V437" s="4"/>
    </row>
    <row r="438" spans="1:22" x14ac:dyDescent="0.25">
      <c r="A438" s="318" t="str">
        <f t="shared" si="20"/>
        <v>Sat</v>
      </c>
      <c r="B438" s="15"/>
      <c r="C438" s="16"/>
      <c r="D438" s="6"/>
      <c r="E438" s="6"/>
      <c r="F438" s="6"/>
      <c r="G438" s="6"/>
      <c r="H438" s="6"/>
      <c r="I438" s="6"/>
      <c r="J438" s="6"/>
      <c r="K438" s="6"/>
      <c r="L438" s="20"/>
      <c r="M438" s="84">
        <f t="shared" si="19"/>
        <v>0</v>
      </c>
      <c r="N438" s="248">
        <f>RHcount!X432</f>
        <v>0</v>
      </c>
      <c r="O438" s="17"/>
      <c r="P438" s="17"/>
      <c r="Q438" s="17"/>
      <c r="R438" s="17"/>
      <c r="S438" s="17"/>
      <c r="T438" s="17"/>
      <c r="U438" s="4"/>
      <c r="V438" s="4"/>
    </row>
    <row r="439" spans="1:22" x14ac:dyDescent="0.25">
      <c r="A439" s="318" t="str">
        <f t="shared" si="20"/>
        <v>Sat</v>
      </c>
      <c r="B439" s="15"/>
      <c r="C439" s="16"/>
      <c r="D439" s="6"/>
      <c r="E439" s="6"/>
      <c r="F439" s="6"/>
      <c r="G439" s="6"/>
      <c r="H439" s="6"/>
      <c r="I439" s="6"/>
      <c r="J439" s="6"/>
      <c r="K439" s="6"/>
      <c r="L439" s="20"/>
      <c r="M439" s="84">
        <f t="shared" si="19"/>
        <v>0</v>
      </c>
      <c r="N439" s="248">
        <f>RHcount!X433</f>
        <v>0</v>
      </c>
      <c r="O439" s="17"/>
      <c r="P439" s="17"/>
      <c r="Q439" s="17"/>
      <c r="R439" s="17"/>
      <c r="S439" s="17"/>
      <c r="T439" s="17"/>
      <c r="U439" s="4"/>
      <c r="V439" s="4"/>
    </row>
    <row r="440" spans="1:22" x14ac:dyDescent="0.25">
      <c r="A440" s="318" t="str">
        <f t="shared" si="20"/>
        <v>Sat</v>
      </c>
      <c r="B440" s="15"/>
      <c r="C440" s="16"/>
      <c r="D440" s="6"/>
      <c r="E440" s="6"/>
      <c r="F440" s="6"/>
      <c r="G440" s="6"/>
      <c r="H440" s="6"/>
      <c r="I440" s="6"/>
      <c r="J440" s="6"/>
      <c r="K440" s="6"/>
      <c r="L440" s="20"/>
      <c r="M440" s="84">
        <f t="shared" si="19"/>
        <v>0</v>
      </c>
      <c r="N440" s="248">
        <f>RHcount!X434</f>
        <v>0</v>
      </c>
      <c r="O440" s="17"/>
      <c r="P440" s="17"/>
      <c r="Q440" s="17"/>
      <c r="R440" s="17"/>
      <c r="S440" s="17"/>
      <c r="T440" s="17"/>
      <c r="U440" s="4"/>
      <c r="V440" s="4"/>
    </row>
    <row r="441" spans="1:22" x14ac:dyDescent="0.25">
      <c r="A441" s="318" t="str">
        <f t="shared" si="20"/>
        <v>Sat</v>
      </c>
      <c r="B441" s="15"/>
      <c r="C441" s="16"/>
      <c r="D441" s="6"/>
      <c r="E441" s="6"/>
      <c r="F441" s="6"/>
      <c r="G441" s="6"/>
      <c r="H441" s="6"/>
      <c r="I441" s="6"/>
      <c r="J441" s="6"/>
      <c r="K441" s="6"/>
      <c r="L441" s="20"/>
      <c r="M441" s="84">
        <f t="shared" si="19"/>
        <v>0</v>
      </c>
      <c r="N441" s="248">
        <f>RHcount!X435</f>
        <v>0</v>
      </c>
      <c r="O441" s="17"/>
      <c r="P441" s="17"/>
      <c r="Q441" s="17"/>
      <c r="R441" s="17"/>
      <c r="S441" s="17"/>
      <c r="T441" s="17"/>
      <c r="U441" s="4"/>
      <c r="V441" s="4"/>
    </row>
    <row r="442" spans="1:22" x14ac:dyDescent="0.25">
      <c r="A442" s="318" t="str">
        <f t="shared" si="20"/>
        <v>Sat</v>
      </c>
      <c r="B442" s="15"/>
      <c r="C442" s="16"/>
      <c r="D442" s="6"/>
      <c r="E442" s="6"/>
      <c r="F442" s="6"/>
      <c r="G442" s="6"/>
      <c r="H442" s="6"/>
      <c r="I442" s="6"/>
      <c r="J442" s="6"/>
      <c r="K442" s="6"/>
      <c r="L442" s="20"/>
      <c r="M442" s="84">
        <f t="shared" si="19"/>
        <v>0</v>
      </c>
      <c r="N442" s="248">
        <f>RHcount!X436</f>
        <v>0</v>
      </c>
      <c r="O442" s="17"/>
      <c r="P442" s="17"/>
      <c r="Q442" s="17"/>
      <c r="R442" s="17"/>
      <c r="S442" s="17"/>
      <c r="T442" s="17"/>
      <c r="U442" s="4"/>
      <c r="V442" s="4"/>
    </row>
    <row r="443" spans="1:22" x14ac:dyDescent="0.25">
      <c r="A443" s="318" t="str">
        <f t="shared" si="20"/>
        <v>Sat</v>
      </c>
      <c r="B443" s="15"/>
      <c r="C443" s="16"/>
      <c r="D443" s="6"/>
      <c r="E443" s="6"/>
      <c r="F443" s="6"/>
      <c r="G443" s="6"/>
      <c r="H443" s="6"/>
      <c r="I443" s="6"/>
      <c r="J443" s="6"/>
      <c r="K443" s="6"/>
      <c r="L443" s="20"/>
      <c r="M443" s="84">
        <f t="shared" si="19"/>
        <v>0</v>
      </c>
      <c r="N443" s="248">
        <f>RHcount!X437</f>
        <v>0</v>
      </c>
      <c r="O443" s="17"/>
      <c r="P443" s="17"/>
      <c r="Q443" s="17"/>
      <c r="R443" s="17"/>
      <c r="S443" s="17"/>
      <c r="T443" s="17"/>
      <c r="U443" s="4"/>
      <c r="V443" s="4"/>
    </row>
    <row r="444" spans="1:22" x14ac:dyDescent="0.25">
      <c r="A444" s="318" t="str">
        <f t="shared" si="20"/>
        <v>Sat</v>
      </c>
      <c r="B444" s="15"/>
      <c r="C444" s="16"/>
      <c r="D444" s="6"/>
      <c r="E444" s="6"/>
      <c r="F444" s="6"/>
      <c r="G444" s="6"/>
      <c r="H444" s="6"/>
      <c r="I444" s="6"/>
      <c r="J444" s="6"/>
      <c r="K444" s="6"/>
      <c r="L444" s="20"/>
      <c r="M444" s="84">
        <f t="shared" si="19"/>
        <v>0</v>
      </c>
      <c r="N444" s="248">
        <f>RHcount!X438</f>
        <v>0</v>
      </c>
      <c r="O444" s="17"/>
      <c r="P444" s="17"/>
      <c r="Q444" s="17"/>
      <c r="R444" s="17"/>
      <c r="S444" s="17"/>
      <c r="T444" s="17"/>
      <c r="U444" s="4"/>
      <c r="V444" s="4"/>
    </row>
    <row r="445" spans="1:22" x14ac:dyDescent="0.25">
      <c r="A445" s="318" t="str">
        <f t="shared" si="20"/>
        <v>Sat</v>
      </c>
      <c r="B445" s="15"/>
      <c r="C445" s="16"/>
      <c r="D445" s="6"/>
      <c r="E445" s="6"/>
      <c r="F445" s="6"/>
      <c r="G445" s="6"/>
      <c r="H445" s="6"/>
      <c r="I445" s="6"/>
      <c r="J445" s="6"/>
      <c r="K445" s="6"/>
      <c r="L445" s="20"/>
      <c r="M445" s="84">
        <f t="shared" si="19"/>
        <v>0</v>
      </c>
      <c r="N445" s="248">
        <f>RHcount!X439</f>
        <v>0</v>
      </c>
      <c r="O445" s="17"/>
      <c r="P445" s="17"/>
      <c r="Q445" s="17"/>
      <c r="R445" s="17"/>
      <c r="S445" s="17"/>
      <c r="T445" s="17"/>
      <c r="U445" s="4"/>
      <c r="V445" s="4"/>
    </row>
    <row r="446" spans="1:22" x14ac:dyDescent="0.25">
      <c r="A446" s="318" t="str">
        <f t="shared" si="20"/>
        <v>Sat</v>
      </c>
      <c r="B446" s="15"/>
      <c r="C446" s="16"/>
      <c r="D446" s="6"/>
      <c r="E446" s="6"/>
      <c r="F446" s="6"/>
      <c r="G446" s="6"/>
      <c r="H446" s="6"/>
      <c r="I446" s="6"/>
      <c r="J446" s="6"/>
      <c r="K446" s="6"/>
      <c r="L446" s="20"/>
      <c r="M446" s="84">
        <f t="shared" si="19"/>
        <v>0</v>
      </c>
      <c r="N446" s="248">
        <f>RHcount!X440</f>
        <v>0</v>
      </c>
      <c r="O446" s="17"/>
      <c r="P446" s="17"/>
      <c r="Q446" s="17"/>
      <c r="R446" s="17"/>
      <c r="S446" s="17"/>
      <c r="T446" s="17"/>
      <c r="U446" s="4"/>
      <c r="V446" s="4"/>
    </row>
    <row r="447" spans="1:22" x14ac:dyDescent="0.25">
      <c r="A447" s="318" t="str">
        <f t="shared" si="20"/>
        <v>Sat</v>
      </c>
      <c r="B447" s="15"/>
      <c r="C447" s="16"/>
      <c r="D447" s="6"/>
      <c r="E447" s="6"/>
      <c r="F447" s="6"/>
      <c r="G447" s="6"/>
      <c r="H447" s="6"/>
      <c r="I447" s="6"/>
      <c r="J447" s="6"/>
      <c r="K447" s="6"/>
      <c r="L447" s="20"/>
      <c r="M447" s="84">
        <f t="shared" si="19"/>
        <v>0</v>
      </c>
      <c r="N447" s="248">
        <f>RHcount!X441</f>
        <v>0</v>
      </c>
      <c r="O447" s="17"/>
      <c r="P447" s="17"/>
      <c r="Q447" s="17"/>
      <c r="R447" s="17"/>
      <c r="S447" s="17"/>
      <c r="T447" s="17"/>
      <c r="U447" s="4"/>
      <c r="V447" s="4"/>
    </row>
    <row r="448" spans="1:22" x14ac:dyDescent="0.25">
      <c r="A448" s="318" t="str">
        <f t="shared" si="20"/>
        <v>Sat</v>
      </c>
      <c r="B448" s="15"/>
      <c r="C448" s="16"/>
      <c r="D448" s="6"/>
      <c r="E448" s="6"/>
      <c r="F448" s="6"/>
      <c r="G448" s="6"/>
      <c r="H448" s="6"/>
      <c r="I448" s="6"/>
      <c r="J448" s="6"/>
      <c r="K448" s="6"/>
      <c r="L448" s="20"/>
      <c r="M448" s="84">
        <f t="shared" si="19"/>
        <v>0</v>
      </c>
      <c r="N448" s="248">
        <f>RHcount!X442</f>
        <v>0</v>
      </c>
      <c r="O448" s="17"/>
      <c r="P448" s="17"/>
      <c r="Q448" s="17"/>
      <c r="R448" s="17"/>
      <c r="S448" s="17"/>
      <c r="T448" s="17"/>
      <c r="U448" s="4"/>
      <c r="V448" s="4"/>
    </row>
    <row r="449" spans="1:22" x14ac:dyDescent="0.25">
      <c r="A449" s="318" t="str">
        <f t="shared" si="20"/>
        <v>Sat</v>
      </c>
      <c r="B449" s="15"/>
      <c r="C449" s="16"/>
      <c r="D449" s="6"/>
      <c r="E449" s="6"/>
      <c r="F449" s="6"/>
      <c r="G449" s="6"/>
      <c r="H449" s="6"/>
      <c r="I449" s="6"/>
      <c r="J449" s="6"/>
      <c r="K449" s="6"/>
      <c r="L449" s="20"/>
      <c r="M449" s="84">
        <f t="shared" si="19"/>
        <v>0</v>
      </c>
      <c r="N449" s="248">
        <f>RHcount!X443</f>
        <v>0</v>
      </c>
      <c r="O449" s="17"/>
      <c r="P449" s="17"/>
      <c r="Q449" s="17"/>
      <c r="R449" s="17"/>
      <c r="S449" s="17"/>
      <c r="T449" s="17"/>
      <c r="U449" s="4"/>
      <c r="V449" s="4"/>
    </row>
    <row r="450" spans="1:22" x14ac:dyDescent="0.25">
      <c r="A450" s="318" t="str">
        <f t="shared" si="20"/>
        <v>Sat</v>
      </c>
      <c r="B450" s="15"/>
      <c r="C450" s="16"/>
      <c r="D450" s="6"/>
      <c r="E450" s="6"/>
      <c r="F450" s="6"/>
      <c r="G450" s="6"/>
      <c r="H450" s="6"/>
      <c r="I450" s="6"/>
      <c r="J450" s="6"/>
      <c r="K450" s="6"/>
      <c r="L450" s="20"/>
      <c r="M450" s="84">
        <f t="shared" si="19"/>
        <v>0</v>
      </c>
      <c r="N450" s="248">
        <f>RHcount!X444</f>
        <v>0</v>
      </c>
      <c r="O450" s="17"/>
      <c r="P450" s="17"/>
      <c r="Q450" s="17"/>
      <c r="R450" s="17"/>
      <c r="S450" s="17"/>
      <c r="T450" s="17"/>
      <c r="U450" s="4"/>
      <c r="V450" s="4"/>
    </row>
    <row r="451" spans="1:22" x14ac:dyDescent="0.25">
      <c r="A451" s="318" t="str">
        <f t="shared" si="20"/>
        <v>Sat</v>
      </c>
      <c r="B451" s="15"/>
      <c r="C451" s="16"/>
      <c r="D451" s="6"/>
      <c r="E451" s="6"/>
      <c r="F451" s="6"/>
      <c r="G451" s="6"/>
      <c r="H451" s="6"/>
      <c r="I451" s="6"/>
      <c r="J451" s="6"/>
      <c r="K451" s="6"/>
      <c r="L451" s="20"/>
      <c r="M451" s="84">
        <f t="shared" si="19"/>
        <v>0</v>
      </c>
      <c r="N451" s="248">
        <f>RHcount!X445</f>
        <v>0</v>
      </c>
      <c r="O451" s="17"/>
      <c r="P451" s="17"/>
      <c r="Q451" s="17"/>
      <c r="R451" s="17"/>
      <c r="S451" s="17"/>
      <c r="T451" s="17"/>
      <c r="U451" s="4"/>
      <c r="V451" s="4"/>
    </row>
    <row r="452" spans="1:22" x14ac:dyDescent="0.25">
      <c r="A452" s="318" t="str">
        <f t="shared" si="20"/>
        <v>Sat</v>
      </c>
      <c r="B452" s="15"/>
      <c r="C452" s="16"/>
      <c r="D452" s="6"/>
      <c r="E452" s="6"/>
      <c r="F452" s="6"/>
      <c r="G452" s="6"/>
      <c r="H452" s="6"/>
      <c r="I452" s="6"/>
      <c r="J452" s="6"/>
      <c r="K452" s="6"/>
      <c r="L452" s="20"/>
      <c r="M452" s="84">
        <f t="shared" si="19"/>
        <v>0</v>
      </c>
      <c r="N452" s="248">
        <f>RHcount!X446</f>
        <v>0</v>
      </c>
      <c r="O452" s="17"/>
      <c r="P452" s="17"/>
      <c r="Q452" s="17"/>
      <c r="R452" s="17"/>
      <c r="S452" s="17"/>
      <c r="T452" s="17"/>
      <c r="U452" s="4"/>
      <c r="V452" s="4"/>
    </row>
    <row r="453" spans="1:22" x14ac:dyDescent="0.25">
      <c r="A453" s="318" t="str">
        <f t="shared" si="20"/>
        <v>Sat</v>
      </c>
      <c r="B453" s="15"/>
      <c r="C453" s="16"/>
      <c r="D453" s="6"/>
      <c r="E453" s="6"/>
      <c r="F453" s="6"/>
      <c r="G453" s="6"/>
      <c r="H453" s="6"/>
      <c r="I453" s="6"/>
      <c r="J453" s="6"/>
      <c r="K453" s="6"/>
      <c r="L453" s="20"/>
      <c r="M453" s="84">
        <f t="shared" si="19"/>
        <v>0</v>
      </c>
      <c r="N453" s="248">
        <f>RHcount!X447</f>
        <v>0</v>
      </c>
      <c r="O453" s="17"/>
      <c r="P453" s="17"/>
      <c r="Q453" s="17"/>
      <c r="R453" s="17"/>
      <c r="S453" s="17"/>
      <c r="T453" s="17"/>
      <c r="U453" s="4"/>
      <c r="V453" s="4"/>
    </row>
    <row r="454" spans="1:22" x14ac:dyDescent="0.25">
      <c r="A454" s="318" t="str">
        <f t="shared" si="20"/>
        <v>Sat</v>
      </c>
      <c r="B454" s="15"/>
      <c r="C454" s="16"/>
      <c r="D454" s="6"/>
      <c r="E454" s="6"/>
      <c r="F454" s="6"/>
      <c r="G454" s="6"/>
      <c r="H454" s="6"/>
      <c r="I454" s="6"/>
      <c r="J454" s="6"/>
      <c r="K454" s="6"/>
      <c r="L454" s="20"/>
      <c r="M454" s="84">
        <f t="shared" si="19"/>
        <v>0</v>
      </c>
      <c r="N454" s="248">
        <f>RHcount!X448</f>
        <v>0</v>
      </c>
      <c r="O454" s="17"/>
      <c r="P454" s="17"/>
      <c r="Q454" s="17"/>
      <c r="R454" s="17"/>
      <c r="S454" s="17"/>
      <c r="T454" s="17"/>
      <c r="U454" s="4"/>
      <c r="V454" s="4"/>
    </row>
    <row r="455" spans="1:22" x14ac:dyDescent="0.25">
      <c r="A455" s="318" t="str">
        <f t="shared" si="20"/>
        <v>Sat</v>
      </c>
      <c r="B455" s="15"/>
      <c r="C455" s="16"/>
      <c r="D455" s="6"/>
      <c r="E455" s="6"/>
      <c r="F455" s="6"/>
      <c r="G455" s="6"/>
      <c r="H455" s="6"/>
      <c r="I455" s="6"/>
      <c r="J455" s="6"/>
      <c r="K455" s="6"/>
      <c r="L455" s="20"/>
      <c r="M455" s="84">
        <f t="shared" si="19"/>
        <v>0</v>
      </c>
      <c r="N455" s="248">
        <f>RHcount!X449</f>
        <v>0</v>
      </c>
      <c r="O455" s="17"/>
      <c r="P455" s="17"/>
      <c r="Q455" s="17"/>
      <c r="R455" s="17"/>
      <c r="S455" s="17"/>
      <c r="T455" s="17"/>
      <c r="U455" s="4"/>
      <c r="V455" s="4"/>
    </row>
    <row r="456" spans="1:22" x14ac:dyDescent="0.25">
      <c r="A456" s="318" t="str">
        <f t="shared" si="20"/>
        <v>Sat</v>
      </c>
      <c r="B456" s="15"/>
      <c r="C456" s="16"/>
      <c r="D456" s="6"/>
      <c r="E456" s="6"/>
      <c r="F456" s="6"/>
      <c r="G456" s="6"/>
      <c r="H456" s="6"/>
      <c r="I456" s="6"/>
      <c r="J456" s="6"/>
      <c r="K456" s="6"/>
      <c r="L456" s="20"/>
      <c r="M456" s="84">
        <f t="shared" si="19"/>
        <v>0</v>
      </c>
      <c r="N456" s="248">
        <f>RHcount!X450</f>
        <v>0</v>
      </c>
      <c r="O456" s="17"/>
      <c r="P456" s="17"/>
      <c r="Q456" s="17"/>
      <c r="R456" s="17"/>
      <c r="S456" s="17"/>
      <c r="T456" s="17"/>
      <c r="U456" s="4"/>
      <c r="V456" s="4"/>
    </row>
    <row r="457" spans="1:22" x14ac:dyDescent="0.25">
      <c r="A457" s="318" t="str">
        <f t="shared" si="20"/>
        <v>Sat</v>
      </c>
      <c r="B457" s="15"/>
      <c r="C457" s="16"/>
      <c r="D457" s="6"/>
      <c r="E457" s="6"/>
      <c r="F457" s="6"/>
      <c r="G457" s="6"/>
      <c r="H457" s="6"/>
      <c r="I457" s="6"/>
      <c r="J457" s="6"/>
      <c r="K457" s="6"/>
      <c r="L457" s="20"/>
      <c r="M457" s="84">
        <f t="shared" si="19"/>
        <v>0</v>
      </c>
      <c r="N457" s="248">
        <f>RHcount!X451</f>
        <v>0</v>
      </c>
      <c r="O457" s="17"/>
      <c r="P457" s="17"/>
      <c r="Q457" s="17"/>
      <c r="R457" s="17"/>
      <c r="S457" s="17"/>
      <c r="T457" s="17"/>
      <c r="U457" s="4"/>
      <c r="V457" s="4"/>
    </row>
    <row r="458" spans="1:22" x14ac:dyDescent="0.25">
      <c r="A458" s="318" t="str">
        <f t="shared" si="20"/>
        <v>Sat</v>
      </c>
      <c r="B458" s="15"/>
      <c r="C458" s="16"/>
      <c r="D458" s="6"/>
      <c r="E458" s="6"/>
      <c r="F458" s="6"/>
      <c r="G458" s="6"/>
      <c r="H458" s="6"/>
      <c r="I458" s="6"/>
      <c r="J458" s="6"/>
      <c r="K458" s="6"/>
      <c r="L458" s="20"/>
      <c r="M458" s="84">
        <f t="shared" si="19"/>
        <v>0</v>
      </c>
      <c r="N458" s="248">
        <f>RHcount!X452</f>
        <v>0</v>
      </c>
      <c r="O458" s="17"/>
      <c r="P458" s="17"/>
      <c r="Q458" s="17"/>
      <c r="R458" s="17"/>
      <c r="S458" s="17"/>
      <c r="T458" s="17"/>
      <c r="U458" s="4"/>
      <c r="V458" s="4"/>
    </row>
    <row r="459" spans="1:22" x14ac:dyDescent="0.25">
      <c r="A459" s="318" t="str">
        <f t="shared" si="20"/>
        <v>Sat</v>
      </c>
      <c r="B459" s="15"/>
      <c r="C459" s="16"/>
      <c r="D459" s="6"/>
      <c r="E459" s="6"/>
      <c r="F459" s="6"/>
      <c r="G459" s="6"/>
      <c r="H459" s="6"/>
      <c r="I459" s="6"/>
      <c r="J459" s="6"/>
      <c r="K459" s="6"/>
      <c r="L459" s="20"/>
      <c r="M459" s="84">
        <f t="shared" ref="M459:M522" si="21">IF(F459&gt;"a",VLOOKUP(F459,$U$11:$V$26,2),F459)</f>
        <v>0</v>
      </c>
      <c r="N459" s="248">
        <f>RHcount!X453</f>
        <v>0</v>
      </c>
      <c r="O459" s="17"/>
      <c r="P459" s="17"/>
      <c r="Q459" s="17"/>
      <c r="R459" s="17"/>
      <c r="S459" s="17"/>
      <c r="T459" s="17"/>
      <c r="U459" s="4"/>
      <c r="V459" s="4"/>
    </row>
    <row r="460" spans="1:22" x14ac:dyDescent="0.25">
      <c r="A460" s="318" t="str">
        <f t="shared" si="20"/>
        <v>Sat</v>
      </c>
      <c r="B460" s="15"/>
      <c r="C460" s="16"/>
      <c r="D460" s="6"/>
      <c r="E460" s="6"/>
      <c r="F460" s="6"/>
      <c r="G460" s="6"/>
      <c r="H460" s="6"/>
      <c r="I460" s="6"/>
      <c r="J460" s="6"/>
      <c r="K460" s="6"/>
      <c r="L460" s="20"/>
      <c r="M460" s="84">
        <f t="shared" si="21"/>
        <v>0</v>
      </c>
      <c r="N460" s="248">
        <f>RHcount!X454</f>
        <v>0</v>
      </c>
      <c r="O460" s="17"/>
      <c r="P460" s="17"/>
      <c r="Q460" s="17"/>
      <c r="R460" s="17"/>
      <c r="S460" s="17"/>
      <c r="T460" s="17"/>
      <c r="U460" s="4"/>
      <c r="V460" s="4"/>
    </row>
    <row r="461" spans="1:22" x14ac:dyDescent="0.25">
      <c r="A461" s="318" t="str">
        <f t="shared" ref="A461:A524" si="22">TEXT(B461,"ddd")</f>
        <v>Sat</v>
      </c>
      <c r="B461" s="15"/>
      <c r="C461" s="16"/>
      <c r="D461" s="6"/>
      <c r="E461" s="6"/>
      <c r="F461" s="6"/>
      <c r="G461" s="6"/>
      <c r="H461" s="6"/>
      <c r="I461" s="6"/>
      <c r="J461" s="6"/>
      <c r="K461" s="6"/>
      <c r="L461" s="20"/>
      <c r="M461" s="84">
        <f t="shared" si="21"/>
        <v>0</v>
      </c>
      <c r="N461" s="248">
        <f>RHcount!X455</f>
        <v>0</v>
      </c>
      <c r="O461" s="17"/>
      <c r="P461" s="17"/>
      <c r="Q461" s="17"/>
      <c r="R461" s="17"/>
      <c r="S461" s="17"/>
      <c r="T461" s="17"/>
      <c r="U461" s="4"/>
      <c r="V461" s="4"/>
    </row>
    <row r="462" spans="1:22" x14ac:dyDescent="0.25">
      <c r="A462" s="318" t="str">
        <f t="shared" si="22"/>
        <v>Sat</v>
      </c>
      <c r="B462" s="15"/>
      <c r="C462" s="16"/>
      <c r="D462" s="6"/>
      <c r="E462" s="6"/>
      <c r="F462" s="6"/>
      <c r="G462" s="6"/>
      <c r="H462" s="6"/>
      <c r="I462" s="6"/>
      <c r="J462" s="6"/>
      <c r="K462" s="6"/>
      <c r="L462" s="20"/>
      <c r="M462" s="84">
        <f t="shared" si="21"/>
        <v>0</v>
      </c>
      <c r="N462" s="248">
        <f>RHcount!X456</f>
        <v>0</v>
      </c>
      <c r="O462" s="17"/>
      <c r="P462" s="17"/>
      <c r="Q462" s="17"/>
      <c r="R462" s="17"/>
      <c r="S462" s="17"/>
      <c r="T462" s="17"/>
      <c r="U462" s="4"/>
      <c r="V462" s="4"/>
    </row>
    <row r="463" spans="1:22" x14ac:dyDescent="0.25">
      <c r="A463" s="318" t="str">
        <f t="shared" si="22"/>
        <v>Sat</v>
      </c>
      <c r="B463" s="15"/>
      <c r="C463" s="16"/>
      <c r="D463" s="6"/>
      <c r="E463" s="6"/>
      <c r="F463" s="6"/>
      <c r="G463" s="6"/>
      <c r="H463" s="6"/>
      <c r="I463" s="6"/>
      <c r="J463" s="6"/>
      <c r="K463" s="6"/>
      <c r="L463" s="20"/>
      <c r="M463" s="84">
        <f t="shared" si="21"/>
        <v>0</v>
      </c>
      <c r="N463" s="248">
        <f>RHcount!X457</f>
        <v>0</v>
      </c>
      <c r="O463" s="17"/>
      <c r="P463" s="17"/>
      <c r="Q463" s="17"/>
      <c r="R463" s="17"/>
      <c r="S463" s="17"/>
      <c r="T463" s="17"/>
      <c r="U463" s="4"/>
      <c r="V463" s="4"/>
    </row>
    <row r="464" spans="1:22" x14ac:dyDescent="0.25">
      <c r="A464" s="318" t="str">
        <f t="shared" si="22"/>
        <v>Sat</v>
      </c>
      <c r="B464" s="15"/>
      <c r="C464" s="16"/>
      <c r="D464" s="6"/>
      <c r="E464" s="6"/>
      <c r="F464" s="6"/>
      <c r="G464" s="6"/>
      <c r="H464" s="6"/>
      <c r="I464" s="6"/>
      <c r="J464" s="6"/>
      <c r="K464" s="6"/>
      <c r="L464" s="20"/>
      <c r="M464" s="84">
        <f t="shared" si="21"/>
        <v>0</v>
      </c>
      <c r="N464" s="248">
        <f>RHcount!X458</f>
        <v>0</v>
      </c>
      <c r="O464" s="17"/>
      <c r="P464" s="17"/>
      <c r="Q464" s="17"/>
      <c r="R464" s="17"/>
      <c r="S464" s="17"/>
      <c r="T464" s="17"/>
      <c r="U464" s="4"/>
      <c r="V464" s="4"/>
    </row>
    <row r="465" spans="1:22" x14ac:dyDescent="0.25">
      <c r="A465" s="318" t="str">
        <f t="shared" si="22"/>
        <v>Sat</v>
      </c>
      <c r="B465" s="15"/>
      <c r="C465" s="16"/>
      <c r="D465" s="6"/>
      <c r="E465" s="6"/>
      <c r="F465" s="6"/>
      <c r="G465" s="6"/>
      <c r="H465" s="6"/>
      <c r="I465" s="6"/>
      <c r="J465" s="6"/>
      <c r="K465" s="6"/>
      <c r="L465" s="20"/>
      <c r="M465" s="84">
        <f t="shared" si="21"/>
        <v>0</v>
      </c>
      <c r="N465" s="248">
        <f>RHcount!X459</f>
        <v>0</v>
      </c>
      <c r="O465" s="17"/>
      <c r="P465" s="17"/>
      <c r="Q465" s="17"/>
      <c r="R465" s="17"/>
      <c r="S465" s="17"/>
      <c r="T465" s="17"/>
      <c r="U465" s="4"/>
      <c r="V465" s="4"/>
    </row>
    <row r="466" spans="1:22" x14ac:dyDescent="0.25">
      <c r="A466" s="318" t="str">
        <f t="shared" si="22"/>
        <v>Sat</v>
      </c>
      <c r="B466" s="15"/>
      <c r="C466" s="16"/>
      <c r="D466" s="6"/>
      <c r="E466" s="6"/>
      <c r="F466" s="6"/>
      <c r="G466" s="6"/>
      <c r="H466" s="6"/>
      <c r="I466" s="6"/>
      <c r="J466" s="6"/>
      <c r="K466" s="6"/>
      <c r="L466" s="20"/>
      <c r="M466" s="84">
        <f t="shared" si="21"/>
        <v>0</v>
      </c>
      <c r="N466" s="248">
        <f>RHcount!X460</f>
        <v>0</v>
      </c>
      <c r="O466" s="17"/>
      <c r="P466" s="17"/>
      <c r="Q466" s="17"/>
      <c r="R466" s="17"/>
      <c r="S466" s="17"/>
      <c r="T466" s="17"/>
      <c r="U466" s="4"/>
      <c r="V466" s="4"/>
    </row>
    <row r="467" spans="1:22" x14ac:dyDescent="0.25">
      <c r="A467" s="318" t="str">
        <f t="shared" si="22"/>
        <v>Sat</v>
      </c>
      <c r="B467" s="15"/>
      <c r="C467" s="16"/>
      <c r="D467" s="6"/>
      <c r="E467" s="6"/>
      <c r="F467" s="6"/>
      <c r="G467" s="6"/>
      <c r="H467" s="6"/>
      <c r="I467" s="6"/>
      <c r="J467" s="6"/>
      <c r="K467" s="6"/>
      <c r="L467" s="20"/>
      <c r="M467" s="84">
        <f t="shared" si="21"/>
        <v>0</v>
      </c>
      <c r="N467" s="248">
        <f>RHcount!X461</f>
        <v>0</v>
      </c>
      <c r="O467" s="17"/>
      <c r="P467" s="17"/>
      <c r="Q467" s="17"/>
      <c r="R467" s="17"/>
      <c r="S467" s="17"/>
      <c r="T467" s="17"/>
      <c r="U467" s="4"/>
      <c r="V467" s="4"/>
    </row>
    <row r="468" spans="1:22" x14ac:dyDescent="0.25">
      <c r="A468" s="318" t="str">
        <f t="shared" si="22"/>
        <v>Sat</v>
      </c>
      <c r="B468" s="15"/>
      <c r="C468" s="16"/>
      <c r="D468" s="6"/>
      <c r="E468" s="6"/>
      <c r="F468" s="6"/>
      <c r="G468" s="6"/>
      <c r="H468" s="6"/>
      <c r="I468" s="6"/>
      <c r="J468" s="6"/>
      <c r="K468" s="6"/>
      <c r="L468" s="20"/>
      <c r="M468" s="84">
        <f t="shared" si="21"/>
        <v>0</v>
      </c>
      <c r="N468" s="248">
        <f>RHcount!X462</f>
        <v>0</v>
      </c>
      <c r="O468" s="17"/>
      <c r="P468" s="17"/>
      <c r="Q468" s="17"/>
      <c r="R468" s="17"/>
      <c r="S468" s="17"/>
      <c r="T468" s="17"/>
      <c r="U468" s="4"/>
      <c r="V468" s="4"/>
    </row>
    <row r="469" spans="1:22" x14ac:dyDescent="0.25">
      <c r="A469" s="318" t="str">
        <f t="shared" si="22"/>
        <v>Sat</v>
      </c>
      <c r="B469" s="15"/>
      <c r="C469" s="16"/>
      <c r="D469" s="6"/>
      <c r="E469" s="6"/>
      <c r="F469" s="6"/>
      <c r="G469" s="6"/>
      <c r="H469" s="6"/>
      <c r="I469" s="6"/>
      <c r="J469" s="6"/>
      <c r="K469" s="6"/>
      <c r="L469" s="20"/>
      <c r="M469" s="84">
        <f t="shared" si="21"/>
        <v>0</v>
      </c>
      <c r="N469" s="248">
        <f>RHcount!X463</f>
        <v>0</v>
      </c>
      <c r="O469" s="17"/>
      <c r="P469" s="17"/>
      <c r="Q469" s="17"/>
      <c r="R469" s="17"/>
      <c r="S469" s="17"/>
      <c r="T469" s="17"/>
      <c r="U469" s="4"/>
      <c r="V469" s="4"/>
    </row>
    <row r="470" spans="1:22" x14ac:dyDescent="0.25">
      <c r="A470" s="318" t="str">
        <f t="shared" si="22"/>
        <v>Sat</v>
      </c>
      <c r="B470" s="15"/>
      <c r="C470" s="16"/>
      <c r="D470" s="6"/>
      <c r="E470" s="6"/>
      <c r="F470" s="6"/>
      <c r="G470" s="6"/>
      <c r="H470" s="6"/>
      <c r="I470" s="6"/>
      <c r="J470" s="6"/>
      <c r="K470" s="6"/>
      <c r="L470" s="20"/>
      <c r="M470" s="84">
        <f t="shared" si="21"/>
        <v>0</v>
      </c>
      <c r="N470" s="248">
        <f>RHcount!X464</f>
        <v>0</v>
      </c>
      <c r="O470" s="17"/>
      <c r="P470" s="17"/>
      <c r="Q470" s="17"/>
      <c r="R470" s="17"/>
      <c r="S470" s="17"/>
      <c r="T470" s="17"/>
      <c r="U470" s="4"/>
      <c r="V470" s="4"/>
    </row>
    <row r="471" spans="1:22" x14ac:dyDescent="0.25">
      <c r="A471" s="318" t="str">
        <f t="shared" si="22"/>
        <v>Sat</v>
      </c>
      <c r="B471" s="15"/>
      <c r="C471" s="16"/>
      <c r="D471" s="6"/>
      <c r="E471" s="6"/>
      <c r="F471" s="6"/>
      <c r="G471" s="6"/>
      <c r="H471" s="6"/>
      <c r="I471" s="6"/>
      <c r="J471" s="6"/>
      <c r="K471" s="6"/>
      <c r="L471" s="20"/>
      <c r="M471" s="84">
        <f t="shared" si="21"/>
        <v>0</v>
      </c>
      <c r="N471" s="248">
        <f>RHcount!X465</f>
        <v>0</v>
      </c>
      <c r="O471" s="17"/>
      <c r="P471" s="17"/>
      <c r="Q471" s="17"/>
      <c r="R471" s="17"/>
      <c r="S471" s="17"/>
      <c r="T471" s="17"/>
      <c r="U471" s="4"/>
      <c r="V471" s="4"/>
    </row>
    <row r="472" spans="1:22" x14ac:dyDescent="0.25">
      <c r="A472" s="318" t="str">
        <f t="shared" si="22"/>
        <v>Sat</v>
      </c>
      <c r="B472" s="15"/>
      <c r="C472" s="16"/>
      <c r="D472" s="6"/>
      <c r="E472" s="6"/>
      <c r="F472" s="6"/>
      <c r="G472" s="6"/>
      <c r="H472" s="6"/>
      <c r="I472" s="6"/>
      <c r="J472" s="6"/>
      <c r="K472" s="6"/>
      <c r="L472" s="20"/>
      <c r="M472" s="84">
        <f t="shared" si="21"/>
        <v>0</v>
      </c>
      <c r="N472" s="248">
        <f>RHcount!X466</f>
        <v>0</v>
      </c>
      <c r="O472" s="17"/>
      <c r="P472" s="17"/>
      <c r="Q472" s="17"/>
      <c r="R472" s="17"/>
      <c r="S472" s="17"/>
      <c r="T472" s="17"/>
      <c r="U472" s="4"/>
      <c r="V472" s="4"/>
    </row>
    <row r="473" spans="1:22" x14ac:dyDescent="0.25">
      <c r="A473" s="318" t="str">
        <f t="shared" si="22"/>
        <v>Sat</v>
      </c>
      <c r="B473" s="15"/>
      <c r="C473" s="16"/>
      <c r="D473" s="6"/>
      <c r="E473" s="6"/>
      <c r="F473" s="6"/>
      <c r="G473" s="6"/>
      <c r="H473" s="6"/>
      <c r="I473" s="6"/>
      <c r="J473" s="6"/>
      <c r="K473" s="6"/>
      <c r="L473" s="20"/>
      <c r="M473" s="84">
        <f t="shared" si="21"/>
        <v>0</v>
      </c>
      <c r="N473" s="248">
        <f>RHcount!X467</f>
        <v>0</v>
      </c>
      <c r="O473" s="17"/>
      <c r="P473" s="17"/>
      <c r="Q473" s="17"/>
      <c r="R473" s="17"/>
      <c r="S473" s="17"/>
      <c r="T473" s="17"/>
      <c r="U473" s="4"/>
      <c r="V473" s="4"/>
    </row>
    <row r="474" spans="1:22" x14ac:dyDescent="0.25">
      <c r="A474" s="318" t="str">
        <f t="shared" si="22"/>
        <v>Sat</v>
      </c>
      <c r="B474" s="15"/>
      <c r="C474" s="16"/>
      <c r="D474" s="6"/>
      <c r="E474" s="6"/>
      <c r="F474" s="6"/>
      <c r="G474" s="6"/>
      <c r="H474" s="6"/>
      <c r="I474" s="6"/>
      <c r="J474" s="6"/>
      <c r="K474" s="6"/>
      <c r="L474" s="20"/>
      <c r="M474" s="84">
        <f t="shared" si="21"/>
        <v>0</v>
      </c>
      <c r="N474" s="248">
        <f>RHcount!X468</f>
        <v>0</v>
      </c>
      <c r="O474" s="17"/>
      <c r="P474" s="17"/>
      <c r="Q474" s="17"/>
      <c r="R474" s="17"/>
      <c r="S474" s="17"/>
      <c r="T474" s="17"/>
      <c r="U474" s="4"/>
      <c r="V474" s="4"/>
    </row>
    <row r="475" spans="1:22" x14ac:dyDescent="0.25">
      <c r="A475" s="318" t="str">
        <f t="shared" si="22"/>
        <v>Sat</v>
      </c>
      <c r="B475" s="15"/>
      <c r="C475" s="16"/>
      <c r="D475" s="6"/>
      <c r="E475" s="6"/>
      <c r="F475" s="6"/>
      <c r="G475" s="6"/>
      <c r="H475" s="6"/>
      <c r="I475" s="6"/>
      <c r="J475" s="6"/>
      <c r="K475" s="6"/>
      <c r="L475" s="20"/>
      <c r="M475" s="84">
        <f t="shared" si="21"/>
        <v>0</v>
      </c>
      <c r="N475" s="248">
        <f>RHcount!X469</f>
        <v>0</v>
      </c>
      <c r="O475" s="17"/>
      <c r="P475" s="17"/>
      <c r="Q475" s="17"/>
      <c r="R475" s="17"/>
      <c r="S475" s="17"/>
      <c r="T475" s="17"/>
      <c r="U475" s="4"/>
      <c r="V475" s="4"/>
    </row>
    <row r="476" spans="1:22" x14ac:dyDescent="0.25">
      <c r="A476" s="318" t="str">
        <f t="shared" si="22"/>
        <v>Sat</v>
      </c>
      <c r="B476" s="15"/>
      <c r="C476" s="16"/>
      <c r="D476" s="6"/>
      <c r="E476" s="6"/>
      <c r="F476" s="6"/>
      <c r="G476" s="6"/>
      <c r="H476" s="6"/>
      <c r="I476" s="6"/>
      <c r="J476" s="6"/>
      <c r="K476" s="6"/>
      <c r="L476" s="20"/>
      <c r="M476" s="84">
        <f t="shared" si="21"/>
        <v>0</v>
      </c>
      <c r="N476" s="248">
        <f>RHcount!X470</f>
        <v>0</v>
      </c>
      <c r="O476" s="17"/>
      <c r="P476" s="17"/>
      <c r="Q476" s="17"/>
      <c r="R476" s="17"/>
      <c r="S476" s="17"/>
      <c r="T476" s="17"/>
      <c r="U476" s="4"/>
      <c r="V476" s="4"/>
    </row>
    <row r="477" spans="1:22" x14ac:dyDescent="0.25">
      <c r="A477" s="318" t="str">
        <f t="shared" si="22"/>
        <v>Sat</v>
      </c>
      <c r="B477" s="15"/>
      <c r="C477" s="16"/>
      <c r="D477" s="6"/>
      <c r="E477" s="6"/>
      <c r="F477" s="6"/>
      <c r="G477" s="6"/>
      <c r="H477" s="6"/>
      <c r="I477" s="6"/>
      <c r="J477" s="6"/>
      <c r="K477" s="6"/>
      <c r="L477" s="20"/>
      <c r="M477" s="84">
        <f t="shared" si="21"/>
        <v>0</v>
      </c>
      <c r="N477" s="248">
        <f>RHcount!X471</f>
        <v>0</v>
      </c>
      <c r="O477" s="17"/>
      <c r="P477" s="17"/>
      <c r="Q477" s="17"/>
      <c r="R477" s="17"/>
      <c r="S477" s="17"/>
      <c r="T477" s="17"/>
      <c r="U477" s="4"/>
      <c r="V477" s="4"/>
    </row>
    <row r="478" spans="1:22" x14ac:dyDescent="0.25">
      <c r="A478" s="318" t="str">
        <f t="shared" si="22"/>
        <v>Sat</v>
      </c>
      <c r="B478" s="15"/>
      <c r="C478" s="16"/>
      <c r="D478" s="6"/>
      <c r="E478" s="6"/>
      <c r="F478" s="6"/>
      <c r="G478" s="6"/>
      <c r="H478" s="6"/>
      <c r="I478" s="6"/>
      <c r="J478" s="6"/>
      <c r="K478" s="6"/>
      <c r="L478" s="20"/>
      <c r="M478" s="84">
        <f t="shared" si="21"/>
        <v>0</v>
      </c>
      <c r="N478" s="248">
        <f>RHcount!X472</f>
        <v>0</v>
      </c>
      <c r="O478" s="17"/>
      <c r="P478" s="17"/>
      <c r="Q478" s="17"/>
      <c r="R478" s="17"/>
      <c r="S478" s="17"/>
      <c r="T478" s="17"/>
      <c r="U478" s="4"/>
      <c r="V478" s="4"/>
    </row>
    <row r="479" spans="1:22" x14ac:dyDescent="0.25">
      <c r="A479" s="318" t="str">
        <f t="shared" si="22"/>
        <v>Sat</v>
      </c>
      <c r="B479" s="15"/>
      <c r="C479" s="16"/>
      <c r="D479" s="6"/>
      <c r="E479" s="6"/>
      <c r="F479" s="6"/>
      <c r="G479" s="6"/>
      <c r="H479" s="6"/>
      <c r="I479" s="6"/>
      <c r="J479" s="6"/>
      <c r="K479" s="6"/>
      <c r="L479" s="20"/>
      <c r="M479" s="84">
        <f t="shared" si="21"/>
        <v>0</v>
      </c>
      <c r="N479" s="248">
        <f>RHcount!X473</f>
        <v>0</v>
      </c>
      <c r="O479" s="17"/>
      <c r="P479" s="17"/>
      <c r="Q479" s="17"/>
      <c r="R479" s="17"/>
      <c r="S479" s="17"/>
      <c r="T479" s="17"/>
      <c r="U479" s="4"/>
      <c r="V479" s="4"/>
    </row>
    <row r="480" spans="1:22" x14ac:dyDescent="0.25">
      <c r="A480" s="318" t="str">
        <f t="shared" si="22"/>
        <v>Sat</v>
      </c>
      <c r="B480" s="15"/>
      <c r="C480" s="16"/>
      <c r="D480" s="6"/>
      <c r="E480" s="6"/>
      <c r="F480" s="6"/>
      <c r="G480" s="6"/>
      <c r="H480" s="6"/>
      <c r="I480" s="6"/>
      <c r="J480" s="6"/>
      <c r="K480" s="6"/>
      <c r="L480" s="20"/>
      <c r="M480" s="84">
        <f t="shared" si="21"/>
        <v>0</v>
      </c>
      <c r="N480" s="248">
        <f>RHcount!X474</f>
        <v>0</v>
      </c>
      <c r="O480" s="17"/>
      <c r="P480" s="17"/>
      <c r="Q480" s="17"/>
      <c r="R480" s="17"/>
      <c r="S480" s="17"/>
      <c r="T480" s="17"/>
      <c r="U480" s="4"/>
      <c r="V480" s="4"/>
    </row>
    <row r="481" spans="1:22" x14ac:dyDescent="0.25">
      <c r="A481" s="318" t="str">
        <f t="shared" si="22"/>
        <v>Sat</v>
      </c>
      <c r="B481" s="15"/>
      <c r="C481" s="16"/>
      <c r="D481" s="6"/>
      <c r="E481" s="6"/>
      <c r="F481" s="6"/>
      <c r="G481" s="6"/>
      <c r="H481" s="6"/>
      <c r="I481" s="6"/>
      <c r="J481" s="6"/>
      <c r="K481" s="6"/>
      <c r="L481" s="20"/>
      <c r="M481" s="84">
        <f t="shared" si="21"/>
        <v>0</v>
      </c>
      <c r="N481" s="248">
        <f>RHcount!X475</f>
        <v>0</v>
      </c>
      <c r="O481" s="17"/>
      <c r="P481" s="17"/>
      <c r="Q481" s="17"/>
      <c r="R481" s="17"/>
      <c r="S481" s="17"/>
      <c r="T481" s="17"/>
      <c r="U481" s="4"/>
      <c r="V481" s="4"/>
    </row>
    <row r="482" spans="1:22" x14ac:dyDescent="0.25">
      <c r="A482" s="318" t="str">
        <f t="shared" si="22"/>
        <v>Sat</v>
      </c>
      <c r="B482" s="15"/>
      <c r="C482" s="16"/>
      <c r="D482" s="6"/>
      <c r="E482" s="6"/>
      <c r="F482" s="6"/>
      <c r="G482" s="6"/>
      <c r="H482" s="6"/>
      <c r="I482" s="6"/>
      <c r="J482" s="6"/>
      <c r="K482" s="6"/>
      <c r="L482" s="20"/>
      <c r="M482" s="84">
        <f t="shared" si="21"/>
        <v>0</v>
      </c>
      <c r="N482" s="248">
        <f>RHcount!X476</f>
        <v>0</v>
      </c>
      <c r="O482" s="17"/>
      <c r="P482" s="17"/>
      <c r="Q482" s="17"/>
      <c r="R482" s="17"/>
      <c r="S482" s="17"/>
      <c r="T482" s="17"/>
      <c r="U482" s="4"/>
      <c r="V482" s="4"/>
    </row>
    <row r="483" spans="1:22" x14ac:dyDescent="0.25">
      <c r="A483" s="318" t="str">
        <f t="shared" si="22"/>
        <v>Sat</v>
      </c>
      <c r="B483" s="15"/>
      <c r="C483" s="16"/>
      <c r="D483" s="6"/>
      <c r="E483" s="6"/>
      <c r="F483" s="6"/>
      <c r="G483" s="6"/>
      <c r="H483" s="6"/>
      <c r="I483" s="6"/>
      <c r="J483" s="6"/>
      <c r="K483" s="6"/>
      <c r="L483" s="20"/>
      <c r="M483" s="84">
        <f t="shared" si="21"/>
        <v>0</v>
      </c>
      <c r="N483" s="248">
        <f>RHcount!X477</f>
        <v>0</v>
      </c>
      <c r="O483" s="17"/>
      <c r="P483" s="17"/>
      <c r="Q483" s="17"/>
      <c r="R483" s="17"/>
      <c r="S483" s="17"/>
      <c r="T483" s="17"/>
      <c r="U483" s="4"/>
      <c r="V483" s="4"/>
    </row>
    <row r="484" spans="1:22" x14ac:dyDescent="0.25">
      <c r="A484" s="318" t="str">
        <f t="shared" si="22"/>
        <v>Sat</v>
      </c>
      <c r="B484" s="15"/>
      <c r="C484" s="16"/>
      <c r="D484" s="6"/>
      <c r="E484" s="6"/>
      <c r="F484" s="6"/>
      <c r="G484" s="6"/>
      <c r="H484" s="6"/>
      <c r="I484" s="6"/>
      <c r="J484" s="6"/>
      <c r="K484" s="6"/>
      <c r="L484" s="20"/>
      <c r="M484" s="84">
        <f t="shared" si="21"/>
        <v>0</v>
      </c>
      <c r="N484" s="248">
        <f>RHcount!X478</f>
        <v>0</v>
      </c>
      <c r="O484" s="17"/>
      <c r="P484" s="17"/>
      <c r="Q484" s="17"/>
      <c r="R484" s="17"/>
      <c r="S484" s="17"/>
      <c r="T484" s="17"/>
      <c r="U484" s="4"/>
      <c r="V484" s="4"/>
    </row>
    <row r="485" spans="1:22" x14ac:dyDescent="0.25">
      <c r="A485" s="318" t="str">
        <f t="shared" si="22"/>
        <v>Sat</v>
      </c>
      <c r="B485" s="15"/>
      <c r="C485" s="16"/>
      <c r="D485" s="6"/>
      <c r="E485" s="6"/>
      <c r="F485" s="6"/>
      <c r="G485" s="6"/>
      <c r="H485" s="6"/>
      <c r="I485" s="6"/>
      <c r="J485" s="6"/>
      <c r="K485" s="6"/>
      <c r="L485" s="20"/>
      <c r="M485" s="84">
        <f t="shared" si="21"/>
        <v>0</v>
      </c>
      <c r="N485" s="248">
        <f>RHcount!X479</f>
        <v>0</v>
      </c>
      <c r="O485" s="17"/>
      <c r="P485" s="17"/>
      <c r="Q485" s="17"/>
      <c r="R485" s="17"/>
      <c r="S485" s="17"/>
      <c r="T485" s="17"/>
      <c r="U485" s="4"/>
      <c r="V485" s="4"/>
    </row>
    <row r="486" spans="1:22" x14ac:dyDescent="0.25">
      <c r="A486" s="318" t="str">
        <f t="shared" si="22"/>
        <v>Sat</v>
      </c>
      <c r="B486" s="15"/>
      <c r="C486" s="16"/>
      <c r="D486" s="6"/>
      <c r="E486" s="6"/>
      <c r="F486" s="6"/>
      <c r="G486" s="6"/>
      <c r="H486" s="6"/>
      <c r="I486" s="6"/>
      <c r="J486" s="6"/>
      <c r="K486" s="6"/>
      <c r="L486" s="20"/>
      <c r="M486" s="84">
        <f t="shared" si="21"/>
        <v>0</v>
      </c>
      <c r="N486" s="248">
        <f>RHcount!X480</f>
        <v>0</v>
      </c>
      <c r="O486" s="17"/>
      <c r="P486" s="17"/>
      <c r="Q486" s="17"/>
      <c r="R486" s="17"/>
      <c r="S486" s="17"/>
      <c r="T486" s="17"/>
      <c r="U486" s="4"/>
      <c r="V486" s="4"/>
    </row>
    <row r="487" spans="1:22" x14ac:dyDescent="0.25">
      <c r="A487" s="318" t="str">
        <f t="shared" si="22"/>
        <v>Sat</v>
      </c>
      <c r="B487" s="15"/>
      <c r="C487" s="16"/>
      <c r="D487" s="6"/>
      <c r="E487" s="6"/>
      <c r="F487" s="6"/>
      <c r="G487" s="6"/>
      <c r="H487" s="6"/>
      <c r="I487" s="6"/>
      <c r="J487" s="6"/>
      <c r="K487" s="6"/>
      <c r="L487" s="20"/>
      <c r="M487" s="84">
        <f t="shared" si="21"/>
        <v>0</v>
      </c>
      <c r="N487" s="248">
        <f>RHcount!X481</f>
        <v>0</v>
      </c>
      <c r="O487" s="17"/>
      <c r="P487" s="17"/>
      <c r="Q487" s="17"/>
      <c r="R487" s="17"/>
      <c r="S487" s="17"/>
      <c r="T487" s="17"/>
      <c r="U487" s="4"/>
      <c r="V487" s="4"/>
    </row>
    <row r="488" spans="1:22" x14ac:dyDescent="0.25">
      <c r="A488" s="318" t="str">
        <f t="shared" si="22"/>
        <v>Sat</v>
      </c>
      <c r="B488" s="15"/>
      <c r="C488" s="16"/>
      <c r="D488" s="6"/>
      <c r="E488" s="6"/>
      <c r="F488" s="6"/>
      <c r="G488" s="6"/>
      <c r="H488" s="6"/>
      <c r="I488" s="6"/>
      <c r="J488" s="6"/>
      <c r="K488" s="6"/>
      <c r="L488" s="20"/>
      <c r="M488" s="84">
        <f t="shared" si="21"/>
        <v>0</v>
      </c>
      <c r="N488" s="248">
        <f>RHcount!X482</f>
        <v>0</v>
      </c>
      <c r="O488" s="17"/>
      <c r="P488" s="17"/>
      <c r="Q488" s="17"/>
      <c r="R488" s="17"/>
      <c r="S488" s="17"/>
      <c r="T488" s="17"/>
      <c r="U488" s="4"/>
      <c r="V488" s="4"/>
    </row>
    <row r="489" spans="1:22" x14ac:dyDescent="0.25">
      <c r="A489" s="318" t="str">
        <f t="shared" si="22"/>
        <v>Sat</v>
      </c>
      <c r="B489" s="15"/>
      <c r="C489" s="16"/>
      <c r="D489" s="6"/>
      <c r="E489" s="6"/>
      <c r="F489" s="6"/>
      <c r="G489" s="6"/>
      <c r="H489" s="6"/>
      <c r="I489" s="6"/>
      <c r="J489" s="6"/>
      <c r="K489" s="6"/>
      <c r="L489" s="20"/>
      <c r="M489" s="84">
        <f t="shared" si="21"/>
        <v>0</v>
      </c>
      <c r="N489" s="248">
        <f>RHcount!X483</f>
        <v>0</v>
      </c>
      <c r="O489" s="17"/>
      <c r="P489" s="17"/>
      <c r="Q489" s="17"/>
      <c r="R489" s="17"/>
      <c r="S489" s="17"/>
      <c r="T489" s="17"/>
      <c r="U489" s="4"/>
      <c r="V489" s="4"/>
    </row>
    <row r="490" spans="1:22" x14ac:dyDescent="0.25">
      <c r="A490" s="318" t="str">
        <f t="shared" si="22"/>
        <v>Sat</v>
      </c>
      <c r="B490" s="15"/>
      <c r="C490" s="16"/>
      <c r="D490" s="6"/>
      <c r="E490" s="6"/>
      <c r="F490" s="6"/>
      <c r="G490" s="6"/>
      <c r="H490" s="6"/>
      <c r="I490" s="6"/>
      <c r="J490" s="6"/>
      <c r="K490" s="6"/>
      <c r="L490" s="20"/>
      <c r="M490" s="84">
        <f t="shared" si="21"/>
        <v>0</v>
      </c>
      <c r="N490" s="248">
        <f>RHcount!X484</f>
        <v>0</v>
      </c>
      <c r="O490" s="17"/>
      <c r="P490" s="17"/>
      <c r="Q490" s="17"/>
      <c r="R490" s="17"/>
      <c r="S490" s="17"/>
      <c r="T490" s="17"/>
      <c r="U490" s="4"/>
      <c r="V490" s="4"/>
    </row>
    <row r="491" spans="1:22" x14ac:dyDescent="0.25">
      <c r="A491" s="318" t="str">
        <f t="shared" si="22"/>
        <v>Sat</v>
      </c>
      <c r="B491" s="15"/>
      <c r="C491" s="16"/>
      <c r="D491" s="6"/>
      <c r="E491" s="6"/>
      <c r="F491" s="6"/>
      <c r="G491" s="6"/>
      <c r="H491" s="6"/>
      <c r="I491" s="6"/>
      <c r="J491" s="6"/>
      <c r="K491" s="6"/>
      <c r="L491" s="20"/>
      <c r="M491" s="84">
        <f t="shared" si="21"/>
        <v>0</v>
      </c>
      <c r="N491" s="248">
        <f>RHcount!X485</f>
        <v>0</v>
      </c>
      <c r="O491" s="17"/>
      <c r="P491" s="17"/>
      <c r="Q491" s="17"/>
      <c r="R491" s="17"/>
      <c r="S491" s="17"/>
      <c r="T491" s="17"/>
      <c r="U491" s="4"/>
      <c r="V491" s="4"/>
    </row>
    <row r="492" spans="1:22" x14ac:dyDescent="0.25">
      <c r="A492" s="318" t="str">
        <f t="shared" si="22"/>
        <v>Sat</v>
      </c>
      <c r="B492" s="15"/>
      <c r="C492" s="16"/>
      <c r="D492" s="6"/>
      <c r="E492" s="6"/>
      <c r="F492" s="6"/>
      <c r="G492" s="6"/>
      <c r="H492" s="6"/>
      <c r="I492" s="6"/>
      <c r="J492" s="6"/>
      <c r="K492" s="6"/>
      <c r="L492" s="20"/>
      <c r="M492" s="84">
        <f t="shared" si="21"/>
        <v>0</v>
      </c>
      <c r="N492" s="248">
        <f>RHcount!X486</f>
        <v>0</v>
      </c>
      <c r="O492" s="17"/>
      <c r="P492" s="17"/>
      <c r="Q492" s="17"/>
      <c r="R492" s="17"/>
      <c r="S492" s="17"/>
      <c r="T492" s="17"/>
      <c r="U492" s="4"/>
      <c r="V492" s="4"/>
    </row>
    <row r="493" spans="1:22" x14ac:dyDescent="0.25">
      <c r="A493" s="318" t="str">
        <f t="shared" si="22"/>
        <v>Sat</v>
      </c>
      <c r="B493" s="15"/>
      <c r="C493" s="16"/>
      <c r="D493" s="6"/>
      <c r="E493" s="6"/>
      <c r="F493" s="6"/>
      <c r="G493" s="6"/>
      <c r="H493" s="6"/>
      <c r="I493" s="6"/>
      <c r="J493" s="6"/>
      <c r="K493" s="6"/>
      <c r="L493" s="20"/>
      <c r="M493" s="84">
        <f t="shared" si="21"/>
        <v>0</v>
      </c>
      <c r="N493" s="248">
        <f>RHcount!X487</f>
        <v>0</v>
      </c>
      <c r="O493" s="17"/>
      <c r="P493" s="17"/>
      <c r="Q493" s="17"/>
      <c r="R493" s="17"/>
      <c r="S493" s="17"/>
      <c r="T493" s="17"/>
      <c r="U493" s="4"/>
      <c r="V493" s="4"/>
    </row>
    <row r="494" spans="1:22" x14ac:dyDescent="0.25">
      <c r="A494" s="318" t="str">
        <f t="shared" si="22"/>
        <v>Sat</v>
      </c>
      <c r="B494" s="15"/>
      <c r="C494" s="16"/>
      <c r="D494" s="6"/>
      <c r="E494" s="6"/>
      <c r="F494" s="6"/>
      <c r="G494" s="6"/>
      <c r="H494" s="6"/>
      <c r="I494" s="6"/>
      <c r="J494" s="6"/>
      <c r="K494" s="6"/>
      <c r="L494" s="20"/>
      <c r="M494" s="84">
        <f t="shared" si="21"/>
        <v>0</v>
      </c>
      <c r="N494" s="248">
        <f>RHcount!X488</f>
        <v>0</v>
      </c>
      <c r="O494" s="17"/>
      <c r="P494" s="17"/>
      <c r="Q494" s="17"/>
      <c r="R494" s="17"/>
      <c r="S494" s="17"/>
      <c r="T494" s="17"/>
      <c r="U494" s="4"/>
      <c r="V494" s="4"/>
    </row>
    <row r="495" spans="1:22" x14ac:dyDescent="0.25">
      <c r="A495" s="318" t="str">
        <f t="shared" si="22"/>
        <v>Sat</v>
      </c>
      <c r="B495" s="15"/>
      <c r="C495" s="16"/>
      <c r="D495" s="6"/>
      <c r="E495" s="6"/>
      <c r="F495" s="6"/>
      <c r="G495" s="6"/>
      <c r="H495" s="6"/>
      <c r="I495" s="6"/>
      <c r="J495" s="6"/>
      <c r="K495" s="6"/>
      <c r="L495" s="20"/>
      <c r="M495" s="84">
        <f t="shared" si="21"/>
        <v>0</v>
      </c>
      <c r="N495" s="248">
        <f>RHcount!X489</f>
        <v>0</v>
      </c>
      <c r="O495" s="17"/>
      <c r="P495" s="17"/>
      <c r="Q495" s="17"/>
      <c r="R495" s="17"/>
      <c r="S495" s="17"/>
      <c r="T495" s="17"/>
      <c r="U495" s="4"/>
      <c r="V495" s="4"/>
    </row>
    <row r="496" spans="1:22" x14ac:dyDescent="0.25">
      <c r="A496" s="318" t="str">
        <f t="shared" si="22"/>
        <v>Sat</v>
      </c>
      <c r="B496" s="15"/>
      <c r="C496" s="16"/>
      <c r="D496" s="6"/>
      <c r="E496" s="6"/>
      <c r="F496" s="6"/>
      <c r="G496" s="6"/>
      <c r="H496" s="6"/>
      <c r="I496" s="6"/>
      <c r="J496" s="6"/>
      <c r="K496" s="6"/>
      <c r="L496" s="20"/>
      <c r="M496" s="84">
        <f t="shared" si="21"/>
        <v>0</v>
      </c>
      <c r="N496" s="248">
        <f>RHcount!X490</f>
        <v>0</v>
      </c>
      <c r="O496" s="17"/>
      <c r="P496" s="17"/>
      <c r="Q496" s="17"/>
      <c r="R496" s="17"/>
      <c r="S496" s="17"/>
      <c r="T496" s="17"/>
      <c r="U496" s="4"/>
      <c r="V496" s="4"/>
    </row>
    <row r="497" spans="1:22" x14ac:dyDescent="0.25">
      <c r="A497" s="318" t="str">
        <f t="shared" si="22"/>
        <v>Sat</v>
      </c>
      <c r="B497" s="15"/>
      <c r="C497" s="16"/>
      <c r="D497" s="6"/>
      <c r="E497" s="6"/>
      <c r="F497" s="6"/>
      <c r="G497" s="6"/>
      <c r="H497" s="6"/>
      <c r="I497" s="6"/>
      <c r="J497" s="6"/>
      <c r="K497" s="6"/>
      <c r="L497" s="20"/>
      <c r="M497" s="84">
        <f t="shared" si="21"/>
        <v>0</v>
      </c>
      <c r="N497" s="248">
        <f>RHcount!X491</f>
        <v>0</v>
      </c>
      <c r="O497" s="17"/>
      <c r="P497" s="17"/>
      <c r="Q497" s="17"/>
      <c r="R497" s="17"/>
      <c r="S497" s="17"/>
      <c r="T497" s="17"/>
      <c r="U497" s="4"/>
      <c r="V497" s="4"/>
    </row>
    <row r="498" spans="1:22" x14ac:dyDescent="0.25">
      <c r="A498" s="318" t="str">
        <f t="shared" si="22"/>
        <v>Sat</v>
      </c>
      <c r="B498" s="15"/>
      <c r="C498" s="16"/>
      <c r="D498" s="6"/>
      <c r="E498" s="6"/>
      <c r="F498" s="6"/>
      <c r="G498" s="6"/>
      <c r="H498" s="6"/>
      <c r="I498" s="6"/>
      <c r="J498" s="6"/>
      <c r="K498" s="6"/>
      <c r="L498" s="20"/>
      <c r="M498" s="84">
        <f t="shared" si="21"/>
        <v>0</v>
      </c>
      <c r="N498" s="248">
        <f>RHcount!X492</f>
        <v>0</v>
      </c>
      <c r="O498" s="17"/>
      <c r="P498" s="17"/>
      <c r="Q498" s="17"/>
      <c r="R498" s="17"/>
      <c r="S498" s="17"/>
      <c r="T498" s="17"/>
      <c r="U498" s="4"/>
      <c r="V498" s="4"/>
    </row>
    <row r="499" spans="1:22" x14ac:dyDescent="0.25">
      <c r="A499" s="318" t="str">
        <f t="shared" si="22"/>
        <v>Sat</v>
      </c>
      <c r="B499" s="15"/>
      <c r="C499" s="16"/>
      <c r="D499" s="6"/>
      <c r="E499" s="6"/>
      <c r="F499" s="6"/>
      <c r="G499" s="6"/>
      <c r="H499" s="6"/>
      <c r="I499" s="6"/>
      <c r="J499" s="6"/>
      <c r="K499" s="6"/>
      <c r="L499" s="20"/>
      <c r="M499" s="84">
        <f t="shared" si="21"/>
        <v>0</v>
      </c>
      <c r="N499" s="248">
        <f>RHcount!X493</f>
        <v>0</v>
      </c>
      <c r="O499" s="17"/>
      <c r="P499" s="17"/>
      <c r="Q499" s="17"/>
      <c r="R499" s="17"/>
      <c r="S499" s="17"/>
      <c r="T499" s="17"/>
      <c r="U499" s="4"/>
      <c r="V499" s="4"/>
    </row>
    <row r="500" spans="1:22" x14ac:dyDescent="0.25">
      <c r="A500" s="318" t="str">
        <f t="shared" si="22"/>
        <v>Sat</v>
      </c>
      <c r="B500" s="15"/>
      <c r="C500" s="16"/>
      <c r="D500" s="6"/>
      <c r="E500" s="6"/>
      <c r="F500" s="6"/>
      <c r="G500" s="6"/>
      <c r="H500" s="6"/>
      <c r="I500" s="6"/>
      <c r="J500" s="6"/>
      <c r="K500" s="6"/>
      <c r="L500" s="20"/>
      <c r="M500" s="84">
        <f t="shared" si="21"/>
        <v>0</v>
      </c>
      <c r="N500" s="248">
        <f>RHcount!X494</f>
        <v>0</v>
      </c>
      <c r="O500" s="17"/>
      <c r="P500" s="17"/>
      <c r="Q500" s="17"/>
      <c r="R500" s="17"/>
      <c r="S500" s="17"/>
      <c r="T500" s="17"/>
      <c r="U500" s="4"/>
      <c r="V500" s="4"/>
    </row>
    <row r="501" spans="1:22" x14ac:dyDescent="0.25">
      <c r="A501" s="318" t="str">
        <f t="shared" si="22"/>
        <v>Sat</v>
      </c>
      <c r="B501" s="15"/>
      <c r="C501" s="16"/>
      <c r="D501" s="6"/>
      <c r="E501" s="6"/>
      <c r="F501" s="6"/>
      <c r="G501" s="6"/>
      <c r="H501" s="6"/>
      <c r="I501" s="6"/>
      <c r="J501" s="6"/>
      <c r="K501" s="6"/>
      <c r="L501" s="20"/>
      <c r="M501" s="84">
        <f t="shared" si="21"/>
        <v>0</v>
      </c>
      <c r="N501" s="248">
        <f>RHcount!X495</f>
        <v>0</v>
      </c>
      <c r="O501" s="17"/>
      <c r="P501" s="17"/>
      <c r="Q501" s="17"/>
      <c r="R501" s="17"/>
      <c r="S501" s="17"/>
      <c r="T501" s="17"/>
      <c r="U501" s="4"/>
      <c r="V501" s="4"/>
    </row>
    <row r="502" spans="1:22" x14ac:dyDescent="0.25">
      <c r="A502" s="318" t="str">
        <f t="shared" si="22"/>
        <v>Sat</v>
      </c>
      <c r="B502" s="15"/>
      <c r="C502" s="16"/>
      <c r="D502" s="6"/>
      <c r="E502" s="6"/>
      <c r="F502" s="6"/>
      <c r="G502" s="6"/>
      <c r="H502" s="6"/>
      <c r="I502" s="6"/>
      <c r="J502" s="6"/>
      <c r="K502" s="6"/>
      <c r="L502" s="20"/>
      <c r="M502" s="84">
        <f t="shared" si="21"/>
        <v>0</v>
      </c>
      <c r="N502" s="248">
        <f>RHcount!X496</f>
        <v>0</v>
      </c>
      <c r="O502" s="17"/>
      <c r="P502" s="17"/>
      <c r="Q502" s="17"/>
      <c r="R502" s="17"/>
      <c r="S502" s="17"/>
      <c r="T502" s="17"/>
      <c r="U502" s="4"/>
      <c r="V502" s="4"/>
    </row>
    <row r="503" spans="1:22" x14ac:dyDescent="0.25">
      <c r="A503" s="318" t="str">
        <f t="shared" si="22"/>
        <v>Sat</v>
      </c>
      <c r="B503" s="15"/>
      <c r="C503" s="16"/>
      <c r="D503" s="6"/>
      <c r="E503" s="6"/>
      <c r="F503" s="6"/>
      <c r="G503" s="6"/>
      <c r="H503" s="6"/>
      <c r="I503" s="6"/>
      <c r="J503" s="6"/>
      <c r="K503" s="6"/>
      <c r="L503" s="20"/>
      <c r="M503" s="84">
        <f t="shared" si="21"/>
        <v>0</v>
      </c>
      <c r="N503" s="248">
        <f>RHcount!X497</f>
        <v>0</v>
      </c>
      <c r="O503" s="17"/>
      <c r="P503" s="17"/>
      <c r="Q503" s="17"/>
      <c r="R503" s="17"/>
      <c r="S503" s="17"/>
      <c r="T503" s="17"/>
      <c r="U503" s="4"/>
      <c r="V503" s="4"/>
    </row>
    <row r="504" spans="1:22" x14ac:dyDescent="0.25">
      <c r="A504" s="318" t="str">
        <f t="shared" si="22"/>
        <v>Sat</v>
      </c>
      <c r="B504" s="15"/>
      <c r="C504" s="16"/>
      <c r="D504" s="6"/>
      <c r="E504" s="6"/>
      <c r="F504" s="6"/>
      <c r="G504" s="6"/>
      <c r="H504" s="6"/>
      <c r="I504" s="6"/>
      <c r="J504" s="6"/>
      <c r="K504" s="6"/>
      <c r="L504" s="20"/>
      <c r="M504" s="84">
        <f t="shared" si="21"/>
        <v>0</v>
      </c>
      <c r="N504" s="248">
        <f>RHcount!X498</f>
        <v>0</v>
      </c>
      <c r="O504" s="17"/>
      <c r="P504" s="17"/>
      <c r="Q504" s="17"/>
      <c r="R504" s="17"/>
      <c r="S504" s="17"/>
      <c r="T504" s="17"/>
      <c r="U504" s="4"/>
      <c r="V504" s="4"/>
    </row>
    <row r="505" spans="1:22" x14ac:dyDescent="0.25">
      <c r="A505" s="318" t="str">
        <f t="shared" si="22"/>
        <v>Sat</v>
      </c>
      <c r="B505" s="15"/>
      <c r="C505" s="16"/>
      <c r="D505" s="6"/>
      <c r="E505" s="6"/>
      <c r="F505" s="6"/>
      <c r="G505" s="6"/>
      <c r="H505" s="6"/>
      <c r="I505" s="6"/>
      <c r="J505" s="6"/>
      <c r="K505" s="6"/>
      <c r="L505" s="20"/>
      <c r="M505" s="84">
        <f t="shared" si="21"/>
        <v>0</v>
      </c>
      <c r="N505" s="248">
        <f>RHcount!X499</f>
        <v>0</v>
      </c>
      <c r="O505" s="17"/>
      <c r="P505" s="17"/>
      <c r="Q505" s="17"/>
      <c r="R505" s="17"/>
      <c r="S505" s="17"/>
      <c r="T505" s="17"/>
      <c r="U505" s="4"/>
      <c r="V505" s="4"/>
    </row>
    <row r="506" spans="1:22" x14ac:dyDescent="0.25">
      <c r="A506" s="318" t="str">
        <f t="shared" si="22"/>
        <v>Sat</v>
      </c>
      <c r="B506" s="15"/>
      <c r="C506" s="16"/>
      <c r="D506" s="6"/>
      <c r="E506" s="6"/>
      <c r="F506" s="6"/>
      <c r="G506" s="6"/>
      <c r="H506" s="6"/>
      <c r="I506" s="6"/>
      <c r="J506" s="6"/>
      <c r="K506" s="6"/>
      <c r="L506" s="20"/>
      <c r="M506" s="84">
        <f t="shared" si="21"/>
        <v>0</v>
      </c>
      <c r="N506" s="248">
        <f>RHcount!X500</f>
        <v>0</v>
      </c>
      <c r="O506" s="17"/>
      <c r="P506" s="17"/>
      <c r="Q506" s="17"/>
      <c r="R506" s="17"/>
      <c r="S506" s="17"/>
      <c r="T506" s="17"/>
      <c r="U506" s="4"/>
      <c r="V506" s="4"/>
    </row>
    <row r="507" spans="1:22" x14ac:dyDescent="0.25">
      <c r="A507" s="318" t="str">
        <f t="shared" si="22"/>
        <v>Sat</v>
      </c>
      <c r="B507" s="15"/>
      <c r="C507" s="16"/>
      <c r="D507" s="6"/>
      <c r="E507" s="6"/>
      <c r="F507" s="6"/>
      <c r="G507" s="6"/>
      <c r="H507" s="6"/>
      <c r="I507" s="6"/>
      <c r="J507" s="6"/>
      <c r="K507" s="6"/>
      <c r="L507" s="20"/>
      <c r="M507" s="84">
        <f t="shared" si="21"/>
        <v>0</v>
      </c>
      <c r="N507" s="248">
        <f>RHcount!X501</f>
        <v>0</v>
      </c>
      <c r="O507" s="17"/>
      <c r="P507" s="17"/>
      <c r="Q507" s="17"/>
      <c r="R507" s="17"/>
      <c r="S507" s="17"/>
      <c r="T507" s="17"/>
      <c r="U507" s="4"/>
      <c r="V507" s="4"/>
    </row>
    <row r="508" spans="1:22" x14ac:dyDescent="0.25">
      <c r="A508" s="318" t="str">
        <f t="shared" si="22"/>
        <v>Sat</v>
      </c>
      <c r="B508" s="15"/>
      <c r="C508" s="16"/>
      <c r="D508" s="6"/>
      <c r="E508" s="6"/>
      <c r="F508" s="6"/>
      <c r="G508" s="6"/>
      <c r="H508" s="6"/>
      <c r="I508" s="6"/>
      <c r="J508" s="6"/>
      <c r="K508" s="6"/>
      <c r="L508" s="20"/>
      <c r="M508" s="84">
        <f t="shared" si="21"/>
        <v>0</v>
      </c>
      <c r="N508" s="248">
        <f>RHcount!X502</f>
        <v>0</v>
      </c>
      <c r="O508" s="17"/>
      <c r="P508" s="17"/>
      <c r="Q508" s="17"/>
      <c r="R508" s="17"/>
      <c r="S508" s="17"/>
      <c r="T508" s="17"/>
      <c r="U508" s="4"/>
      <c r="V508" s="4"/>
    </row>
    <row r="509" spans="1:22" x14ac:dyDescent="0.25">
      <c r="A509" s="318" t="str">
        <f t="shared" si="22"/>
        <v>Sat</v>
      </c>
      <c r="B509" s="15"/>
      <c r="C509" s="16"/>
      <c r="D509" s="6"/>
      <c r="E509" s="6"/>
      <c r="F509" s="6"/>
      <c r="G509" s="6"/>
      <c r="H509" s="6"/>
      <c r="I509" s="6"/>
      <c r="J509" s="6"/>
      <c r="K509" s="6"/>
      <c r="L509" s="20"/>
      <c r="M509" s="84">
        <f t="shared" si="21"/>
        <v>0</v>
      </c>
      <c r="N509" s="248">
        <f>RHcount!X503</f>
        <v>0</v>
      </c>
      <c r="O509" s="17"/>
      <c r="P509" s="17"/>
      <c r="Q509" s="17"/>
      <c r="R509" s="17"/>
      <c r="S509" s="17"/>
      <c r="T509" s="17"/>
      <c r="U509" s="4"/>
      <c r="V509" s="4"/>
    </row>
    <row r="510" spans="1:22" x14ac:dyDescent="0.25">
      <c r="A510" s="318" t="str">
        <f t="shared" si="22"/>
        <v>Sat</v>
      </c>
      <c r="B510" s="15"/>
      <c r="C510" s="16"/>
      <c r="D510" s="6"/>
      <c r="E510" s="6"/>
      <c r="F510" s="6"/>
      <c r="G510" s="6"/>
      <c r="H510" s="6"/>
      <c r="I510" s="6"/>
      <c r="J510" s="6"/>
      <c r="K510" s="6"/>
      <c r="L510" s="20"/>
      <c r="M510" s="84">
        <f t="shared" si="21"/>
        <v>0</v>
      </c>
      <c r="N510" s="248">
        <f>RHcount!X504</f>
        <v>0</v>
      </c>
      <c r="O510" s="17"/>
      <c r="P510" s="17"/>
      <c r="Q510" s="17"/>
      <c r="R510" s="17"/>
      <c r="S510" s="17"/>
      <c r="T510" s="17"/>
      <c r="U510" s="4"/>
      <c r="V510" s="4"/>
    </row>
    <row r="511" spans="1:22" x14ac:dyDescent="0.25">
      <c r="A511" s="318" t="str">
        <f t="shared" si="22"/>
        <v>Sat</v>
      </c>
      <c r="B511" s="15"/>
      <c r="C511" s="16"/>
      <c r="D511" s="6"/>
      <c r="E511" s="6"/>
      <c r="F511" s="6"/>
      <c r="G511" s="6"/>
      <c r="H511" s="6"/>
      <c r="I511" s="6"/>
      <c r="J511" s="6"/>
      <c r="K511" s="6"/>
      <c r="L511" s="20"/>
      <c r="M511" s="84">
        <f t="shared" si="21"/>
        <v>0</v>
      </c>
      <c r="N511" s="248">
        <f>RHcount!X505</f>
        <v>0</v>
      </c>
      <c r="O511" s="17"/>
      <c r="P511" s="17"/>
      <c r="Q511" s="17"/>
      <c r="R511" s="17"/>
      <c r="S511" s="17"/>
      <c r="T511" s="17"/>
      <c r="U511" s="4"/>
      <c r="V511" s="4"/>
    </row>
    <row r="512" spans="1:22" x14ac:dyDescent="0.25">
      <c r="A512" s="318" t="str">
        <f t="shared" si="22"/>
        <v>Sat</v>
      </c>
      <c r="B512" s="15"/>
      <c r="C512" s="16"/>
      <c r="D512" s="6"/>
      <c r="E512" s="6"/>
      <c r="F512" s="6"/>
      <c r="G512" s="6"/>
      <c r="H512" s="6"/>
      <c r="I512" s="6"/>
      <c r="J512" s="6"/>
      <c r="K512" s="6"/>
      <c r="L512" s="20"/>
      <c r="M512" s="84">
        <f t="shared" si="21"/>
        <v>0</v>
      </c>
      <c r="N512" s="248">
        <f>RHcount!X506</f>
        <v>0</v>
      </c>
      <c r="O512" s="17"/>
      <c r="P512" s="17"/>
      <c r="Q512" s="17"/>
      <c r="R512" s="17"/>
      <c r="S512" s="17"/>
      <c r="T512" s="17"/>
      <c r="U512" s="4"/>
      <c r="V512" s="4"/>
    </row>
    <row r="513" spans="1:22" x14ac:dyDescent="0.25">
      <c r="A513" s="318" t="str">
        <f t="shared" si="22"/>
        <v>Sat</v>
      </c>
      <c r="B513" s="15"/>
      <c r="C513" s="16"/>
      <c r="D513" s="6"/>
      <c r="E513" s="6"/>
      <c r="F513" s="6"/>
      <c r="G513" s="6"/>
      <c r="H513" s="6"/>
      <c r="I513" s="6"/>
      <c r="J513" s="6"/>
      <c r="K513" s="6"/>
      <c r="L513" s="20"/>
      <c r="M513" s="84">
        <f t="shared" si="21"/>
        <v>0</v>
      </c>
      <c r="N513" s="248">
        <f>RHcount!X507</f>
        <v>0</v>
      </c>
      <c r="O513" s="17"/>
      <c r="P513" s="17"/>
      <c r="Q513" s="17"/>
      <c r="R513" s="17"/>
      <c r="S513" s="17"/>
      <c r="T513" s="17"/>
      <c r="U513" s="4"/>
      <c r="V513" s="4"/>
    </row>
    <row r="514" spans="1:22" x14ac:dyDescent="0.25">
      <c r="A514" s="318" t="str">
        <f t="shared" si="22"/>
        <v>Sat</v>
      </c>
      <c r="B514" s="15"/>
      <c r="C514" s="16"/>
      <c r="D514" s="6"/>
      <c r="E514" s="6"/>
      <c r="F514" s="6"/>
      <c r="G514" s="6"/>
      <c r="H514" s="6"/>
      <c r="I514" s="6"/>
      <c r="J514" s="6"/>
      <c r="K514" s="6"/>
      <c r="L514" s="20"/>
      <c r="M514" s="84">
        <f t="shared" si="21"/>
        <v>0</v>
      </c>
      <c r="N514" s="248">
        <f>RHcount!X508</f>
        <v>0</v>
      </c>
      <c r="O514" s="17"/>
      <c r="P514" s="17"/>
      <c r="Q514" s="17"/>
      <c r="R514" s="17"/>
      <c r="S514" s="17"/>
      <c r="T514" s="17"/>
      <c r="U514" s="4"/>
      <c r="V514" s="4"/>
    </row>
    <row r="515" spans="1:22" x14ac:dyDescent="0.25">
      <c r="A515" s="318" t="str">
        <f t="shared" si="22"/>
        <v>Sat</v>
      </c>
      <c r="B515" s="15"/>
      <c r="C515" s="16"/>
      <c r="D515" s="6"/>
      <c r="E515" s="6"/>
      <c r="F515" s="6"/>
      <c r="G515" s="6"/>
      <c r="H515" s="6"/>
      <c r="I515" s="6"/>
      <c r="J515" s="6"/>
      <c r="K515" s="6"/>
      <c r="L515" s="20"/>
      <c r="M515" s="84">
        <f t="shared" si="21"/>
        <v>0</v>
      </c>
      <c r="N515" s="248">
        <f>RHcount!X509</f>
        <v>0</v>
      </c>
      <c r="O515" s="17"/>
      <c r="P515" s="17"/>
      <c r="Q515" s="17"/>
      <c r="R515" s="17"/>
      <c r="S515" s="17"/>
      <c r="T515" s="17"/>
      <c r="U515" s="4"/>
      <c r="V515" s="4"/>
    </row>
    <row r="516" spans="1:22" x14ac:dyDescent="0.25">
      <c r="A516" s="318" t="str">
        <f t="shared" si="22"/>
        <v>Sat</v>
      </c>
      <c r="B516" s="15"/>
      <c r="C516" s="16"/>
      <c r="D516" s="6"/>
      <c r="E516" s="6"/>
      <c r="F516" s="6"/>
      <c r="G516" s="6"/>
      <c r="H516" s="6"/>
      <c r="I516" s="6"/>
      <c r="J516" s="6"/>
      <c r="K516" s="6"/>
      <c r="L516" s="20"/>
      <c r="M516" s="84">
        <f t="shared" si="21"/>
        <v>0</v>
      </c>
      <c r="N516" s="248">
        <f>RHcount!X510</f>
        <v>0</v>
      </c>
      <c r="O516" s="17"/>
      <c r="P516" s="17"/>
      <c r="Q516" s="17"/>
      <c r="R516" s="17"/>
      <c r="S516" s="17"/>
      <c r="T516" s="17"/>
      <c r="U516" s="4"/>
      <c r="V516" s="4"/>
    </row>
    <row r="517" spans="1:22" x14ac:dyDescent="0.25">
      <c r="A517" s="318" t="str">
        <f t="shared" si="22"/>
        <v>Sat</v>
      </c>
      <c r="B517" s="15"/>
      <c r="C517" s="16"/>
      <c r="D517" s="6"/>
      <c r="E517" s="6"/>
      <c r="F517" s="6"/>
      <c r="G517" s="6"/>
      <c r="H517" s="6"/>
      <c r="I517" s="6"/>
      <c r="J517" s="6"/>
      <c r="K517" s="6"/>
      <c r="L517" s="20"/>
      <c r="M517" s="84">
        <f t="shared" si="21"/>
        <v>0</v>
      </c>
      <c r="N517" s="248">
        <f>RHcount!X511</f>
        <v>0</v>
      </c>
      <c r="O517" s="17"/>
      <c r="P517" s="17"/>
      <c r="Q517" s="17"/>
      <c r="R517" s="17"/>
      <c r="S517" s="17"/>
      <c r="T517" s="17"/>
      <c r="U517" s="4"/>
      <c r="V517" s="4"/>
    </row>
    <row r="518" spans="1:22" x14ac:dyDescent="0.25">
      <c r="A518" s="318" t="str">
        <f t="shared" si="22"/>
        <v>Sat</v>
      </c>
      <c r="B518" s="15"/>
      <c r="C518" s="16"/>
      <c r="D518" s="6"/>
      <c r="E518" s="6"/>
      <c r="F518" s="6"/>
      <c r="G518" s="6"/>
      <c r="H518" s="6"/>
      <c r="I518" s="6"/>
      <c r="J518" s="6"/>
      <c r="K518" s="6"/>
      <c r="L518" s="20"/>
      <c r="M518" s="84">
        <f t="shared" si="21"/>
        <v>0</v>
      </c>
      <c r="N518" s="248">
        <f>RHcount!X512</f>
        <v>0</v>
      </c>
      <c r="O518" s="17"/>
      <c r="P518" s="17"/>
      <c r="Q518" s="17"/>
      <c r="R518" s="17"/>
      <c r="S518" s="17"/>
      <c r="T518" s="17"/>
      <c r="U518" s="4"/>
      <c r="V518" s="4"/>
    </row>
    <row r="519" spans="1:22" x14ac:dyDescent="0.25">
      <c r="A519" s="318" t="str">
        <f t="shared" si="22"/>
        <v>Sat</v>
      </c>
      <c r="B519" s="15"/>
      <c r="C519" s="16"/>
      <c r="D519" s="6"/>
      <c r="E519" s="6"/>
      <c r="F519" s="6"/>
      <c r="G519" s="6"/>
      <c r="H519" s="6"/>
      <c r="I519" s="6"/>
      <c r="J519" s="6"/>
      <c r="K519" s="6"/>
      <c r="L519" s="20"/>
      <c r="M519" s="84">
        <f t="shared" si="21"/>
        <v>0</v>
      </c>
      <c r="N519" s="248">
        <f>RHcount!X513</f>
        <v>0</v>
      </c>
      <c r="O519" s="17"/>
      <c r="P519" s="17"/>
      <c r="Q519" s="17"/>
      <c r="R519" s="17"/>
      <c r="S519" s="17"/>
      <c r="T519" s="17"/>
      <c r="U519" s="4"/>
      <c r="V519" s="4"/>
    </row>
    <row r="520" spans="1:22" x14ac:dyDescent="0.25">
      <c r="A520" s="318" t="str">
        <f t="shared" si="22"/>
        <v>Sat</v>
      </c>
      <c r="B520" s="15"/>
      <c r="C520" s="16"/>
      <c r="D520" s="6"/>
      <c r="E520" s="6"/>
      <c r="F520" s="6"/>
      <c r="G520" s="6"/>
      <c r="H520" s="6"/>
      <c r="I520" s="6"/>
      <c r="J520" s="6"/>
      <c r="K520" s="6"/>
      <c r="L520" s="20"/>
      <c r="M520" s="84">
        <f t="shared" si="21"/>
        <v>0</v>
      </c>
      <c r="N520" s="248">
        <f>RHcount!X514</f>
        <v>0</v>
      </c>
      <c r="O520" s="17"/>
      <c r="P520" s="17"/>
      <c r="Q520" s="17"/>
      <c r="R520" s="17"/>
      <c r="S520" s="17"/>
      <c r="T520" s="17"/>
      <c r="U520" s="4"/>
      <c r="V520" s="4"/>
    </row>
    <row r="521" spans="1:22" x14ac:dyDescent="0.25">
      <c r="A521" s="318" t="str">
        <f t="shared" si="22"/>
        <v>Sat</v>
      </c>
      <c r="B521" s="15"/>
      <c r="C521" s="16"/>
      <c r="D521" s="6"/>
      <c r="E521" s="6"/>
      <c r="F521" s="6"/>
      <c r="G521" s="6"/>
      <c r="H521" s="6"/>
      <c r="I521" s="6"/>
      <c r="J521" s="6"/>
      <c r="K521" s="6"/>
      <c r="L521" s="20"/>
      <c r="M521" s="84">
        <f t="shared" si="21"/>
        <v>0</v>
      </c>
      <c r="N521" s="248">
        <f>RHcount!X515</f>
        <v>0</v>
      </c>
      <c r="O521" s="17"/>
      <c r="P521" s="17"/>
      <c r="Q521" s="17"/>
      <c r="R521" s="17"/>
      <c r="S521" s="17"/>
      <c r="T521" s="17"/>
      <c r="U521" s="4"/>
      <c r="V521" s="4"/>
    </row>
    <row r="522" spans="1:22" x14ac:dyDescent="0.25">
      <c r="A522" s="318" t="str">
        <f t="shared" si="22"/>
        <v>Sat</v>
      </c>
      <c r="B522" s="15"/>
      <c r="C522" s="16"/>
      <c r="D522" s="6"/>
      <c r="E522" s="6"/>
      <c r="F522" s="6"/>
      <c r="G522" s="6"/>
      <c r="H522" s="6"/>
      <c r="I522" s="6"/>
      <c r="J522" s="6"/>
      <c r="K522" s="6"/>
      <c r="L522" s="20"/>
      <c r="M522" s="84">
        <f t="shared" si="21"/>
        <v>0</v>
      </c>
      <c r="N522" s="248">
        <f>RHcount!X516</f>
        <v>0</v>
      </c>
      <c r="O522" s="17"/>
      <c r="P522" s="17"/>
      <c r="Q522" s="17"/>
      <c r="R522" s="17"/>
      <c r="S522" s="17"/>
      <c r="T522" s="17"/>
      <c r="U522" s="4"/>
      <c r="V522" s="4"/>
    </row>
    <row r="523" spans="1:22" x14ac:dyDescent="0.25">
      <c r="A523" s="318" t="str">
        <f t="shared" si="22"/>
        <v>Sat</v>
      </c>
      <c r="B523" s="15"/>
      <c r="C523" s="16"/>
      <c r="D523" s="6"/>
      <c r="E523" s="6"/>
      <c r="F523" s="6"/>
      <c r="G523" s="6"/>
      <c r="H523" s="6"/>
      <c r="I523" s="6"/>
      <c r="J523" s="6"/>
      <c r="K523" s="6"/>
      <c r="L523" s="20"/>
      <c r="M523" s="84">
        <f t="shared" ref="M523:M586" si="23">IF(F523&gt;"a",VLOOKUP(F523,$U$11:$V$26,2),F523)</f>
        <v>0</v>
      </c>
      <c r="N523" s="248">
        <f>RHcount!X517</f>
        <v>0</v>
      </c>
      <c r="O523" s="17"/>
      <c r="P523" s="17"/>
      <c r="Q523" s="17"/>
      <c r="R523" s="17"/>
      <c r="S523" s="17"/>
      <c r="T523" s="17"/>
      <c r="U523" s="4"/>
      <c r="V523" s="4"/>
    </row>
    <row r="524" spans="1:22" x14ac:dyDescent="0.25">
      <c r="A524" s="318" t="str">
        <f t="shared" si="22"/>
        <v>Sat</v>
      </c>
      <c r="B524" s="15"/>
      <c r="C524" s="16"/>
      <c r="D524" s="6"/>
      <c r="E524" s="6"/>
      <c r="F524" s="6"/>
      <c r="G524" s="6"/>
      <c r="H524" s="6"/>
      <c r="I524" s="6"/>
      <c r="J524" s="6"/>
      <c r="K524" s="6"/>
      <c r="L524" s="20"/>
      <c r="M524" s="84">
        <f t="shared" si="23"/>
        <v>0</v>
      </c>
      <c r="N524" s="248">
        <f>RHcount!X518</f>
        <v>0</v>
      </c>
      <c r="O524" s="17"/>
      <c r="P524" s="17"/>
      <c r="Q524" s="17"/>
      <c r="R524" s="17"/>
      <c r="S524" s="17"/>
      <c r="T524" s="17"/>
      <c r="U524" s="4"/>
      <c r="V524" s="4"/>
    </row>
    <row r="525" spans="1:22" x14ac:dyDescent="0.25">
      <c r="A525" s="318" t="str">
        <f t="shared" ref="A525:A588" si="24">TEXT(B525,"ddd")</f>
        <v>Sat</v>
      </c>
      <c r="B525" s="15"/>
      <c r="C525" s="16"/>
      <c r="D525" s="6"/>
      <c r="E525" s="6"/>
      <c r="F525" s="6"/>
      <c r="G525" s="6"/>
      <c r="H525" s="6"/>
      <c r="I525" s="6"/>
      <c r="J525" s="6"/>
      <c r="K525" s="6"/>
      <c r="L525" s="20"/>
      <c r="M525" s="84">
        <f t="shared" si="23"/>
        <v>0</v>
      </c>
      <c r="N525" s="248">
        <f>RHcount!X519</f>
        <v>0</v>
      </c>
      <c r="O525" s="17"/>
      <c r="P525" s="17"/>
      <c r="Q525" s="17"/>
      <c r="R525" s="17"/>
      <c r="S525" s="17"/>
      <c r="T525" s="17"/>
      <c r="U525" s="4"/>
      <c r="V525" s="4"/>
    </row>
    <row r="526" spans="1:22" x14ac:dyDescent="0.25">
      <c r="A526" s="318" t="str">
        <f t="shared" si="24"/>
        <v>Sat</v>
      </c>
      <c r="B526" s="15"/>
      <c r="C526" s="16"/>
      <c r="D526" s="6"/>
      <c r="E526" s="6"/>
      <c r="F526" s="6"/>
      <c r="G526" s="6"/>
      <c r="H526" s="6"/>
      <c r="I526" s="6"/>
      <c r="J526" s="6"/>
      <c r="K526" s="6"/>
      <c r="L526" s="20"/>
      <c r="M526" s="84">
        <f t="shared" si="23"/>
        <v>0</v>
      </c>
      <c r="N526" s="248">
        <f>RHcount!X520</f>
        <v>0</v>
      </c>
      <c r="O526" s="17"/>
      <c r="P526" s="17"/>
      <c r="Q526" s="17"/>
      <c r="R526" s="17"/>
      <c r="S526" s="17"/>
      <c r="T526" s="17"/>
      <c r="U526" s="4"/>
      <c r="V526" s="4"/>
    </row>
    <row r="527" spans="1:22" x14ac:dyDescent="0.25">
      <c r="A527" s="318" t="str">
        <f t="shared" si="24"/>
        <v>Sat</v>
      </c>
      <c r="B527" s="15"/>
      <c r="C527" s="16"/>
      <c r="D527" s="6"/>
      <c r="E527" s="6"/>
      <c r="F527" s="6"/>
      <c r="G527" s="6"/>
      <c r="H527" s="6"/>
      <c r="I527" s="6"/>
      <c r="J527" s="6"/>
      <c r="K527" s="6"/>
      <c r="L527" s="20"/>
      <c r="M527" s="84">
        <f t="shared" si="23"/>
        <v>0</v>
      </c>
      <c r="N527" s="248">
        <f>RHcount!X521</f>
        <v>0</v>
      </c>
      <c r="O527" s="17"/>
      <c r="P527" s="17"/>
      <c r="Q527" s="17"/>
      <c r="R527" s="17"/>
      <c r="S527" s="17"/>
      <c r="T527" s="17"/>
      <c r="U527" s="4"/>
      <c r="V527" s="4"/>
    </row>
    <row r="528" spans="1:22" x14ac:dyDescent="0.25">
      <c r="A528" s="318" t="str">
        <f t="shared" si="24"/>
        <v>Sat</v>
      </c>
      <c r="B528" s="15"/>
      <c r="C528" s="16"/>
      <c r="D528" s="6"/>
      <c r="E528" s="6"/>
      <c r="F528" s="6"/>
      <c r="G528" s="6"/>
      <c r="H528" s="6"/>
      <c r="I528" s="6"/>
      <c r="J528" s="6"/>
      <c r="K528" s="6"/>
      <c r="L528" s="20"/>
      <c r="M528" s="84">
        <f t="shared" si="23"/>
        <v>0</v>
      </c>
      <c r="N528" s="248">
        <f>RHcount!X522</f>
        <v>0</v>
      </c>
      <c r="O528" s="17"/>
      <c r="P528" s="17"/>
      <c r="Q528" s="17"/>
      <c r="R528" s="17"/>
      <c r="S528" s="17"/>
      <c r="T528" s="17"/>
      <c r="U528" s="4"/>
      <c r="V528" s="4"/>
    </row>
    <row r="529" spans="1:22" x14ac:dyDescent="0.25">
      <c r="A529" s="318" t="str">
        <f t="shared" si="24"/>
        <v>Sat</v>
      </c>
      <c r="B529" s="15"/>
      <c r="C529" s="16"/>
      <c r="D529" s="6"/>
      <c r="E529" s="6"/>
      <c r="F529" s="6"/>
      <c r="G529" s="6"/>
      <c r="H529" s="6"/>
      <c r="I529" s="6"/>
      <c r="J529" s="6"/>
      <c r="K529" s="6"/>
      <c r="L529" s="20"/>
      <c r="M529" s="84">
        <f t="shared" si="23"/>
        <v>0</v>
      </c>
      <c r="N529" s="248">
        <f>RHcount!X523</f>
        <v>0</v>
      </c>
      <c r="O529" s="17"/>
      <c r="P529" s="17"/>
      <c r="Q529" s="17"/>
      <c r="R529" s="17"/>
      <c r="S529" s="17"/>
      <c r="T529" s="17"/>
      <c r="U529" s="4"/>
      <c r="V529" s="4"/>
    </row>
    <row r="530" spans="1:22" x14ac:dyDescent="0.25">
      <c r="A530" s="318" t="str">
        <f t="shared" si="24"/>
        <v>Sat</v>
      </c>
      <c r="B530" s="15"/>
      <c r="C530" s="16"/>
      <c r="D530" s="6"/>
      <c r="E530" s="6"/>
      <c r="F530" s="6"/>
      <c r="G530" s="6"/>
      <c r="H530" s="6"/>
      <c r="I530" s="6"/>
      <c r="J530" s="6"/>
      <c r="K530" s="6"/>
      <c r="L530" s="20"/>
      <c r="M530" s="84">
        <f t="shared" si="23"/>
        <v>0</v>
      </c>
      <c r="N530" s="248">
        <f>RHcount!X524</f>
        <v>0</v>
      </c>
      <c r="O530" s="17"/>
      <c r="P530" s="17"/>
      <c r="Q530" s="17"/>
      <c r="R530" s="17"/>
      <c r="S530" s="17"/>
      <c r="T530" s="17"/>
      <c r="U530" s="4"/>
      <c r="V530" s="4"/>
    </row>
    <row r="531" spans="1:22" x14ac:dyDescent="0.25">
      <c r="A531" s="318" t="str">
        <f t="shared" si="24"/>
        <v>Sat</v>
      </c>
      <c r="B531" s="15"/>
      <c r="C531" s="16"/>
      <c r="D531" s="6"/>
      <c r="E531" s="6"/>
      <c r="F531" s="6"/>
      <c r="G531" s="6"/>
      <c r="H531" s="6"/>
      <c r="I531" s="6"/>
      <c r="J531" s="6"/>
      <c r="K531" s="6"/>
      <c r="L531" s="20"/>
      <c r="M531" s="84">
        <f t="shared" si="23"/>
        <v>0</v>
      </c>
      <c r="N531" s="248">
        <f>RHcount!X525</f>
        <v>0</v>
      </c>
      <c r="O531" s="17"/>
      <c r="P531" s="17"/>
      <c r="Q531" s="17"/>
      <c r="R531" s="17"/>
      <c r="S531" s="17"/>
      <c r="T531" s="17"/>
      <c r="U531" s="4"/>
      <c r="V531" s="4"/>
    </row>
    <row r="532" spans="1:22" x14ac:dyDescent="0.25">
      <c r="A532" s="318" t="str">
        <f t="shared" si="24"/>
        <v>Sat</v>
      </c>
      <c r="B532" s="15"/>
      <c r="C532" s="16"/>
      <c r="D532" s="6"/>
      <c r="E532" s="6"/>
      <c r="F532" s="6"/>
      <c r="G532" s="6"/>
      <c r="H532" s="6"/>
      <c r="I532" s="6"/>
      <c r="J532" s="6"/>
      <c r="K532" s="6"/>
      <c r="L532" s="20"/>
      <c r="M532" s="84">
        <f t="shared" si="23"/>
        <v>0</v>
      </c>
      <c r="N532" s="248">
        <f>RHcount!X526</f>
        <v>0</v>
      </c>
      <c r="O532" s="17"/>
      <c r="P532" s="17"/>
      <c r="Q532" s="17"/>
      <c r="R532" s="17"/>
      <c r="S532" s="17"/>
      <c r="T532" s="17"/>
      <c r="U532" s="4"/>
      <c r="V532" s="4"/>
    </row>
    <row r="533" spans="1:22" x14ac:dyDescent="0.25">
      <c r="A533" s="318" t="str">
        <f t="shared" si="24"/>
        <v>Sat</v>
      </c>
      <c r="B533" s="15"/>
      <c r="C533" s="16"/>
      <c r="D533" s="6"/>
      <c r="E533" s="6"/>
      <c r="F533" s="6"/>
      <c r="G533" s="6"/>
      <c r="H533" s="6"/>
      <c r="I533" s="6"/>
      <c r="J533" s="6"/>
      <c r="K533" s="6"/>
      <c r="L533" s="20"/>
      <c r="M533" s="84">
        <f t="shared" si="23"/>
        <v>0</v>
      </c>
      <c r="N533" s="248">
        <f>RHcount!X527</f>
        <v>0</v>
      </c>
      <c r="O533" s="17"/>
      <c r="P533" s="17"/>
      <c r="Q533" s="17"/>
      <c r="R533" s="17"/>
      <c r="S533" s="17"/>
      <c r="T533" s="17"/>
      <c r="U533" s="4"/>
      <c r="V533" s="4"/>
    </row>
    <row r="534" spans="1:22" x14ac:dyDescent="0.25">
      <c r="A534" s="318" t="str">
        <f t="shared" si="24"/>
        <v>Sat</v>
      </c>
      <c r="B534" s="15"/>
      <c r="C534" s="16"/>
      <c r="D534" s="6"/>
      <c r="E534" s="6"/>
      <c r="F534" s="6"/>
      <c r="G534" s="6"/>
      <c r="H534" s="6"/>
      <c r="I534" s="6"/>
      <c r="J534" s="6"/>
      <c r="K534" s="6"/>
      <c r="L534" s="20"/>
      <c r="M534" s="84">
        <f t="shared" si="23"/>
        <v>0</v>
      </c>
      <c r="N534" s="248">
        <f>RHcount!X528</f>
        <v>0</v>
      </c>
      <c r="O534" s="17"/>
      <c r="P534" s="17"/>
      <c r="Q534" s="17"/>
      <c r="R534" s="17"/>
      <c r="S534" s="17"/>
      <c r="T534" s="17"/>
      <c r="U534" s="4"/>
      <c r="V534" s="4"/>
    </row>
    <row r="535" spans="1:22" x14ac:dyDescent="0.25">
      <c r="A535" s="318" t="str">
        <f t="shared" si="24"/>
        <v>Sat</v>
      </c>
      <c r="B535" s="15"/>
      <c r="C535" s="16"/>
      <c r="D535" s="6"/>
      <c r="E535" s="6"/>
      <c r="F535" s="6"/>
      <c r="G535" s="6"/>
      <c r="H535" s="6"/>
      <c r="I535" s="6"/>
      <c r="J535" s="6"/>
      <c r="K535" s="6"/>
      <c r="L535" s="20"/>
      <c r="M535" s="84">
        <f t="shared" si="23"/>
        <v>0</v>
      </c>
      <c r="N535" s="248">
        <f>RHcount!X529</f>
        <v>0</v>
      </c>
      <c r="O535" s="17"/>
      <c r="P535" s="17"/>
      <c r="Q535" s="17"/>
      <c r="R535" s="17"/>
      <c r="S535" s="17"/>
      <c r="T535" s="17"/>
      <c r="U535" s="4"/>
      <c r="V535" s="4"/>
    </row>
    <row r="536" spans="1:22" x14ac:dyDescent="0.25">
      <c r="A536" s="318" t="str">
        <f t="shared" si="24"/>
        <v>Sat</v>
      </c>
      <c r="B536" s="15"/>
      <c r="C536" s="16"/>
      <c r="D536" s="6"/>
      <c r="E536" s="6"/>
      <c r="F536" s="6"/>
      <c r="G536" s="6"/>
      <c r="H536" s="6"/>
      <c r="I536" s="6"/>
      <c r="J536" s="6"/>
      <c r="K536" s="6"/>
      <c r="L536" s="20"/>
      <c r="M536" s="84">
        <f t="shared" si="23"/>
        <v>0</v>
      </c>
      <c r="N536" s="248">
        <f>RHcount!X530</f>
        <v>0</v>
      </c>
      <c r="O536" s="17"/>
      <c r="P536" s="17"/>
      <c r="Q536" s="17"/>
      <c r="R536" s="17"/>
      <c r="S536" s="17"/>
      <c r="T536" s="17"/>
      <c r="U536" s="4"/>
      <c r="V536" s="4"/>
    </row>
    <row r="537" spans="1:22" x14ac:dyDescent="0.25">
      <c r="A537" s="318" t="str">
        <f t="shared" si="24"/>
        <v>Sat</v>
      </c>
      <c r="B537" s="15"/>
      <c r="C537" s="16"/>
      <c r="D537" s="6"/>
      <c r="E537" s="6"/>
      <c r="F537" s="6"/>
      <c r="G537" s="6"/>
      <c r="H537" s="6"/>
      <c r="I537" s="6"/>
      <c r="J537" s="6"/>
      <c r="K537" s="6"/>
      <c r="L537" s="20"/>
      <c r="M537" s="84">
        <f t="shared" si="23"/>
        <v>0</v>
      </c>
      <c r="N537" s="248">
        <f>RHcount!X531</f>
        <v>0</v>
      </c>
      <c r="O537" s="17"/>
      <c r="P537" s="17"/>
      <c r="Q537" s="17"/>
      <c r="R537" s="17"/>
      <c r="S537" s="17"/>
      <c r="T537" s="17"/>
      <c r="U537" s="4"/>
      <c r="V537" s="4"/>
    </row>
    <row r="538" spans="1:22" x14ac:dyDescent="0.25">
      <c r="A538" s="318" t="str">
        <f t="shared" si="24"/>
        <v>Sat</v>
      </c>
      <c r="B538" s="15"/>
      <c r="C538" s="16"/>
      <c r="D538" s="6"/>
      <c r="E538" s="6"/>
      <c r="F538" s="6"/>
      <c r="G538" s="6"/>
      <c r="H538" s="6"/>
      <c r="I538" s="6"/>
      <c r="J538" s="6"/>
      <c r="K538" s="6"/>
      <c r="L538" s="20"/>
      <c r="M538" s="84">
        <f t="shared" si="23"/>
        <v>0</v>
      </c>
      <c r="N538" s="248">
        <f>RHcount!X532</f>
        <v>0</v>
      </c>
      <c r="O538" s="17"/>
      <c r="P538" s="17"/>
      <c r="Q538" s="17"/>
      <c r="R538" s="17"/>
      <c r="S538" s="17"/>
      <c r="T538" s="17"/>
      <c r="U538" s="4"/>
      <c r="V538" s="4"/>
    </row>
    <row r="539" spans="1:22" x14ac:dyDescent="0.25">
      <c r="A539" s="318" t="str">
        <f t="shared" si="24"/>
        <v>Sat</v>
      </c>
      <c r="B539" s="15"/>
      <c r="C539" s="16"/>
      <c r="D539" s="6"/>
      <c r="E539" s="6"/>
      <c r="F539" s="6"/>
      <c r="G539" s="6"/>
      <c r="H539" s="6"/>
      <c r="I539" s="6"/>
      <c r="J539" s="6"/>
      <c r="K539" s="6"/>
      <c r="L539" s="20"/>
      <c r="M539" s="84">
        <f t="shared" si="23"/>
        <v>0</v>
      </c>
      <c r="N539" s="248">
        <f>RHcount!X533</f>
        <v>0</v>
      </c>
      <c r="O539" s="17"/>
      <c r="P539" s="17"/>
      <c r="Q539" s="17"/>
      <c r="R539" s="17"/>
      <c r="S539" s="17"/>
      <c r="T539" s="17"/>
      <c r="U539" s="4"/>
      <c r="V539" s="4"/>
    </row>
    <row r="540" spans="1:22" x14ac:dyDescent="0.25">
      <c r="A540" s="318" t="str">
        <f t="shared" si="24"/>
        <v>Sat</v>
      </c>
      <c r="B540" s="15"/>
      <c r="C540" s="16"/>
      <c r="D540" s="6"/>
      <c r="E540" s="6"/>
      <c r="F540" s="6"/>
      <c r="G540" s="6"/>
      <c r="H540" s="6"/>
      <c r="I540" s="6"/>
      <c r="J540" s="6"/>
      <c r="K540" s="6"/>
      <c r="L540" s="20"/>
      <c r="M540" s="84">
        <f t="shared" si="23"/>
        <v>0</v>
      </c>
      <c r="N540" s="248">
        <f>RHcount!X534</f>
        <v>0</v>
      </c>
      <c r="O540" s="17"/>
      <c r="P540" s="17"/>
      <c r="Q540" s="17"/>
      <c r="R540" s="17"/>
      <c r="S540" s="17"/>
      <c r="T540" s="17"/>
      <c r="U540" s="4"/>
      <c r="V540" s="4"/>
    </row>
    <row r="541" spans="1:22" x14ac:dyDescent="0.25">
      <c r="A541" s="318" t="str">
        <f t="shared" si="24"/>
        <v>Sat</v>
      </c>
      <c r="B541" s="15"/>
      <c r="C541" s="16"/>
      <c r="D541" s="6"/>
      <c r="E541" s="6"/>
      <c r="F541" s="6"/>
      <c r="G541" s="6"/>
      <c r="H541" s="6"/>
      <c r="I541" s="6"/>
      <c r="J541" s="6"/>
      <c r="K541" s="6"/>
      <c r="L541" s="20"/>
      <c r="M541" s="84">
        <f t="shared" si="23"/>
        <v>0</v>
      </c>
      <c r="N541" s="248">
        <f>RHcount!X535</f>
        <v>0</v>
      </c>
      <c r="O541" s="17"/>
      <c r="P541" s="17"/>
      <c r="Q541" s="17"/>
      <c r="R541" s="17"/>
      <c r="S541" s="17"/>
      <c r="T541" s="17"/>
      <c r="U541" s="4"/>
      <c r="V541" s="4"/>
    </row>
    <row r="542" spans="1:22" x14ac:dyDescent="0.25">
      <c r="A542" s="318" t="str">
        <f t="shared" si="24"/>
        <v>Sat</v>
      </c>
      <c r="B542" s="15"/>
      <c r="C542" s="16"/>
      <c r="D542" s="6"/>
      <c r="E542" s="6"/>
      <c r="F542" s="6"/>
      <c r="G542" s="6"/>
      <c r="H542" s="6"/>
      <c r="I542" s="6"/>
      <c r="J542" s="6"/>
      <c r="K542" s="6"/>
      <c r="L542" s="20"/>
      <c r="M542" s="84">
        <f t="shared" si="23"/>
        <v>0</v>
      </c>
      <c r="N542" s="248">
        <f>RHcount!X536</f>
        <v>0</v>
      </c>
      <c r="O542" s="17"/>
      <c r="P542" s="17"/>
      <c r="Q542" s="17"/>
      <c r="R542" s="17"/>
      <c r="S542" s="17"/>
      <c r="T542" s="17"/>
      <c r="U542" s="4"/>
      <c r="V542" s="4"/>
    </row>
    <row r="543" spans="1:22" x14ac:dyDescent="0.25">
      <c r="A543" s="318" t="str">
        <f t="shared" si="24"/>
        <v>Sat</v>
      </c>
      <c r="B543" s="15"/>
      <c r="C543" s="16"/>
      <c r="D543" s="6"/>
      <c r="E543" s="6"/>
      <c r="F543" s="6"/>
      <c r="G543" s="6"/>
      <c r="H543" s="6"/>
      <c r="I543" s="6"/>
      <c r="J543" s="6"/>
      <c r="K543" s="6"/>
      <c r="L543" s="20"/>
      <c r="M543" s="84">
        <f t="shared" si="23"/>
        <v>0</v>
      </c>
      <c r="N543" s="248">
        <f>RHcount!X537</f>
        <v>0</v>
      </c>
      <c r="O543" s="17"/>
      <c r="P543" s="17"/>
      <c r="Q543" s="17"/>
      <c r="R543" s="17"/>
      <c r="S543" s="17"/>
      <c r="T543" s="17"/>
      <c r="U543" s="4"/>
      <c r="V543" s="4"/>
    </row>
    <row r="544" spans="1:22" x14ac:dyDescent="0.25">
      <c r="A544" s="318" t="str">
        <f t="shared" si="24"/>
        <v>Sat</v>
      </c>
      <c r="B544" s="15"/>
      <c r="C544" s="16"/>
      <c r="D544" s="6"/>
      <c r="E544" s="6"/>
      <c r="F544" s="6"/>
      <c r="G544" s="6"/>
      <c r="H544" s="6"/>
      <c r="I544" s="6"/>
      <c r="J544" s="6"/>
      <c r="K544" s="6"/>
      <c r="L544" s="20"/>
      <c r="M544" s="84">
        <f t="shared" si="23"/>
        <v>0</v>
      </c>
      <c r="N544" s="248">
        <f>RHcount!X538</f>
        <v>0</v>
      </c>
      <c r="O544" s="17"/>
      <c r="P544" s="17"/>
      <c r="Q544" s="17"/>
      <c r="R544" s="17"/>
      <c r="S544" s="17"/>
      <c r="T544" s="17"/>
      <c r="U544" s="4"/>
      <c r="V544" s="4"/>
    </row>
    <row r="545" spans="1:22" x14ac:dyDescent="0.25">
      <c r="A545" s="318" t="str">
        <f t="shared" si="24"/>
        <v>Sat</v>
      </c>
      <c r="B545" s="15"/>
      <c r="C545" s="16"/>
      <c r="D545" s="6"/>
      <c r="E545" s="6"/>
      <c r="F545" s="6"/>
      <c r="G545" s="6"/>
      <c r="H545" s="6"/>
      <c r="I545" s="6"/>
      <c r="J545" s="6"/>
      <c r="K545" s="6"/>
      <c r="L545" s="20"/>
      <c r="M545" s="84">
        <f t="shared" si="23"/>
        <v>0</v>
      </c>
      <c r="N545" s="248">
        <f>RHcount!X539</f>
        <v>0</v>
      </c>
      <c r="O545" s="17"/>
      <c r="P545" s="17"/>
      <c r="Q545" s="17"/>
      <c r="R545" s="17"/>
      <c r="S545" s="17"/>
      <c r="T545" s="17"/>
      <c r="U545" s="4"/>
      <c r="V545" s="4"/>
    </row>
    <row r="546" spans="1:22" x14ac:dyDescent="0.25">
      <c r="A546" s="318" t="str">
        <f t="shared" si="24"/>
        <v>Sat</v>
      </c>
      <c r="B546" s="15"/>
      <c r="C546" s="16"/>
      <c r="D546" s="6"/>
      <c r="E546" s="6"/>
      <c r="F546" s="6"/>
      <c r="G546" s="6"/>
      <c r="H546" s="6"/>
      <c r="I546" s="6"/>
      <c r="J546" s="6"/>
      <c r="K546" s="6"/>
      <c r="L546" s="20"/>
      <c r="M546" s="84">
        <f t="shared" si="23"/>
        <v>0</v>
      </c>
      <c r="N546" s="248">
        <f>RHcount!X540</f>
        <v>0</v>
      </c>
      <c r="O546" s="17"/>
      <c r="P546" s="17"/>
      <c r="Q546" s="17"/>
      <c r="R546" s="17"/>
      <c r="S546" s="17"/>
      <c r="T546" s="17"/>
      <c r="U546" s="4"/>
      <c r="V546" s="4"/>
    </row>
    <row r="547" spans="1:22" x14ac:dyDescent="0.25">
      <c r="A547" s="318" t="str">
        <f t="shared" si="24"/>
        <v>Sat</v>
      </c>
      <c r="B547" s="15"/>
      <c r="C547" s="16"/>
      <c r="D547" s="6"/>
      <c r="E547" s="6"/>
      <c r="F547" s="6"/>
      <c r="G547" s="6"/>
      <c r="H547" s="6"/>
      <c r="I547" s="6"/>
      <c r="J547" s="6"/>
      <c r="K547" s="6"/>
      <c r="L547" s="20"/>
      <c r="M547" s="84">
        <f t="shared" si="23"/>
        <v>0</v>
      </c>
      <c r="N547" s="248">
        <f>RHcount!X541</f>
        <v>0</v>
      </c>
      <c r="O547" s="17"/>
      <c r="P547" s="17"/>
      <c r="Q547" s="17"/>
      <c r="R547" s="17"/>
      <c r="S547" s="17"/>
      <c r="T547" s="17"/>
      <c r="U547" s="4"/>
      <c r="V547" s="4"/>
    </row>
    <row r="548" spans="1:22" x14ac:dyDescent="0.25">
      <c r="A548" s="318" t="str">
        <f t="shared" si="24"/>
        <v>Sat</v>
      </c>
      <c r="B548" s="15"/>
      <c r="C548" s="16"/>
      <c r="D548" s="6"/>
      <c r="E548" s="6"/>
      <c r="F548" s="6"/>
      <c r="G548" s="6"/>
      <c r="H548" s="6"/>
      <c r="I548" s="6"/>
      <c r="J548" s="6"/>
      <c r="K548" s="6"/>
      <c r="L548" s="20"/>
      <c r="M548" s="84">
        <f t="shared" si="23"/>
        <v>0</v>
      </c>
      <c r="N548" s="248">
        <f>RHcount!X542</f>
        <v>0</v>
      </c>
      <c r="O548" s="17"/>
      <c r="P548" s="17"/>
      <c r="Q548" s="17"/>
      <c r="R548" s="17"/>
      <c r="S548" s="17"/>
      <c r="T548" s="17"/>
      <c r="U548" s="4"/>
      <c r="V548" s="4"/>
    </row>
    <row r="549" spans="1:22" x14ac:dyDescent="0.25">
      <c r="A549" s="318" t="str">
        <f t="shared" si="24"/>
        <v>Sat</v>
      </c>
      <c r="B549" s="15"/>
      <c r="C549" s="16"/>
      <c r="D549" s="6"/>
      <c r="E549" s="6"/>
      <c r="F549" s="6"/>
      <c r="G549" s="6"/>
      <c r="H549" s="6"/>
      <c r="I549" s="6"/>
      <c r="J549" s="6"/>
      <c r="K549" s="6"/>
      <c r="L549" s="20"/>
      <c r="M549" s="84">
        <f t="shared" si="23"/>
        <v>0</v>
      </c>
      <c r="N549" s="248">
        <f>RHcount!X543</f>
        <v>0</v>
      </c>
      <c r="O549" s="17"/>
      <c r="P549" s="17"/>
      <c r="Q549" s="17"/>
      <c r="R549" s="17"/>
      <c r="S549" s="17"/>
      <c r="T549" s="17"/>
      <c r="U549" s="4"/>
      <c r="V549" s="4"/>
    </row>
    <row r="550" spans="1:22" x14ac:dyDescent="0.25">
      <c r="A550" s="318" t="str">
        <f t="shared" si="24"/>
        <v>Sat</v>
      </c>
      <c r="B550" s="15"/>
      <c r="C550" s="16"/>
      <c r="D550" s="6"/>
      <c r="E550" s="6"/>
      <c r="F550" s="6"/>
      <c r="G550" s="6"/>
      <c r="H550" s="6"/>
      <c r="I550" s="6"/>
      <c r="J550" s="6"/>
      <c r="K550" s="6"/>
      <c r="L550" s="20"/>
      <c r="M550" s="84">
        <f t="shared" si="23"/>
        <v>0</v>
      </c>
      <c r="N550" s="248">
        <f>RHcount!X544</f>
        <v>0</v>
      </c>
      <c r="O550" s="17"/>
      <c r="P550" s="17"/>
      <c r="Q550" s="17"/>
      <c r="R550" s="17"/>
      <c r="S550" s="17"/>
      <c r="T550" s="17"/>
      <c r="U550" s="4"/>
      <c r="V550" s="4"/>
    </row>
    <row r="551" spans="1:22" x14ac:dyDescent="0.25">
      <c r="A551" s="318" t="str">
        <f t="shared" si="24"/>
        <v>Sat</v>
      </c>
      <c r="B551" s="15"/>
      <c r="C551" s="16"/>
      <c r="D551" s="6"/>
      <c r="E551" s="6"/>
      <c r="F551" s="6"/>
      <c r="G551" s="6"/>
      <c r="H551" s="6"/>
      <c r="I551" s="6"/>
      <c r="J551" s="6"/>
      <c r="K551" s="6"/>
      <c r="L551" s="20"/>
      <c r="M551" s="84">
        <f t="shared" si="23"/>
        <v>0</v>
      </c>
      <c r="N551" s="248">
        <f>RHcount!X545</f>
        <v>0</v>
      </c>
      <c r="O551" s="17"/>
      <c r="P551" s="17"/>
      <c r="Q551" s="17"/>
      <c r="R551" s="17"/>
      <c r="S551" s="17"/>
      <c r="T551" s="17"/>
      <c r="U551" s="4"/>
      <c r="V551" s="4"/>
    </row>
    <row r="552" spans="1:22" x14ac:dyDescent="0.25">
      <c r="A552" s="318" t="str">
        <f t="shared" si="24"/>
        <v>Sat</v>
      </c>
      <c r="B552" s="15"/>
      <c r="C552" s="16"/>
      <c r="D552" s="6"/>
      <c r="E552" s="6"/>
      <c r="F552" s="6"/>
      <c r="G552" s="6"/>
      <c r="H552" s="6"/>
      <c r="I552" s="6"/>
      <c r="J552" s="6"/>
      <c r="K552" s="6"/>
      <c r="L552" s="20"/>
      <c r="M552" s="84">
        <f t="shared" si="23"/>
        <v>0</v>
      </c>
      <c r="N552" s="248">
        <f>RHcount!X546</f>
        <v>0</v>
      </c>
      <c r="O552" s="17"/>
      <c r="P552" s="17"/>
      <c r="Q552" s="17"/>
      <c r="R552" s="17"/>
      <c r="S552" s="17"/>
      <c r="T552" s="17"/>
      <c r="U552" s="4"/>
      <c r="V552" s="4"/>
    </row>
    <row r="553" spans="1:22" x14ac:dyDescent="0.25">
      <c r="A553" s="318" t="str">
        <f t="shared" si="24"/>
        <v>Sat</v>
      </c>
      <c r="B553" s="15"/>
      <c r="C553" s="16"/>
      <c r="D553" s="6"/>
      <c r="E553" s="6"/>
      <c r="F553" s="6"/>
      <c r="G553" s="6"/>
      <c r="H553" s="6"/>
      <c r="I553" s="6"/>
      <c r="J553" s="6"/>
      <c r="K553" s="6"/>
      <c r="L553" s="20"/>
      <c r="M553" s="84">
        <f t="shared" si="23"/>
        <v>0</v>
      </c>
      <c r="N553" s="248">
        <f>RHcount!X547</f>
        <v>0</v>
      </c>
      <c r="O553" s="17"/>
      <c r="P553" s="17"/>
      <c r="Q553" s="17"/>
      <c r="R553" s="17"/>
      <c r="S553" s="17"/>
      <c r="T553" s="17"/>
      <c r="U553" s="4"/>
      <c r="V553" s="4"/>
    </row>
    <row r="554" spans="1:22" x14ac:dyDescent="0.25">
      <c r="A554" s="318" t="str">
        <f t="shared" si="24"/>
        <v>Sat</v>
      </c>
      <c r="B554" s="15"/>
      <c r="C554" s="16"/>
      <c r="D554" s="6"/>
      <c r="E554" s="6"/>
      <c r="F554" s="6"/>
      <c r="G554" s="6"/>
      <c r="H554" s="6"/>
      <c r="I554" s="6"/>
      <c r="J554" s="6"/>
      <c r="K554" s="6"/>
      <c r="L554" s="20"/>
      <c r="M554" s="84">
        <f t="shared" si="23"/>
        <v>0</v>
      </c>
      <c r="N554" s="248">
        <f>RHcount!X548</f>
        <v>0</v>
      </c>
      <c r="O554" s="17"/>
      <c r="P554" s="17"/>
      <c r="Q554" s="17"/>
      <c r="R554" s="17"/>
      <c r="S554" s="17"/>
      <c r="T554" s="17"/>
      <c r="U554" s="4"/>
      <c r="V554" s="4"/>
    </row>
    <row r="555" spans="1:22" x14ac:dyDescent="0.25">
      <c r="A555" s="318" t="str">
        <f t="shared" si="24"/>
        <v>Sat</v>
      </c>
      <c r="B555" s="15"/>
      <c r="C555" s="16"/>
      <c r="D555" s="6"/>
      <c r="E555" s="6"/>
      <c r="F555" s="6"/>
      <c r="G555" s="6"/>
      <c r="H555" s="6"/>
      <c r="I555" s="6"/>
      <c r="J555" s="6"/>
      <c r="K555" s="6"/>
      <c r="L555" s="20"/>
      <c r="M555" s="84">
        <f t="shared" si="23"/>
        <v>0</v>
      </c>
      <c r="N555" s="248">
        <f>RHcount!X549</f>
        <v>0</v>
      </c>
      <c r="O555" s="17"/>
      <c r="P555" s="17"/>
      <c r="Q555" s="17"/>
      <c r="R555" s="17"/>
      <c r="S555" s="17"/>
      <c r="T555" s="17"/>
      <c r="U555" s="4"/>
      <c r="V555" s="4"/>
    </row>
    <row r="556" spans="1:22" x14ac:dyDescent="0.25">
      <c r="A556" s="318" t="str">
        <f t="shared" si="24"/>
        <v>Sat</v>
      </c>
      <c r="B556" s="15"/>
      <c r="C556" s="16"/>
      <c r="D556" s="6"/>
      <c r="E556" s="6"/>
      <c r="F556" s="6"/>
      <c r="G556" s="6"/>
      <c r="H556" s="6"/>
      <c r="I556" s="6"/>
      <c r="J556" s="6"/>
      <c r="K556" s="6"/>
      <c r="L556" s="20"/>
      <c r="M556" s="84">
        <f t="shared" si="23"/>
        <v>0</v>
      </c>
      <c r="N556" s="248">
        <f>RHcount!X550</f>
        <v>0</v>
      </c>
      <c r="O556" s="17"/>
      <c r="P556" s="17"/>
      <c r="Q556" s="17"/>
      <c r="R556" s="17"/>
      <c r="S556" s="17"/>
      <c r="T556" s="17"/>
      <c r="U556" s="4"/>
      <c r="V556" s="4"/>
    </row>
    <row r="557" spans="1:22" x14ac:dyDescent="0.25">
      <c r="A557" s="318" t="str">
        <f t="shared" si="24"/>
        <v>Sat</v>
      </c>
      <c r="B557" s="15"/>
      <c r="C557" s="16"/>
      <c r="D557" s="6"/>
      <c r="E557" s="6"/>
      <c r="F557" s="6"/>
      <c r="G557" s="6"/>
      <c r="H557" s="6"/>
      <c r="I557" s="6"/>
      <c r="J557" s="6"/>
      <c r="K557" s="6"/>
      <c r="L557" s="20"/>
      <c r="M557" s="84">
        <f t="shared" si="23"/>
        <v>0</v>
      </c>
      <c r="N557" s="248">
        <f>RHcount!X551</f>
        <v>0</v>
      </c>
      <c r="O557" s="17"/>
      <c r="P557" s="17"/>
      <c r="Q557" s="17"/>
      <c r="R557" s="17"/>
      <c r="S557" s="17"/>
      <c r="T557" s="17"/>
      <c r="U557" s="4"/>
      <c r="V557" s="4"/>
    </row>
    <row r="558" spans="1:22" x14ac:dyDescent="0.25">
      <c r="A558" s="318" t="str">
        <f t="shared" si="24"/>
        <v>Sat</v>
      </c>
      <c r="B558" s="15"/>
      <c r="C558" s="16"/>
      <c r="D558" s="6"/>
      <c r="E558" s="6"/>
      <c r="F558" s="6"/>
      <c r="G558" s="6"/>
      <c r="H558" s="6"/>
      <c r="I558" s="6"/>
      <c r="J558" s="6"/>
      <c r="K558" s="6"/>
      <c r="L558" s="20"/>
      <c r="M558" s="84">
        <f t="shared" si="23"/>
        <v>0</v>
      </c>
      <c r="N558" s="248">
        <f>RHcount!X552</f>
        <v>0</v>
      </c>
      <c r="O558" s="17"/>
      <c r="P558" s="17"/>
      <c r="Q558" s="17"/>
      <c r="R558" s="17"/>
      <c r="S558" s="17"/>
      <c r="T558" s="17"/>
      <c r="U558" s="4"/>
      <c r="V558" s="4"/>
    </row>
    <row r="559" spans="1:22" x14ac:dyDescent="0.25">
      <c r="A559" s="318" t="str">
        <f t="shared" si="24"/>
        <v>Sat</v>
      </c>
      <c r="B559" s="15"/>
      <c r="C559" s="16"/>
      <c r="D559" s="6"/>
      <c r="E559" s="6"/>
      <c r="F559" s="6"/>
      <c r="G559" s="6"/>
      <c r="H559" s="6"/>
      <c r="I559" s="6"/>
      <c r="J559" s="6"/>
      <c r="K559" s="6"/>
      <c r="L559" s="20"/>
      <c r="M559" s="84">
        <f t="shared" si="23"/>
        <v>0</v>
      </c>
      <c r="N559" s="248">
        <f>RHcount!X553</f>
        <v>0</v>
      </c>
      <c r="O559" s="17"/>
      <c r="P559" s="17"/>
      <c r="Q559" s="17"/>
      <c r="R559" s="17"/>
      <c r="S559" s="17"/>
      <c r="T559" s="17"/>
      <c r="U559" s="4"/>
      <c r="V559" s="4"/>
    </row>
    <row r="560" spans="1:22" x14ac:dyDescent="0.25">
      <c r="A560" s="318" t="str">
        <f t="shared" si="24"/>
        <v>Sat</v>
      </c>
      <c r="B560" s="15"/>
      <c r="C560" s="16"/>
      <c r="D560" s="6"/>
      <c r="E560" s="6"/>
      <c r="F560" s="6"/>
      <c r="G560" s="6"/>
      <c r="H560" s="6"/>
      <c r="I560" s="6"/>
      <c r="J560" s="6"/>
      <c r="K560" s="6"/>
      <c r="L560" s="20"/>
      <c r="M560" s="84">
        <f t="shared" si="23"/>
        <v>0</v>
      </c>
      <c r="N560" s="248">
        <f>RHcount!X554</f>
        <v>0</v>
      </c>
      <c r="O560" s="17"/>
      <c r="P560" s="17"/>
      <c r="Q560" s="17"/>
      <c r="R560" s="17"/>
      <c r="S560" s="17"/>
      <c r="T560" s="17"/>
      <c r="U560" s="4"/>
      <c r="V560" s="4"/>
    </row>
    <row r="561" spans="1:22" x14ac:dyDescent="0.25">
      <c r="A561" s="318" t="str">
        <f t="shared" si="24"/>
        <v>Sat</v>
      </c>
      <c r="B561" s="15"/>
      <c r="C561" s="16"/>
      <c r="D561" s="6"/>
      <c r="E561" s="6"/>
      <c r="F561" s="6"/>
      <c r="G561" s="6"/>
      <c r="H561" s="6"/>
      <c r="I561" s="6"/>
      <c r="J561" s="6"/>
      <c r="K561" s="6"/>
      <c r="L561" s="20"/>
      <c r="M561" s="84">
        <f t="shared" si="23"/>
        <v>0</v>
      </c>
      <c r="N561" s="248">
        <f>RHcount!X555</f>
        <v>0</v>
      </c>
      <c r="O561" s="17"/>
      <c r="P561" s="17"/>
      <c r="Q561" s="17"/>
      <c r="R561" s="17"/>
      <c r="S561" s="17"/>
      <c r="T561" s="17"/>
      <c r="U561" s="4"/>
      <c r="V561" s="4"/>
    </row>
    <row r="562" spans="1:22" x14ac:dyDescent="0.25">
      <c r="A562" s="318" t="str">
        <f t="shared" si="24"/>
        <v>Sat</v>
      </c>
      <c r="B562" s="15"/>
      <c r="C562" s="16"/>
      <c r="D562" s="6"/>
      <c r="E562" s="6"/>
      <c r="F562" s="6"/>
      <c r="G562" s="6"/>
      <c r="H562" s="6"/>
      <c r="I562" s="6"/>
      <c r="J562" s="6"/>
      <c r="K562" s="6"/>
      <c r="L562" s="20"/>
      <c r="M562" s="84">
        <f t="shared" si="23"/>
        <v>0</v>
      </c>
      <c r="N562" s="248">
        <f>RHcount!X556</f>
        <v>0</v>
      </c>
      <c r="O562" s="17"/>
      <c r="P562" s="17"/>
      <c r="Q562" s="17"/>
      <c r="R562" s="17"/>
      <c r="S562" s="17"/>
      <c r="T562" s="17"/>
      <c r="U562" s="4"/>
      <c r="V562" s="4"/>
    </row>
    <row r="563" spans="1:22" x14ac:dyDescent="0.25">
      <c r="A563" s="318" t="str">
        <f t="shared" si="24"/>
        <v>Sat</v>
      </c>
      <c r="B563" s="15"/>
      <c r="C563" s="16"/>
      <c r="D563" s="6"/>
      <c r="E563" s="6"/>
      <c r="F563" s="6"/>
      <c r="G563" s="6"/>
      <c r="H563" s="6"/>
      <c r="I563" s="6"/>
      <c r="J563" s="6"/>
      <c r="K563" s="6"/>
      <c r="L563" s="20"/>
      <c r="M563" s="84">
        <f t="shared" si="23"/>
        <v>0</v>
      </c>
      <c r="N563" s="248">
        <f>RHcount!X557</f>
        <v>0</v>
      </c>
      <c r="O563" s="17"/>
      <c r="P563" s="17"/>
      <c r="Q563" s="17"/>
      <c r="R563" s="17"/>
      <c r="S563" s="17"/>
      <c r="T563" s="17"/>
      <c r="U563" s="4"/>
      <c r="V563" s="4"/>
    </row>
    <row r="564" spans="1:22" x14ac:dyDescent="0.25">
      <c r="A564" s="318" t="str">
        <f t="shared" si="24"/>
        <v>Sat</v>
      </c>
      <c r="B564" s="15"/>
      <c r="C564" s="16"/>
      <c r="D564" s="6"/>
      <c r="E564" s="6"/>
      <c r="F564" s="6"/>
      <c r="G564" s="6"/>
      <c r="H564" s="6"/>
      <c r="I564" s="6"/>
      <c r="J564" s="6"/>
      <c r="K564" s="6"/>
      <c r="L564" s="20"/>
      <c r="M564" s="84">
        <f t="shared" si="23"/>
        <v>0</v>
      </c>
      <c r="N564" s="248">
        <f>RHcount!X558</f>
        <v>0</v>
      </c>
      <c r="O564" s="17"/>
      <c r="P564" s="17"/>
      <c r="Q564" s="17"/>
      <c r="R564" s="17"/>
      <c r="S564" s="17"/>
      <c r="T564" s="17"/>
      <c r="U564" s="4"/>
      <c r="V564" s="4"/>
    </row>
    <row r="565" spans="1:22" x14ac:dyDescent="0.25">
      <c r="A565" s="318" t="str">
        <f t="shared" si="24"/>
        <v>Sat</v>
      </c>
      <c r="B565" s="15"/>
      <c r="C565" s="16"/>
      <c r="D565" s="6"/>
      <c r="E565" s="6"/>
      <c r="F565" s="6"/>
      <c r="G565" s="6"/>
      <c r="H565" s="6"/>
      <c r="I565" s="6"/>
      <c r="J565" s="6"/>
      <c r="K565" s="6"/>
      <c r="L565" s="20"/>
      <c r="M565" s="84">
        <f t="shared" si="23"/>
        <v>0</v>
      </c>
      <c r="N565" s="248">
        <f>RHcount!X559</f>
        <v>0</v>
      </c>
      <c r="O565" s="17"/>
      <c r="P565" s="17"/>
      <c r="Q565" s="17"/>
      <c r="R565" s="17"/>
      <c r="S565" s="17"/>
      <c r="T565" s="17"/>
      <c r="U565" s="4"/>
      <c r="V565" s="4"/>
    </row>
    <row r="566" spans="1:22" x14ac:dyDescent="0.25">
      <c r="A566" s="318" t="str">
        <f t="shared" si="24"/>
        <v>Sat</v>
      </c>
      <c r="B566" s="15"/>
      <c r="C566" s="16"/>
      <c r="D566" s="6"/>
      <c r="E566" s="6"/>
      <c r="F566" s="6"/>
      <c r="G566" s="6"/>
      <c r="H566" s="6"/>
      <c r="I566" s="6"/>
      <c r="J566" s="6"/>
      <c r="K566" s="6"/>
      <c r="L566" s="20"/>
      <c r="M566" s="84">
        <f t="shared" si="23"/>
        <v>0</v>
      </c>
      <c r="N566" s="248">
        <f>RHcount!X560</f>
        <v>0</v>
      </c>
      <c r="O566" s="17"/>
      <c r="P566" s="17"/>
      <c r="Q566" s="17"/>
      <c r="R566" s="17"/>
      <c r="S566" s="17"/>
      <c r="T566" s="17"/>
      <c r="U566" s="4"/>
      <c r="V566" s="4"/>
    </row>
    <row r="567" spans="1:22" x14ac:dyDescent="0.25">
      <c r="A567" s="318" t="str">
        <f t="shared" si="24"/>
        <v>Sat</v>
      </c>
      <c r="B567" s="15"/>
      <c r="C567" s="16"/>
      <c r="D567" s="6"/>
      <c r="E567" s="6"/>
      <c r="F567" s="6"/>
      <c r="G567" s="6"/>
      <c r="H567" s="6"/>
      <c r="I567" s="6"/>
      <c r="J567" s="6"/>
      <c r="K567" s="6"/>
      <c r="L567" s="20"/>
      <c r="M567" s="84">
        <f t="shared" si="23"/>
        <v>0</v>
      </c>
      <c r="N567" s="248">
        <f>RHcount!X561</f>
        <v>0</v>
      </c>
      <c r="O567" s="17"/>
      <c r="P567" s="17"/>
      <c r="Q567" s="17"/>
      <c r="R567" s="17"/>
      <c r="S567" s="17"/>
      <c r="T567" s="17"/>
      <c r="U567" s="4"/>
      <c r="V567" s="4"/>
    </row>
    <row r="568" spans="1:22" x14ac:dyDescent="0.25">
      <c r="A568" s="318" t="str">
        <f t="shared" si="24"/>
        <v>Sat</v>
      </c>
      <c r="B568" s="15"/>
      <c r="C568" s="16"/>
      <c r="D568" s="6"/>
      <c r="E568" s="6"/>
      <c r="F568" s="6"/>
      <c r="G568" s="6"/>
      <c r="H568" s="6"/>
      <c r="I568" s="6"/>
      <c r="J568" s="6"/>
      <c r="K568" s="6"/>
      <c r="L568" s="20"/>
      <c r="M568" s="84">
        <f t="shared" si="23"/>
        <v>0</v>
      </c>
      <c r="N568" s="248">
        <f>RHcount!X562</f>
        <v>0</v>
      </c>
      <c r="O568" s="17"/>
      <c r="P568" s="17"/>
      <c r="Q568" s="17"/>
      <c r="R568" s="17"/>
      <c r="S568" s="17"/>
      <c r="T568" s="17"/>
      <c r="U568" s="4"/>
      <c r="V568" s="4"/>
    </row>
    <row r="569" spans="1:22" x14ac:dyDescent="0.25">
      <c r="A569" s="318" t="str">
        <f t="shared" si="24"/>
        <v>Sat</v>
      </c>
      <c r="B569" s="15"/>
      <c r="C569" s="16"/>
      <c r="D569" s="6"/>
      <c r="E569" s="6"/>
      <c r="F569" s="6"/>
      <c r="G569" s="6"/>
      <c r="H569" s="6"/>
      <c r="I569" s="6"/>
      <c r="J569" s="6"/>
      <c r="K569" s="6"/>
      <c r="L569" s="20"/>
      <c r="M569" s="84">
        <f t="shared" si="23"/>
        <v>0</v>
      </c>
      <c r="N569" s="248">
        <f>RHcount!X563</f>
        <v>0</v>
      </c>
      <c r="O569" s="17"/>
      <c r="P569" s="17"/>
      <c r="Q569" s="17"/>
      <c r="R569" s="17"/>
      <c r="S569" s="17"/>
      <c r="T569" s="17"/>
      <c r="U569" s="4"/>
      <c r="V569" s="4"/>
    </row>
    <row r="570" spans="1:22" x14ac:dyDescent="0.25">
      <c r="A570" s="318" t="str">
        <f t="shared" si="24"/>
        <v>Sat</v>
      </c>
      <c r="B570" s="15"/>
      <c r="C570" s="16"/>
      <c r="D570" s="6"/>
      <c r="E570" s="6"/>
      <c r="F570" s="6"/>
      <c r="G570" s="6"/>
      <c r="H570" s="6"/>
      <c r="I570" s="6"/>
      <c r="J570" s="6"/>
      <c r="K570" s="6"/>
      <c r="L570" s="20"/>
      <c r="M570" s="84">
        <f t="shared" si="23"/>
        <v>0</v>
      </c>
      <c r="N570" s="248">
        <f>RHcount!X564</f>
        <v>0</v>
      </c>
      <c r="O570" s="17"/>
      <c r="P570" s="17"/>
      <c r="Q570" s="17"/>
      <c r="R570" s="17"/>
      <c r="S570" s="17"/>
      <c r="T570" s="17"/>
      <c r="U570" s="4"/>
      <c r="V570" s="4"/>
    </row>
    <row r="571" spans="1:22" x14ac:dyDescent="0.25">
      <c r="A571" s="318" t="str">
        <f t="shared" si="24"/>
        <v>Sat</v>
      </c>
      <c r="B571" s="15"/>
      <c r="C571" s="16"/>
      <c r="D571" s="6"/>
      <c r="E571" s="6"/>
      <c r="F571" s="6"/>
      <c r="G571" s="6"/>
      <c r="H571" s="6"/>
      <c r="I571" s="6"/>
      <c r="J571" s="6"/>
      <c r="K571" s="6"/>
      <c r="L571" s="20"/>
      <c r="M571" s="84">
        <f t="shared" si="23"/>
        <v>0</v>
      </c>
      <c r="N571" s="248">
        <f>RHcount!X565</f>
        <v>0</v>
      </c>
      <c r="O571" s="17"/>
      <c r="P571" s="17"/>
      <c r="Q571" s="17"/>
      <c r="R571" s="17"/>
      <c r="S571" s="17"/>
      <c r="T571" s="17"/>
      <c r="U571" s="4"/>
      <c r="V571" s="4"/>
    </row>
    <row r="572" spans="1:22" x14ac:dyDescent="0.25">
      <c r="A572" s="318" t="str">
        <f t="shared" si="24"/>
        <v>Sat</v>
      </c>
      <c r="B572" s="15"/>
      <c r="C572" s="16"/>
      <c r="D572" s="6"/>
      <c r="E572" s="6"/>
      <c r="F572" s="6"/>
      <c r="G572" s="6"/>
      <c r="H572" s="6"/>
      <c r="I572" s="6"/>
      <c r="J572" s="6"/>
      <c r="K572" s="6"/>
      <c r="L572" s="20"/>
      <c r="M572" s="84">
        <f t="shared" si="23"/>
        <v>0</v>
      </c>
      <c r="N572" s="248">
        <f>RHcount!X566</f>
        <v>0</v>
      </c>
      <c r="O572" s="17"/>
      <c r="P572" s="17"/>
      <c r="Q572" s="17"/>
      <c r="R572" s="17"/>
      <c r="S572" s="17"/>
      <c r="T572" s="17"/>
      <c r="U572" s="4"/>
      <c r="V572" s="4"/>
    </row>
    <row r="573" spans="1:22" x14ac:dyDescent="0.25">
      <c r="A573" s="318" t="str">
        <f t="shared" si="24"/>
        <v>Sat</v>
      </c>
      <c r="B573" s="15"/>
      <c r="C573" s="16"/>
      <c r="D573" s="6"/>
      <c r="E573" s="6"/>
      <c r="F573" s="6"/>
      <c r="G573" s="6"/>
      <c r="H573" s="6"/>
      <c r="I573" s="6"/>
      <c r="J573" s="6"/>
      <c r="K573" s="6"/>
      <c r="L573" s="20"/>
      <c r="M573" s="84">
        <f t="shared" si="23"/>
        <v>0</v>
      </c>
      <c r="N573" s="248">
        <f>RHcount!X567</f>
        <v>0</v>
      </c>
      <c r="O573" s="17"/>
      <c r="P573" s="17"/>
      <c r="Q573" s="17"/>
      <c r="R573" s="17"/>
      <c r="S573" s="17"/>
      <c r="T573" s="17"/>
      <c r="U573" s="4"/>
      <c r="V573" s="4"/>
    </row>
    <row r="574" spans="1:22" x14ac:dyDescent="0.25">
      <c r="A574" s="318" t="str">
        <f t="shared" si="24"/>
        <v>Sat</v>
      </c>
      <c r="B574" s="15"/>
      <c r="C574" s="16"/>
      <c r="D574" s="6"/>
      <c r="E574" s="6"/>
      <c r="F574" s="6"/>
      <c r="G574" s="6"/>
      <c r="H574" s="6"/>
      <c r="I574" s="6"/>
      <c r="J574" s="6"/>
      <c r="K574" s="6"/>
      <c r="L574" s="20"/>
      <c r="M574" s="84">
        <f t="shared" si="23"/>
        <v>0</v>
      </c>
      <c r="N574" s="248">
        <f>RHcount!X568</f>
        <v>0</v>
      </c>
      <c r="O574" s="17"/>
      <c r="P574" s="17"/>
      <c r="Q574" s="17"/>
      <c r="R574" s="17"/>
      <c r="S574" s="17"/>
      <c r="T574" s="17"/>
      <c r="U574" s="4"/>
      <c r="V574" s="4"/>
    </row>
    <row r="575" spans="1:22" x14ac:dyDescent="0.25">
      <c r="A575" s="318" t="str">
        <f t="shared" si="24"/>
        <v>Sat</v>
      </c>
      <c r="B575" s="15"/>
      <c r="C575" s="16"/>
      <c r="D575" s="6"/>
      <c r="E575" s="6"/>
      <c r="F575" s="6"/>
      <c r="G575" s="6"/>
      <c r="H575" s="6"/>
      <c r="I575" s="6"/>
      <c r="J575" s="6"/>
      <c r="K575" s="6"/>
      <c r="L575" s="20"/>
      <c r="M575" s="84">
        <f t="shared" si="23"/>
        <v>0</v>
      </c>
      <c r="N575" s="248">
        <f>RHcount!X569</f>
        <v>0</v>
      </c>
      <c r="O575" s="17"/>
      <c r="P575" s="17"/>
      <c r="Q575" s="17"/>
      <c r="R575" s="17"/>
      <c r="S575" s="17"/>
      <c r="T575" s="17"/>
      <c r="U575" s="4"/>
      <c r="V575" s="4"/>
    </row>
    <row r="576" spans="1:22" x14ac:dyDescent="0.25">
      <c r="A576" s="318" t="str">
        <f t="shared" si="24"/>
        <v>Sat</v>
      </c>
      <c r="B576" s="15"/>
      <c r="C576" s="16"/>
      <c r="D576" s="6"/>
      <c r="E576" s="6"/>
      <c r="F576" s="6"/>
      <c r="G576" s="6"/>
      <c r="H576" s="6"/>
      <c r="I576" s="6"/>
      <c r="J576" s="6"/>
      <c r="K576" s="6"/>
      <c r="L576" s="20"/>
      <c r="M576" s="84">
        <f t="shared" si="23"/>
        <v>0</v>
      </c>
      <c r="N576" s="248">
        <f>RHcount!X570</f>
        <v>0</v>
      </c>
      <c r="O576" s="17"/>
      <c r="P576" s="17"/>
      <c r="Q576" s="17"/>
      <c r="R576" s="17"/>
      <c r="S576" s="17"/>
      <c r="T576" s="17"/>
      <c r="U576" s="4"/>
      <c r="V576" s="4"/>
    </row>
    <row r="577" spans="1:22" x14ac:dyDescent="0.25">
      <c r="A577" s="318" t="str">
        <f t="shared" si="24"/>
        <v>Sat</v>
      </c>
      <c r="B577" s="15"/>
      <c r="C577" s="16"/>
      <c r="D577" s="6"/>
      <c r="E577" s="6"/>
      <c r="F577" s="6"/>
      <c r="G577" s="6"/>
      <c r="H577" s="6"/>
      <c r="I577" s="6"/>
      <c r="J577" s="6"/>
      <c r="K577" s="6"/>
      <c r="L577" s="20"/>
      <c r="M577" s="84">
        <f t="shared" si="23"/>
        <v>0</v>
      </c>
      <c r="N577" s="248">
        <f>RHcount!X571</f>
        <v>0</v>
      </c>
      <c r="O577" s="17"/>
      <c r="P577" s="17"/>
      <c r="Q577" s="17"/>
      <c r="R577" s="17"/>
      <c r="S577" s="17"/>
      <c r="T577" s="17"/>
      <c r="U577" s="4"/>
      <c r="V577" s="4"/>
    </row>
    <row r="578" spans="1:22" x14ac:dyDescent="0.25">
      <c r="A578" s="318" t="str">
        <f t="shared" si="24"/>
        <v>Sat</v>
      </c>
      <c r="B578" s="15"/>
      <c r="C578" s="16"/>
      <c r="D578" s="6"/>
      <c r="E578" s="6"/>
      <c r="F578" s="6"/>
      <c r="G578" s="6"/>
      <c r="H578" s="6"/>
      <c r="I578" s="6"/>
      <c r="J578" s="6"/>
      <c r="K578" s="6"/>
      <c r="L578" s="20"/>
      <c r="M578" s="84">
        <f t="shared" si="23"/>
        <v>0</v>
      </c>
      <c r="N578" s="248">
        <f>RHcount!X572</f>
        <v>0</v>
      </c>
      <c r="O578" s="17"/>
      <c r="P578" s="17"/>
      <c r="Q578" s="17"/>
      <c r="R578" s="17"/>
      <c r="S578" s="17"/>
      <c r="T578" s="17"/>
      <c r="U578" s="4"/>
      <c r="V578" s="4"/>
    </row>
    <row r="579" spans="1:22" x14ac:dyDescent="0.25">
      <c r="A579" s="318" t="str">
        <f t="shared" si="24"/>
        <v>Sat</v>
      </c>
      <c r="B579" s="15"/>
      <c r="C579" s="16"/>
      <c r="D579" s="6"/>
      <c r="E579" s="6"/>
      <c r="F579" s="6"/>
      <c r="G579" s="6"/>
      <c r="H579" s="6"/>
      <c r="I579" s="6"/>
      <c r="J579" s="6"/>
      <c r="K579" s="6"/>
      <c r="L579" s="20"/>
      <c r="M579" s="84">
        <f t="shared" si="23"/>
        <v>0</v>
      </c>
      <c r="N579" s="248">
        <f>RHcount!X573</f>
        <v>0</v>
      </c>
      <c r="O579" s="17"/>
      <c r="P579" s="17"/>
      <c r="Q579" s="17"/>
      <c r="R579" s="17"/>
      <c r="S579" s="17"/>
      <c r="T579" s="17"/>
      <c r="U579" s="4"/>
      <c r="V579" s="4"/>
    </row>
    <row r="580" spans="1:22" x14ac:dyDescent="0.25">
      <c r="A580" s="318" t="str">
        <f t="shared" si="24"/>
        <v>Sat</v>
      </c>
      <c r="B580" s="15"/>
      <c r="C580" s="16"/>
      <c r="D580" s="6"/>
      <c r="E580" s="6"/>
      <c r="F580" s="6"/>
      <c r="G580" s="6"/>
      <c r="H580" s="6"/>
      <c r="I580" s="6"/>
      <c r="J580" s="6"/>
      <c r="K580" s="6"/>
      <c r="L580" s="20"/>
      <c r="M580" s="84">
        <f t="shared" si="23"/>
        <v>0</v>
      </c>
      <c r="N580" s="248">
        <f>RHcount!X574</f>
        <v>0</v>
      </c>
      <c r="O580" s="17"/>
      <c r="P580" s="17"/>
      <c r="Q580" s="17"/>
      <c r="R580" s="17"/>
      <c r="S580" s="17"/>
      <c r="T580" s="17"/>
      <c r="U580" s="4"/>
      <c r="V580" s="4"/>
    </row>
    <row r="581" spans="1:22" x14ac:dyDescent="0.25">
      <c r="A581" s="318" t="str">
        <f t="shared" si="24"/>
        <v>Sat</v>
      </c>
      <c r="B581" s="15"/>
      <c r="C581" s="16"/>
      <c r="D581" s="6"/>
      <c r="E581" s="6"/>
      <c r="F581" s="6"/>
      <c r="G581" s="6"/>
      <c r="H581" s="6"/>
      <c r="I581" s="6"/>
      <c r="J581" s="6"/>
      <c r="K581" s="6"/>
      <c r="L581" s="20"/>
      <c r="M581" s="84">
        <f t="shared" si="23"/>
        <v>0</v>
      </c>
      <c r="N581" s="248">
        <f>RHcount!X575</f>
        <v>0</v>
      </c>
      <c r="O581" s="17"/>
      <c r="P581" s="17"/>
      <c r="Q581" s="17"/>
      <c r="R581" s="17"/>
      <c r="S581" s="17"/>
      <c r="T581" s="17"/>
      <c r="U581" s="4"/>
      <c r="V581" s="4"/>
    </row>
    <row r="582" spans="1:22" x14ac:dyDescent="0.25">
      <c r="A582" s="318" t="str">
        <f t="shared" si="24"/>
        <v>Sat</v>
      </c>
      <c r="B582" s="15"/>
      <c r="C582" s="16"/>
      <c r="D582" s="6"/>
      <c r="E582" s="6"/>
      <c r="F582" s="6"/>
      <c r="G582" s="6"/>
      <c r="H582" s="6"/>
      <c r="I582" s="6"/>
      <c r="J582" s="6"/>
      <c r="K582" s="6"/>
      <c r="L582" s="20"/>
      <c r="M582" s="84">
        <f t="shared" si="23"/>
        <v>0</v>
      </c>
      <c r="N582" s="248">
        <f>RHcount!X576</f>
        <v>0</v>
      </c>
      <c r="O582" s="17"/>
      <c r="P582" s="17"/>
      <c r="Q582" s="17"/>
      <c r="R582" s="17"/>
      <c r="S582" s="17"/>
      <c r="T582" s="17"/>
      <c r="U582" s="4"/>
      <c r="V582" s="4"/>
    </row>
    <row r="583" spans="1:22" x14ac:dyDescent="0.25">
      <c r="A583" s="318" t="str">
        <f t="shared" si="24"/>
        <v>Sat</v>
      </c>
      <c r="B583" s="15"/>
      <c r="C583" s="16"/>
      <c r="D583" s="6"/>
      <c r="E583" s="6"/>
      <c r="F583" s="6"/>
      <c r="G583" s="6"/>
      <c r="H583" s="6"/>
      <c r="I583" s="6"/>
      <c r="J583" s="6"/>
      <c r="K583" s="6"/>
      <c r="L583" s="20"/>
      <c r="M583" s="84">
        <f t="shared" si="23"/>
        <v>0</v>
      </c>
      <c r="N583" s="248">
        <f>RHcount!X577</f>
        <v>0</v>
      </c>
      <c r="O583" s="17"/>
      <c r="P583" s="17"/>
      <c r="Q583" s="17"/>
      <c r="R583" s="17"/>
      <c r="S583" s="17"/>
      <c r="T583" s="17"/>
      <c r="U583" s="4"/>
      <c r="V583" s="4"/>
    </row>
    <row r="584" spans="1:22" x14ac:dyDescent="0.25">
      <c r="A584" s="318" t="str">
        <f t="shared" si="24"/>
        <v>Sat</v>
      </c>
      <c r="B584" s="15"/>
      <c r="C584" s="16"/>
      <c r="D584" s="6"/>
      <c r="E584" s="6"/>
      <c r="F584" s="6"/>
      <c r="G584" s="6"/>
      <c r="H584" s="6"/>
      <c r="I584" s="6"/>
      <c r="J584" s="6"/>
      <c r="K584" s="6"/>
      <c r="L584" s="20"/>
      <c r="M584" s="84">
        <f t="shared" si="23"/>
        <v>0</v>
      </c>
      <c r="N584" s="248">
        <f>RHcount!X578</f>
        <v>0</v>
      </c>
      <c r="O584" s="17"/>
      <c r="P584" s="17"/>
      <c r="Q584" s="17"/>
      <c r="R584" s="17"/>
      <c r="S584" s="17"/>
      <c r="T584" s="17"/>
      <c r="U584" s="4"/>
      <c r="V584" s="4"/>
    </row>
    <row r="585" spans="1:22" x14ac:dyDescent="0.25">
      <c r="A585" s="318" t="str">
        <f t="shared" si="24"/>
        <v>Sat</v>
      </c>
      <c r="B585" s="15"/>
      <c r="C585" s="16"/>
      <c r="D585" s="6"/>
      <c r="E585" s="6"/>
      <c r="F585" s="6"/>
      <c r="G585" s="6"/>
      <c r="H585" s="6"/>
      <c r="I585" s="6"/>
      <c r="J585" s="6"/>
      <c r="K585" s="6"/>
      <c r="L585" s="20"/>
      <c r="M585" s="84">
        <f t="shared" si="23"/>
        <v>0</v>
      </c>
      <c r="N585" s="248">
        <f>RHcount!X579</f>
        <v>0</v>
      </c>
      <c r="O585" s="17"/>
      <c r="P585" s="17"/>
      <c r="Q585" s="17"/>
      <c r="R585" s="17"/>
      <c r="S585" s="17"/>
      <c r="T585" s="17"/>
      <c r="U585" s="4"/>
      <c r="V585" s="4"/>
    </row>
    <row r="586" spans="1:22" x14ac:dyDescent="0.25">
      <c r="A586" s="318" t="str">
        <f t="shared" si="24"/>
        <v>Sat</v>
      </c>
      <c r="B586" s="15"/>
      <c r="C586" s="16"/>
      <c r="D586" s="6"/>
      <c r="E586" s="6"/>
      <c r="F586" s="6"/>
      <c r="G586" s="6"/>
      <c r="H586" s="6"/>
      <c r="I586" s="6"/>
      <c r="J586" s="6"/>
      <c r="K586" s="6"/>
      <c r="L586" s="20"/>
      <c r="M586" s="84">
        <f t="shared" si="23"/>
        <v>0</v>
      </c>
      <c r="N586" s="248">
        <f>RHcount!X580</f>
        <v>0</v>
      </c>
      <c r="O586" s="17"/>
      <c r="P586" s="17"/>
      <c r="Q586" s="17"/>
      <c r="R586" s="17"/>
      <c r="S586" s="17"/>
      <c r="T586" s="17"/>
      <c r="U586" s="4"/>
      <c r="V586" s="4"/>
    </row>
    <row r="587" spans="1:22" x14ac:dyDescent="0.25">
      <c r="A587" s="318" t="str">
        <f t="shared" si="24"/>
        <v>Sat</v>
      </c>
      <c r="B587" s="15"/>
      <c r="C587" s="16"/>
      <c r="D587" s="6"/>
      <c r="E587" s="6"/>
      <c r="F587" s="6"/>
      <c r="G587" s="6"/>
      <c r="H587" s="6"/>
      <c r="I587" s="6"/>
      <c r="J587" s="6"/>
      <c r="K587" s="6"/>
      <c r="L587" s="20"/>
      <c r="M587" s="84">
        <f t="shared" ref="M587:M650" si="25">IF(F587&gt;"a",VLOOKUP(F587,$U$11:$V$26,2),F587)</f>
        <v>0</v>
      </c>
      <c r="N587" s="248">
        <f>RHcount!X581</f>
        <v>0</v>
      </c>
      <c r="O587" s="17"/>
      <c r="P587" s="17"/>
      <c r="Q587" s="17"/>
      <c r="R587" s="17"/>
      <c r="S587" s="17"/>
      <c r="T587" s="17"/>
      <c r="U587" s="4"/>
      <c r="V587" s="4"/>
    </row>
    <row r="588" spans="1:22" x14ac:dyDescent="0.25">
      <c r="A588" s="318" t="str">
        <f t="shared" si="24"/>
        <v>Sat</v>
      </c>
      <c r="B588" s="15"/>
      <c r="C588" s="16"/>
      <c r="D588" s="6"/>
      <c r="E588" s="6"/>
      <c r="F588" s="6"/>
      <c r="G588" s="6"/>
      <c r="H588" s="6"/>
      <c r="I588" s="6"/>
      <c r="J588" s="6"/>
      <c r="K588" s="6"/>
      <c r="L588" s="20"/>
      <c r="M588" s="84">
        <f t="shared" si="25"/>
        <v>0</v>
      </c>
      <c r="N588" s="248">
        <f>RHcount!X582</f>
        <v>0</v>
      </c>
      <c r="O588" s="17"/>
      <c r="P588" s="17"/>
      <c r="Q588" s="17"/>
      <c r="R588" s="17"/>
      <c r="S588" s="17"/>
      <c r="T588" s="17"/>
      <c r="U588" s="4"/>
      <c r="V588" s="4"/>
    </row>
    <row r="589" spans="1:22" x14ac:dyDescent="0.25">
      <c r="A589" s="318" t="str">
        <f t="shared" ref="A589:A652" si="26">TEXT(B589,"ddd")</f>
        <v>Sat</v>
      </c>
      <c r="B589" s="15"/>
      <c r="C589" s="16"/>
      <c r="D589" s="6"/>
      <c r="E589" s="6"/>
      <c r="F589" s="6"/>
      <c r="G589" s="6"/>
      <c r="H589" s="6"/>
      <c r="I589" s="6"/>
      <c r="J589" s="6"/>
      <c r="K589" s="6"/>
      <c r="L589" s="20"/>
      <c r="M589" s="84">
        <f t="shared" si="25"/>
        <v>0</v>
      </c>
      <c r="N589" s="248">
        <f>RHcount!X583</f>
        <v>0</v>
      </c>
      <c r="O589" s="17"/>
      <c r="P589" s="17"/>
      <c r="Q589" s="17"/>
      <c r="R589" s="17"/>
      <c r="S589" s="17"/>
      <c r="T589" s="17"/>
      <c r="U589" s="4"/>
      <c r="V589" s="4"/>
    </row>
    <row r="590" spans="1:22" x14ac:dyDescent="0.25">
      <c r="A590" s="318" t="str">
        <f t="shared" si="26"/>
        <v>Sat</v>
      </c>
      <c r="B590" s="15"/>
      <c r="C590" s="16"/>
      <c r="D590" s="6"/>
      <c r="E590" s="6"/>
      <c r="F590" s="6"/>
      <c r="G590" s="6"/>
      <c r="H590" s="6"/>
      <c r="I590" s="6"/>
      <c r="J590" s="6"/>
      <c r="K590" s="6"/>
      <c r="L590" s="20"/>
      <c r="M590" s="84">
        <f t="shared" si="25"/>
        <v>0</v>
      </c>
      <c r="N590" s="248">
        <f>RHcount!X584</f>
        <v>0</v>
      </c>
      <c r="O590" s="17"/>
      <c r="P590" s="17"/>
      <c r="Q590" s="17"/>
      <c r="R590" s="17"/>
      <c r="S590" s="17"/>
      <c r="T590" s="17"/>
      <c r="U590" s="4"/>
      <c r="V590" s="4"/>
    </row>
    <row r="591" spans="1:22" x14ac:dyDescent="0.25">
      <c r="A591" s="318" t="str">
        <f t="shared" si="26"/>
        <v>Sat</v>
      </c>
      <c r="B591" s="15"/>
      <c r="C591" s="16"/>
      <c r="D591" s="6"/>
      <c r="E591" s="6"/>
      <c r="F591" s="6"/>
      <c r="G591" s="6"/>
      <c r="H591" s="6"/>
      <c r="I591" s="6"/>
      <c r="J591" s="6"/>
      <c r="K591" s="6"/>
      <c r="L591" s="20"/>
      <c r="M591" s="84">
        <f t="shared" si="25"/>
        <v>0</v>
      </c>
      <c r="N591" s="248">
        <f>RHcount!X585</f>
        <v>0</v>
      </c>
      <c r="O591" s="17"/>
      <c r="P591" s="17"/>
      <c r="Q591" s="17"/>
      <c r="R591" s="17"/>
      <c r="S591" s="17"/>
      <c r="T591" s="17"/>
      <c r="U591" s="4"/>
      <c r="V591" s="4"/>
    </row>
    <row r="592" spans="1:22" x14ac:dyDescent="0.25">
      <c r="A592" s="318" t="str">
        <f t="shared" si="26"/>
        <v>Sat</v>
      </c>
      <c r="B592" s="15"/>
      <c r="C592" s="16"/>
      <c r="D592" s="6"/>
      <c r="E592" s="6"/>
      <c r="F592" s="6"/>
      <c r="G592" s="6"/>
      <c r="H592" s="6"/>
      <c r="I592" s="6"/>
      <c r="J592" s="6"/>
      <c r="K592" s="6"/>
      <c r="L592" s="20"/>
      <c r="M592" s="84">
        <f t="shared" si="25"/>
        <v>0</v>
      </c>
      <c r="N592" s="248">
        <f>RHcount!X586</f>
        <v>0</v>
      </c>
      <c r="O592" s="17"/>
      <c r="P592" s="17"/>
      <c r="Q592" s="17"/>
      <c r="R592" s="17"/>
      <c r="S592" s="17"/>
      <c r="T592" s="17"/>
      <c r="U592" s="4"/>
      <c r="V592" s="4"/>
    </row>
    <row r="593" spans="1:22" x14ac:dyDescent="0.25">
      <c r="A593" s="318" t="str">
        <f t="shared" si="26"/>
        <v>Sat</v>
      </c>
      <c r="B593" s="15"/>
      <c r="C593" s="16"/>
      <c r="D593" s="6"/>
      <c r="E593" s="6"/>
      <c r="F593" s="6"/>
      <c r="G593" s="6"/>
      <c r="H593" s="6"/>
      <c r="I593" s="6"/>
      <c r="J593" s="6"/>
      <c r="K593" s="6"/>
      <c r="L593" s="20"/>
      <c r="M593" s="84">
        <f t="shared" si="25"/>
        <v>0</v>
      </c>
      <c r="N593" s="248">
        <f>RHcount!X587</f>
        <v>0</v>
      </c>
      <c r="O593" s="17"/>
      <c r="P593" s="17"/>
      <c r="Q593" s="17"/>
      <c r="R593" s="17"/>
      <c r="S593" s="17"/>
      <c r="T593" s="17"/>
      <c r="U593" s="4"/>
      <c r="V593" s="4"/>
    </row>
    <row r="594" spans="1:22" x14ac:dyDescent="0.25">
      <c r="A594" s="318" t="str">
        <f t="shared" si="26"/>
        <v>Sat</v>
      </c>
      <c r="B594" s="15"/>
      <c r="C594" s="16"/>
      <c r="D594" s="6"/>
      <c r="E594" s="6"/>
      <c r="F594" s="6"/>
      <c r="G594" s="6"/>
      <c r="H594" s="6"/>
      <c r="I594" s="6"/>
      <c r="J594" s="6"/>
      <c r="K594" s="6"/>
      <c r="L594" s="20"/>
      <c r="M594" s="84">
        <f t="shared" si="25"/>
        <v>0</v>
      </c>
      <c r="N594" s="248">
        <f>RHcount!X588</f>
        <v>0</v>
      </c>
      <c r="O594" s="17"/>
      <c r="P594" s="17"/>
      <c r="Q594" s="17"/>
      <c r="R594" s="17"/>
      <c r="S594" s="17"/>
      <c r="T594" s="17"/>
      <c r="U594" s="4"/>
      <c r="V594" s="4"/>
    </row>
    <row r="595" spans="1:22" x14ac:dyDescent="0.25">
      <c r="A595" s="318" t="str">
        <f t="shared" si="26"/>
        <v>Sat</v>
      </c>
      <c r="B595" s="15"/>
      <c r="C595" s="16"/>
      <c r="D595" s="6"/>
      <c r="E595" s="6"/>
      <c r="F595" s="6"/>
      <c r="G595" s="6"/>
      <c r="H595" s="6"/>
      <c r="I595" s="6"/>
      <c r="J595" s="6"/>
      <c r="K595" s="6"/>
      <c r="L595" s="20"/>
      <c r="M595" s="84">
        <f t="shared" si="25"/>
        <v>0</v>
      </c>
      <c r="N595" s="248">
        <f>RHcount!X589</f>
        <v>0</v>
      </c>
      <c r="O595" s="17"/>
      <c r="P595" s="17"/>
      <c r="Q595" s="17"/>
      <c r="R595" s="17"/>
      <c r="S595" s="17"/>
      <c r="T595" s="17"/>
      <c r="U595" s="4"/>
      <c r="V595" s="4"/>
    </row>
    <row r="596" spans="1:22" x14ac:dyDescent="0.25">
      <c r="A596" s="318" t="str">
        <f t="shared" si="26"/>
        <v>Sat</v>
      </c>
      <c r="B596" s="15"/>
      <c r="C596" s="16"/>
      <c r="D596" s="6"/>
      <c r="E596" s="6"/>
      <c r="F596" s="6"/>
      <c r="G596" s="6"/>
      <c r="H596" s="6"/>
      <c r="I596" s="6"/>
      <c r="J596" s="6"/>
      <c r="K596" s="6"/>
      <c r="L596" s="20"/>
      <c r="M596" s="84">
        <f t="shared" si="25"/>
        <v>0</v>
      </c>
      <c r="N596" s="248">
        <f>RHcount!X590</f>
        <v>0</v>
      </c>
      <c r="O596" s="17"/>
      <c r="P596" s="17"/>
      <c r="Q596" s="17"/>
      <c r="R596" s="17"/>
      <c r="S596" s="17"/>
      <c r="T596" s="17"/>
      <c r="U596" s="4"/>
      <c r="V596" s="4"/>
    </row>
    <row r="597" spans="1:22" x14ac:dyDescent="0.25">
      <c r="A597" s="318" t="str">
        <f t="shared" si="26"/>
        <v>Sat</v>
      </c>
      <c r="B597" s="15"/>
      <c r="C597" s="16"/>
      <c r="D597" s="6"/>
      <c r="E597" s="6"/>
      <c r="F597" s="6"/>
      <c r="G597" s="6"/>
      <c r="H597" s="6"/>
      <c r="I597" s="6"/>
      <c r="J597" s="6"/>
      <c r="K597" s="6"/>
      <c r="L597" s="20"/>
      <c r="M597" s="84">
        <f t="shared" si="25"/>
        <v>0</v>
      </c>
      <c r="N597" s="248">
        <f>RHcount!X591</f>
        <v>0</v>
      </c>
      <c r="O597" s="17"/>
      <c r="P597" s="17"/>
      <c r="Q597" s="17"/>
      <c r="R597" s="17"/>
      <c r="S597" s="17"/>
      <c r="T597" s="17"/>
      <c r="U597" s="4"/>
      <c r="V597" s="4"/>
    </row>
    <row r="598" spans="1:22" x14ac:dyDescent="0.25">
      <c r="A598" s="318" t="str">
        <f t="shared" si="26"/>
        <v>Sat</v>
      </c>
      <c r="B598" s="15"/>
      <c r="C598" s="16"/>
      <c r="D598" s="6"/>
      <c r="E598" s="6"/>
      <c r="F598" s="6"/>
      <c r="G598" s="6"/>
      <c r="H598" s="6"/>
      <c r="I598" s="6"/>
      <c r="J598" s="6"/>
      <c r="K598" s="6"/>
      <c r="L598" s="20"/>
      <c r="M598" s="84">
        <f t="shared" si="25"/>
        <v>0</v>
      </c>
      <c r="N598" s="248">
        <f>RHcount!X592</f>
        <v>0</v>
      </c>
      <c r="O598" s="17"/>
      <c r="P598" s="17"/>
      <c r="Q598" s="17"/>
      <c r="R598" s="17"/>
      <c r="S598" s="17"/>
      <c r="T598" s="17"/>
      <c r="U598" s="4"/>
      <c r="V598" s="4"/>
    </row>
    <row r="599" spans="1:22" x14ac:dyDescent="0.25">
      <c r="A599" s="318" t="str">
        <f t="shared" si="26"/>
        <v>Sat</v>
      </c>
      <c r="B599" s="15"/>
      <c r="C599" s="16"/>
      <c r="D599" s="6"/>
      <c r="E599" s="6"/>
      <c r="F599" s="6"/>
      <c r="G599" s="6"/>
      <c r="H599" s="6"/>
      <c r="I599" s="6"/>
      <c r="J599" s="6"/>
      <c r="K599" s="6"/>
      <c r="L599" s="20"/>
      <c r="M599" s="84">
        <f t="shared" si="25"/>
        <v>0</v>
      </c>
      <c r="N599" s="248">
        <f>RHcount!X593</f>
        <v>0</v>
      </c>
      <c r="O599" s="17"/>
      <c r="P599" s="17"/>
      <c r="Q599" s="17"/>
      <c r="R599" s="17"/>
      <c r="S599" s="17"/>
      <c r="T599" s="17"/>
      <c r="U599" s="4"/>
      <c r="V599" s="4"/>
    </row>
    <row r="600" spans="1:22" x14ac:dyDescent="0.25">
      <c r="A600" s="318" t="str">
        <f t="shared" si="26"/>
        <v>Sat</v>
      </c>
      <c r="B600" s="15"/>
      <c r="C600" s="16"/>
      <c r="D600" s="6"/>
      <c r="E600" s="6"/>
      <c r="F600" s="6"/>
      <c r="G600" s="6"/>
      <c r="H600" s="6"/>
      <c r="I600" s="6"/>
      <c r="J600" s="6"/>
      <c r="K600" s="6"/>
      <c r="L600" s="20"/>
      <c r="M600" s="84">
        <f t="shared" si="25"/>
        <v>0</v>
      </c>
      <c r="N600" s="248">
        <f>RHcount!X594</f>
        <v>0</v>
      </c>
      <c r="O600" s="17"/>
      <c r="P600" s="17"/>
      <c r="Q600" s="17"/>
      <c r="R600" s="17"/>
      <c r="S600" s="17"/>
      <c r="T600" s="17"/>
      <c r="U600" s="4"/>
      <c r="V600" s="4"/>
    </row>
    <row r="601" spans="1:22" x14ac:dyDescent="0.25">
      <c r="A601" s="318" t="str">
        <f t="shared" si="26"/>
        <v>Sat</v>
      </c>
      <c r="B601" s="15"/>
      <c r="C601" s="16"/>
      <c r="D601" s="6"/>
      <c r="E601" s="6"/>
      <c r="F601" s="6"/>
      <c r="G601" s="6"/>
      <c r="H601" s="6"/>
      <c r="I601" s="6"/>
      <c r="J601" s="6"/>
      <c r="K601" s="6"/>
      <c r="L601" s="20"/>
      <c r="M601" s="84">
        <f t="shared" si="25"/>
        <v>0</v>
      </c>
      <c r="N601" s="248">
        <f>RHcount!X595</f>
        <v>0</v>
      </c>
      <c r="O601" s="17"/>
      <c r="P601" s="17"/>
      <c r="Q601" s="17"/>
      <c r="R601" s="17"/>
      <c r="S601" s="17"/>
      <c r="T601" s="17"/>
      <c r="U601" s="4"/>
      <c r="V601" s="4"/>
    </row>
    <row r="602" spans="1:22" x14ac:dyDescent="0.25">
      <c r="A602" s="318" t="str">
        <f t="shared" si="26"/>
        <v>Sat</v>
      </c>
      <c r="B602" s="15"/>
      <c r="C602" s="16"/>
      <c r="D602" s="6"/>
      <c r="E602" s="6"/>
      <c r="F602" s="6"/>
      <c r="G602" s="6"/>
      <c r="H602" s="6"/>
      <c r="I602" s="6"/>
      <c r="J602" s="6"/>
      <c r="K602" s="6"/>
      <c r="L602" s="20"/>
      <c r="M602" s="84">
        <f t="shared" si="25"/>
        <v>0</v>
      </c>
      <c r="N602" s="248">
        <f>RHcount!X596</f>
        <v>0</v>
      </c>
      <c r="O602" s="17"/>
      <c r="P602" s="17"/>
      <c r="Q602" s="17"/>
      <c r="R602" s="17"/>
      <c r="S602" s="17"/>
      <c r="T602" s="17"/>
      <c r="U602" s="4"/>
      <c r="V602" s="4"/>
    </row>
    <row r="603" spans="1:22" x14ac:dyDescent="0.25">
      <c r="A603" s="318" t="str">
        <f t="shared" si="26"/>
        <v>Sat</v>
      </c>
      <c r="B603" s="15"/>
      <c r="C603" s="16"/>
      <c r="D603" s="6"/>
      <c r="E603" s="6"/>
      <c r="F603" s="6"/>
      <c r="G603" s="6"/>
      <c r="H603" s="6"/>
      <c r="I603" s="6"/>
      <c r="J603" s="6"/>
      <c r="K603" s="6"/>
      <c r="L603" s="20"/>
      <c r="M603" s="84">
        <f t="shared" si="25"/>
        <v>0</v>
      </c>
      <c r="N603" s="248">
        <f>RHcount!X597</f>
        <v>0</v>
      </c>
      <c r="O603" s="17"/>
      <c r="P603" s="17"/>
      <c r="Q603" s="17"/>
      <c r="R603" s="17"/>
      <c r="S603" s="17"/>
      <c r="T603" s="17"/>
      <c r="U603" s="4"/>
      <c r="V603" s="4"/>
    </row>
    <row r="604" spans="1:22" x14ac:dyDescent="0.25">
      <c r="A604" s="318" t="str">
        <f t="shared" si="26"/>
        <v>Sat</v>
      </c>
      <c r="B604" s="15"/>
      <c r="C604" s="16"/>
      <c r="D604" s="6"/>
      <c r="E604" s="6"/>
      <c r="F604" s="6"/>
      <c r="G604" s="6"/>
      <c r="H604" s="6"/>
      <c r="I604" s="6"/>
      <c r="J604" s="6"/>
      <c r="K604" s="6"/>
      <c r="L604" s="20"/>
      <c r="M604" s="84">
        <f t="shared" si="25"/>
        <v>0</v>
      </c>
      <c r="N604" s="248">
        <f>RHcount!X598</f>
        <v>0</v>
      </c>
      <c r="O604" s="17"/>
      <c r="P604" s="17"/>
      <c r="Q604" s="17"/>
      <c r="R604" s="17"/>
      <c r="S604" s="17"/>
      <c r="T604" s="17"/>
      <c r="U604" s="4"/>
      <c r="V604" s="4"/>
    </row>
    <row r="605" spans="1:22" x14ac:dyDescent="0.25">
      <c r="A605" s="318" t="str">
        <f t="shared" si="26"/>
        <v>Sat</v>
      </c>
      <c r="B605" s="15"/>
      <c r="C605" s="16"/>
      <c r="D605" s="6"/>
      <c r="E605" s="6"/>
      <c r="F605" s="6"/>
      <c r="G605" s="6"/>
      <c r="H605" s="6"/>
      <c r="I605" s="6"/>
      <c r="J605" s="6"/>
      <c r="K605" s="6"/>
      <c r="L605" s="20"/>
      <c r="M605" s="84">
        <f t="shared" si="25"/>
        <v>0</v>
      </c>
      <c r="N605" s="248">
        <f>RHcount!X599</f>
        <v>0</v>
      </c>
      <c r="O605" s="17"/>
      <c r="P605" s="17"/>
      <c r="Q605" s="17"/>
      <c r="R605" s="17"/>
      <c r="S605" s="17"/>
      <c r="T605" s="17"/>
      <c r="U605" s="4"/>
      <c r="V605" s="4"/>
    </row>
    <row r="606" spans="1:22" x14ac:dyDescent="0.25">
      <c r="A606" s="318" t="str">
        <f t="shared" si="26"/>
        <v>Sat</v>
      </c>
      <c r="B606" s="15"/>
      <c r="C606" s="16"/>
      <c r="D606" s="6"/>
      <c r="E606" s="6"/>
      <c r="F606" s="6"/>
      <c r="G606" s="6"/>
      <c r="H606" s="6"/>
      <c r="I606" s="6"/>
      <c r="J606" s="6"/>
      <c r="K606" s="6"/>
      <c r="L606" s="20"/>
      <c r="M606" s="84">
        <f t="shared" si="25"/>
        <v>0</v>
      </c>
      <c r="N606" s="248">
        <f>RHcount!X600</f>
        <v>0</v>
      </c>
      <c r="O606" s="17"/>
      <c r="P606" s="17"/>
      <c r="Q606" s="17"/>
      <c r="R606" s="17"/>
      <c r="S606" s="17"/>
      <c r="T606" s="17"/>
      <c r="U606" s="4"/>
      <c r="V606" s="4"/>
    </row>
    <row r="607" spans="1:22" x14ac:dyDescent="0.25">
      <c r="A607" s="318" t="str">
        <f t="shared" si="26"/>
        <v>Sat</v>
      </c>
      <c r="B607" s="15"/>
      <c r="C607" s="16"/>
      <c r="D607" s="6"/>
      <c r="E607" s="6"/>
      <c r="F607" s="6"/>
      <c r="G607" s="6"/>
      <c r="H607" s="6"/>
      <c r="I607" s="6"/>
      <c r="J607" s="6"/>
      <c r="K607" s="6"/>
      <c r="L607" s="20"/>
      <c r="M607" s="84">
        <f t="shared" si="25"/>
        <v>0</v>
      </c>
      <c r="N607" s="248">
        <f>RHcount!X601</f>
        <v>0</v>
      </c>
      <c r="O607" s="17"/>
      <c r="P607" s="17"/>
      <c r="Q607" s="17"/>
      <c r="R607" s="17"/>
      <c r="S607" s="17"/>
      <c r="T607" s="17"/>
      <c r="U607" s="4"/>
      <c r="V607" s="4"/>
    </row>
    <row r="608" spans="1:22" x14ac:dyDescent="0.25">
      <c r="A608" s="318" t="str">
        <f t="shared" si="26"/>
        <v>Sat</v>
      </c>
      <c r="B608" s="15"/>
      <c r="C608" s="16"/>
      <c r="D608" s="6"/>
      <c r="E608" s="6"/>
      <c r="F608" s="6"/>
      <c r="G608" s="6"/>
      <c r="H608" s="6"/>
      <c r="I608" s="6"/>
      <c r="J608" s="6"/>
      <c r="K608" s="6"/>
      <c r="L608" s="20"/>
      <c r="M608" s="84">
        <f t="shared" si="25"/>
        <v>0</v>
      </c>
      <c r="N608" s="248">
        <f>RHcount!X602</f>
        <v>0</v>
      </c>
      <c r="O608" s="17"/>
      <c r="P608" s="17"/>
      <c r="Q608" s="17"/>
      <c r="R608" s="17"/>
      <c r="S608" s="17"/>
      <c r="T608" s="17"/>
      <c r="U608" s="4"/>
      <c r="V608" s="4"/>
    </row>
    <row r="609" spans="1:22" x14ac:dyDescent="0.25">
      <c r="A609" s="318" t="str">
        <f t="shared" si="26"/>
        <v>Sat</v>
      </c>
      <c r="B609" s="15"/>
      <c r="C609" s="16"/>
      <c r="D609" s="6"/>
      <c r="E609" s="6"/>
      <c r="F609" s="6"/>
      <c r="G609" s="6"/>
      <c r="H609" s="6"/>
      <c r="I609" s="6"/>
      <c r="J609" s="6"/>
      <c r="K609" s="6"/>
      <c r="L609" s="20"/>
      <c r="M609" s="84">
        <f t="shared" si="25"/>
        <v>0</v>
      </c>
      <c r="N609" s="248">
        <f>RHcount!X603</f>
        <v>0</v>
      </c>
      <c r="O609" s="17"/>
      <c r="P609" s="17"/>
      <c r="Q609" s="17"/>
      <c r="R609" s="17"/>
      <c r="S609" s="17"/>
      <c r="T609" s="17"/>
      <c r="U609" s="4"/>
      <c r="V609" s="4"/>
    </row>
    <row r="610" spans="1:22" x14ac:dyDescent="0.25">
      <c r="A610" s="318" t="str">
        <f t="shared" si="26"/>
        <v>Sat</v>
      </c>
      <c r="B610" s="15"/>
      <c r="C610" s="16"/>
      <c r="D610" s="6"/>
      <c r="E610" s="6"/>
      <c r="F610" s="6"/>
      <c r="G610" s="6"/>
      <c r="H610" s="6"/>
      <c r="I610" s="6"/>
      <c r="J610" s="6"/>
      <c r="K610" s="6"/>
      <c r="L610" s="20"/>
      <c r="M610" s="84">
        <f t="shared" si="25"/>
        <v>0</v>
      </c>
      <c r="N610" s="248">
        <f>RHcount!X604</f>
        <v>0</v>
      </c>
      <c r="O610" s="17"/>
      <c r="P610" s="17"/>
      <c r="Q610" s="17"/>
      <c r="R610" s="17"/>
      <c r="S610" s="17"/>
      <c r="T610" s="17"/>
      <c r="U610" s="4"/>
      <c r="V610" s="4"/>
    </row>
    <row r="611" spans="1:22" x14ac:dyDescent="0.25">
      <c r="A611" s="318" t="str">
        <f t="shared" si="26"/>
        <v>Sat</v>
      </c>
      <c r="B611" s="15"/>
      <c r="C611" s="16"/>
      <c r="D611" s="6"/>
      <c r="E611" s="6"/>
      <c r="F611" s="6"/>
      <c r="G611" s="6"/>
      <c r="H611" s="6"/>
      <c r="I611" s="6"/>
      <c r="J611" s="6"/>
      <c r="K611" s="6"/>
      <c r="L611" s="20"/>
      <c r="M611" s="84">
        <f t="shared" si="25"/>
        <v>0</v>
      </c>
      <c r="N611" s="248">
        <f>RHcount!X605</f>
        <v>0</v>
      </c>
      <c r="O611" s="17"/>
      <c r="P611" s="17"/>
      <c r="Q611" s="17"/>
      <c r="R611" s="17"/>
      <c r="S611" s="17"/>
      <c r="T611" s="17"/>
      <c r="U611" s="4"/>
      <c r="V611" s="4"/>
    </row>
    <row r="612" spans="1:22" x14ac:dyDescent="0.25">
      <c r="A612" s="318" t="str">
        <f t="shared" si="26"/>
        <v>Sat</v>
      </c>
      <c r="B612" s="15"/>
      <c r="C612" s="16"/>
      <c r="D612" s="6"/>
      <c r="E612" s="6"/>
      <c r="F612" s="6"/>
      <c r="G612" s="6"/>
      <c r="H612" s="6"/>
      <c r="I612" s="6"/>
      <c r="J612" s="6"/>
      <c r="K612" s="6"/>
      <c r="L612" s="20"/>
      <c r="M612" s="84">
        <f t="shared" si="25"/>
        <v>0</v>
      </c>
      <c r="N612" s="248">
        <f>RHcount!X606</f>
        <v>0</v>
      </c>
      <c r="O612" s="17"/>
      <c r="P612" s="17"/>
      <c r="Q612" s="17"/>
      <c r="R612" s="17"/>
      <c r="S612" s="17"/>
      <c r="T612" s="17"/>
      <c r="U612" s="4"/>
      <c r="V612" s="4"/>
    </row>
    <row r="613" spans="1:22" x14ac:dyDescent="0.25">
      <c r="A613" s="318" t="str">
        <f t="shared" si="26"/>
        <v>Sat</v>
      </c>
      <c r="B613" s="15"/>
      <c r="C613" s="16"/>
      <c r="D613" s="6"/>
      <c r="E613" s="6"/>
      <c r="F613" s="6"/>
      <c r="G613" s="6"/>
      <c r="H613" s="6"/>
      <c r="I613" s="6"/>
      <c r="J613" s="6"/>
      <c r="K613" s="6"/>
      <c r="L613" s="20"/>
      <c r="M613" s="84">
        <f t="shared" si="25"/>
        <v>0</v>
      </c>
      <c r="N613" s="248">
        <f>RHcount!X607</f>
        <v>0</v>
      </c>
      <c r="O613" s="17"/>
      <c r="P613" s="17"/>
      <c r="Q613" s="17"/>
      <c r="R613" s="17"/>
      <c r="S613" s="17"/>
      <c r="T613" s="17"/>
      <c r="U613" s="4"/>
      <c r="V613" s="4"/>
    </row>
    <row r="614" spans="1:22" x14ac:dyDescent="0.25">
      <c r="A614" s="318" t="str">
        <f t="shared" si="26"/>
        <v>Sat</v>
      </c>
      <c r="B614" s="15"/>
      <c r="C614" s="16"/>
      <c r="D614" s="6"/>
      <c r="E614" s="6"/>
      <c r="F614" s="6"/>
      <c r="G614" s="6"/>
      <c r="H614" s="6"/>
      <c r="I614" s="6"/>
      <c r="J614" s="6"/>
      <c r="K614" s="6"/>
      <c r="L614" s="20"/>
      <c r="M614" s="84">
        <f t="shared" si="25"/>
        <v>0</v>
      </c>
      <c r="N614" s="248">
        <f>RHcount!X608</f>
        <v>0</v>
      </c>
      <c r="O614" s="17"/>
      <c r="P614" s="17"/>
      <c r="Q614" s="17"/>
      <c r="R614" s="17"/>
      <c r="S614" s="17"/>
      <c r="T614" s="17"/>
      <c r="U614" s="4"/>
      <c r="V614" s="4"/>
    </row>
    <row r="615" spans="1:22" x14ac:dyDescent="0.25">
      <c r="A615" s="318" t="str">
        <f t="shared" si="26"/>
        <v>Sat</v>
      </c>
      <c r="B615" s="15"/>
      <c r="C615" s="16"/>
      <c r="D615" s="6"/>
      <c r="E615" s="6"/>
      <c r="F615" s="6"/>
      <c r="G615" s="6"/>
      <c r="H615" s="6"/>
      <c r="I615" s="6"/>
      <c r="J615" s="6"/>
      <c r="K615" s="6"/>
      <c r="L615" s="20"/>
      <c r="M615" s="84">
        <f t="shared" si="25"/>
        <v>0</v>
      </c>
      <c r="N615" s="248">
        <f>RHcount!X609</f>
        <v>0</v>
      </c>
      <c r="O615" s="17"/>
      <c r="P615" s="17"/>
      <c r="Q615" s="17"/>
      <c r="R615" s="17"/>
      <c r="S615" s="17"/>
      <c r="T615" s="17"/>
      <c r="U615" s="4"/>
      <c r="V615" s="4"/>
    </row>
    <row r="616" spans="1:22" x14ac:dyDescent="0.25">
      <c r="A616" s="318" t="str">
        <f t="shared" si="26"/>
        <v>Sat</v>
      </c>
      <c r="B616" s="15"/>
      <c r="C616" s="16"/>
      <c r="D616" s="6"/>
      <c r="E616" s="6"/>
      <c r="F616" s="6"/>
      <c r="G616" s="6"/>
      <c r="H616" s="6"/>
      <c r="I616" s="6"/>
      <c r="J616" s="6"/>
      <c r="K616" s="6"/>
      <c r="L616" s="20"/>
      <c r="M616" s="84">
        <f t="shared" si="25"/>
        <v>0</v>
      </c>
      <c r="N616" s="248">
        <f>RHcount!X610</f>
        <v>0</v>
      </c>
      <c r="O616" s="17"/>
      <c r="P616" s="17"/>
      <c r="Q616" s="17"/>
      <c r="R616" s="17"/>
      <c r="S616" s="17"/>
      <c r="T616" s="17"/>
      <c r="U616" s="4"/>
      <c r="V616" s="4"/>
    </row>
    <row r="617" spans="1:22" x14ac:dyDescent="0.25">
      <c r="A617" s="318" t="str">
        <f t="shared" si="26"/>
        <v>Sat</v>
      </c>
      <c r="B617" s="15"/>
      <c r="C617" s="16"/>
      <c r="D617" s="6"/>
      <c r="E617" s="6"/>
      <c r="F617" s="6"/>
      <c r="G617" s="6"/>
      <c r="H617" s="6"/>
      <c r="I617" s="6"/>
      <c r="J617" s="6"/>
      <c r="K617" s="6"/>
      <c r="L617" s="20"/>
      <c r="M617" s="84">
        <f t="shared" si="25"/>
        <v>0</v>
      </c>
      <c r="N617" s="248">
        <f>RHcount!X611</f>
        <v>0</v>
      </c>
      <c r="O617" s="17"/>
      <c r="P617" s="17"/>
      <c r="Q617" s="17"/>
      <c r="R617" s="17"/>
      <c r="S617" s="17"/>
      <c r="T617" s="17"/>
      <c r="U617" s="4"/>
      <c r="V617" s="4"/>
    </row>
    <row r="618" spans="1:22" x14ac:dyDescent="0.25">
      <c r="A618" s="318" t="str">
        <f t="shared" si="26"/>
        <v>Sat</v>
      </c>
      <c r="B618" s="15"/>
      <c r="C618" s="16"/>
      <c r="D618" s="6"/>
      <c r="E618" s="6"/>
      <c r="F618" s="6"/>
      <c r="G618" s="6"/>
      <c r="H618" s="6"/>
      <c r="I618" s="6"/>
      <c r="J618" s="6"/>
      <c r="K618" s="6"/>
      <c r="L618" s="20"/>
      <c r="M618" s="84">
        <f t="shared" si="25"/>
        <v>0</v>
      </c>
      <c r="N618" s="248">
        <f>RHcount!X612</f>
        <v>0</v>
      </c>
      <c r="O618" s="17"/>
      <c r="P618" s="17"/>
      <c r="Q618" s="17"/>
      <c r="R618" s="17"/>
      <c r="S618" s="17"/>
      <c r="T618" s="17"/>
      <c r="U618" s="4"/>
      <c r="V618" s="4"/>
    </row>
    <row r="619" spans="1:22" x14ac:dyDescent="0.25">
      <c r="A619" s="318" t="str">
        <f t="shared" si="26"/>
        <v>Sat</v>
      </c>
      <c r="B619" s="15"/>
      <c r="C619" s="16"/>
      <c r="D619" s="6"/>
      <c r="E619" s="6"/>
      <c r="F619" s="6"/>
      <c r="G619" s="6"/>
      <c r="H619" s="6"/>
      <c r="I619" s="6"/>
      <c r="J619" s="6"/>
      <c r="K619" s="6"/>
      <c r="L619" s="20"/>
      <c r="M619" s="84">
        <f t="shared" si="25"/>
        <v>0</v>
      </c>
      <c r="N619" s="248">
        <f>RHcount!X613</f>
        <v>0</v>
      </c>
      <c r="O619" s="17"/>
      <c r="P619" s="17"/>
      <c r="Q619" s="17"/>
      <c r="R619" s="17"/>
      <c r="S619" s="17"/>
      <c r="T619" s="17"/>
      <c r="U619" s="4"/>
      <c r="V619" s="4"/>
    </row>
    <row r="620" spans="1:22" x14ac:dyDescent="0.25">
      <c r="A620" s="318" t="str">
        <f t="shared" si="26"/>
        <v>Sat</v>
      </c>
      <c r="B620" s="15"/>
      <c r="C620" s="16"/>
      <c r="D620" s="6"/>
      <c r="E620" s="6"/>
      <c r="F620" s="6"/>
      <c r="G620" s="6"/>
      <c r="H620" s="6"/>
      <c r="I620" s="6"/>
      <c r="J620" s="6"/>
      <c r="K620" s="6"/>
      <c r="L620" s="20"/>
      <c r="M620" s="84">
        <f t="shared" si="25"/>
        <v>0</v>
      </c>
      <c r="N620" s="248">
        <f>RHcount!X614</f>
        <v>0</v>
      </c>
      <c r="O620" s="17"/>
      <c r="P620" s="17"/>
      <c r="Q620" s="17"/>
      <c r="R620" s="17"/>
      <c r="S620" s="17"/>
      <c r="T620" s="17"/>
      <c r="U620" s="4"/>
      <c r="V620" s="4"/>
    </row>
    <row r="621" spans="1:22" x14ac:dyDescent="0.25">
      <c r="A621" s="318" t="str">
        <f t="shared" si="26"/>
        <v>Sat</v>
      </c>
      <c r="B621" s="15"/>
      <c r="C621" s="16"/>
      <c r="D621" s="6"/>
      <c r="E621" s="6"/>
      <c r="F621" s="6"/>
      <c r="G621" s="6"/>
      <c r="H621" s="6"/>
      <c r="I621" s="6"/>
      <c r="J621" s="6"/>
      <c r="K621" s="6"/>
      <c r="L621" s="20"/>
      <c r="M621" s="84">
        <f t="shared" si="25"/>
        <v>0</v>
      </c>
      <c r="N621" s="248">
        <f>RHcount!X615</f>
        <v>0</v>
      </c>
      <c r="O621" s="17"/>
      <c r="P621" s="17"/>
      <c r="Q621" s="17"/>
      <c r="R621" s="17"/>
      <c r="S621" s="17"/>
      <c r="T621" s="17"/>
      <c r="U621" s="4"/>
      <c r="V621" s="4"/>
    </row>
    <row r="622" spans="1:22" x14ac:dyDescent="0.25">
      <c r="A622" s="318" t="str">
        <f t="shared" si="26"/>
        <v>Sat</v>
      </c>
      <c r="B622" s="15"/>
      <c r="C622" s="16"/>
      <c r="D622" s="6"/>
      <c r="E622" s="6"/>
      <c r="F622" s="6"/>
      <c r="G622" s="6"/>
      <c r="H622" s="6"/>
      <c r="I622" s="6"/>
      <c r="J622" s="6"/>
      <c r="K622" s="6"/>
      <c r="L622" s="20"/>
      <c r="M622" s="84">
        <f t="shared" si="25"/>
        <v>0</v>
      </c>
      <c r="N622" s="248">
        <f>RHcount!X616</f>
        <v>0</v>
      </c>
      <c r="O622" s="17"/>
      <c r="P622" s="17"/>
      <c r="Q622" s="17"/>
      <c r="R622" s="17"/>
      <c r="S622" s="17"/>
      <c r="T622" s="17"/>
      <c r="U622" s="4"/>
      <c r="V622" s="4"/>
    </row>
    <row r="623" spans="1:22" x14ac:dyDescent="0.25">
      <c r="A623" s="318" t="str">
        <f t="shared" si="26"/>
        <v>Sat</v>
      </c>
      <c r="B623" s="15"/>
      <c r="C623" s="16"/>
      <c r="D623" s="6"/>
      <c r="E623" s="6"/>
      <c r="F623" s="6"/>
      <c r="G623" s="6"/>
      <c r="H623" s="6"/>
      <c r="I623" s="6"/>
      <c r="J623" s="6"/>
      <c r="K623" s="6"/>
      <c r="L623" s="20"/>
      <c r="M623" s="84">
        <f t="shared" si="25"/>
        <v>0</v>
      </c>
      <c r="N623" s="248">
        <f>RHcount!X617</f>
        <v>0</v>
      </c>
      <c r="O623" s="17"/>
      <c r="P623" s="17"/>
      <c r="Q623" s="17"/>
      <c r="R623" s="17"/>
      <c r="S623" s="17"/>
      <c r="T623" s="17"/>
      <c r="U623" s="4"/>
      <c r="V623" s="4"/>
    </row>
    <row r="624" spans="1:22" x14ac:dyDescent="0.25">
      <c r="A624" s="318" t="str">
        <f t="shared" si="26"/>
        <v>Sat</v>
      </c>
      <c r="B624" s="15"/>
      <c r="C624" s="16"/>
      <c r="D624" s="6"/>
      <c r="E624" s="6"/>
      <c r="F624" s="6"/>
      <c r="G624" s="6"/>
      <c r="H624" s="6"/>
      <c r="I624" s="6"/>
      <c r="J624" s="6"/>
      <c r="K624" s="6"/>
      <c r="L624" s="20"/>
      <c r="M624" s="84">
        <f t="shared" si="25"/>
        <v>0</v>
      </c>
      <c r="N624" s="248">
        <f>RHcount!X618</f>
        <v>0</v>
      </c>
      <c r="O624" s="17"/>
      <c r="P624" s="17"/>
      <c r="Q624" s="17"/>
      <c r="R624" s="17"/>
      <c r="S624" s="17"/>
      <c r="T624" s="17"/>
      <c r="U624" s="4"/>
      <c r="V624" s="4"/>
    </row>
    <row r="625" spans="1:22" x14ac:dyDescent="0.25">
      <c r="A625" s="318" t="str">
        <f t="shared" si="26"/>
        <v>Sat</v>
      </c>
      <c r="B625" s="15"/>
      <c r="C625" s="16"/>
      <c r="D625" s="6"/>
      <c r="E625" s="6"/>
      <c r="F625" s="6"/>
      <c r="G625" s="6"/>
      <c r="H625" s="6"/>
      <c r="I625" s="6"/>
      <c r="J625" s="6"/>
      <c r="K625" s="6"/>
      <c r="L625" s="20"/>
      <c r="M625" s="84">
        <f t="shared" si="25"/>
        <v>0</v>
      </c>
      <c r="N625" s="248">
        <f>RHcount!X619</f>
        <v>0</v>
      </c>
      <c r="O625" s="17"/>
      <c r="P625" s="17"/>
      <c r="Q625" s="17"/>
      <c r="R625" s="17"/>
      <c r="S625" s="17"/>
      <c r="T625" s="17"/>
      <c r="U625" s="4"/>
      <c r="V625" s="4"/>
    </row>
    <row r="626" spans="1:22" x14ac:dyDescent="0.25">
      <c r="A626" s="318" t="str">
        <f t="shared" si="26"/>
        <v>Sat</v>
      </c>
      <c r="B626" s="15"/>
      <c r="C626" s="16"/>
      <c r="D626" s="6"/>
      <c r="E626" s="6"/>
      <c r="F626" s="6"/>
      <c r="G626" s="6"/>
      <c r="H626" s="6"/>
      <c r="I626" s="6"/>
      <c r="J626" s="6"/>
      <c r="K626" s="6"/>
      <c r="L626" s="20"/>
      <c r="M626" s="84">
        <f t="shared" si="25"/>
        <v>0</v>
      </c>
      <c r="N626" s="248">
        <f>RHcount!X620</f>
        <v>0</v>
      </c>
      <c r="O626" s="17"/>
      <c r="P626" s="17"/>
      <c r="Q626" s="17"/>
      <c r="R626" s="17"/>
      <c r="S626" s="17"/>
      <c r="T626" s="17"/>
      <c r="U626" s="4"/>
      <c r="V626" s="4"/>
    </row>
    <row r="627" spans="1:22" x14ac:dyDescent="0.25">
      <c r="A627" s="318" t="str">
        <f t="shared" si="26"/>
        <v>Sat</v>
      </c>
      <c r="B627" s="15"/>
      <c r="C627" s="16"/>
      <c r="D627" s="6"/>
      <c r="E627" s="6"/>
      <c r="F627" s="6"/>
      <c r="G627" s="6"/>
      <c r="H627" s="6"/>
      <c r="I627" s="6"/>
      <c r="J627" s="6"/>
      <c r="K627" s="6"/>
      <c r="L627" s="20"/>
      <c r="M627" s="84">
        <f t="shared" si="25"/>
        <v>0</v>
      </c>
      <c r="N627" s="248">
        <f>RHcount!X621</f>
        <v>0</v>
      </c>
      <c r="O627" s="17"/>
      <c r="P627" s="17"/>
      <c r="Q627" s="17"/>
      <c r="R627" s="17"/>
      <c r="S627" s="17"/>
      <c r="T627" s="17"/>
      <c r="U627" s="4"/>
      <c r="V627" s="4"/>
    </row>
    <row r="628" spans="1:22" x14ac:dyDescent="0.25">
      <c r="A628" s="318" t="str">
        <f t="shared" si="26"/>
        <v>Sat</v>
      </c>
      <c r="B628" s="15"/>
      <c r="C628" s="16"/>
      <c r="D628" s="6"/>
      <c r="E628" s="6"/>
      <c r="F628" s="6"/>
      <c r="G628" s="6"/>
      <c r="H628" s="6"/>
      <c r="I628" s="6"/>
      <c r="J628" s="6"/>
      <c r="K628" s="6"/>
      <c r="L628" s="20"/>
      <c r="M628" s="84">
        <f t="shared" si="25"/>
        <v>0</v>
      </c>
      <c r="N628" s="248">
        <f>RHcount!X622</f>
        <v>0</v>
      </c>
      <c r="O628" s="17"/>
      <c r="P628" s="17"/>
      <c r="Q628" s="17"/>
      <c r="R628" s="17"/>
      <c r="S628" s="17"/>
      <c r="T628" s="17"/>
      <c r="U628" s="4"/>
      <c r="V628" s="4"/>
    </row>
    <row r="629" spans="1:22" x14ac:dyDescent="0.25">
      <c r="A629" s="318" t="str">
        <f t="shared" si="26"/>
        <v>Sat</v>
      </c>
      <c r="B629" s="15"/>
      <c r="C629" s="16"/>
      <c r="D629" s="6"/>
      <c r="E629" s="6"/>
      <c r="F629" s="6"/>
      <c r="G629" s="6"/>
      <c r="H629" s="6"/>
      <c r="I629" s="6"/>
      <c r="J629" s="6"/>
      <c r="K629" s="6"/>
      <c r="L629" s="20"/>
      <c r="M629" s="84">
        <f t="shared" si="25"/>
        <v>0</v>
      </c>
      <c r="N629" s="248">
        <f>RHcount!X623</f>
        <v>0</v>
      </c>
      <c r="O629" s="17"/>
      <c r="P629" s="17"/>
      <c r="Q629" s="17"/>
      <c r="R629" s="17"/>
      <c r="S629" s="17"/>
      <c r="T629" s="17"/>
      <c r="U629" s="4"/>
      <c r="V629" s="4"/>
    </row>
    <row r="630" spans="1:22" x14ac:dyDescent="0.25">
      <c r="A630" s="318" t="str">
        <f t="shared" si="26"/>
        <v>Sat</v>
      </c>
      <c r="B630" s="15"/>
      <c r="C630" s="16"/>
      <c r="D630" s="6"/>
      <c r="E630" s="6"/>
      <c r="F630" s="6"/>
      <c r="G630" s="6"/>
      <c r="H630" s="6"/>
      <c r="I630" s="6"/>
      <c r="J630" s="6"/>
      <c r="K630" s="6"/>
      <c r="L630" s="20"/>
      <c r="M630" s="84">
        <f t="shared" si="25"/>
        <v>0</v>
      </c>
      <c r="N630" s="248">
        <f>RHcount!X624</f>
        <v>0</v>
      </c>
      <c r="O630" s="17"/>
      <c r="P630" s="17"/>
      <c r="Q630" s="17"/>
      <c r="R630" s="17"/>
      <c r="S630" s="17"/>
      <c r="T630" s="17"/>
      <c r="U630" s="4"/>
      <c r="V630" s="4"/>
    </row>
    <row r="631" spans="1:22" x14ac:dyDescent="0.25">
      <c r="A631" s="318" t="str">
        <f t="shared" si="26"/>
        <v>Sat</v>
      </c>
      <c r="B631" s="15"/>
      <c r="C631" s="16"/>
      <c r="D631" s="6"/>
      <c r="E631" s="6"/>
      <c r="F631" s="6"/>
      <c r="G631" s="6"/>
      <c r="H631" s="6"/>
      <c r="I631" s="6"/>
      <c r="J631" s="6"/>
      <c r="K631" s="6"/>
      <c r="L631" s="20"/>
      <c r="M631" s="84">
        <f t="shared" si="25"/>
        <v>0</v>
      </c>
      <c r="N631" s="248">
        <f>RHcount!X625</f>
        <v>0</v>
      </c>
      <c r="O631" s="17"/>
      <c r="P631" s="17"/>
      <c r="Q631" s="17"/>
      <c r="R631" s="17"/>
      <c r="S631" s="17"/>
      <c r="T631" s="17"/>
      <c r="U631" s="4"/>
      <c r="V631" s="4"/>
    </row>
    <row r="632" spans="1:22" x14ac:dyDescent="0.25">
      <c r="A632" s="318" t="str">
        <f t="shared" si="26"/>
        <v>Sat</v>
      </c>
      <c r="B632" s="15"/>
      <c r="C632" s="16"/>
      <c r="D632" s="6"/>
      <c r="E632" s="6"/>
      <c r="F632" s="6"/>
      <c r="G632" s="6"/>
      <c r="H632" s="6"/>
      <c r="I632" s="6"/>
      <c r="J632" s="6"/>
      <c r="K632" s="6"/>
      <c r="L632" s="20"/>
      <c r="M632" s="84">
        <f t="shared" si="25"/>
        <v>0</v>
      </c>
      <c r="N632" s="248">
        <f>RHcount!X626</f>
        <v>0</v>
      </c>
      <c r="O632" s="17"/>
      <c r="P632" s="17"/>
      <c r="Q632" s="17"/>
      <c r="R632" s="17"/>
      <c r="S632" s="17"/>
      <c r="T632" s="17"/>
      <c r="U632" s="4"/>
      <c r="V632" s="4"/>
    </row>
    <row r="633" spans="1:22" x14ac:dyDescent="0.25">
      <c r="A633" s="318" t="str">
        <f t="shared" si="26"/>
        <v>Sat</v>
      </c>
      <c r="B633" s="15"/>
      <c r="C633" s="16"/>
      <c r="D633" s="6"/>
      <c r="E633" s="6"/>
      <c r="F633" s="6"/>
      <c r="G633" s="6"/>
      <c r="H633" s="6"/>
      <c r="I633" s="6"/>
      <c r="J633" s="6"/>
      <c r="K633" s="6"/>
      <c r="L633" s="20"/>
      <c r="M633" s="84">
        <f t="shared" si="25"/>
        <v>0</v>
      </c>
      <c r="N633" s="248">
        <f>RHcount!X627</f>
        <v>0</v>
      </c>
      <c r="O633" s="17"/>
      <c r="P633" s="17"/>
      <c r="Q633" s="17"/>
      <c r="R633" s="17"/>
      <c r="S633" s="17"/>
      <c r="T633" s="17"/>
      <c r="U633" s="4"/>
      <c r="V633" s="4"/>
    </row>
    <row r="634" spans="1:22" x14ac:dyDescent="0.25">
      <c r="A634" s="318" t="str">
        <f t="shared" si="26"/>
        <v>Sat</v>
      </c>
      <c r="B634" s="15"/>
      <c r="C634" s="16"/>
      <c r="D634" s="6"/>
      <c r="E634" s="6"/>
      <c r="F634" s="6"/>
      <c r="G634" s="6"/>
      <c r="H634" s="6"/>
      <c r="I634" s="6"/>
      <c r="J634" s="6"/>
      <c r="K634" s="6"/>
      <c r="L634" s="20"/>
      <c r="M634" s="84">
        <f t="shared" si="25"/>
        <v>0</v>
      </c>
      <c r="N634" s="248">
        <f>RHcount!X628</f>
        <v>0</v>
      </c>
      <c r="O634" s="17"/>
      <c r="P634" s="17"/>
      <c r="Q634" s="17"/>
      <c r="R634" s="17"/>
      <c r="S634" s="17"/>
      <c r="T634" s="17"/>
      <c r="U634" s="4"/>
      <c r="V634" s="4"/>
    </row>
    <row r="635" spans="1:22" x14ac:dyDescent="0.25">
      <c r="A635" s="318" t="str">
        <f t="shared" si="26"/>
        <v>Sat</v>
      </c>
      <c r="B635" s="15"/>
      <c r="C635" s="16"/>
      <c r="D635" s="6"/>
      <c r="E635" s="6"/>
      <c r="F635" s="6"/>
      <c r="G635" s="6"/>
      <c r="H635" s="6"/>
      <c r="I635" s="6"/>
      <c r="J635" s="6"/>
      <c r="K635" s="6"/>
      <c r="L635" s="20"/>
      <c r="M635" s="84">
        <f t="shared" si="25"/>
        <v>0</v>
      </c>
      <c r="N635" s="248">
        <f>RHcount!X629</f>
        <v>0</v>
      </c>
      <c r="O635" s="17"/>
      <c r="P635" s="17"/>
      <c r="Q635" s="17"/>
      <c r="R635" s="17"/>
      <c r="S635" s="17"/>
      <c r="T635" s="17"/>
      <c r="U635" s="4"/>
      <c r="V635" s="4"/>
    </row>
    <row r="636" spans="1:22" x14ac:dyDescent="0.25">
      <c r="A636" s="318" t="str">
        <f t="shared" si="26"/>
        <v>Sat</v>
      </c>
      <c r="B636" s="15"/>
      <c r="C636" s="16"/>
      <c r="D636" s="6"/>
      <c r="E636" s="6"/>
      <c r="F636" s="6"/>
      <c r="G636" s="6"/>
      <c r="H636" s="6"/>
      <c r="I636" s="6"/>
      <c r="J636" s="6"/>
      <c r="K636" s="6"/>
      <c r="L636" s="20"/>
      <c r="M636" s="84">
        <f t="shared" si="25"/>
        <v>0</v>
      </c>
      <c r="N636" s="248">
        <f>RHcount!X630</f>
        <v>0</v>
      </c>
      <c r="O636" s="17"/>
      <c r="P636" s="17"/>
      <c r="Q636" s="17"/>
      <c r="R636" s="17"/>
      <c r="S636" s="17"/>
      <c r="T636" s="17"/>
      <c r="U636" s="4"/>
      <c r="V636" s="4"/>
    </row>
    <row r="637" spans="1:22" x14ac:dyDescent="0.25">
      <c r="A637" s="318" t="str">
        <f t="shared" si="26"/>
        <v>Sat</v>
      </c>
      <c r="B637" s="15"/>
      <c r="C637" s="16"/>
      <c r="D637" s="6"/>
      <c r="E637" s="6"/>
      <c r="F637" s="6"/>
      <c r="G637" s="6"/>
      <c r="H637" s="6"/>
      <c r="I637" s="6"/>
      <c r="J637" s="6"/>
      <c r="K637" s="6"/>
      <c r="L637" s="20"/>
      <c r="M637" s="84">
        <f t="shared" si="25"/>
        <v>0</v>
      </c>
      <c r="N637" s="248">
        <f>RHcount!X631</f>
        <v>0</v>
      </c>
      <c r="O637" s="17"/>
      <c r="P637" s="17"/>
      <c r="Q637" s="17"/>
      <c r="R637" s="17"/>
      <c r="S637" s="17"/>
      <c r="T637" s="17"/>
      <c r="U637" s="4"/>
      <c r="V637" s="4"/>
    </row>
    <row r="638" spans="1:22" x14ac:dyDescent="0.25">
      <c r="A638" s="318" t="str">
        <f t="shared" si="26"/>
        <v>Sat</v>
      </c>
      <c r="B638" s="15"/>
      <c r="C638" s="16"/>
      <c r="D638" s="6"/>
      <c r="E638" s="6"/>
      <c r="F638" s="6"/>
      <c r="G638" s="6"/>
      <c r="H638" s="6"/>
      <c r="I638" s="6"/>
      <c r="J638" s="6"/>
      <c r="K638" s="6"/>
      <c r="L638" s="20"/>
      <c r="M638" s="84">
        <f t="shared" si="25"/>
        <v>0</v>
      </c>
      <c r="N638" s="248">
        <f>RHcount!X632</f>
        <v>0</v>
      </c>
      <c r="O638" s="17"/>
      <c r="P638" s="17"/>
      <c r="Q638" s="17"/>
      <c r="R638" s="17"/>
      <c r="S638" s="17"/>
      <c r="T638" s="17"/>
      <c r="U638" s="4"/>
      <c r="V638" s="4"/>
    </row>
    <row r="639" spans="1:22" x14ac:dyDescent="0.25">
      <c r="A639" s="318" t="str">
        <f t="shared" si="26"/>
        <v>Sat</v>
      </c>
      <c r="B639" s="15"/>
      <c r="C639" s="16"/>
      <c r="D639" s="6"/>
      <c r="E639" s="6"/>
      <c r="F639" s="6"/>
      <c r="G639" s="6"/>
      <c r="H639" s="6"/>
      <c r="I639" s="6"/>
      <c r="J639" s="6"/>
      <c r="K639" s="6"/>
      <c r="L639" s="20"/>
      <c r="M639" s="84">
        <f t="shared" si="25"/>
        <v>0</v>
      </c>
      <c r="N639" s="248">
        <f>RHcount!X633</f>
        <v>0</v>
      </c>
      <c r="O639" s="17"/>
      <c r="P639" s="17"/>
      <c r="Q639" s="17"/>
      <c r="R639" s="17"/>
      <c r="S639" s="17"/>
      <c r="T639" s="17"/>
      <c r="U639" s="4"/>
      <c r="V639" s="4"/>
    </row>
    <row r="640" spans="1:22" x14ac:dyDescent="0.25">
      <c r="A640" s="318" t="str">
        <f t="shared" si="26"/>
        <v>Sat</v>
      </c>
      <c r="B640" s="15"/>
      <c r="C640" s="16"/>
      <c r="D640" s="6"/>
      <c r="E640" s="6"/>
      <c r="F640" s="6"/>
      <c r="G640" s="6"/>
      <c r="H640" s="6"/>
      <c r="I640" s="6"/>
      <c r="J640" s="6"/>
      <c r="K640" s="6"/>
      <c r="L640" s="20"/>
      <c r="M640" s="84">
        <f t="shared" si="25"/>
        <v>0</v>
      </c>
      <c r="N640" s="248">
        <f>RHcount!X634</f>
        <v>0</v>
      </c>
      <c r="O640" s="17"/>
      <c r="P640" s="17"/>
      <c r="Q640" s="17"/>
      <c r="R640" s="17"/>
      <c r="S640" s="17"/>
      <c r="T640" s="17"/>
      <c r="U640" s="4"/>
      <c r="V640" s="4"/>
    </row>
    <row r="641" spans="1:22" x14ac:dyDescent="0.25">
      <c r="A641" s="318" t="str">
        <f t="shared" si="26"/>
        <v>Sat</v>
      </c>
      <c r="B641" s="15"/>
      <c r="C641" s="16"/>
      <c r="D641" s="6"/>
      <c r="E641" s="6"/>
      <c r="F641" s="6"/>
      <c r="G641" s="6"/>
      <c r="H641" s="6"/>
      <c r="I641" s="6"/>
      <c r="J641" s="6"/>
      <c r="K641" s="6"/>
      <c r="L641" s="20"/>
      <c r="M641" s="84">
        <f t="shared" si="25"/>
        <v>0</v>
      </c>
      <c r="N641" s="248">
        <f>RHcount!X635</f>
        <v>0</v>
      </c>
      <c r="O641" s="17"/>
      <c r="P641" s="17"/>
      <c r="Q641" s="17"/>
      <c r="R641" s="17"/>
      <c r="S641" s="17"/>
      <c r="T641" s="17"/>
      <c r="U641" s="4"/>
      <c r="V641" s="4"/>
    </row>
    <row r="642" spans="1:22" x14ac:dyDescent="0.25">
      <c r="A642" s="318" t="str">
        <f t="shared" si="26"/>
        <v>Sat</v>
      </c>
      <c r="B642" s="15"/>
      <c r="C642" s="16"/>
      <c r="D642" s="6"/>
      <c r="E642" s="6"/>
      <c r="F642" s="6"/>
      <c r="G642" s="6"/>
      <c r="H642" s="6"/>
      <c r="I642" s="6"/>
      <c r="J642" s="6"/>
      <c r="K642" s="6"/>
      <c r="L642" s="20"/>
      <c r="M642" s="84">
        <f t="shared" si="25"/>
        <v>0</v>
      </c>
      <c r="N642" s="248">
        <f>RHcount!X636</f>
        <v>0</v>
      </c>
      <c r="O642" s="17"/>
      <c r="P642" s="17"/>
      <c r="Q642" s="17"/>
      <c r="R642" s="17"/>
      <c r="S642" s="17"/>
      <c r="T642" s="17"/>
      <c r="U642" s="4"/>
      <c r="V642" s="4"/>
    </row>
    <row r="643" spans="1:22" x14ac:dyDescent="0.25">
      <c r="A643" s="318" t="str">
        <f t="shared" si="26"/>
        <v>Sat</v>
      </c>
      <c r="B643" s="15"/>
      <c r="C643" s="16"/>
      <c r="D643" s="6"/>
      <c r="E643" s="6"/>
      <c r="F643" s="6"/>
      <c r="G643" s="6"/>
      <c r="H643" s="6"/>
      <c r="I643" s="6"/>
      <c r="J643" s="6"/>
      <c r="K643" s="6"/>
      <c r="L643" s="20"/>
      <c r="M643" s="84">
        <f t="shared" si="25"/>
        <v>0</v>
      </c>
      <c r="N643" s="248">
        <f>RHcount!X637</f>
        <v>0</v>
      </c>
      <c r="O643" s="17"/>
      <c r="P643" s="17"/>
      <c r="Q643" s="17"/>
      <c r="R643" s="17"/>
      <c r="S643" s="17"/>
      <c r="T643" s="17"/>
      <c r="U643" s="4"/>
      <c r="V643" s="4"/>
    </row>
    <row r="644" spans="1:22" x14ac:dyDescent="0.25">
      <c r="A644" s="318" t="str">
        <f t="shared" si="26"/>
        <v>Sat</v>
      </c>
      <c r="B644" s="15"/>
      <c r="C644" s="16"/>
      <c r="D644" s="6"/>
      <c r="E644" s="6"/>
      <c r="F644" s="6"/>
      <c r="G644" s="6"/>
      <c r="H644" s="6"/>
      <c r="I644" s="6"/>
      <c r="J644" s="6"/>
      <c r="K644" s="6"/>
      <c r="L644" s="20"/>
      <c r="M644" s="84">
        <f t="shared" si="25"/>
        <v>0</v>
      </c>
      <c r="N644" s="248">
        <f>RHcount!X638</f>
        <v>0</v>
      </c>
      <c r="O644" s="17"/>
      <c r="P644" s="17"/>
      <c r="Q644" s="17"/>
      <c r="R644" s="17"/>
      <c r="S644" s="17"/>
      <c r="T644" s="17"/>
      <c r="U644" s="4"/>
      <c r="V644" s="4"/>
    </row>
    <row r="645" spans="1:22" x14ac:dyDescent="0.25">
      <c r="A645" s="318" t="str">
        <f t="shared" si="26"/>
        <v>Sat</v>
      </c>
      <c r="B645" s="15"/>
      <c r="C645" s="16"/>
      <c r="D645" s="6"/>
      <c r="E645" s="6"/>
      <c r="F645" s="6"/>
      <c r="G645" s="6"/>
      <c r="H645" s="6"/>
      <c r="I645" s="6"/>
      <c r="J645" s="6"/>
      <c r="K645" s="6"/>
      <c r="L645" s="20"/>
      <c r="M645" s="84">
        <f t="shared" si="25"/>
        <v>0</v>
      </c>
      <c r="N645" s="248">
        <f>RHcount!X639</f>
        <v>0</v>
      </c>
      <c r="O645" s="17"/>
      <c r="P645" s="17"/>
      <c r="Q645" s="17"/>
      <c r="R645" s="17"/>
      <c r="S645" s="17"/>
      <c r="T645" s="17"/>
      <c r="U645" s="4"/>
      <c r="V645" s="4"/>
    </row>
    <row r="646" spans="1:22" x14ac:dyDescent="0.25">
      <c r="A646" s="318" t="str">
        <f t="shared" si="26"/>
        <v>Sat</v>
      </c>
      <c r="B646" s="15"/>
      <c r="C646" s="16"/>
      <c r="D646" s="6"/>
      <c r="E646" s="6"/>
      <c r="F646" s="6"/>
      <c r="G646" s="6"/>
      <c r="H646" s="6"/>
      <c r="I646" s="6"/>
      <c r="J646" s="6"/>
      <c r="K646" s="6"/>
      <c r="L646" s="20"/>
      <c r="M646" s="84">
        <f t="shared" si="25"/>
        <v>0</v>
      </c>
      <c r="N646" s="248">
        <f>RHcount!X640</f>
        <v>0</v>
      </c>
      <c r="O646" s="17"/>
      <c r="P646" s="17"/>
      <c r="Q646" s="17"/>
      <c r="R646" s="17"/>
      <c r="S646" s="17"/>
      <c r="T646" s="17"/>
      <c r="U646" s="4"/>
      <c r="V646" s="4"/>
    </row>
    <row r="647" spans="1:22" x14ac:dyDescent="0.25">
      <c r="A647" s="318" t="str">
        <f t="shared" si="26"/>
        <v>Sat</v>
      </c>
      <c r="B647" s="15"/>
      <c r="C647" s="16"/>
      <c r="D647" s="6"/>
      <c r="E647" s="6"/>
      <c r="F647" s="6"/>
      <c r="G647" s="6"/>
      <c r="H647" s="6"/>
      <c r="I647" s="6"/>
      <c r="J647" s="6"/>
      <c r="K647" s="6"/>
      <c r="L647" s="20"/>
      <c r="M647" s="84">
        <f t="shared" si="25"/>
        <v>0</v>
      </c>
      <c r="N647" s="248">
        <f>RHcount!X641</f>
        <v>0</v>
      </c>
      <c r="O647" s="17"/>
      <c r="P647" s="17"/>
      <c r="Q647" s="17"/>
      <c r="R647" s="17"/>
      <c r="S647" s="17"/>
      <c r="T647" s="17"/>
      <c r="U647" s="4"/>
      <c r="V647" s="4"/>
    </row>
    <row r="648" spans="1:22" x14ac:dyDescent="0.25">
      <c r="A648" s="318" t="str">
        <f t="shared" si="26"/>
        <v>Sat</v>
      </c>
      <c r="B648" s="15"/>
      <c r="C648" s="16"/>
      <c r="D648" s="6"/>
      <c r="E648" s="6"/>
      <c r="F648" s="6"/>
      <c r="G648" s="6"/>
      <c r="H648" s="6"/>
      <c r="I648" s="6"/>
      <c r="J648" s="6"/>
      <c r="K648" s="6"/>
      <c r="L648" s="20"/>
      <c r="M648" s="84">
        <f t="shared" si="25"/>
        <v>0</v>
      </c>
      <c r="N648" s="248">
        <f>RHcount!X642</f>
        <v>0</v>
      </c>
      <c r="O648" s="17"/>
      <c r="P648" s="17"/>
      <c r="Q648" s="17"/>
      <c r="R648" s="17"/>
      <c r="S648" s="17"/>
      <c r="T648" s="17"/>
      <c r="U648" s="4"/>
      <c r="V648" s="4"/>
    </row>
    <row r="649" spans="1:22" x14ac:dyDescent="0.25">
      <c r="A649" s="318" t="str">
        <f t="shared" si="26"/>
        <v>Sat</v>
      </c>
      <c r="B649" s="15"/>
      <c r="C649" s="16"/>
      <c r="D649" s="6"/>
      <c r="E649" s="6"/>
      <c r="F649" s="6"/>
      <c r="G649" s="6"/>
      <c r="H649" s="6"/>
      <c r="I649" s="6"/>
      <c r="J649" s="6"/>
      <c r="K649" s="6"/>
      <c r="L649" s="20"/>
      <c r="M649" s="84">
        <f t="shared" si="25"/>
        <v>0</v>
      </c>
      <c r="N649" s="248">
        <f>RHcount!X643</f>
        <v>0</v>
      </c>
      <c r="O649" s="17"/>
      <c r="P649" s="17"/>
      <c r="Q649" s="17"/>
      <c r="R649" s="17"/>
      <c r="S649" s="17"/>
      <c r="T649" s="17"/>
      <c r="U649" s="4"/>
      <c r="V649" s="4"/>
    </row>
    <row r="650" spans="1:22" x14ac:dyDescent="0.25">
      <c r="A650" s="318" t="str">
        <f t="shared" si="26"/>
        <v>Sat</v>
      </c>
      <c r="B650" s="15"/>
      <c r="C650" s="16"/>
      <c r="D650" s="6"/>
      <c r="E650" s="6"/>
      <c r="F650" s="6"/>
      <c r="G650" s="6"/>
      <c r="H650" s="6"/>
      <c r="I650" s="6"/>
      <c r="J650" s="6"/>
      <c r="K650" s="6"/>
      <c r="L650" s="20"/>
      <c r="M650" s="84">
        <f t="shared" si="25"/>
        <v>0</v>
      </c>
      <c r="N650" s="248">
        <f>RHcount!X644</f>
        <v>0</v>
      </c>
      <c r="O650" s="17"/>
      <c r="P650" s="17"/>
      <c r="Q650" s="17"/>
      <c r="R650" s="17"/>
      <c r="S650" s="17"/>
      <c r="T650" s="17"/>
      <c r="U650" s="4"/>
      <c r="V650" s="4"/>
    </row>
    <row r="651" spans="1:22" x14ac:dyDescent="0.25">
      <c r="A651" s="318" t="str">
        <f t="shared" si="26"/>
        <v>Sat</v>
      </c>
      <c r="B651" s="15"/>
      <c r="C651" s="16"/>
      <c r="D651" s="6"/>
      <c r="E651" s="6"/>
      <c r="F651" s="6"/>
      <c r="G651" s="6"/>
      <c r="H651" s="6"/>
      <c r="I651" s="6"/>
      <c r="J651" s="6"/>
      <c r="K651" s="6"/>
      <c r="L651" s="20"/>
      <c r="M651" s="84">
        <f t="shared" ref="M651:M714" si="27">IF(F651&gt;"a",VLOOKUP(F651,$U$11:$V$26,2),F651)</f>
        <v>0</v>
      </c>
      <c r="N651" s="248">
        <f>RHcount!X645</f>
        <v>0</v>
      </c>
      <c r="O651" s="17"/>
      <c r="P651" s="17"/>
      <c r="Q651" s="17"/>
      <c r="R651" s="17"/>
      <c r="S651" s="17"/>
      <c r="T651" s="17"/>
      <c r="U651" s="4"/>
      <c r="V651" s="4"/>
    </row>
    <row r="652" spans="1:22" x14ac:dyDescent="0.25">
      <c r="A652" s="318" t="str">
        <f t="shared" si="26"/>
        <v>Sat</v>
      </c>
      <c r="B652" s="15"/>
      <c r="C652" s="16"/>
      <c r="D652" s="6"/>
      <c r="E652" s="6"/>
      <c r="F652" s="6"/>
      <c r="G652" s="6"/>
      <c r="H652" s="6"/>
      <c r="I652" s="6"/>
      <c r="J652" s="6"/>
      <c r="K652" s="6"/>
      <c r="L652" s="20"/>
      <c r="M652" s="84">
        <f t="shared" si="27"/>
        <v>0</v>
      </c>
      <c r="N652" s="248">
        <f>RHcount!X646</f>
        <v>0</v>
      </c>
      <c r="O652" s="17"/>
      <c r="P652" s="17"/>
      <c r="Q652" s="17"/>
      <c r="R652" s="17"/>
      <c r="S652" s="17"/>
      <c r="T652" s="17"/>
      <c r="U652" s="4"/>
      <c r="V652" s="4"/>
    </row>
    <row r="653" spans="1:22" x14ac:dyDescent="0.25">
      <c r="A653" s="318" t="str">
        <f t="shared" ref="A653:A716" si="28">TEXT(B653,"ddd")</f>
        <v>Sat</v>
      </c>
      <c r="B653" s="15"/>
      <c r="C653" s="16"/>
      <c r="D653" s="6"/>
      <c r="E653" s="6"/>
      <c r="F653" s="6"/>
      <c r="G653" s="6"/>
      <c r="H653" s="6"/>
      <c r="I653" s="6"/>
      <c r="J653" s="6"/>
      <c r="K653" s="6"/>
      <c r="L653" s="20"/>
      <c r="M653" s="84">
        <f t="shared" si="27"/>
        <v>0</v>
      </c>
      <c r="N653" s="248">
        <f>RHcount!X647</f>
        <v>0</v>
      </c>
      <c r="O653" s="17"/>
      <c r="P653" s="17"/>
      <c r="Q653" s="17"/>
      <c r="R653" s="17"/>
      <c r="S653" s="17"/>
      <c r="T653" s="17"/>
      <c r="U653" s="4"/>
      <c r="V653" s="4"/>
    </row>
    <row r="654" spans="1:22" x14ac:dyDescent="0.25">
      <c r="A654" s="318" t="str">
        <f t="shared" si="28"/>
        <v>Sat</v>
      </c>
      <c r="B654" s="15"/>
      <c r="C654" s="16"/>
      <c r="D654" s="6"/>
      <c r="E654" s="6"/>
      <c r="F654" s="6"/>
      <c r="G654" s="6"/>
      <c r="H654" s="6"/>
      <c r="I654" s="6"/>
      <c r="J654" s="6"/>
      <c r="K654" s="6"/>
      <c r="L654" s="20"/>
      <c r="M654" s="84">
        <f t="shared" si="27"/>
        <v>0</v>
      </c>
      <c r="N654" s="248">
        <f>RHcount!X648</f>
        <v>0</v>
      </c>
      <c r="O654" s="17"/>
      <c r="P654" s="17"/>
      <c r="Q654" s="17"/>
      <c r="R654" s="17"/>
      <c r="S654" s="17"/>
      <c r="T654" s="17"/>
      <c r="U654" s="4"/>
      <c r="V654" s="4"/>
    </row>
    <row r="655" spans="1:22" x14ac:dyDescent="0.25">
      <c r="A655" s="318" t="str">
        <f t="shared" si="28"/>
        <v>Sat</v>
      </c>
      <c r="B655" s="15"/>
      <c r="C655" s="16"/>
      <c r="D655" s="6"/>
      <c r="E655" s="6"/>
      <c r="F655" s="6"/>
      <c r="G655" s="6"/>
      <c r="H655" s="6"/>
      <c r="I655" s="6"/>
      <c r="J655" s="6"/>
      <c r="K655" s="6"/>
      <c r="L655" s="20"/>
      <c r="M655" s="84">
        <f t="shared" si="27"/>
        <v>0</v>
      </c>
      <c r="N655" s="248">
        <f>RHcount!X649</f>
        <v>0</v>
      </c>
      <c r="O655" s="17"/>
      <c r="P655" s="17"/>
      <c r="Q655" s="17"/>
      <c r="R655" s="17"/>
      <c r="S655" s="17"/>
      <c r="T655" s="17"/>
      <c r="U655" s="4"/>
      <c r="V655" s="4"/>
    </row>
    <row r="656" spans="1:22" x14ac:dyDescent="0.25">
      <c r="A656" s="318" t="str">
        <f t="shared" si="28"/>
        <v>Sat</v>
      </c>
      <c r="B656" s="15"/>
      <c r="C656" s="16"/>
      <c r="D656" s="6"/>
      <c r="E656" s="6"/>
      <c r="F656" s="6"/>
      <c r="G656" s="6"/>
      <c r="H656" s="6"/>
      <c r="I656" s="6"/>
      <c r="J656" s="6"/>
      <c r="K656" s="6"/>
      <c r="L656" s="20"/>
      <c r="M656" s="84">
        <f t="shared" si="27"/>
        <v>0</v>
      </c>
      <c r="N656" s="248">
        <f>RHcount!X650</f>
        <v>0</v>
      </c>
      <c r="O656" s="17"/>
      <c r="P656" s="17"/>
      <c r="Q656" s="17"/>
      <c r="R656" s="17"/>
      <c r="S656" s="17"/>
      <c r="T656" s="17"/>
      <c r="U656" s="4"/>
      <c r="V656" s="4"/>
    </row>
    <row r="657" spans="1:22" x14ac:dyDescent="0.25">
      <c r="A657" s="318" t="str">
        <f t="shared" si="28"/>
        <v>Sat</v>
      </c>
      <c r="B657" s="15"/>
      <c r="C657" s="16"/>
      <c r="D657" s="6"/>
      <c r="E657" s="6"/>
      <c r="F657" s="6"/>
      <c r="G657" s="6"/>
      <c r="H657" s="6"/>
      <c r="I657" s="6"/>
      <c r="J657" s="6"/>
      <c r="K657" s="6"/>
      <c r="L657" s="20"/>
      <c r="M657" s="84">
        <f t="shared" si="27"/>
        <v>0</v>
      </c>
      <c r="N657" s="248">
        <f>RHcount!X651</f>
        <v>0</v>
      </c>
      <c r="O657" s="17"/>
      <c r="P657" s="17"/>
      <c r="Q657" s="17"/>
      <c r="R657" s="17"/>
      <c r="S657" s="17"/>
      <c r="T657" s="17"/>
      <c r="U657" s="4"/>
      <c r="V657" s="4"/>
    </row>
    <row r="658" spans="1:22" x14ac:dyDescent="0.25">
      <c r="A658" s="318" t="str">
        <f t="shared" si="28"/>
        <v>Sat</v>
      </c>
      <c r="B658" s="15"/>
      <c r="C658" s="16"/>
      <c r="D658" s="6"/>
      <c r="E658" s="6"/>
      <c r="F658" s="6"/>
      <c r="G658" s="6"/>
      <c r="H658" s="6"/>
      <c r="I658" s="6"/>
      <c r="J658" s="6"/>
      <c r="K658" s="6"/>
      <c r="L658" s="20"/>
      <c r="M658" s="84">
        <f t="shared" si="27"/>
        <v>0</v>
      </c>
      <c r="N658" s="248">
        <f>RHcount!X652</f>
        <v>0</v>
      </c>
      <c r="O658" s="17"/>
      <c r="P658" s="17"/>
      <c r="Q658" s="17"/>
      <c r="R658" s="17"/>
      <c r="S658" s="17"/>
      <c r="T658" s="17"/>
      <c r="U658" s="4"/>
      <c r="V658" s="4"/>
    </row>
    <row r="659" spans="1:22" x14ac:dyDescent="0.25">
      <c r="A659" s="318" t="str">
        <f t="shared" si="28"/>
        <v>Sat</v>
      </c>
      <c r="B659" s="15"/>
      <c r="C659" s="16"/>
      <c r="D659" s="6"/>
      <c r="E659" s="6"/>
      <c r="F659" s="6"/>
      <c r="G659" s="6"/>
      <c r="H659" s="6"/>
      <c r="I659" s="6"/>
      <c r="J659" s="6"/>
      <c r="K659" s="6"/>
      <c r="L659" s="20"/>
      <c r="M659" s="84">
        <f t="shared" si="27"/>
        <v>0</v>
      </c>
      <c r="N659" s="248">
        <f>RHcount!X653</f>
        <v>0</v>
      </c>
      <c r="O659" s="17"/>
      <c r="P659" s="17"/>
      <c r="Q659" s="17"/>
      <c r="R659" s="17"/>
      <c r="S659" s="17"/>
      <c r="T659" s="17"/>
      <c r="U659" s="4"/>
      <c r="V659" s="4"/>
    </row>
    <row r="660" spans="1:22" x14ac:dyDescent="0.25">
      <c r="A660" s="318" t="str">
        <f t="shared" si="28"/>
        <v>Sat</v>
      </c>
      <c r="B660" s="15"/>
      <c r="C660" s="16"/>
      <c r="D660" s="6"/>
      <c r="E660" s="6"/>
      <c r="F660" s="6"/>
      <c r="G660" s="6"/>
      <c r="H660" s="6"/>
      <c r="I660" s="6"/>
      <c r="J660" s="6"/>
      <c r="K660" s="6"/>
      <c r="L660" s="20"/>
      <c r="M660" s="84">
        <f t="shared" si="27"/>
        <v>0</v>
      </c>
      <c r="N660" s="248">
        <f>RHcount!X654</f>
        <v>0</v>
      </c>
      <c r="O660" s="17"/>
      <c r="P660" s="17"/>
      <c r="Q660" s="17"/>
      <c r="R660" s="17"/>
      <c r="S660" s="17"/>
      <c r="T660" s="17"/>
      <c r="U660" s="4"/>
      <c r="V660" s="4"/>
    </row>
    <row r="661" spans="1:22" x14ac:dyDescent="0.25">
      <c r="A661" s="318" t="str">
        <f t="shared" si="28"/>
        <v>Sat</v>
      </c>
      <c r="B661" s="15"/>
      <c r="C661" s="16"/>
      <c r="D661" s="6"/>
      <c r="E661" s="6"/>
      <c r="F661" s="6"/>
      <c r="G661" s="6"/>
      <c r="H661" s="6"/>
      <c r="I661" s="6"/>
      <c r="J661" s="6"/>
      <c r="K661" s="6"/>
      <c r="L661" s="20"/>
      <c r="M661" s="84">
        <f t="shared" si="27"/>
        <v>0</v>
      </c>
      <c r="N661" s="248">
        <f>RHcount!X655</f>
        <v>0</v>
      </c>
      <c r="O661" s="17"/>
      <c r="P661" s="17"/>
      <c r="Q661" s="17"/>
      <c r="R661" s="17"/>
      <c r="S661" s="17"/>
      <c r="T661" s="17"/>
      <c r="U661" s="4"/>
      <c r="V661" s="4"/>
    </row>
    <row r="662" spans="1:22" x14ac:dyDescent="0.25">
      <c r="A662" s="318" t="str">
        <f t="shared" si="28"/>
        <v>Sat</v>
      </c>
      <c r="B662" s="15"/>
      <c r="C662" s="16"/>
      <c r="D662" s="6"/>
      <c r="E662" s="6"/>
      <c r="F662" s="6"/>
      <c r="G662" s="6"/>
      <c r="H662" s="6"/>
      <c r="I662" s="6"/>
      <c r="J662" s="6"/>
      <c r="K662" s="6"/>
      <c r="L662" s="20"/>
      <c r="M662" s="84">
        <f t="shared" si="27"/>
        <v>0</v>
      </c>
      <c r="N662" s="248">
        <f>RHcount!X656</f>
        <v>0</v>
      </c>
      <c r="O662" s="17"/>
      <c r="P662" s="17"/>
      <c r="Q662" s="17"/>
      <c r="R662" s="17"/>
      <c r="S662" s="17"/>
      <c r="T662" s="17"/>
      <c r="U662" s="4"/>
      <c r="V662" s="4"/>
    </row>
    <row r="663" spans="1:22" x14ac:dyDescent="0.25">
      <c r="A663" s="318" t="str">
        <f t="shared" si="28"/>
        <v>Sat</v>
      </c>
      <c r="B663" s="15"/>
      <c r="C663" s="16"/>
      <c r="D663" s="6"/>
      <c r="E663" s="6"/>
      <c r="F663" s="6"/>
      <c r="G663" s="6"/>
      <c r="H663" s="6"/>
      <c r="I663" s="6"/>
      <c r="J663" s="6"/>
      <c r="K663" s="6"/>
      <c r="L663" s="20"/>
      <c r="M663" s="84">
        <f t="shared" si="27"/>
        <v>0</v>
      </c>
      <c r="N663" s="248">
        <f>RHcount!X657</f>
        <v>0</v>
      </c>
      <c r="O663" s="17"/>
      <c r="P663" s="17"/>
      <c r="Q663" s="17"/>
      <c r="R663" s="17"/>
      <c r="S663" s="17"/>
      <c r="T663" s="17"/>
      <c r="U663" s="4"/>
      <c r="V663" s="4"/>
    </row>
    <row r="664" spans="1:22" x14ac:dyDescent="0.25">
      <c r="A664" s="318" t="str">
        <f t="shared" si="28"/>
        <v>Sat</v>
      </c>
      <c r="B664" s="15"/>
      <c r="C664" s="16"/>
      <c r="D664" s="6"/>
      <c r="E664" s="6"/>
      <c r="F664" s="6"/>
      <c r="G664" s="6"/>
      <c r="H664" s="6"/>
      <c r="I664" s="6"/>
      <c r="J664" s="6"/>
      <c r="K664" s="6"/>
      <c r="L664" s="20"/>
      <c r="M664" s="84">
        <f t="shared" si="27"/>
        <v>0</v>
      </c>
      <c r="N664" s="248">
        <f>RHcount!X658</f>
        <v>0</v>
      </c>
      <c r="O664" s="17"/>
      <c r="P664" s="17"/>
      <c r="Q664" s="17"/>
      <c r="R664" s="17"/>
      <c r="S664" s="17"/>
      <c r="T664" s="17"/>
      <c r="U664" s="4"/>
      <c r="V664" s="4"/>
    </row>
    <row r="665" spans="1:22" x14ac:dyDescent="0.25">
      <c r="A665" s="318" t="str">
        <f t="shared" si="28"/>
        <v>Sat</v>
      </c>
      <c r="B665" s="15"/>
      <c r="C665" s="16"/>
      <c r="D665" s="6"/>
      <c r="E665" s="6"/>
      <c r="F665" s="6"/>
      <c r="G665" s="6"/>
      <c r="H665" s="6"/>
      <c r="I665" s="6"/>
      <c r="J665" s="6"/>
      <c r="K665" s="6"/>
      <c r="L665" s="20"/>
      <c r="M665" s="84">
        <f t="shared" si="27"/>
        <v>0</v>
      </c>
      <c r="N665" s="248">
        <f>RHcount!X659</f>
        <v>0</v>
      </c>
      <c r="O665" s="17"/>
      <c r="P665" s="17"/>
      <c r="Q665" s="17"/>
      <c r="R665" s="17"/>
      <c r="S665" s="17"/>
      <c r="T665" s="17"/>
      <c r="U665" s="4"/>
      <c r="V665" s="4"/>
    </row>
    <row r="666" spans="1:22" x14ac:dyDescent="0.25">
      <c r="A666" s="318" t="str">
        <f t="shared" si="28"/>
        <v>Sat</v>
      </c>
      <c r="B666" s="15"/>
      <c r="C666" s="16"/>
      <c r="D666" s="6"/>
      <c r="E666" s="6"/>
      <c r="F666" s="6"/>
      <c r="G666" s="6"/>
      <c r="H666" s="6"/>
      <c r="I666" s="6"/>
      <c r="J666" s="6"/>
      <c r="K666" s="6"/>
      <c r="L666" s="20"/>
      <c r="M666" s="84">
        <f t="shared" si="27"/>
        <v>0</v>
      </c>
      <c r="N666" s="248">
        <f>RHcount!X660</f>
        <v>0</v>
      </c>
      <c r="O666" s="17"/>
      <c r="P666" s="17"/>
      <c r="Q666" s="17"/>
      <c r="R666" s="17"/>
      <c r="S666" s="17"/>
      <c r="T666" s="17"/>
      <c r="U666" s="4"/>
      <c r="V666" s="4"/>
    </row>
    <row r="667" spans="1:22" x14ac:dyDescent="0.25">
      <c r="A667" s="318" t="str">
        <f t="shared" si="28"/>
        <v>Sat</v>
      </c>
      <c r="B667" s="15"/>
      <c r="C667" s="16"/>
      <c r="D667" s="6"/>
      <c r="E667" s="6"/>
      <c r="F667" s="6"/>
      <c r="G667" s="6"/>
      <c r="H667" s="6"/>
      <c r="I667" s="6"/>
      <c r="J667" s="6"/>
      <c r="K667" s="6"/>
      <c r="L667" s="20"/>
      <c r="M667" s="84">
        <f t="shared" si="27"/>
        <v>0</v>
      </c>
      <c r="N667" s="248">
        <f>RHcount!X661</f>
        <v>0</v>
      </c>
      <c r="O667" s="17"/>
      <c r="P667" s="17"/>
      <c r="Q667" s="17"/>
      <c r="R667" s="17"/>
      <c r="S667" s="17"/>
      <c r="T667" s="17"/>
      <c r="U667" s="4"/>
      <c r="V667" s="4"/>
    </row>
    <row r="668" spans="1:22" x14ac:dyDescent="0.25">
      <c r="A668" s="318" t="str">
        <f t="shared" si="28"/>
        <v>Sat</v>
      </c>
      <c r="B668" s="15"/>
      <c r="C668" s="16"/>
      <c r="D668" s="6"/>
      <c r="E668" s="6"/>
      <c r="F668" s="6"/>
      <c r="G668" s="6"/>
      <c r="H668" s="6"/>
      <c r="I668" s="6"/>
      <c r="J668" s="6"/>
      <c r="K668" s="6"/>
      <c r="L668" s="20"/>
      <c r="M668" s="84">
        <f t="shared" si="27"/>
        <v>0</v>
      </c>
      <c r="N668" s="248">
        <f>RHcount!X662</f>
        <v>0</v>
      </c>
      <c r="O668" s="17"/>
      <c r="P668" s="17"/>
      <c r="Q668" s="17"/>
      <c r="R668" s="17"/>
      <c r="S668" s="17"/>
      <c r="T668" s="17"/>
      <c r="U668" s="4"/>
      <c r="V668" s="4"/>
    </row>
    <row r="669" spans="1:22" x14ac:dyDescent="0.25">
      <c r="A669" s="318" t="str">
        <f t="shared" si="28"/>
        <v>Sat</v>
      </c>
      <c r="B669" s="15"/>
      <c r="C669" s="16"/>
      <c r="D669" s="6"/>
      <c r="E669" s="6"/>
      <c r="F669" s="6"/>
      <c r="G669" s="6"/>
      <c r="H669" s="6"/>
      <c r="I669" s="6"/>
      <c r="J669" s="6"/>
      <c r="K669" s="6"/>
      <c r="L669" s="20"/>
      <c r="M669" s="84">
        <f t="shared" si="27"/>
        <v>0</v>
      </c>
      <c r="N669" s="248">
        <f>RHcount!X663</f>
        <v>0</v>
      </c>
      <c r="O669" s="17"/>
      <c r="P669" s="17"/>
      <c r="Q669" s="17"/>
      <c r="R669" s="17"/>
      <c r="S669" s="17"/>
      <c r="T669" s="17"/>
      <c r="U669" s="4"/>
      <c r="V669" s="4"/>
    </row>
    <row r="670" spans="1:22" x14ac:dyDescent="0.25">
      <c r="A670" s="318" t="str">
        <f t="shared" si="28"/>
        <v>Sat</v>
      </c>
      <c r="B670" s="15"/>
      <c r="C670" s="16"/>
      <c r="D670" s="6"/>
      <c r="E670" s="6"/>
      <c r="F670" s="6"/>
      <c r="G670" s="6"/>
      <c r="H670" s="6"/>
      <c r="I670" s="6"/>
      <c r="J670" s="6"/>
      <c r="K670" s="6"/>
      <c r="L670" s="20"/>
      <c r="M670" s="84">
        <f t="shared" si="27"/>
        <v>0</v>
      </c>
      <c r="N670" s="248">
        <f>RHcount!X664</f>
        <v>0</v>
      </c>
      <c r="O670" s="17"/>
      <c r="P670" s="17"/>
      <c r="Q670" s="17"/>
      <c r="R670" s="17"/>
      <c r="S670" s="17"/>
      <c r="T670" s="17"/>
      <c r="U670" s="4"/>
      <c r="V670" s="4"/>
    </row>
    <row r="671" spans="1:22" x14ac:dyDescent="0.25">
      <c r="A671" s="318" t="str">
        <f t="shared" si="28"/>
        <v>Sat</v>
      </c>
      <c r="B671" s="15"/>
      <c r="C671" s="16"/>
      <c r="D671" s="6"/>
      <c r="E671" s="6"/>
      <c r="F671" s="6"/>
      <c r="G671" s="6"/>
      <c r="H671" s="6"/>
      <c r="I671" s="6"/>
      <c r="J671" s="6"/>
      <c r="K671" s="6"/>
      <c r="L671" s="20"/>
      <c r="M671" s="84">
        <f t="shared" si="27"/>
        <v>0</v>
      </c>
      <c r="N671" s="248">
        <f>RHcount!X665</f>
        <v>0</v>
      </c>
      <c r="O671" s="17"/>
      <c r="P671" s="17"/>
      <c r="Q671" s="17"/>
      <c r="R671" s="17"/>
      <c r="S671" s="17"/>
      <c r="T671" s="17"/>
      <c r="U671" s="4"/>
      <c r="V671" s="4"/>
    </row>
    <row r="672" spans="1:22" x14ac:dyDescent="0.25">
      <c r="A672" s="318" t="str">
        <f t="shared" si="28"/>
        <v>Sat</v>
      </c>
      <c r="B672" s="15"/>
      <c r="C672" s="16"/>
      <c r="D672" s="6"/>
      <c r="E672" s="6"/>
      <c r="F672" s="6"/>
      <c r="G672" s="6"/>
      <c r="H672" s="6"/>
      <c r="I672" s="6"/>
      <c r="J672" s="6"/>
      <c r="K672" s="6"/>
      <c r="L672" s="20"/>
      <c r="M672" s="84">
        <f t="shared" si="27"/>
        <v>0</v>
      </c>
      <c r="N672" s="248">
        <f>RHcount!X666</f>
        <v>0</v>
      </c>
      <c r="O672" s="17"/>
      <c r="P672" s="17"/>
      <c r="Q672" s="17"/>
      <c r="R672" s="17"/>
      <c r="S672" s="17"/>
      <c r="T672" s="17"/>
      <c r="U672" s="4"/>
      <c r="V672" s="4"/>
    </row>
    <row r="673" spans="1:22" x14ac:dyDescent="0.25">
      <c r="A673" s="318" t="str">
        <f t="shared" si="28"/>
        <v>Sat</v>
      </c>
      <c r="B673" s="15"/>
      <c r="C673" s="16"/>
      <c r="D673" s="6"/>
      <c r="E673" s="6"/>
      <c r="F673" s="6"/>
      <c r="G673" s="6"/>
      <c r="H673" s="6"/>
      <c r="I673" s="6"/>
      <c r="J673" s="6"/>
      <c r="K673" s="6"/>
      <c r="L673" s="20"/>
      <c r="M673" s="84">
        <f t="shared" si="27"/>
        <v>0</v>
      </c>
      <c r="N673" s="248">
        <f>RHcount!X667</f>
        <v>0</v>
      </c>
      <c r="O673" s="17"/>
      <c r="P673" s="17"/>
      <c r="Q673" s="17"/>
      <c r="R673" s="17"/>
      <c r="S673" s="17"/>
      <c r="T673" s="17"/>
      <c r="U673" s="4"/>
      <c r="V673" s="4"/>
    </row>
    <row r="674" spans="1:22" x14ac:dyDescent="0.25">
      <c r="A674" s="318" t="str">
        <f t="shared" si="28"/>
        <v>Sat</v>
      </c>
      <c r="B674" s="15"/>
      <c r="C674" s="16"/>
      <c r="D674" s="6"/>
      <c r="E674" s="6"/>
      <c r="F674" s="6"/>
      <c r="G674" s="6"/>
      <c r="H674" s="6"/>
      <c r="I674" s="6"/>
      <c r="J674" s="6"/>
      <c r="K674" s="6"/>
      <c r="L674" s="20"/>
      <c r="M674" s="84">
        <f t="shared" si="27"/>
        <v>0</v>
      </c>
      <c r="N674" s="248">
        <f>RHcount!X668</f>
        <v>0</v>
      </c>
      <c r="O674" s="17"/>
      <c r="P674" s="17"/>
      <c r="Q674" s="17"/>
      <c r="R674" s="17"/>
      <c r="S674" s="17"/>
      <c r="T674" s="17"/>
      <c r="U674" s="4"/>
      <c r="V674" s="4"/>
    </row>
    <row r="675" spans="1:22" x14ac:dyDescent="0.25">
      <c r="A675" s="318" t="str">
        <f t="shared" si="28"/>
        <v>Sat</v>
      </c>
      <c r="B675" s="15"/>
      <c r="C675" s="16"/>
      <c r="D675" s="6"/>
      <c r="E675" s="6"/>
      <c r="F675" s="6"/>
      <c r="G675" s="6"/>
      <c r="H675" s="6"/>
      <c r="I675" s="6"/>
      <c r="J675" s="6"/>
      <c r="K675" s="6"/>
      <c r="L675" s="20"/>
      <c r="M675" s="84">
        <f t="shared" si="27"/>
        <v>0</v>
      </c>
      <c r="N675" s="248">
        <f>RHcount!X669</f>
        <v>0</v>
      </c>
      <c r="O675" s="17"/>
      <c r="P675" s="17"/>
      <c r="Q675" s="17"/>
      <c r="R675" s="17"/>
      <c r="S675" s="17"/>
      <c r="T675" s="17"/>
      <c r="U675" s="4"/>
      <c r="V675" s="4"/>
    </row>
    <row r="676" spans="1:22" x14ac:dyDescent="0.25">
      <c r="A676" s="318" t="str">
        <f t="shared" si="28"/>
        <v>Sat</v>
      </c>
      <c r="B676" s="15"/>
      <c r="C676" s="16"/>
      <c r="D676" s="6"/>
      <c r="E676" s="6"/>
      <c r="F676" s="6"/>
      <c r="G676" s="6"/>
      <c r="H676" s="6"/>
      <c r="I676" s="6"/>
      <c r="J676" s="6"/>
      <c r="K676" s="6"/>
      <c r="L676" s="20"/>
      <c r="M676" s="84">
        <f t="shared" si="27"/>
        <v>0</v>
      </c>
      <c r="N676" s="248">
        <f>RHcount!X670</f>
        <v>0</v>
      </c>
      <c r="O676" s="17"/>
      <c r="P676" s="17"/>
      <c r="Q676" s="17"/>
      <c r="R676" s="17"/>
      <c r="S676" s="17"/>
      <c r="T676" s="17"/>
      <c r="U676" s="4"/>
      <c r="V676" s="4"/>
    </row>
    <row r="677" spans="1:22" x14ac:dyDescent="0.25">
      <c r="A677" s="318" t="str">
        <f t="shared" si="28"/>
        <v>Sat</v>
      </c>
      <c r="B677" s="15"/>
      <c r="C677" s="16"/>
      <c r="D677" s="6"/>
      <c r="E677" s="6"/>
      <c r="F677" s="6"/>
      <c r="G677" s="6"/>
      <c r="H677" s="6"/>
      <c r="I677" s="6"/>
      <c r="J677" s="6"/>
      <c r="K677" s="6"/>
      <c r="L677" s="20"/>
      <c r="M677" s="84">
        <f t="shared" si="27"/>
        <v>0</v>
      </c>
      <c r="N677" s="248">
        <f>RHcount!X671</f>
        <v>0</v>
      </c>
      <c r="O677" s="17"/>
      <c r="P677" s="17"/>
      <c r="Q677" s="17"/>
      <c r="R677" s="17"/>
      <c r="S677" s="17"/>
      <c r="T677" s="17"/>
      <c r="U677" s="4"/>
      <c r="V677" s="4"/>
    </row>
    <row r="678" spans="1:22" x14ac:dyDescent="0.25">
      <c r="A678" s="318" t="str">
        <f t="shared" si="28"/>
        <v>Sat</v>
      </c>
      <c r="B678" s="15"/>
      <c r="C678" s="16"/>
      <c r="D678" s="6"/>
      <c r="E678" s="6"/>
      <c r="F678" s="6"/>
      <c r="G678" s="6"/>
      <c r="H678" s="6"/>
      <c r="I678" s="6"/>
      <c r="J678" s="6"/>
      <c r="K678" s="6"/>
      <c r="L678" s="20"/>
      <c r="M678" s="84">
        <f t="shared" si="27"/>
        <v>0</v>
      </c>
      <c r="N678" s="248">
        <f>RHcount!X672</f>
        <v>0</v>
      </c>
      <c r="O678" s="17"/>
      <c r="P678" s="17"/>
      <c r="Q678" s="17"/>
      <c r="R678" s="17"/>
      <c r="S678" s="17"/>
      <c r="T678" s="17"/>
      <c r="U678" s="4"/>
      <c r="V678" s="4"/>
    </row>
    <row r="679" spans="1:22" x14ac:dyDescent="0.25">
      <c r="A679" s="318" t="str">
        <f t="shared" si="28"/>
        <v>Sat</v>
      </c>
      <c r="B679" s="15"/>
      <c r="C679" s="16"/>
      <c r="D679" s="6"/>
      <c r="E679" s="6"/>
      <c r="F679" s="6"/>
      <c r="G679" s="6"/>
      <c r="H679" s="6"/>
      <c r="I679" s="6"/>
      <c r="J679" s="6"/>
      <c r="K679" s="6"/>
      <c r="L679" s="20"/>
      <c r="M679" s="84">
        <f t="shared" si="27"/>
        <v>0</v>
      </c>
      <c r="N679" s="248">
        <f>RHcount!X673</f>
        <v>0</v>
      </c>
      <c r="O679" s="17"/>
      <c r="P679" s="17"/>
      <c r="Q679" s="17"/>
      <c r="R679" s="17"/>
      <c r="S679" s="17"/>
      <c r="T679" s="17"/>
      <c r="U679" s="4"/>
      <c r="V679" s="4"/>
    </row>
    <row r="680" spans="1:22" x14ac:dyDescent="0.25">
      <c r="A680" s="318" t="str">
        <f t="shared" si="28"/>
        <v>Sat</v>
      </c>
      <c r="B680" s="15"/>
      <c r="C680" s="16"/>
      <c r="D680" s="6"/>
      <c r="E680" s="6"/>
      <c r="F680" s="6"/>
      <c r="G680" s="6"/>
      <c r="H680" s="6"/>
      <c r="I680" s="6"/>
      <c r="J680" s="6"/>
      <c r="K680" s="6"/>
      <c r="L680" s="20"/>
      <c r="M680" s="84">
        <f t="shared" si="27"/>
        <v>0</v>
      </c>
      <c r="N680" s="248">
        <f>RHcount!X674</f>
        <v>0</v>
      </c>
      <c r="O680" s="17"/>
      <c r="P680" s="17"/>
      <c r="Q680" s="17"/>
      <c r="R680" s="17"/>
      <c r="S680" s="17"/>
      <c r="T680" s="17"/>
      <c r="U680" s="4"/>
      <c r="V680" s="4"/>
    </row>
    <row r="681" spans="1:22" x14ac:dyDescent="0.25">
      <c r="A681" s="318" t="str">
        <f t="shared" si="28"/>
        <v>Sat</v>
      </c>
      <c r="B681" s="15"/>
      <c r="C681" s="16"/>
      <c r="D681" s="6"/>
      <c r="E681" s="6"/>
      <c r="F681" s="6"/>
      <c r="G681" s="6"/>
      <c r="H681" s="6"/>
      <c r="I681" s="6"/>
      <c r="J681" s="6"/>
      <c r="K681" s="6"/>
      <c r="L681" s="20"/>
      <c r="M681" s="84">
        <f t="shared" si="27"/>
        <v>0</v>
      </c>
      <c r="N681" s="248">
        <f>RHcount!X675</f>
        <v>0</v>
      </c>
      <c r="O681" s="17"/>
      <c r="P681" s="17"/>
      <c r="Q681" s="17"/>
      <c r="R681" s="17"/>
      <c r="S681" s="17"/>
      <c r="T681" s="17"/>
      <c r="U681" s="4"/>
      <c r="V681" s="4"/>
    </row>
    <row r="682" spans="1:22" x14ac:dyDescent="0.25">
      <c r="A682" s="318" t="str">
        <f t="shared" si="28"/>
        <v>Sat</v>
      </c>
      <c r="B682" s="15"/>
      <c r="C682" s="16"/>
      <c r="D682" s="6"/>
      <c r="E682" s="6"/>
      <c r="F682" s="6"/>
      <c r="G682" s="6"/>
      <c r="H682" s="6"/>
      <c r="I682" s="6"/>
      <c r="J682" s="6"/>
      <c r="K682" s="6"/>
      <c r="L682" s="20"/>
      <c r="M682" s="84">
        <f t="shared" si="27"/>
        <v>0</v>
      </c>
      <c r="N682" s="248">
        <f>RHcount!X676</f>
        <v>0</v>
      </c>
      <c r="O682" s="17"/>
      <c r="P682" s="17"/>
      <c r="Q682" s="17"/>
      <c r="R682" s="17"/>
      <c r="S682" s="17"/>
      <c r="T682" s="17"/>
      <c r="U682" s="4"/>
      <c r="V682" s="4"/>
    </row>
    <row r="683" spans="1:22" x14ac:dyDescent="0.25">
      <c r="A683" s="318" t="str">
        <f t="shared" si="28"/>
        <v>Sat</v>
      </c>
      <c r="B683" s="15"/>
      <c r="C683" s="16"/>
      <c r="D683" s="6"/>
      <c r="E683" s="6"/>
      <c r="F683" s="6"/>
      <c r="G683" s="6"/>
      <c r="H683" s="6"/>
      <c r="I683" s="6"/>
      <c r="J683" s="6"/>
      <c r="K683" s="6"/>
      <c r="L683" s="20"/>
      <c r="M683" s="84">
        <f t="shared" si="27"/>
        <v>0</v>
      </c>
      <c r="N683" s="248">
        <f>RHcount!X677</f>
        <v>0</v>
      </c>
      <c r="O683" s="17"/>
      <c r="P683" s="17"/>
      <c r="Q683" s="17"/>
      <c r="R683" s="17"/>
      <c r="S683" s="17"/>
      <c r="T683" s="17"/>
      <c r="U683" s="4"/>
      <c r="V683" s="4"/>
    </row>
    <row r="684" spans="1:22" x14ac:dyDescent="0.25">
      <c r="A684" s="318" t="str">
        <f t="shared" si="28"/>
        <v>Sat</v>
      </c>
      <c r="B684" s="15"/>
      <c r="C684" s="16"/>
      <c r="D684" s="6"/>
      <c r="E684" s="6"/>
      <c r="F684" s="6"/>
      <c r="G684" s="6"/>
      <c r="H684" s="6"/>
      <c r="I684" s="6"/>
      <c r="J684" s="6"/>
      <c r="K684" s="6"/>
      <c r="L684" s="20"/>
      <c r="M684" s="84">
        <f t="shared" si="27"/>
        <v>0</v>
      </c>
      <c r="N684" s="248">
        <f>RHcount!X678</f>
        <v>0</v>
      </c>
      <c r="O684" s="17"/>
      <c r="P684" s="17"/>
      <c r="Q684" s="17"/>
      <c r="R684" s="17"/>
      <c r="S684" s="17"/>
      <c r="T684" s="17"/>
      <c r="U684" s="4"/>
      <c r="V684" s="4"/>
    </row>
    <row r="685" spans="1:22" x14ac:dyDescent="0.25">
      <c r="A685" s="318" t="str">
        <f t="shared" si="28"/>
        <v>Sat</v>
      </c>
      <c r="B685" s="15"/>
      <c r="C685" s="16"/>
      <c r="D685" s="6"/>
      <c r="E685" s="6"/>
      <c r="F685" s="6"/>
      <c r="G685" s="6"/>
      <c r="H685" s="6"/>
      <c r="I685" s="6"/>
      <c r="J685" s="6"/>
      <c r="K685" s="6"/>
      <c r="L685" s="20"/>
      <c r="M685" s="84">
        <f t="shared" si="27"/>
        <v>0</v>
      </c>
      <c r="N685" s="248">
        <f>RHcount!X679</f>
        <v>0</v>
      </c>
      <c r="O685" s="17"/>
      <c r="P685" s="17"/>
      <c r="Q685" s="17"/>
      <c r="R685" s="17"/>
      <c r="S685" s="17"/>
      <c r="T685" s="17"/>
      <c r="U685" s="4"/>
      <c r="V685" s="4"/>
    </row>
    <row r="686" spans="1:22" x14ac:dyDescent="0.25">
      <c r="A686" s="318" t="str">
        <f t="shared" si="28"/>
        <v>Sat</v>
      </c>
      <c r="B686" s="15"/>
      <c r="C686" s="16"/>
      <c r="D686" s="6"/>
      <c r="E686" s="6"/>
      <c r="F686" s="6"/>
      <c r="G686" s="6"/>
      <c r="H686" s="6"/>
      <c r="I686" s="6"/>
      <c r="J686" s="6"/>
      <c r="K686" s="6"/>
      <c r="L686" s="20"/>
      <c r="M686" s="84">
        <f t="shared" si="27"/>
        <v>0</v>
      </c>
      <c r="N686" s="248">
        <f>RHcount!X680</f>
        <v>0</v>
      </c>
      <c r="O686" s="17"/>
      <c r="P686" s="17"/>
      <c r="Q686" s="17"/>
      <c r="R686" s="17"/>
      <c r="S686" s="17"/>
      <c r="T686" s="17"/>
      <c r="U686" s="4"/>
      <c r="V686" s="4"/>
    </row>
    <row r="687" spans="1:22" x14ac:dyDescent="0.25">
      <c r="A687" s="318" t="str">
        <f t="shared" si="28"/>
        <v>Sat</v>
      </c>
      <c r="B687" s="15"/>
      <c r="C687" s="16"/>
      <c r="D687" s="6"/>
      <c r="E687" s="6"/>
      <c r="F687" s="6"/>
      <c r="G687" s="6"/>
      <c r="H687" s="6"/>
      <c r="I687" s="6"/>
      <c r="J687" s="6"/>
      <c r="K687" s="6"/>
      <c r="L687" s="20"/>
      <c r="M687" s="84">
        <f t="shared" si="27"/>
        <v>0</v>
      </c>
      <c r="N687" s="248">
        <f>RHcount!X681</f>
        <v>0</v>
      </c>
      <c r="O687" s="17"/>
      <c r="P687" s="17"/>
      <c r="Q687" s="17"/>
      <c r="R687" s="17"/>
      <c r="S687" s="17"/>
      <c r="T687" s="17"/>
      <c r="U687" s="4"/>
      <c r="V687" s="4"/>
    </row>
    <row r="688" spans="1:22" x14ac:dyDescent="0.25">
      <c r="A688" s="318" t="str">
        <f t="shared" si="28"/>
        <v>Sat</v>
      </c>
      <c r="B688" s="15"/>
      <c r="C688" s="16"/>
      <c r="D688" s="6"/>
      <c r="E688" s="6"/>
      <c r="F688" s="6"/>
      <c r="G688" s="6"/>
      <c r="H688" s="6"/>
      <c r="I688" s="6"/>
      <c r="J688" s="6"/>
      <c r="K688" s="6"/>
      <c r="L688" s="20"/>
      <c r="M688" s="84">
        <f t="shared" si="27"/>
        <v>0</v>
      </c>
      <c r="N688" s="248">
        <f>RHcount!X682</f>
        <v>0</v>
      </c>
      <c r="O688" s="17"/>
      <c r="P688" s="17"/>
      <c r="Q688" s="17"/>
      <c r="R688" s="17"/>
      <c r="S688" s="17"/>
      <c r="T688" s="17"/>
      <c r="U688" s="4"/>
      <c r="V688" s="4"/>
    </row>
    <row r="689" spans="1:22" x14ac:dyDescent="0.25">
      <c r="A689" s="318" t="str">
        <f t="shared" si="28"/>
        <v>Sat</v>
      </c>
      <c r="B689" s="15"/>
      <c r="C689" s="16"/>
      <c r="D689" s="6"/>
      <c r="E689" s="6"/>
      <c r="F689" s="6"/>
      <c r="G689" s="6"/>
      <c r="H689" s="6"/>
      <c r="I689" s="6"/>
      <c r="J689" s="6"/>
      <c r="K689" s="6"/>
      <c r="L689" s="20"/>
      <c r="M689" s="84">
        <f t="shared" si="27"/>
        <v>0</v>
      </c>
      <c r="N689" s="248">
        <f>RHcount!X683</f>
        <v>0</v>
      </c>
      <c r="O689" s="17"/>
      <c r="P689" s="17"/>
      <c r="Q689" s="17"/>
      <c r="R689" s="17"/>
      <c r="S689" s="17"/>
      <c r="T689" s="17"/>
      <c r="U689" s="4"/>
      <c r="V689" s="4"/>
    </row>
    <row r="690" spans="1:22" x14ac:dyDescent="0.25">
      <c r="A690" s="318" t="str">
        <f t="shared" si="28"/>
        <v>Sat</v>
      </c>
      <c r="B690" s="15"/>
      <c r="C690" s="16"/>
      <c r="D690" s="6"/>
      <c r="E690" s="6"/>
      <c r="F690" s="6"/>
      <c r="G690" s="6"/>
      <c r="H690" s="6"/>
      <c r="I690" s="6"/>
      <c r="J690" s="6"/>
      <c r="K690" s="6"/>
      <c r="L690" s="20"/>
      <c r="M690" s="84">
        <f t="shared" si="27"/>
        <v>0</v>
      </c>
      <c r="N690" s="248">
        <f>RHcount!X684</f>
        <v>0</v>
      </c>
      <c r="O690" s="17"/>
      <c r="P690" s="17"/>
      <c r="Q690" s="17"/>
      <c r="R690" s="17"/>
      <c r="S690" s="17"/>
      <c r="T690" s="17"/>
      <c r="U690" s="4"/>
      <c r="V690" s="4"/>
    </row>
    <row r="691" spans="1:22" x14ac:dyDescent="0.25">
      <c r="A691" s="318" t="str">
        <f t="shared" si="28"/>
        <v>Sat</v>
      </c>
      <c r="B691" s="15"/>
      <c r="C691" s="16"/>
      <c r="D691" s="6"/>
      <c r="E691" s="6"/>
      <c r="F691" s="6"/>
      <c r="G691" s="6"/>
      <c r="H691" s="6"/>
      <c r="I691" s="6"/>
      <c r="J691" s="6"/>
      <c r="K691" s="6"/>
      <c r="L691" s="20"/>
      <c r="M691" s="84">
        <f t="shared" si="27"/>
        <v>0</v>
      </c>
      <c r="N691" s="248">
        <f>RHcount!X685</f>
        <v>0</v>
      </c>
      <c r="O691" s="17"/>
      <c r="P691" s="17"/>
      <c r="Q691" s="17"/>
      <c r="R691" s="17"/>
      <c r="S691" s="17"/>
      <c r="T691" s="17"/>
      <c r="U691" s="4"/>
      <c r="V691" s="4"/>
    </row>
    <row r="692" spans="1:22" x14ac:dyDescent="0.25">
      <c r="A692" s="318" t="str">
        <f t="shared" si="28"/>
        <v>Sat</v>
      </c>
      <c r="B692" s="15"/>
      <c r="C692" s="16"/>
      <c r="D692" s="6"/>
      <c r="E692" s="6"/>
      <c r="F692" s="6"/>
      <c r="G692" s="6"/>
      <c r="H692" s="6"/>
      <c r="I692" s="6"/>
      <c r="J692" s="6"/>
      <c r="K692" s="6"/>
      <c r="L692" s="20"/>
      <c r="M692" s="84">
        <f t="shared" si="27"/>
        <v>0</v>
      </c>
      <c r="N692" s="248">
        <f>RHcount!X686</f>
        <v>0</v>
      </c>
      <c r="O692" s="17"/>
      <c r="P692" s="17"/>
      <c r="Q692" s="17"/>
      <c r="R692" s="17"/>
      <c r="S692" s="17"/>
      <c r="T692" s="17"/>
      <c r="U692" s="4"/>
      <c r="V692" s="4"/>
    </row>
    <row r="693" spans="1:22" x14ac:dyDescent="0.25">
      <c r="A693" s="318" t="str">
        <f t="shared" si="28"/>
        <v>Sat</v>
      </c>
      <c r="B693" s="15"/>
      <c r="C693" s="16"/>
      <c r="D693" s="6"/>
      <c r="E693" s="6"/>
      <c r="F693" s="6"/>
      <c r="G693" s="6"/>
      <c r="H693" s="6"/>
      <c r="I693" s="6"/>
      <c r="J693" s="6"/>
      <c r="K693" s="6"/>
      <c r="L693" s="20"/>
      <c r="M693" s="84">
        <f t="shared" si="27"/>
        <v>0</v>
      </c>
      <c r="N693" s="248">
        <f>RHcount!X687</f>
        <v>0</v>
      </c>
      <c r="O693" s="17"/>
      <c r="P693" s="17"/>
      <c r="Q693" s="17"/>
      <c r="R693" s="17"/>
      <c r="S693" s="17"/>
      <c r="T693" s="17"/>
      <c r="U693" s="4"/>
      <c r="V693" s="4"/>
    </row>
    <row r="694" spans="1:22" x14ac:dyDescent="0.25">
      <c r="A694" s="318" t="str">
        <f t="shared" si="28"/>
        <v>Sat</v>
      </c>
      <c r="B694" s="15"/>
      <c r="C694" s="16"/>
      <c r="D694" s="6"/>
      <c r="E694" s="6"/>
      <c r="F694" s="6"/>
      <c r="G694" s="6"/>
      <c r="H694" s="6"/>
      <c r="I694" s="6"/>
      <c r="J694" s="6"/>
      <c r="K694" s="6"/>
      <c r="L694" s="20"/>
      <c r="M694" s="84">
        <f t="shared" si="27"/>
        <v>0</v>
      </c>
      <c r="N694" s="248">
        <f>RHcount!X688</f>
        <v>0</v>
      </c>
      <c r="O694" s="17"/>
      <c r="P694" s="17"/>
      <c r="Q694" s="17"/>
      <c r="R694" s="17"/>
      <c r="S694" s="17"/>
      <c r="T694" s="17"/>
      <c r="U694" s="4"/>
      <c r="V694" s="4"/>
    </row>
    <row r="695" spans="1:22" x14ac:dyDescent="0.25">
      <c r="A695" s="318" t="str">
        <f t="shared" si="28"/>
        <v>Sat</v>
      </c>
      <c r="B695" s="15"/>
      <c r="C695" s="16"/>
      <c r="D695" s="6"/>
      <c r="E695" s="6"/>
      <c r="F695" s="6"/>
      <c r="G695" s="6"/>
      <c r="H695" s="6"/>
      <c r="I695" s="6"/>
      <c r="J695" s="6"/>
      <c r="K695" s="6"/>
      <c r="L695" s="20"/>
      <c r="M695" s="84">
        <f t="shared" si="27"/>
        <v>0</v>
      </c>
      <c r="N695" s="248">
        <f>RHcount!X689</f>
        <v>0</v>
      </c>
      <c r="O695" s="17"/>
      <c r="P695" s="17"/>
      <c r="Q695" s="17"/>
      <c r="R695" s="17"/>
      <c r="S695" s="17"/>
      <c r="T695" s="17"/>
      <c r="U695" s="4"/>
      <c r="V695" s="4"/>
    </row>
    <row r="696" spans="1:22" x14ac:dyDescent="0.25">
      <c r="A696" s="318" t="str">
        <f t="shared" si="28"/>
        <v>Sat</v>
      </c>
      <c r="B696" s="15"/>
      <c r="C696" s="16"/>
      <c r="D696" s="6"/>
      <c r="E696" s="6"/>
      <c r="F696" s="6"/>
      <c r="G696" s="6"/>
      <c r="H696" s="6"/>
      <c r="I696" s="6"/>
      <c r="J696" s="6"/>
      <c r="K696" s="6"/>
      <c r="L696" s="20"/>
      <c r="M696" s="84">
        <f t="shared" si="27"/>
        <v>0</v>
      </c>
      <c r="N696" s="248">
        <f>RHcount!X690</f>
        <v>0</v>
      </c>
      <c r="O696" s="17"/>
      <c r="P696" s="17"/>
      <c r="Q696" s="17"/>
      <c r="R696" s="17"/>
      <c r="S696" s="17"/>
      <c r="T696" s="17"/>
      <c r="U696" s="4"/>
      <c r="V696" s="4"/>
    </row>
    <row r="697" spans="1:22" x14ac:dyDescent="0.25">
      <c r="A697" s="318" t="str">
        <f t="shared" si="28"/>
        <v>Sat</v>
      </c>
      <c r="B697" s="15"/>
      <c r="C697" s="16"/>
      <c r="D697" s="6"/>
      <c r="E697" s="6"/>
      <c r="F697" s="6"/>
      <c r="G697" s="6"/>
      <c r="H697" s="6"/>
      <c r="I697" s="6"/>
      <c r="J697" s="6"/>
      <c r="K697" s="6"/>
      <c r="L697" s="20"/>
      <c r="M697" s="84">
        <f t="shared" si="27"/>
        <v>0</v>
      </c>
      <c r="N697" s="248">
        <f>RHcount!X691</f>
        <v>0</v>
      </c>
      <c r="O697" s="17"/>
      <c r="P697" s="17"/>
      <c r="Q697" s="17"/>
      <c r="R697" s="17"/>
      <c r="S697" s="17"/>
      <c r="T697" s="17"/>
      <c r="U697" s="4"/>
      <c r="V697" s="4"/>
    </row>
    <row r="698" spans="1:22" x14ac:dyDescent="0.25">
      <c r="A698" s="318" t="str">
        <f t="shared" si="28"/>
        <v>Sat</v>
      </c>
      <c r="B698" s="15"/>
      <c r="C698" s="16"/>
      <c r="D698" s="6"/>
      <c r="E698" s="6"/>
      <c r="F698" s="6"/>
      <c r="G698" s="6"/>
      <c r="H698" s="6"/>
      <c r="I698" s="6"/>
      <c r="J698" s="6"/>
      <c r="K698" s="6"/>
      <c r="L698" s="20"/>
      <c r="M698" s="84">
        <f t="shared" si="27"/>
        <v>0</v>
      </c>
      <c r="N698" s="248">
        <f>RHcount!X692</f>
        <v>0</v>
      </c>
      <c r="O698" s="17"/>
      <c r="P698" s="17"/>
      <c r="Q698" s="17"/>
      <c r="R698" s="17"/>
      <c r="S698" s="17"/>
      <c r="T698" s="17"/>
      <c r="U698" s="4"/>
      <c r="V698" s="4"/>
    </row>
    <row r="699" spans="1:22" x14ac:dyDescent="0.25">
      <c r="A699" s="318" t="str">
        <f t="shared" si="28"/>
        <v>Sat</v>
      </c>
      <c r="B699" s="15"/>
      <c r="C699" s="16"/>
      <c r="D699" s="6"/>
      <c r="E699" s="6"/>
      <c r="F699" s="6"/>
      <c r="G699" s="6"/>
      <c r="H699" s="6"/>
      <c r="I699" s="6"/>
      <c r="J699" s="6"/>
      <c r="K699" s="6"/>
      <c r="L699" s="20"/>
      <c r="M699" s="84">
        <f t="shared" si="27"/>
        <v>0</v>
      </c>
      <c r="N699" s="248">
        <f>RHcount!X693</f>
        <v>0</v>
      </c>
      <c r="O699" s="17"/>
      <c r="P699" s="17"/>
      <c r="Q699" s="17"/>
      <c r="R699" s="17"/>
      <c r="S699" s="17"/>
      <c r="T699" s="17"/>
      <c r="U699" s="4"/>
      <c r="V699" s="4"/>
    </row>
    <row r="700" spans="1:22" x14ac:dyDescent="0.25">
      <c r="A700" s="318" t="str">
        <f t="shared" si="28"/>
        <v>Sat</v>
      </c>
      <c r="B700" s="15"/>
      <c r="C700" s="16"/>
      <c r="D700" s="6"/>
      <c r="E700" s="6"/>
      <c r="F700" s="6"/>
      <c r="G700" s="6"/>
      <c r="H700" s="6"/>
      <c r="I700" s="6"/>
      <c r="J700" s="6"/>
      <c r="K700" s="6"/>
      <c r="L700" s="20"/>
      <c r="M700" s="84">
        <f t="shared" si="27"/>
        <v>0</v>
      </c>
      <c r="N700" s="248">
        <f>RHcount!X694</f>
        <v>0</v>
      </c>
      <c r="O700" s="17"/>
      <c r="P700" s="17"/>
      <c r="Q700" s="17"/>
      <c r="R700" s="17"/>
      <c r="S700" s="17"/>
      <c r="T700" s="17"/>
      <c r="U700" s="4"/>
      <c r="V700" s="4"/>
    </row>
    <row r="701" spans="1:22" x14ac:dyDescent="0.25">
      <c r="A701" s="318" t="str">
        <f t="shared" si="28"/>
        <v>Sat</v>
      </c>
      <c r="B701" s="15"/>
      <c r="C701" s="16"/>
      <c r="D701" s="6"/>
      <c r="E701" s="6"/>
      <c r="F701" s="6"/>
      <c r="G701" s="6"/>
      <c r="H701" s="6"/>
      <c r="I701" s="6"/>
      <c r="J701" s="6"/>
      <c r="K701" s="6"/>
      <c r="L701" s="20"/>
      <c r="M701" s="84">
        <f t="shared" si="27"/>
        <v>0</v>
      </c>
      <c r="N701" s="248">
        <f>RHcount!X695</f>
        <v>0</v>
      </c>
      <c r="O701" s="17"/>
      <c r="P701" s="17"/>
      <c r="Q701" s="17"/>
      <c r="R701" s="17"/>
      <c r="S701" s="17"/>
      <c r="T701" s="17"/>
      <c r="U701" s="4"/>
      <c r="V701" s="4"/>
    </row>
    <row r="702" spans="1:22" x14ac:dyDescent="0.25">
      <c r="A702" s="318" t="str">
        <f t="shared" si="28"/>
        <v>Sat</v>
      </c>
      <c r="B702" s="15"/>
      <c r="C702" s="16"/>
      <c r="D702" s="6"/>
      <c r="E702" s="6"/>
      <c r="F702" s="6"/>
      <c r="G702" s="6"/>
      <c r="H702" s="6"/>
      <c r="I702" s="6"/>
      <c r="J702" s="6"/>
      <c r="K702" s="6"/>
      <c r="L702" s="20"/>
      <c r="M702" s="84">
        <f t="shared" si="27"/>
        <v>0</v>
      </c>
      <c r="N702" s="248">
        <f>RHcount!X696</f>
        <v>0</v>
      </c>
      <c r="O702" s="17"/>
      <c r="P702" s="17"/>
      <c r="Q702" s="17"/>
      <c r="R702" s="17"/>
      <c r="S702" s="17"/>
      <c r="T702" s="17"/>
      <c r="U702" s="4"/>
      <c r="V702" s="4"/>
    </row>
    <row r="703" spans="1:22" x14ac:dyDescent="0.25">
      <c r="A703" s="318" t="str">
        <f t="shared" si="28"/>
        <v>Sat</v>
      </c>
      <c r="B703" s="15"/>
      <c r="C703" s="16"/>
      <c r="D703" s="6"/>
      <c r="E703" s="6"/>
      <c r="F703" s="6"/>
      <c r="G703" s="6"/>
      <c r="H703" s="6"/>
      <c r="I703" s="6"/>
      <c r="J703" s="6"/>
      <c r="K703" s="6"/>
      <c r="L703" s="20"/>
      <c r="M703" s="84">
        <f t="shared" si="27"/>
        <v>0</v>
      </c>
      <c r="N703" s="248">
        <f>RHcount!X697</f>
        <v>0</v>
      </c>
      <c r="O703" s="17"/>
      <c r="P703" s="17"/>
      <c r="Q703" s="17"/>
      <c r="R703" s="17"/>
      <c r="S703" s="17"/>
      <c r="T703" s="17"/>
      <c r="U703" s="4"/>
      <c r="V703" s="4"/>
    </row>
    <row r="704" spans="1:22" x14ac:dyDescent="0.25">
      <c r="A704" s="318" t="str">
        <f t="shared" si="28"/>
        <v>Sat</v>
      </c>
      <c r="B704" s="15"/>
      <c r="C704" s="16"/>
      <c r="D704" s="6"/>
      <c r="E704" s="6"/>
      <c r="F704" s="6"/>
      <c r="G704" s="6"/>
      <c r="H704" s="6"/>
      <c r="I704" s="6"/>
      <c r="J704" s="6"/>
      <c r="K704" s="6"/>
      <c r="L704" s="20"/>
      <c r="M704" s="84">
        <f t="shared" si="27"/>
        <v>0</v>
      </c>
      <c r="N704" s="248">
        <f>RHcount!X698</f>
        <v>0</v>
      </c>
      <c r="O704" s="17"/>
      <c r="P704" s="17"/>
      <c r="Q704" s="17"/>
      <c r="R704" s="17"/>
      <c r="S704" s="17"/>
      <c r="T704" s="17"/>
      <c r="U704" s="4"/>
      <c r="V704" s="4"/>
    </row>
    <row r="705" spans="1:22" x14ac:dyDescent="0.25">
      <c r="A705" s="318" t="str">
        <f t="shared" si="28"/>
        <v>Sat</v>
      </c>
      <c r="B705" s="15"/>
      <c r="C705" s="16"/>
      <c r="D705" s="6"/>
      <c r="E705" s="6"/>
      <c r="F705" s="6"/>
      <c r="G705" s="6"/>
      <c r="H705" s="6"/>
      <c r="I705" s="6"/>
      <c r="J705" s="6"/>
      <c r="K705" s="6"/>
      <c r="L705" s="20"/>
      <c r="M705" s="84">
        <f t="shared" si="27"/>
        <v>0</v>
      </c>
      <c r="N705" s="248">
        <f>RHcount!X699</f>
        <v>0</v>
      </c>
      <c r="O705" s="17"/>
      <c r="P705" s="17"/>
      <c r="Q705" s="17"/>
      <c r="R705" s="17"/>
      <c r="S705" s="17"/>
      <c r="T705" s="17"/>
      <c r="U705" s="4"/>
      <c r="V705" s="4"/>
    </row>
    <row r="706" spans="1:22" x14ac:dyDescent="0.25">
      <c r="A706" s="318" t="str">
        <f t="shared" si="28"/>
        <v>Sat</v>
      </c>
      <c r="B706" s="15"/>
      <c r="C706" s="16"/>
      <c r="D706" s="6"/>
      <c r="E706" s="6"/>
      <c r="F706" s="6"/>
      <c r="G706" s="6"/>
      <c r="H706" s="6"/>
      <c r="I706" s="6"/>
      <c r="J706" s="6"/>
      <c r="K706" s="6"/>
      <c r="L706" s="20"/>
      <c r="M706" s="84">
        <f t="shared" si="27"/>
        <v>0</v>
      </c>
      <c r="N706" s="248">
        <f>RHcount!X700</f>
        <v>0</v>
      </c>
      <c r="O706" s="17"/>
      <c r="P706" s="17"/>
      <c r="Q706" s="17"/>
      <c r="R706" s="17"/>
      <c r="S706" s="17"/>
      <c r="T706" s="17"/>
      <c r="U706" s="4"/>
      <c r="V706" s="4"/>
    </row>
    <row r="707" spans="1:22" x14ac:dyDescent="0.25">
      <c r="A707" s="318" t="str">
        <f t="shared" si="28"/>
        <v>Sat</v>
      </c>
      <c r="B707" s="15"/>
      <c r="C707" s="16"/>
      <c r="D707" s="6"/>
      <c r="E707" s="6"/>
      <c r="F707" s="6"/>
      <c r="G707" s="6"/>
      <c r="H707" s="6"/>
      <c r="I707" s="6"/>
      <c r="J707" s="6"/>
      <c r="K707" s="6"/>
      <c r="L707" s="20"/>
      <c r="M707" s="84">
        <f t="shared" si="27"/>
        <v>0</v>
      </c>
      <c r="N707" s="248">
        <f>RHcount!X701</f>
        <v>0</v>
      </c>
      <c r="O707" s="17"/>
      <c r="P707" s="17"/>
      <c r="Q707" s="17"/>
      <c r="R707" s="17"/>
      <c r="S707" s="17"/>
      <c r="T707" s="17"/>
      <c r="U707" s="4"/>
      <c r="V707" s="4"/>
    </row>
    <row r="708" spans="1:22" x14ac:dyDescent="0.25">
      <c r="A708" s="318" t="str">
        <f t="shared" si="28"/>
        <v>Sat</v>
      </c>
      <c r="B708" s="15"/>
      <c r="C708" s="16"/>
      <c r="D708" s="6"/>
      <c r="E708" s="6"/>
      <c r="F708" s="6"/>
      <c r="G708" s="6"/>
      <c r="H708" s="6"/>
      <c r="I708" s="6"/>
      <c r="J708" s="6"/>
      <c r="K708" s="6"/>
      <c r="L708" s="20"/>
      <c r="M708" s="84">
        <f t="shared" si="27"/>
        <v>0</v>
      </c>
      <c r="N708" s="248">
        <f>RHcount!X702</f>
        <v>0</v>
      </c>
      <c r="O708" s="17"/>
      <c r="P708" s="17"/>
      <c r="Q708" s="17"/>
      <c r="R708" s="17"/>
      <c r="S708" s="17"/>
      <c r="T708" s="17"/>
      <c r="U708" s="4"/>
      <c r="V708" s="4"/>
    </row>
    <row r="709" spans="1:22" x14ac:dyDescent="0.25">
      <c r="A709" s="318" t="str">
        <f t="shared" si="28"/>
        <v>Sat</v>
      </c>
      <c r="B709" s="15"/>
      <c r="C709" s="16"/>
      <c r="D709" s="6"/>
      <c r="E709" s="6"/>
      <c r="F709" s="6"/>
      <c r="G709" s="6"/>
      <c r="H709" s="6"/>
      <c r="I709" s="6"/>
      <c r="J709" s="6"/>
      <c r="K709" s="6"/>
      <c r="L709" s="20"/>
      <c r="M709" s="84">
        <f t="shared" si="27"/>
        <v>0</v>
      </c>
      <c r="N709" s="248">
        <f>RHcount!X703</f>
        <v>0</v>
      </c>
      <c r="O709" s="17"/>
      <c r="P709" s="17"/>
      <c r="Q709" s="17"/>
      <c r="R709" s="17"/>
      <c r="S709" s="17"/>
      <c r="T709" s="17"/>
      <c r="U709" s="4"/>
      <c r="V709" s="4"/>
    </row>
    <row r="710" spans="1:22" x14ac:dyDescent="0.25">
      <c r="A710" s="318" t="str">
        <f t="shared" si="28"/>
        <v>Sat</v>
      </c>
      <c r="B710" s="15"/>
      <c r="C710" s="16"/>
      <c r="D710" s="6"/>
      <c r="E710" s="6"/>
      <c r="F710" s="6"/>
      <c r="G710" s="6"/>
      <c r="H710" s="6"/>
      <c r="I710" s="6"/>
      <c r="J710" s="6"/>
      <c r="K710" s="6"/>
      <c r="L710" s="20"/>
      <c r="M710" s="84">
        <f t="shared" si="27"/>
        <v>0</v>
      </c>
      <c r="N710" s="248">
        <f>RHcount!X704</f>
        <v>0</v>
      </c>
      <c r="O710" s="17"/>
      <c r="P710" s="17"/>
      <c r="Q710" s="17"/>
      <c r="R710" s="17"/>
      <c r="S710" s="17"/>
      <c r="T710" s="17"/>
      <c r="U710" s="4"/>
      <c r="V710" s="4"/>
    </row>
    <row r="711" spans="1:22" x14ac:dyDescent="0.25">
      <c r="A711" s="318" t="str">
        <f t="shared" si="28"/>
        <v>Sat</v>
      </c>
      <c r="B711" s="15"/>
      <c r="C711" s="16"/>
      <c r="D711" s="6"/>
      <c r="E711" s="6"/>
      <c r="F711" s="6"/>
      <c r="G711" s="6"/>
      <c r="H711" s="6"/>
      <c r="I711" s="6"/>
      <c r="J711" s="6"/>
      <c r="K711" s="6"/>
      <c r="L711" s="20"/>
      <c r="M711" s="84">
        <f t="shared" si="27"/>
        <v>0</v>
      </c>
      <c r="N711" s="248">
        <f>RHcount!X705</f>
        <v>0</v>
      </c>
      <c r="O711" s="17"/>
      <c r="P711" s="17"/>
      <c r="Q711" s="17"/>
      <c r="R711" s="17"/>
      <c r="S711" s="17"/>
      <c r="T711" s="17"/>
      <c r="U711" s="4"/>
      <c r="V711" s="4"/>
    </row>
    <row r="712" spans="1:22" x14ac:dyDescent="0.25">
      <c r="A712" s="318" t="str">
        <f t="shared" si="28"/>
        <v>Sat</v>
      </c>
      <c r="B712" s="15"/>
      <c r="C712" s="16"/>
      <c r="D712" s="6"/>
      <c r="E712" s="6"/>
      <c r="F712" s="6"/>
      <c r="G712" s="6"/>
      <c r="H712" s="6"/>
      <c r="I712" s="6"/>
      <c r="J712" s="6"/>
      <c r="K712" s="6"/>
      <c r="L712" s="20"/>
      <c r="M712" s="84">
        <f t="shared" si="27"/>
        <v>0</v>
      </c>
      <c r="N712" s="248">
        <f>RHcount!X706</f>
        <v>0</v>
      </c>
      <c r="O712" s="17"/>
      <c r="P712" s="17"/>
      <c r="Q712" s="17"/>
      <c r="R712" s="17"/>
      <c r="S712" s="17"/>
      <c r="T712" s="17"/>
      <c r="U712" s="4"/>
      <c r="V712" s="4"/>
    </row>
    <row r="713" spans="1:22" x14ac:dyDescent="0.25">
      <c r="A713" s="318" t="str">
        <f t="shared" si="28"/>
        <v>Sat</v>
      </c>
      <c r="B713" s="15"/>
      <c r="C713" s="16"/>
      <c r="D713" s="6"/>
      <c r="E713" s="6"/>
      <c r="F713" s="6"/>
      <c r="G713" s="6"/>
      <c r="H713" s="6"/>
      <c r="I713" s="6"/>
      <c r="J713" s="6"/>
      <c r="K713" s="6"/>
      <c r="L713" s="20"/>
      <c r="M713" s="84">
        <f t="shared" si="27"/>
        <v>0</v>
      </c>
      <c r="N713" s="248">
        <f>RHcount!X707</f>
        <v>0</v>
      </c>
      <c r="O713" s="17"/>
      <c r="P713" s="17"/>
      <c r="Q713" s="17"/>
      <c r="R713" s="17"/>
      <c r="S713" s="17"/>
      <c r="T713" s="17"/>
      <c r="U713" s="4"/>
      <c r="V713" s="4"/>
    </row>
    <row r="714" spans="1:22" x14ac:dyDescent="0.25">
      <c r="A714" s="318" t="str">
        <f t="shared" si="28"/>
        <v>Sat</v>
      </c>
      <c r="B714" s="15"/>
      <c r="C714" s="16"/>
      <c r="D714" s="6"/>
      <c r="E714" s="6"/>
      <c r="F714" s="6"/>
      <c r="G714" s="6"/>
      <c r="H714" s="6"/>
      <c r="I714" s="6"/>
      <c r="J714" s="6"/>
      <c r="K714" s="6"/>
      <c r="L714" s="20"/>
      <c r="M714" s="84">
        <f t="shared" si="27"/>
        <v>0</v>
      </c>
      <c r="N714" s="248">
        <f>RHcount!X708</f>
        <v>0</v>
      </c>
      <c r="O714" s="17"/>
      <c r="P714" s="17"/>
      <c r="Q714" s="17"/>
      <c r="R714" s="17"/>
      <c r="S714" s="17"/>
      <c r="T714" s="17"/>
      <c r="U714" s="4"/>
      <c r="V714" s="4"/>
    </row>
    <row r="715" spans="1:22" x14ac:dyDescent="0.25">
      <c r="A715" s="318" t="str">
        <f t="shared" si="28"/>
        <v>Sat</v>
      </c>
      <c r="B715" s="15"/>
      <c r="C715" s="16"/>
      <c r="D715" s="6"/>
      <c r="E715" s="6"/>
      <c r="F715" s="6"/>
      <c r="G715" s="6"/>
      <c r="H715" s="6"/>
      <c r="I715" s="6"/>
      <c r="J715" s="6"/>
      <c r="K715" s="6"/>
      <c r="L715" s="20"/>
      <c r="M715" s="84">
        <f t="shared" ref="M715:M762" si="29">IF(F715&gt;"a",VLOOKUP(F715,$U$11:$V$26,2),F715)</f>
        <v>0</v>
      </c>
      <c r="N715" s="248">
        <f>RHcount!X709</f>
        <v>0</v>
      </c>
      <c r="O715" s="17"/>
      <c r="P715" s="17"/>
      <c r="Q715" s="17"/>
      <c r="R715" s="17"/>
      <c r="S715" s="17"/>
      <c r="T715" s="17"/>
      <c r="U715" s="4"/>
      <c r="V715" s="4"/>
    </row>
    <row r="716" spans="1:22" x14ac:dyDescent="0.25">
      <c r="A716" s="318" t="str">
        <f t="shared" si="28"/>
        <v>Sat</v>
      </c>
      <c r="B716" s="15"/>
      <c r="C716" s="16"/>
      <c r="D716" s="6"/>
      <c r="E716" s="6"/>
      <c r="F716" s="6"/>
      <c r="G716" s="6"/>
      <c r="H716" s="6"/>
      <c r="I716" s="6"/>
      <c r="J716" s="6"/>
      <c r="K716" s="6"/>
      <c r="L716" s="20"/>
      <c r="M716" s="84">
        <f t="shared" si="29"/>
        <v>0</v>
      </c>
      <c r="N716" s="248">
        <f>RHcount!X710</f>
        <v>0</v>
      </c>
      <c r="O716" s="17"/>
      <c r="P716" s="17"/>
      <c r="Q716" s="17"/>
      <c r="R716" s="17"/>
      <c r="S716" s="17"/>
      <c r="T716" s="17"/>
      <c r="U716" s="4"/>
      <c r="V716" s="4"/>
    </row>
    <row r="717" spans="1:22" x14ac:dyDescent="0.25">
      <c r="A717" s="318" t="str">
        <f t="shared" ref="A717:A762" si="30">TEXT(B717,"ddd")</f>
        <v>Sat</v>
      </c>
      <c r="B717" s="15"/>
      <c r="C717" s="16"/>
      <c r="D717" s="6"/>
      <c r="E717" s="6"/>
      <c r="F717" s="6"/>
      <c r="G717" s="6"/>
      <c r="H717" s="6"/>
      <c r="I717" s="6"/>
      <c r="J717" s="6"/>
      <c r="K717" s="6"/>
      <c r="L717" s="20"/>
      <c r="M717" s="84">
        <f t="shared" si="29"/>
        <v>0</v>
      </c>
      <c r="N717" s="248">
        <f>RHcount!X711</f>
        <v>0</v>
      </c>
      <c r="O717" s="17"/>
      <c r="P717" s="17"/>
      <c r="Q717" s="17"/>
      <c r="R717" s="17"/>
      <c r="S717" s="17"/>
      <c r="T717" s="17"/>
      <c r="U717" s="4"/>
      <c r="V717" s="4"/>
    </row>
    <row r="718" spans="1:22" x14ac:dyDescent="0.25">
      <c r="A718" s="318" t="str">
        <f t="shared" si="30"/>
        <v>Sat</v>
      </c>
      <c r="B718" s="15"/>
      <c r="C718" s="16"/>
      <c r="D718" s="6"/>
      <c r="E718" s="6"/>
      <c r="F718" s="6"/>
      <c r="G718" s="6"/>
      <c r="H718" s="6"/>
      <c r="I718" s="6"/>
      <c r="J718" s="6"/>
      <c r="K718" s="6"/>
      <c r="L718" s="20"/>
      <c r="M718" s="84">
        <f t="shared" si="29"/>
        <v>0</v>
      </c>
      <c r="N718" s="248">
        <f>RHcount!X712</f>
        <v>0</v>
      </c>
      <c r="O718" s="17"/>
      <c r="P718" s="17"/>
      <c r="Q718" s="17"/>
      <c r="R718" s="17"/>
      <c r="S718" s="17"/>
      <c r="T718" s="17"/>
      <c r="U718" s="4"/>
      <c r="V718" s="4"/>
    </row>
    <row r="719" spans="1:22" x14ac:dyDescent="0.25">
      <c r="A719" s="318" t="str">
        <f t="shared" si="30"/>
        <v>Sat</v>
      </c>
      <c r="B719" s="15"/>
      <c r="C719" s="16"/>
      <c r="D719" s="6"/>
      <c r="E719" s="6"/>
      <c r="F719" s="6"/>
      <c r="G719" s="6"/>
      <c r="H719" s="6"/>
      <c r="I719" s="6"/>
      <c r="J719" s="6"/>
      <c r="K719" s="6"/>
      <c r="L719" s="20"/>
      <c r="M719" s="84">
        <f t="shared" si="29"/>
        <v>0</v>
      </c>
      <c r="N719" s="248">
        <f>RHcount!X713</f>
        <v>0</v>
      </c>
      <c r="O719" s="17"/>
      <c r="P719" s="17"/>
      <c r="Q719" s="17"/>
      <c r="R719" s="17"/>
      <c r="S719" s="17"/>
      <c r="T719" s="17"/>
      <c r="U719" s="4"/>
      <c r="V719" s="4"/>
    </row>
    <row r="720" spans="1:22" x14ac:dyDescent="0.25">
      <c r="A720" s="318" t="str">
        <f t="shared" si="30"/>
        <v>Sat</v>
      </c>
      <c r="B720" s="15"/>
      <c r="C720" s="16"/>
      <c r="D720" s="6"/>
      <c r="E720" s="6"/>
      <c r="F720" s="6"/>
      <c r="G720" s="6"/>
      <c r="H720" s="6"/>
      <c r="I720" s="6"/>
      <c r="J720" s="6"/>
      <c r="K720" s="6"/>
      <c r="L720" s="20"/>
      <c r="M720" s="84">
        <f t="shared" si="29"/>
        <v>0</v>
      </c>
      <c r="N720" s="248">
        <f>RHcount!X714</f>
        <v>0</v>
      </c>
      <c r="O720" s="17"/>
      <c r="P720" s="17"/>
      <c r="Q720" s="17"/>
      <c r="R720" s="17"/>
      <c r="S720" s="17"/>
      <c r="T720" s="17"/>
      <c r="U720" s="4"/>
      <c r="V720" s="4"/>
    </row>
    <row r="721" spans="1:22" x14ac:dyDescent="0.25">
      <c r="A721" s="318" t="str">
        <f t="shared" si="30"/>
        <v>Sat</v>
      </c>
      <c r="B721" s="15"/>
      <c r="C721" s="16"/>
      <c r="D721" s="6"/>
      <c r="E721" s="6"/>
      <c r="F721" s="6"/>
      <c r="G721" s="6"/>
      <c r="H721" s="6"/>
      <c r="I721" s="6"/>
      <c r="J721" s="6"/>
      <c r="K721" s="6"/>
      <c r="L721" s="20"/>
      <c r="M721" s="84">
        <f t="shared" si="29"/>
        <v>0</v>
      </c>
      <c r="N721" s="248">
        <f>RHcount!X715</f>
        <v>0</v>
      </c>
      <c r="O721" s="17"/>
      <c r="P721" s="17"/>
      <c r="Q721" s="17"/>
      <c r="R721" s="17"/>
      <c r="S721" s="17"/>
      <c r="T721" s="17"/>
      <c r="U721" s="4"/>
      <c r="V721" s="4"/>
    </row>
    <row r="722" spans="1:22" x14ac:dyDescent="0.25">
      <c r="A722" s="318" t="str">
        <f t="shared" si="30"/>
        <v>Sat</v>
      </c>
      <c r="B722" s="15"/>
      <c r="C722" s="16"/>
      <c r="D722" s="6"/>
      <c r="E722" s="6"/>
      <c r="F722" s="6"/>
      <c r="G722" s="6"/>
      <c r="H722" s="6"/>
      <c r="I722" s="6"/>
      <c r="J722" s="6"/>
      <c r="K722" s="6"/>
      <c r="L722" s="20"/>
      <c r="M722" s="84">
        <f t="shared" si="29"/>
        <v>0</v>
      </c>
      <c r="N722" s="248">
        <f>RHcount!X716</f>
        <v>0</v>
      </c>
      <c r="O722" s="17"/>
      <c r="P722" s="17"/>
      <c r="Q722" s="17"/>
      <c r="R722" s="17"/>
      <c r="S722" s="17"/>
      <c r="T722" s="17"/>
      <c r="U722" s="4"/>
      <c r="V722" s="4"/>
    </row>
    <row r="723" spans="1:22" x14ac:dyDescent="0.25">
      <c r="A723" s="318" t="str">
        <f t="shared" si="30"/>
        <v>Sat</v>
      </c>
      <c r="B723" s="15"/>
      <c r="C723" s="16"/>
      <c r="D723" s="6"/>
      <c r="E723" s="6"/>
      <c r="F723" s="6"/>
      <c r="G723" s="6"/>
      <c r="H723" s="6"/>
      <c r="I723" s="6"/>
      <c r="J723" s="6"/>
      <c r="K723" s="6"/>
      <c r="L723" s="20"/>
      <c r="M723" s="84">
        <f t="shared" si="29"/>
        <v>0</v>
      </c>
      <c r="N723" s="248">
        <f>RHcount!X717</f>
        <v>0</v>
      </c>
      <c r="O723" s="17"/>
      <c r="P723" s="17"/>
      <c r="Q723" s="17"/>
      <c r="R723" s="17"/>
      <c r="S723" s="17"/>
      <c r="T723" s="17"/>
      <c r="U723" s="4"/>
      <c r="V723" s="4"/>
    </row>
    <row r="724" spans="1:22" x14ac:dyDescent="0.25">
      <c r="A724" s="318" t="str">
        <f t="shared" si="30"/>
        <v>Sat</v>
      </c>
      <c r="B724" s="15"/>
      <c r="C724" s="16"/>
      <c r="D724" s="6"/>
      <c r="E724" s="6"/>
      <c r="F724" s="6"/>
      <c r="G724" s="6"/>
      <c r="H724" s="6"/>
      <c r="I724" s="6"/>
      <c r="J724" s="6"/>
      <c r="K724" s="6"/>
      <c r="L724" s="20"/>
      <c r="M724" s="84">
        <f t="shared" si="29"/>
        <v>0</v>
      </c>
      <c r="N724" s="248">
        <f>RHcount!X718</f>
        <v>0</v>
      </c>
      <c r="O724" s="17"/>
      <c r="P724" s="17"/>
      <c r="Q724" s="17"/>
      <c r="R724" s="17"/>
      <c r="S724" s="17"/>
      <c r="T724" s="17"/>
      <c r="U724" s="4"/>
      <c r="V724" s="4"/>
    </row>
    <row r="725" spans="1:22" x14ac:dyDescent="0.25">
      <c r="A725" s="318" t="str">
        <f t="shared" si="30"/>
        <v>Sat</v>
      </c>
      <c r="B725" s="15"/>
      <c r="C725" s="16"/>
      <c r="D725" s="6"/>
      <c r="E725" s="6"/>
      <c r="F725" s="6"/>
      <c r="G725" s="6"/>
      <c r="H725" s="6"/>
      <c r="I725" s="6"/>
      <c r="J725" s="6"/>
      <c r="K725" s="6"/>
      <c r="L725" s="20"/>
      <c r="M725" s="84">
        <f t="shared" si="29"/>
        <v>0</v>
      </c>
      <c r="N725" s="248">
        <f>RHcount!X719</f>
        <v>0</v>
      </c>
      <c r="O725" s="17"/>
      <c r="P725" s="17"/>
      <c r="Q725" s="17"/>
      <c r="R725" s="17"/>
      <c r="S725" s="17"/>
      <c r="T725" s="17"/>
      <c r="U725" s="4"/>
      <c r="V725" s="4"/>
    </row>
    <row r="726" spans="1:22" x14ac:dyDescent="0.25">
      <c r="A726" s="318" t="str">
        <f t="shared" si="30"/>
        <v>Sat</v>
      </c>
      <c r="B726" s="15"/>
      <c r="C726" s="16"/>
      <c r="D726" s="6"/>
      <c r="E726" s="6"/>
      <c r="F726" s="6"/>
      <c r="G726" s="6"/>
      <c r="H726" s="6"/>
      <c r="I726" s="6"/>
      <c r="J726" s="6"/>
      <c r="K726" s="6"/>
      <c r="L726" s="20"/>
      <c r="M726" s="84">
        <f t="shared" si="29"/>
        <v>0</v>
      </c>
      <c r="N726" s="248">
        <f>RHcount!X720</f>
        <v>0</v>
      </c>
      <c r="O726" s="17"/>
      <c r="P726" s="17"/>
      <c r="Q726" s="17"/>
      <c r="R726" s="17"/>
      <c r="S726" s="17"/>
      <c r="T726" s="17"/>
      <c r="U726" s="4"/>
      <c r="V726" s="4"/>
    </row>
    <row r="727" spans="1:22" x14ac:dyDescent="0.25">
      <c r="A727" s="318" t="str">
        <f t="shared" si="30"/>
        <v>Sat</v>
      </c>
      <c r="B727" s="15"/>
      <c r="C727" s="16"/>
      <c r="D727" s="6"/>
      <c r="E727" s="6"/>
      <c r="F727" s="6"/>
      <c r="G727" s="6"/>
      <c r="H727" s="6"/>
      <c r="I727" s="6"/>
      <c r="J727" s="6"/>
      <c r="K727" s="6"/>
      <c r="L727" s="20"/>
      <c r="M727" s="84">
        <f t="shared" si="29"/>
        <v>0</v>
      </c>
      <c r="N727" s="248">
        <f>RHcount!X721</f>
        <v>0</v>
      </c>
      <c r="O727" s="17"/>
      <c r="P727" s="17"/>
      <c r="Q727" s="17"/>
      <c r="R727" s="17"/>
      <c r="S727" s="17"/>
      <c r="T727" s="17"/>
      <c r="U727" s="4"/>
      <c r="V727" s="4"/>
    </row>
    <row r="728" spans="1:22" x14ac:dyDescent="0.25">
      <c r="A728" s="318" t="str">
        <f t="shared" si="30"/>
        <v>Sat</v>
      </c>
      <c r="B728" s="15"/>
      <c r="C728" s="16"/>
      <c r="D728" s="6"/>
      <c r="E728" s="6"/>
      <c r="F728" s="6"/>
      <c r="G728" s="6"/>
      <c r="H728" s="6"/>
      <c r="I728" s="6"/>
      <c r="J728" s="6"/>
      <c r="K728" s="6"/>
      <c r="L728" s="20"/>
      <c r="M728" s="84">
        <f t="shared" si="29"/>
        <v>0</v>
      </c>
      <c r="N728" s="248">
        <f>RHcount!X722</f>
        <v>0</v>
      </c>
      <c r="O728" s="17"/>
      <c r="P728" s="17"/>
      <c r="Q728" s="17"/>
      <c r="R728" s="17"/>
      <c r="S728" s="17"/>
      <c r="T728" s="17"/>
      <c r="U728" s="4"/>
      <c r="V728" s="4"/>
    </row>
    <row r="729" spans="1:22" x14ac:dyDescent="0.25">
      <c r="A729" s="318" t="str">
        <f t="shared" si="30"/>
        <v>Sat</v>
      </c>
      <c r="B729" s="15"/>
      <c r="C729" s="16"/>
      <c r="D729" s="6"/>
      <c r="E729" s="6"/>
      <c r="F729" s="6"/>
      <c r="G729" s="6"/>
      <c r="H729" s="6"/>
      <c r="I729" s="6"/>
      <c r="J729" s="6"/>
      <c r="K729" s="6"/>
      <c r="L729" s="20"/>
      <c r="M729" s="84">
        <f t="shared" si="29"/>
        <v>0</v>
      </c>
      <c r="N729" s="248">
        <f>RHcount!X723</f>
        <v>0</v>
      </c>
      <c r="O729" s="17"/>
      <c r="P729" s="17"/>
      <c r="Q729" s="17"/>
      <c r="R729" s="17"/>
      <c r="S729" s="17"/>
      <c r="T729" s="17"/>
      <c r="U729" s="4"/>
      <c r="V729" s="4"/>
    </row>
    <row r="730" spans="1:22" x14ac:dyDescent="0.25">
      <c r="A730" s="318" t="str">
        <f t="shared" si="30"/>
        <v>Sat</v>
      </c>
      <c r="B730" s="15"/>
      <c r="C730" s="16"/>
      <c r="D730" s="6"/>
      <c r="E730" s="6"/>
      <c r="F730" s="6"/>
      <c r="G730" s="6"/>
      <c r="H730" s="6"/>
      <c r="I730" s="6"/>
      <c r="J730" s="6"/>
      <c r="K730" s="6"/>
      <c r="L730" s="20"/>
      <c r="M730" s="84">
        <f t="shared" si="29"/>
        <v>0</v>
      </c>
      <c r="N730" s="248">
        <f>RHcount!X724</f>
        <v>0</v>
      </c>
      <c r="O730" s="17"/>
      <c r="P730" s="17"/>
      <c r="Q730" s="17"/>
      <c r="R730" s="17"/>
      <c r="S730" s="17"/>
      <c r="T730" s="17"/>
      <c r="U730" s="4"/>
      <c r="V730" s="4"/>
    </row>
    <row r="731" spans="1:22" x14ac:dyDescent="0.25">
      <c r="A731" s="318" t="str">
        <f t="shared" si="30"/>
        <v>Sat</v>
      </c>
      <c r="B731" s="15"/>
      <c r="C731" s="16"/>
      <c r="D731" s="6"/>
      <c r="E731" s="6"/>
      <c r="F731" s="6"/>
      <c r="G731" s="6"/>
      <c r="H731" s="6"/>
      <c r="I731" s="6"/>
      <c r="J731" s="6"/>
      <c r="K731" s="6"/>
      <c r="L731" s="20"/>
      <c r="M731" s="84">
        <f t="shared" si="29"/>
        <v>0</v>
      </c>
      <c r="N731" s="248">
        <f>RHcount!X725</f>
        <v>0</v>
      </c>
      <c r="O731" s="17"/>
      <c r="P731" s="17"/>
      <c r="Q731" s="17"/>
      <c r="R731" s="17"/>
      <c r="S731" s="17"/>
      <c r="T731" s="17"/>
      <c r="U731" s="4"/>
      <c r="V731" s="4"/>
    </row>
    <row r="732" spans="1:22" x14ac:dyDescent="0.25">
      <c r="A732" s="318" t="str">
        <f t="shared" si="30"/>
        <v>Sat</v>
      </c>
      <c r="B732" s="15"/>
      <c r="C732" s="16"/>
      <c r="D732" s="6"/>
      <c r="E732" s="6"/>
      <c r="F732" s="6"/>
      <c r="G732" s="6"/>
      <c r="H732" s="6"/>
      <c r="I732" s="6"/>
      <c r="J732" s="6"/>
      <c r="K732" s="6"/>
      <c r="L732" s="20"/>
      <c r="M732" s="84">
        <f t="shared" si="29"/>
        <v>0</v>
      </c>
      <c r="N732" s="248">
        <f>RHcount!X726</f>
        <v>0</v>
      </c>
      <c r="O732" s="17"/>
      <c r="P732" s="17"/>
      <c r="Q732" s="17"/>
      <c r="R732" s="17"/>
      <c r="S732" s="17"/>
      <c r="T732" s="17"/>
      <c r="U732" s="4"/>
      <c r="V732" s="4"/>
    </row>
    <row r="733" spans="1:22" x14ac:dyDescent="0.25">
      <c r="A733" s="318" t="str">
        <f t="shared" si="30"/>
        <v>Sat</v>
      </c>
      <c r="B733" s="15"/>
      <c r="C733" s="16"/>
      <c r="D733" s="6"/>
      <c r="E733" s="6"/>
      <c r="F733" s="6"/>
      <c r="G733" s="6"/>
      <c r="H733" s="6"/>
      <c r="I733" s="6"/>
      <c r="J733" s="6"/>
      <c r="K733" s="6"/>
      <c r="L733" s="20"/>
      <c r="M733" s="84">
        <f t="shared" si="29"/>
        <v>0</v>
      </c>
      <c r="N733" s="248">
        <f>RHcount!X727</f>
        <v>0</v>
      </c>
      <c r="O733" s="17"/>
      <c r="P733" s="17"/>
      <c r="Q733" s="17"/>
      <c r="R733" s="17"/>
      <c r="S733" s="17"/>
      <c r="T733" s="17"/>
      <c r="U733" s="4"/>
      <c r="V733" s="4"/>
    </row>
    <row r="734" spans="1:22" x14ac:dyDescent="0.25">
      <c r="A734" s="318" t="str">
        <f t="shared" si="30"/>
        <v>Sat</v>
      </c>
      <c r="B734" s="15"/>
      <c r="C734" s="16"/>
      <c r="D734" s="6"/>
      <c r="E734" s="6"/>
      <c r="F734" s="6"/>
      <c r="G734" s="6"/>
      <c r="H734" s="6"/>
      <c r="I734" s="6"/>
      <c r="J734" s="6"/>
      <c r="K734" s="6"/>
      <c r="L734" s="20"/>
      <c r="M734" s="84">
        <f t="shared" si="29"/>
        <v>0</v>
      </c>
      <c r="N734" s="248">
        <f>RHcount!X728</f>
        <v>0</v>
      </c>
      <c r="O734" s="17"/>
      <c r="P734" s="17"/>
      <c r="Q734" s="17"/>
      <c r="R734" s="17"/>
      <c r="S734" s="17"/>
      <c r="T734" s="17"/>
      <c r="U734" s="4"/>
      <c r="V734" s="4"/>
    </row>
    <row r="735" spans="1:22" x14ac:dyDescent="0.25">
      <c r="A735" s="318" t="str">
        <f t="shared" si="30"/>
        <v>Sat</v>
      </c>
      <c r="B735" s="15"/>
      <c r="C735" s="16"/>
      <c r="D735" s="6"/>
      <c r="E735" s="6"/>
      <c r="F735" s="6"/>
      <c r="G735" s="6"/>
      <c r="H735" s="6"/>
      <c r="I735" s="6"/>
      <c r="J735" s="6"/>
      <c r="K735" s="6"/>
      <c r="L735" s="20"/>
      <c r="M735" s="84">
        <f t="shared" si="29"/>
        <v>0</v>
      </c>
      <c r="N735" s="248">
        <f>RHcount!X729</f>
        <v>0</v>
      </c>
      <c r="O735" s="17"/>
      <c r="P735" s="17"/>
      <c r="Q735" s="17"/>
      <c r="R735" s="17"/>
      <c r="S735" s="17"/>
      <c r="T735" s="17"/>
      <c r="U735" s="4"/>
      <c r="V735" s="4"/>
    </row>
    <row r="736" spans="1:22" x14ac:dyDescent="0.25">
      <c r="A736" s="318" t="str">
        <f t="shared" si="30"/>
        <v>Sat</v>
      </c>
      <c r="B736" s="15"/>
      <c r="C736" s="16"/>
      <c r="D736" s="6"/>
      <c r="E736" s="6"/>
      <c r="F736" s="6"/>
      <c r="G736" s="6"/>
      <c r="H736" s="6"/>
      <c r="I736" s="6"/>
      <c r="J736" s="6"/>
      <c r="K736" s="6"/>
      <c r="L736" s="20"/>
      <c r="M736" s="84">
        <f t="shared" si="29"/>
        <v>0</v>
      </c>
      <c r="N736" s="248">
        <f>RHcount!X730</f>
        <v>0</v>
      </c>
      <c r="O736" s="17"/>
      <c r="P736" s="17"/>
      <c r="Q736" s="17"/>
      <c r="R736" s="17"/>
      <c r="S736" s="17"/>
      <c r="T736" s="17"/>
      <c r="U736" s="4"/>
      <c r="V736" s="4"/>
    </row>
    <row r="737" spans="1:22" x14ac:dyDescent="0.25">
      <c r="A737" s="318" t="str">
        <f t="shared" si="30"/>
        <v>Sat</v>
      </c>
      <c r="B737" s="15"/>
      <c r="C737" s="16"/>
      <c r="D737" s="6"/>
      <c r="E737" s="6"/>
      <c r="F737" s="6"/>
      <c r="G737" s="6"/>
      <c r="H737" s="6"/>
      <c r="I737" s="6"/>
      <c r="J737" s="6"/>
      <c r="K737" s="6"/>
      <c r="L737" s="20"/>
      <c r="M737" s="84">
        <f t="shared" si="29"/>
        <v>0</v>
      </c>
      <c r="N737" s="248">
        <f>RHcount!X731</f>
        <v>0</v>
      </c>
      <c r="O737" s="17"/>
      <c r="P737" s="17"/>
      <c r="Q737" s="17"/>
      <c r="R737" s="17"/>
      <c r="S737" s="17"/>
      <c r="T737" s="17"/>
      <c r="U737" s="4"/>
      <c r="V737" s="4"/>
    </row>
    <row r="738" spans="1:22" x14ac:dyDescent="0.25">
      <c r="A738" s="318" t="str">
        <f t="shared" si="30"/>
        <v>Sat</v>
      </c>
      <c r="B738" s="15"/>
      <c r="C738" s="16"/>
      <c r="D738" s="6"/>
      <c r="E738" s="6"/>
      <c r="F738" s="6"/>
      <c r="G738" s="6"/>
      <c r="H738" s="6"/>
      <c r="I738" s="6"/>
      <c r="J738" s="6"/>
      <c r="K738" s="6"/>
      <c r="L738" s="20"/>
      <c r="M738" s="84">
        <f t="shared" si="29"/>
        <v>0</v>
      </c>
      <c r="N738" s="248">
        <f>RHcount!X732</f>
        <v>0</v>
      </c>
      <c r="O738" s="17"/>
      <c r="P738" s="17"/>
      <c r="Q738" s="17"/>
      <c r="R738" s="17"/>
      <c r="S738" s="17"/>
      <c r="T738" s="17"/>
      <c r="U738" s="4"/>
      <c r="V738" s="4"/>
    </row>
    <row r="739" spans="1:22" x14ac:dyDescent="0.25">
      <c r="A739" s="318" t="str">
        <f t="shared" si="30"/>
        <v>Sat</v>
      </c>
      <c r="B739" s="15"/>
      <c r="C739" s="16"/>
      <c r="D739" s="6"/>
      <c r="E739" s="6"/>
      <c r="F739" s="6"/>
      <c r="G739" s="6"/>
      <c r="H739" s="6"/>
      <c r="I739" s="6"/>
      <c r="J739" s="6"/>
      <c r="K739" s="6"/>
      <c r="L739" s="20"/>
      <c r="M739" s="84">
        <f t="shared" si="29"/>
        <v>0</v>
      </c>
      <c r="N739" s="248">
        <f>RHcount!X733</f>
        <v>0</v>
      </c>
      <c r="O739" s="17"/>
      <c r="P739" s="17"/>
      <c r="Q739" s="17"/>
      <c r="R739" s="17"/>
      <c r="S739" s="17"/>
      <c r="T739" s="17"/>
      <c r="U739" s="4"/>
      <c r="V739" s="4"/>
    </row>
    <row r="740" spans="1:22" x14ac:dyDescent="0.25">
      <c r="A740" s="318" t="str">
        <f t="shared" si="30"/>
        <v>Sat</v>
      </c>
      <c r="B740" s="15"/>
      <c r="C740" s="16"/>
      <c r="D740" s="6"/>
      <c r="E740" s="6"/>
      <c r="F740" s="6"/>
      <c r="G740" s="6"/>
      <c r="H740" s="6"/>
      <c r="I740" s="6"/>
      <c r="J740" s="6"/>
      <c r="K740" s="6"/>
      <c r="L740" s="20"/>
      <c r="M740" s="84">
        <f t="shared" si="29"/>
        <v>0</v>
      </c>
      <c r="N740" s="248">
        <f>RHcount!X734</f>
        <v>0</v>
      </c>
      <c r="O740" s="17"/>
      <c r="P740" s="17"/>
      <c r="Q740" s="17"/>
      <c r="R740" s="17"/>
      <c r="S740" s="17"/>
      <c r="T740" s="17"/>
      <c r="U740" s="4"/>
      <c r="V740" s="4"/>
    </row>
    <row r="741" spans="1:22" x14ac:dyDescent="0.25">
      <c r="A741" s="318" t="str">
        <f t="shared" si="30"/>
        <v>Sat</v>
      </c>
      <c r="B741" s="15"/>
      <c r="C741" s="16"/>
      <c r="D741" s="6"/>
      <c r="E741" s="6"/>
      <c r="F741" s="6"/>
      <c r="G741" s="6"/>
      <c r="H741" s="6"/>
      <c r="I741" s="6"/>
      <c r="J741" s="6"/>
      <c r="K741" s="6"/>
      <c r="L741" s="20"/>
      <c r="M741" s="84">
        <f t="shared" si="29"/>
        <v>0</v>
      </c>
      <c r="N741" s="248">
        <f>RHcount!X735</f>
        <v>0</v>
      </c>
      <c r="O741" s="17"/>
      <c r="P741" s="17"/>
      <c r="Q741" s="17"/>
      <c r="R741" s="17"/>
      <c r="S741" s="17"/>
      <c r="T741" s="17"/>
      <c r="U741" s="4"/>
      <c r="V741" s="4"/>
    </row>
    <row r="742" spans="1:22" x14ac:dyDescent="0.25">
      <c r="A742" s="318" t="str">
        <f t="shared" si="30"/>
        <v>Sat</v>
      </c>
      <c r="B742" s="15"/>
      <c r="C742" s="16"/>
      <c r="D742" s="6"/>
      <c r="E742" s="6"/>
      <c r="F742" s="6"/>
      <c r="G742" s="6"/>
      <c r="H742" s="6"/>
      <c r="I742" s="6"/>
      <c r="J742" s="6"/>
      <c r="K742" s="6"/>
      <c r="L742" s="20"/>
      <c r="M742" s="84">
        <f t="shared" si="29"/>
        <v>0</v>
      </c>
      <c r="N742" s="248">
        <f>RHcount!X736</f>
        <v>0</v>
      </c>
      <c r="O742" s="17"/>
      <c r="P742" s="17"/>
      <c r="Q742" s="17"/>
      <c r="R742" s="17"/>
      <c r="S742" s="17"/>
      <c r="T742" s="17"/>
      <c r="U742" s="4"/>
      <c r="V742" s="4"/>
    </row>
    <row r="743" spans="1:22" x14ac:dyDescent="0.25">
      <c r="A743" s="318" t="str">
        <f t="shared" si="30"/>
        <v>Sat</v>
      </c>
      <c r="B743" s="15"/>
      <c r="C743" s="16"/>
      <c r="D743" s="6"/>
      <c r="E743" s="6"/>
      <c r="F743" s="6"/>
      <c r="G743" s="6"/>
      <c r="H743" s="6"/>
      <c r="I743" s="6"/>
      <c r="J743" s="6"/>
      <c r="K743" s="6"/>
      <c r="L743" s="20"/>
      <c r="M743" s="84">
        <f t="shared" si="29"/>
        <v>0</v>
      </c>
      <c r="N743" s="248">
        <f>RHcount!X737</f>
        <v>0</v>
      </c>
      <c r="O743" s="17"/>
      <c r="P743" s="17"/>
      <c r="Q743" s="17"/>
      <c r="R743" s="17"/>
      <c r="S743" s="17"/>
      <c r="T743" s="17"/>
      <c r="U743" s="4"/>
      <c r="V743" s="4"/>
    </row>
    <row r="744" spans="1:22" x14ac:dyDescent="0.25">
      <c r="A744" s="318" t="str">
        <f t="shared" si="30"/>
        <v>Sat</v>
      </c>
      <c r="B744" s="15"/>
      <c r="C744" s="16"/>
      <c r="D744" s="6"/>
      <c r="E744" s="6"/>
      <c r="F744" s="6"/>
      <c r="G744" s="6"/>
      <c r="H744" s="6"/>
      <c r="I744" s="6"/>
      <c r="J744" s="6"/>
      <c r="K744" s="6"/>
      <c r="L744" s="20"/>
      <c r="M744" s="84">
        <f t="shared" si="29"/>
        <v>0</v>
      </c>
      <c r="N744" s="248">
        <f>RHcount!X738</f>
        <v>0</v>
      </c>
      <c r="O744" s="17"/>
      <c r="P744" s="17"/>
      <c r="Q744" s="17"/>
      <c r="R744" s="17"/>
      <c r="S744" s="17"/>
      <c r="T744" s="17"/>
      <c r="U744" s="4"/>
      <c r="V744" s="4"/>
    </row>
    <row r="745" spans="1:22" x14ac:dyDescent="0.25">
      <c r="A745" s="318" t="str">
        <f t="shared" si="30"/>
        <v>Sat</v>
      </c>
      <c r="B745" s="15"/>
      <c r="C745" s="16"/>
      <c r="D745" s="6"/>
      <c r="E745" s="6"/>
      <c r="F745" s="6"/>
      <c r="G745" s="6"/>
      <c r="H745" s="6"/>
      <c r="I745" s="6"/>
      <c r="J745" s="6"/>
      <c r="K745" s="6"/>
      <c r="L745" s="20"/>
      <c r="M745" s="84">
        <f t="shared" si="29"/>
        <v>0</v>
      </c>
      <c r="N745" s="248">
        <f>RHcount!X739</f>
        <v>0</v>
      </c>
      <c r="O745" s="17"/>
      <c r="P745" s="17"/>
      <c r="Q745" s="17"/>
      <c r="R745" s="17"/>
      <c r="S745" s="17"/>
      <c r="T745" s="17"/>
      <c r="U745" s="4"/>
      <c r="V745" s="4"/>
    </row>
    <row r="746" spans="1:22" x14ac:dyDescent="0.25">
      <c r="A746" s="318" t="str">
        <f t="shared" si="30"/>
        <v>Sat</v>
      </c>
      <c r="B746" s="15"/>
      <c r="C746" s="16"/>
      <c r="D746" s="6"/>
      <c r="E746" s="6"/>
      <c r="F746" s="6"/>
      <c r="G746" s="6"/>
      <c r="H746" s="6"/>
      <c r="I746" s="6"/>
      <c r="J746" s="6"/>
      <c r="K746" s="6"/>
      <c r="L746" s="20"/>
      <c r="M746" s="84">
        <f t="shared" si="29"/>
        <v>0</v>
      </c>
      <c r="N746" s="248">
        <f>RHcount!X740</f>
        <v>0</v>
      </c>
      <c r="O746" s="17"/>
      <c r="P746" s="17"/>
      <c r="Q746" s="17"/>
      <c r="R746" s="17"/>
      <c r="S746" s="17"/>
      <c r="T746" s="17"/>
      <c r="U746" s="4"/>
      <c r="V746" s="4"/>
    </row>
    <row r="747" spans="1:22" x14ac:dyDescent="0.25">
      <c r="A747" s="318" t="str">
        <f t="shared" si="30"/>
        <v>Sat</v>
      </c>
      <c r="B747" s="15"/>
      <c r="C747" s="16"/>
      <c r="D747" s="6"/>
      <c r="E747" s="6"/>
      <c r="F747" s="6"/>
      <c r="G747" s="6"/>
      <c r="H747" s="6"/>
      <c r="I747" s="6"/>
      <c r="J747" s="6"/>
      <c r="K747" s="6"/>
      <c r="L747" s="20"/>
      <c r="M747" s="84">
        <f t="shared" si="29"/>
        <v>0</v>
      </c>
      <c r="N747" s="248">
        <f>RHcount!X741</f>
        <v>0</v>
      </c>
      <c r="O747" s="17"/>
      <c r="P747" s="17"/>
      <c r="Q747" s="17"/>
      <c r="R747" s="17"/>
      <c r="S747" s="17"/>
      <c r="T747" s="17"/>
      <c r="U747" s="4"/>
      <c r="V747" s="4"/>
    </row>
    <row r="748" spans="1:22" x14ac:dyDescent="0.25">
      <c r="A748" s="318" t="str">
        <f t="shared" si="30"/>
        <v>Sat</v>
      </c>
      <c r="B748" s="15"/>
      <c r="C748" s="16"/>
      <c r="D748" s="6"/>
      <c r="E748" s="6"/>
      <c r="F748" s="6"/>
      <c r="G748" s="6"/>
      <c r="H748" s="6"/>
      <c r="I748" s="6"/>
      <c r="J748" s="6"/>
      <c r="K748" s="6"/>
      <c r="L748" s="20"/>
      <c r="M748" s="84">
        <f t="shared" si="29"/>
        <v>0</v>
      </c>
      <c r="N748" s="248">
        <f>RHcount!X742</f>
        <v>0</v>
      </c>
      <c r="O748" s="17"/>
      <c r="P748" s="17"/>
      <c r="Q748" s="17"/>
      <c r="R748" s="17"/>
      <c r="S748" s="17"/>
      <c r="T748" s="17"/>
      <c r="U748" s="4"/>
      <c r="V748" s="4"/>
    </row>
    <row r="749" spans="1:22" x14ac:dyDescent="0.25">
      <c r="A749" s="318" t="str">
        <f t="shared" si="30"/>
        <v>Sat</v>
      </c>
      <c r="B749" s="15"/>
      <c r="C749" s="16"/>
      <c r="D749" s="6"/>
      <c r="E749" s="6"/>
      <c r="F749" s="6"/>
      <c r="G749" s="6"/>
      <c r="H749" s="6"/>
      <c r="I749" s="6"/>
      <c r="J749" s="6"/>
      <c r="K749" s="6"/>
      <c r="L749" s="20"/>
      <c r="M749" s="84">
        <f t="shared" si="29"/>
        <v>0</v>
      </c>
      <c r="N749" s="248">
        <f>RHcount!X743</f>
        <v>0</v>
      </c>
      <c r="O749" s="17"/>
      <c r="P749" s="17"/>
      <c r="Q749" s="17"/>
      <c r="R749" s="17"/>
      <c r="S749" s="17"/>
      <c r="T749" s="17"/>
      <c r="U749" s="4"/>
      <c r="V749" s="4"/>
    </row>
    <row r="750" spans="1:22" x14ac:dyDescent="0.25">
      <c r="A750" s="318" t="str">
        <f t="shared" si="30"/>
        <v>Sat</v>
      </c>
      <c r="B750" s="15"/>
      <c r="C750" s="16"/>
      <c r="D750" s="6"/>
      <c r="E750" s="6"/>
      <c r="F750" s="6"/>
      <c r="G750" s="6"/>
      <c r="H750" s="6"/>
      <c r="I750" s="6"/>
      <c r="J750" s="6"/>
      <c r="K750" s="6"/>
      <c r="L750" s="20"/>
      <c r="M750" s="84">
        <f t="shared" si="29"/>
        <v>0</v>
      </c>
      <c r="N750" s="248">
        <f>RHcount!X744</f>
        <v>0</v>
      </c>
      <c r="O750" s="17"/>
      <c r="P750" s="17"/>
      <c r="Q750" s="17"/>
      <c r="R750" s="17"/>
      <c r="S750" s="17"/>
      <c r="T750" s="17"/>
      <c r="U750" s="4"/>
      <c r="V750" s="4"/>
    </row>
    <row r="751" spans="1:22" x14ac:dyDescent="0.25">
      <c r="A751" s="318" t="str">
        <f t="shared" si="30"/>
        <v>Sat</v>
      </c>
      <c r="B751" s="15"/>
      <c r="C751" s="16"/>
      <c r="D751" s="6"/>
      <c r="E751" s="6"/>
      <c r="F751" s="6"/>
      <c r="G751" s="6"/>
      <c r="H751" s="6"/>
      <c r="I751" s="6"/>
      <c r="J751" s="6"/>
      <c r="K751" s="6"/>
      <c r="L751" s="20"/>
      <c r="M751" s="84">
        <f t="shared" si="29"/>
        <v>0</v>
      </c>
      <c r="N751" s="248">
        <f>RHcount!X745</f>
        <v>0</v>
      </c>
      <c r="O751" s="17"/>
      <c r="P751" s="17"/>
      <c r="Q751" s="17"/>
      <c r="R751" s="17"/>
      <c r="S751" s="17"/>
      <c r="T751" s="17"/>
      <c r="U751" s="4"/>
      <c r="V751" s="4"/>
    </row>
    <row r="752" spans="1:22" x14ac:dyDescent="0.25">
      <c r="A752" s="318" t="str">
        <f t="shared" si="30"/>
        <v>Sat</v>
      </c>
      <c r="B752" s="15"/>
      <c r="C752" s="16"/>
      <c r="D752" s="6"/>
      <c r="E752" s="6"/>
      <c r="F752" s="6"/>
      <c r="G752" s="6"/>
      <c r="H752" s="6"/>
      <c r="I752" s="6"/>
      <c r="J752" s="6"/>
      <c r="K752" s="6"/>
      <c r="L752" s="20"/>
      <c r="M752" s="84">
        <f t="shared" si="29"/>
        <v>0</v>
      </c>
      <c r="N752" s="248">
        <f>RHcount!X746</f>
        <v>0</v>
      </c>
      <c r="O752" s="17"/>
      <c r="P752" s="17"/>
      <c r="Q752" s="17"/>
      <c r="R752" s="17"/>
      <c r="S752" s="17"/>
      <c r="T752" s="17"/>
      <c r="U752" s="4"/>
      <c r="V752" s="4"/>
    </row>
    <row r="753" spans="1:22" x14ac:dyDescent="0.25">
      <c r="A753" s="318" t="str">
        <f t="shared" si="30"/>
        <v>Sat</v>
      </c>
      <c r="B753" s="15"/>
      <c r="C753" s="16"/>
      <c r="D753" s="6"/>
      <c r="E753" s="6"/>
      <c r="F753" s="6"/>
      <c r="G753" s="6"/>
      <c r="H753" s="6"/>
      <c r="I753" s="6"/>
      <c r="J753" s="6"/>
      <c r="K753" s="6"/>
      <c r="L753" s="20"/>
      <c r="M753" s="84">
        <f t="shared" si="29"/>
        <v>0</v>
      </c>
      <c r="N753" s="248">
        <f>RHcount!X747</f>
        <v>0</v>
      </c>
      <c r="O753" s="17"/>
      <c r="P753" s="17"/>
      <c r="Q753" s="17"/>
      <c r="R753" s="17"/>
      <c r="S753" s="17"/>
      <c r="T753" s="17"/>
      <c r="U753" s="4"/>
      <c r="V753" s="4"/>
    </row>
    <row r="754" spans="1:22" x14ac:dyDescent="0.25">
      <c r="A754" s="318" t="str">
        <f t="shared" si="30"/>
        <v>Sat</v>
      </c>
      <c r="B754" s="15"/>
      <c r="C754" s="16"/>
      <c r="D754" s="6"/>
      <c r="E754" s="6"/>
      <c r="F754" s="6"/>
      <c r="G754" s="6"/>
      <c r="H754" s="6"/>
      <c r="I754" s="6"/>
      <c r="J754" s="6"/>
      <c r="K754" s="6"/>
      <c r="L754" s="20"/>
      <c r="M754" s="84">
        <f t="shared" si="29"/>
        <v>0</v>
      </c>
      <c r="N754" s="248">
        <f>RHcount!X748</f>
        <v>0</v>
      </c>
      <c r="O754" s="17"/>
      <c r="P754" s="17"/>
      <c r="Q754" s="17"/>
      <c r="R754" s="17"/>
      <c r="S754" s="17"/>
      <c r="T754" s="17"/>
      <c r="U754" s="4"/>
      <c r="V754" s="4"/>
    </row>
    <row r="755" spans="1:22" x14ac:dyDescent="0.25">
      <c r="A755" s="318" t="str">
        <f t="shared" si="30"/>
        <v>Sat</v>
      </c>
      <c r="B755" s="15"/>
      <c r="C755" s="16"/>
      <c r="D755" s="6"/>
      <c r="E755" s="6"/>
      <c r="F755" s="6"/>
      <c r="G755" s="6"/>
      <c r="H755" s="6"/>
      <c r="I755" s="6"/>
      <c r="J755" s="6"/>
      <c r="K755" s="6"/>
      <c r="L755" s="20"/>
      <c r="M755" s="84">
        <f t="shared" si="29"/>
        <v>0</v>
      </c>
      <c r="N755" s="248">
        <f>RHcount!X749</f>
        <v>0</v>
      </c>
      <c r="O755" s="17"/>
      <c r="P755" s="17"/>
      <c r="Q755" s="17"/>
      <c r="R755" s="17"/>
      <c r="S755" s="17"/>
      <c r="T755" s="17"/>
      <c r="U755" s="4"/>
      <c r="V755" s="4"/>
    </row>
    <row r="756" spans="1:22" x14ac:dyDescent="0.25">
      <c r="A756" s="318" t="str">
        <f t="shared" si="30"/>
        <v>Sat</v>
      </c>
      <c r="B756" s="15"/>
      <c r="C756" s="16"/>
      <c r="D756" s="6"/>
      <c r="E756" s="6"/>
      <c r="F756" s="6"/>
      <c r="G756" s="6"/>
      <c r="H756" s="6"/>
      <c r="I756" s="6"/>
      <c r="J756" s="6"/>
      <c r="K756" s="6"/>
      <c r="L756" s="20"/>
      <c r="M756" s="84">
        <f t="shared" si="29"/>
        <v>0</v>
      </c>
      <c r="N756" s="248">
        <f>RHcount!X750</f>
        <v>0</v>
      </c>
      <c r="O756" s="17"/>
      <c r="P756" s="17"/>
      <c r="Q756" s="17"/>
      <c r="R756" s="17"/>
      <c r="S756" s="17"/>
      <c r="T756" s="17"/>
      <c r="U756" s="4"/>
      <c r="V756" s="4"/>
    </row>
    <row r="757" spans="1:22" x14ac:dyDescent="0.25">
      <c r="A757" s="318" t="str">
        <f t="shared" si="30"/>
        <v>Sat</v>
      </c>
      <c r="B757" s="15"/>
      <c r="C757" s="16"/>
      <c r="D757" s="6"/>
      <c r="E757" s="6"/>
      <c r="F757" s="6"/>
      <c r="G757" s="6"/>
      <c r="H757" s="6"/>
      <c r="I757" s="6"/>
      <c r="J757" s="6"/>
      <c r="K757" s="6"/>
      <c r="L757" s="20"/>
      <c r="M757" s="84">
        <f t="shared" si="29"/>
        <v>0</v>
      </c>
      <c r="N757" s="248">
        <f>RHcount!X751</f>
        <v>0</v>
      </c>
      <c r="O757" s="17"/>
      <c r="P757" s="17"/>
      <c r="Q757" s="17"/>
      <c r="R757" s="17"/>
      <c r="S757" s="17"/>
      <c r="T757" s="17"/>
      <c r="U757" s="4"/>
      <c r="V757" s="4"/>
    </row>
    <row r="758" spans="1:22" x14ac:dyDescent="0.25">
      <c r="A758" s="318" t="str">
        <f t="shared" si="30"/>
        <v>Sat</v>
      </c>
      <c r="B758" s="15"/>
      <c r="C758" s="16"/>
      <c r="D758" s="6"/>
      <c r="E758" s="6"/>
      <c r="F758" s="6"/>
      <c r="G758" s="6"/>
      <c r="H758" s="6"/>
      <c r="I758" s="6"/>
      <c r="J758" s="6"/>
      <c r="K758" s="6"/>
      <c r="L758" s="20"/>
      <c r="M758" s="84">
        <f t="shared" si="29"/>
        <v>0</v>
      </c>
      <c r="N758" s="248">
        <f>RHcount!X752</f>
        <v>0</v>
      </c>
      <c r="O758" s="17"/>
      <c r="P758" s="17"/>
      <c r="Q758" s="17"/>
      <c r="R758" s="17"/>
      <c r="S758" s="17"/>
      <c r="T758" s="17"/>
      <c r="U758" s="4"/>
      <c r="V758" s="4"/>
    </row>
    <row r="759" spans="1:22" x14ac:dyDescent="0.25">
      <c r="A759" s="318" t="str">
        <f t="shared" si="30"/>
        <v>Sat</v>
      </c>
      <c r="B759" s="15"/>
      <c r="C759" s="16"/>
      <c r="D759" s="6"/>
      <c r="E759" s="6"/>
      <c r="F759" s="6"/>
      <c r="G759" s="6"/>
      <c r="H759" s="6"/>
      <c r="I759" s="6"/>
      <c r="J759" s="6"/>
      <c r="K759" s="6"/>
      <c r="L759" s="20"/>
      <c r="M759" s="84">
        <f t="shared" si="29"/>
        <v>0</v>
      </c>
      <c r="N759" s="248">
        <f>RHcount!X753</f>
        <v>0</v>
      </c>
      <c r="O759" s="17"/>
      <c r="P759" s="17"/>
      <c r="Q759" s="17"/>
      <c r="R759" s="17"/>
      <c r="S759" s="17"/>
      <c r="T759" s="17"/>
      <c r="U759" s="4"/>
      <c r="V759" s="4"/>
    </row>
    <row r="760" spans="1:22" x14ac:dyDescent="0.25">
      <c r="A760" s="318" t="str">
        <f t="shared" si="30"/>
        <v>Sat</v>
      </c>
      <c r="B760" s="15"/>
      <c r="C760" s="16"/>
      <c r="D760" s="6"/>
      <c r="E760" s="6"/>
      <c r="F760" s="6"/>
      <c r="G760" s="6"/>
      <c r="H760" s="6"/>
      <c r="I760" s="6"/>
      <c r="J760" s="6"/>
      <c r="K760" s="6"/>
      <c r="L760" s="20"/>
      <c r="M760" s="84">
        <f t="shared" si="29"/>
        <v>0</v>
      </c>
      <c r="N760" s="248">
        <f>RHcount!X754</f>
        <v>0</v>
      </c>
      <c r="O760" s="17"/>
      <c r="P760" s="17"/>
      <c r="Q760" s="17"/>
      <c r="R760" s="17"/>
      <c r="S760" s="17"/>
      <c r="T760" s="17"/>
      <c r="U760" s="4"/>
      <c r="V760" s="4"/>
    </row>
    <row r="761" spans="1:22" x14ac:dyDescent="0.25">
      <c r="A761" s="318" t="str">
        <f t="shared" si="30"/>
        <v>Sat</v>
      </c>
      <c r="B761" s="15"/>
      <c r="C761" s="16"/>
      <c r="D761" s="6"/>
      <c r="E761" s="6"/>
      <c r="F761" s="6"/>
      <c r="G761" s="6"/>
      <c r="H761" s="6"/>
      <c r="I761" s="6"/>
      <c r="J761" s="6"/>
      <c r="K761" s="6"/>
      <c r="L761" s="20"/>
      <c r="M761" s="84">
        <f t="shared" si="29"/>
        <v>0</v>
      </c>
      <c r="N761" s="248">
        <f>RHcount!X755</f>
        <v>0</v>
      </c>
      <c r="O761" s="17"/>
      <c r="P761" s="17"/>
      <c r="Q761" s="17"/>
      <c r="R761" s="17"/>
      <c r="S761" s="17"/>
      <c r="T761" s="17"/>
      <c r="U761" s="4"/>
      <c r="V761" s="4"/>
    </row>
    <row r="762" spans="1:22" x14ac:dyDescent="0.25">
      <c r="A762" s="318" t="str">
        <f t="shared" si="30"/>
        <v>Sat</v>
      </c>
      <c r="B762" s="15"/>
      <c r="C762" s="16"/>
      <c r="D762" s="6"/>
      <c r="E762" s="6"/>
      <c r="F762" s="6"/>
      <c r="G762" s="6"/>
      <c r="H762" s="6"/>
      <c r="I762" s="6"/>
      <c r="J762" s="6"/>
      <c r="K762" s="6"/>
      <c r="L762" s="20"/>
      <c r="M762" s="84">
        <f t="shared" si="29"/>
        <v>0</v>
      </c>
      <c r="N762" s="248">
        <f>RHcount!X756</f>
        <v>0</v>
      </c>
      <c r="O762" s="17"/>
      <c r="P762" s="17"/>
      <c r="Q762" s="17"/>
      <c r="R762" s="17"/>
      <c r="S762" s="17"/>
      <c r="T762" s="17"/>
      <c r="U762" s="4"/>
      <c r="V762" s="4"/>
    </row>
    <row r="763" spans="1:22" x14ac:dyDescent="0.25">
      <c r="A763" s="17"/>
      <c r="B763" s="17"/>
      <c r="C763" s="17"/>
      <c r="D763" s="17"/>
      <c r="E763" s="17"/>
      <c r="F763" s="17"/>
      <c r="G763" s="4"/>
      <c r="H763" s="4"/>
    </row>
    <row r="764" spans="1:22" x14ac:dyDescent="0.25">
      <c r="A764" s="17"/>
      <c r="B764" s="17"/>
      <c r="C764" s="17"/>
      <c r="D764" s="17"/>
      <c r="E764" s="17"/>
      <c r="F764" s="17"/>
      <c r="G764" s="4"/>
      <c r="H764" s="4"/>
    </row>
    <row r="765" spans="1:22" x14ac:dyDescent="0.25">
      <c r="A765" s="17"/>
      <c r="B765" s="17"/>
      <c r="C765" s="17"/>
      <c r="D765" s="17"/>
      <c r="E765" s="17"/>
      <c r="F765" s="17"/>
      <c r="G765" s="4"/>
      <c r="H765" s="4"/>
    </row>
    <row r="766" spans="1:22" x14ac:dyDescent="0.25">
      <c r="A766" s="17"/>
      <c r="B766" s="17"/>
      <c r="C766" s="17"/>
      <c r="D766" s="17"/>
      <c r="E766" s="17"/>
      <c r="F766" s="17"/>
      <c r="G766" s="4"/>
      <c r="H766" s="4"/>
    </row>
    <row r="767" spans="1:22" x14ac:dyDescent="0.25">
      <c r="A767" s="17"/>
      <c r="B767" s="17"/>
      <c r="C767" s="17"/>
      <c r="D767" s="17"/>
      <c r="E767" s="17"/>
      <c r="F767" s="17"/>
      <c r="G767" s="4"/>
      <c r="H767" s="4"/>
    </row>
    <row r="768" spans="1:22" x14ac:dyDescent="0.25">
      <c r="A768" s="17"/>
      <c r="B768" s="17"/>
      <c r="C768" s="17"/>
      <c r="D768" s="17"/>
      <c r="E768" s="17"/>
      <c r="F768" s="17"/>
      <c r="G768" s="4"/>
      <c r="H768" s="4"/>
    </row>
    <row r="769" spans="1:8" x14ac:dyDescent="0.25">
      <c r="A769" s="17"/>
      <c r="B769" s="17"/>
      <c r="C769" s="17"/>
      <c r="D769" s="17"/>
      <c r="E769" s="17"/>
      <c r="F769" s="17"/>
      <c r="G769" s="4"/>
      <c r="H769" s="4"/>
    </row>
    <row r="770" spans="1:8" x14ac:dyDescent="0.25">
      <c r="A770" s="17"/>
      <c r="B770" s="17"/>
      <c r="C770" s="17"/>
      <c r="D770" s="17"/>
      <c r="E770" s="17"/>
      <c r="F770" s="17"/>
      <c r="G770" s="4"/>
      <c r="H770" s="4"/>
    </row>
    <row r="771" spans="1:8" x14ac:dyDescent="0.25">
      <c r="A771" s="17"/>
      <c r="B771" s="17"/>
      <c r="C771" s="17"/>
      <c r="D771" s="17"/>
      <c r="E771" s="17"/>
      <c r="F771" s="17"/>
      <c r="G771" s="4"/>
      <c r="H771" s="4"/>
    </row>
    <row r="772" spans="1:8" x14ac:dyDescent="0.25">
      <c r="A772" s="17"/>
      <c r="B772" s="17"/>
      <c r="C772" s="17"/>
      <c r="D772" s="17"/>
      <c r="E772" s="17"/>
      <c r="F772" s="17"/>
      <c r="G772" s="4"/>
      <c r="H772" s="4"/>
    </row>
    <row r="773" spans="1:8" x14ac:dyDescent="0.25">
      <c r="A773" s="17"/>
      <c r="B773" s="17"/>
      <c r="C773" s="17"/>
      <c r="D773" s="17"/>
      <c r="E773" s="17"/>
      <c r="F773" s="17"/>
      <c r="G773" s="4"/>
      <c r="H773" s="4"/>
    </row>
    <row r="774" spans="1:8" x14ac:dyDescent="0.25">
      <c r="A774" s="17"/>
      <c r="B774" s="17"/>
      <c r="C774" s="17"/>
      <c r="D774" s="17"/>
      <c r="E774" s="17"/>
      <c r="F774" s="17"/>
      <c r="G774" s="4"/>
      <c r="H774" s="4"/>
    </row>
    <row r="775" spans="1:8" x14ac:dyDescent="0.25">
      <c r="A775" s="17"/>
      <c r="B775" s="17"/>
      <c r="C775" s="17"/>
      <c r="D775" s="17"/>
      <c r="E775" s="17"/>
      <c r="F775" s="17"/>
      <c r="G775" s="4"/>
      <c r="H775" s="4"/>
    </row>
    <row r="776" spans="1:8" x14ac:dyDescent="0.25">
      <c r="A776" s="17"/>
      <c r="B776" s="17"/>
      <c r="C776" s="17"/>
      <c r="D776" s="17"/>
      <c r="E776" s="17"/>
      <c r="F776" s="17"/>
      <c r="G776" s="4"/>
      <c r="H776" s="4"/>
    </row>
    <row r="777" spans="1:8" x14ac:dyDescent="0.25">
      <c r="A777" s="17"/>
      <c r="B777" s="17"/>
      <c r="C777" s="17"/>
      <c r="D777" s="17"/>
      <c r="E777" s="17"/>
      <c r="F777" s="17"/>
      <c r="G777" s="4"/>
      <c r="H777" s="4"/>
    </row>
    <row r="778" spans="1:8" x14ac:dyDescent="0.25">
      <c r="A778" s="17"/>
      <c r="B778" s="17"/>
      <c r="C778" s="17"/>
      <c r="D778" s="17"/>
      <c r="E778" s="17"/>
      <c r="F778" s="17"/>
      <c r="G778" s="4"/>
      <c r="H778" s="4"/>
    </row>
    <row r="779" spans="1:8" x14ac:dyDescent="0.25">
      <c r="A779" s="17"/>
      <c r="B779" s="17"/>
      <c r="C779" s="17"/>
      <c r="D779" s="17"/>
      <c r="E779" s="17"/>
      <c r="F779" s="17"/>
      <c r="G779" s="4"/>
      <c r="H779" s="4"/>
    </row>
    <row r="780" spans="1:8" x14ac:dyDescent="0.25">
      <c r="A780" s="17"/>
      <c r="B780" s="17"/>
      <c r="C780" s="17"/>
      <c r="D780" s="17"/>
      <c r="E780" s="17"/>
      <c r="F780" s="17"/>
      <c r="G780" s="4"/>
      <c r="H780" s="4"/>
    </row>
    <row r="781" spans="1:8" x14ac:dyDescent="0.25">
      <c r="A781" s="17"/>
      <c r="B781" s="17"/>
      <c r="C781" s="17"/>
      <c r="D781" s="17"/>
      <c r="E781" s="17"/>
      <c r="F781" s="17"/>
      <c r="G781" s="4"/>
      <c r="H781" s="4"/>
    </row>
    <row r="782" spans="1:8" x14ac:dyDescent="0.25">
      <c r="A782" s="17"/>
      <c r="B782" s="17"/>
      <c r="C782" s="17"/>
      <c r="D782" s="17"/>
      <c r="E782" s="17"/>
      <c r="F782" s="17"/>
      <c r="G782" s="4"/>
      <c r="H782" s="4"/>
    </row>
    <row r="783" spans="1:8" x14ac:dyDescent="0.25">
      <c r="A783" s="17"/>
      <c r="B783" s="17"/>
      <c r="C783" s="17"/>
      <c r="D783" s="17"/>
      <c r="E783" s="17"/>
      <c r="F783" s="17"/>
      <c r="G783" s="4"/>
      <c r="H783" s="4"/>
    </row>
    <row r="784" spans="1:8" x14ac:dyDescent="0.25">
      <c r="A784" s="17"/>
      <c r="B784" s="17"/>
      <c r="C784" s="17"/>
      <c r="D784" s="17"/>
      <c r="E784" s="17"/>
      <c r="F784" s="17"/>
      <c r="G784" s="4"/>
      <c r="H784" s="4"/>
    </row>
    <row r="785" spans="1:8" x14ac:dyDescent="0.25">
      <c r="A785" s="17"/>
      <c r="B785" s="17"/>
      <c r="C785" s="17"/>
      <c r="D785" s="17"/>
      <c r="E785" s="17"/>
      <c r="F785" s="17"/>
      <c r="G785" s="4"/>
      <c r="H785" s="4"/>
    </row>
    <row r="786" spans="1:8" x14ac:dyDescent="0.25">
      <c r="A786" s="17"/>
      <c r="B786" s="17"/>
      <c r="C786" s="17"/>
      <c r="D786" s="17"/>
      <c r="E786" s="17"/>
      <c r="F786" s="17"/>
      <c r="G786" s="4"/>
      <c r="H786" s="4"/>
    </row>
    <row r="787" spans="1:8" x14ac:dyDescent="0.25">
      <c r="A787" s="17"/>
      <c r="B787" s="17"/>
      <c r="C787" s="17"/>
      <c r="D787" s="17"/>
      <c r="E787" s="17"/>
      <c r="F787" s="17"/>
      <c r="G787" s="4"/>
      <c r="H787" s="4"/>
    </row>
    <row r="788" spans="1:8" x14ac:dyDescent="0.25">
      <c r="A788" s="17"/>
      <c r="B788" s="17"/>
      <c r="C788" s="17"/>
      <c r="D788" s="17"/>
      <c r="E788" s="17"/>
      <c r="F788" s="17"/>
      <c r="G788" s="4"/>
      <c r="H788" s="4"/>
    </row>
    <row r="789" spans="1:8" x14ac:dyDescent="0.25">
      <c r="A789" s="17"/>
      <c r="B789" s="17"/>
      <c r="C789" s="17"/>
      <c r="D789" s="17"/>
      <c r="E789" s="17"/>
      <c r="F789" s="17"/>
      <c r="G789" s="4"/>
      <c r="H789" s="4"/>
    </row>
    <row r="790" spans="1:8" x14ac:dyDescent="0.25">
      <c r="A790" s="17"/>
      <c r="B790" s="17"/>
      <c r="C790" s="17"/>
      <c r="D790" s="17"/>
      <c r="E790" s="17"/>
      <c r="F790" s="17"/>
      <c r="G790" s="4"/>
      <c r="H790" s="4"/>
    </row>
    <row r="791" spans="1:8" x14ac:dyDescent="0.25">
      <c r="A791" s="17"/>
      <c r="B791" s="17"/>
      <c r="C791" s="17"/>
      <c r="D791" s="17"/>
      <c r="E791" s="17"/>
      <c r="F791" s="17"/>
      <c r="G791" s="4"/>
      <c r="H791" s="4"/>
    </row>
    <row r="792" spans="1:8" x14ac:dyDescent="0.25">
      <c r="A792" s="17"/>
      <c r="B792" s="17"/>
      <c r="C792" s="17"/>
      <c r="D792" s="17"/>
      <c r="E792" s="17"/>
      <c r="F792" s="17"/>
      <c r="G792" s="4"/>
      <c r="H792" s="4"/>
    </row>
    <row r="793" spans="1:8" x14ac:dyDescent="0.25">
      <c r="A793" s="17"/>
      <c r="B793" s="17"/>
      <c r="C793" s="17"/>
      <c r="D793" s="17"/>
      <c r="E793" s="17"/>
      <c r="F793" s="17"/>
      <c r="G793" s="4"/>
      <c r="H793" s="4"/>
    </row>
    <row r="794" spans="1:8" x14ac:dyDescent="0.25">
      <c r="A794" s="17"/>
      <c r="B794" s="17"/>
      <c r="C794" s="17"/>
      <c r="D794" s="17"/>
      <c r="E794" s="17"/>
      <c r="F794" s="17"/>
      <c r="G794" s="4"/>
      <c r="H794" s="4"/>
    </row>
    <row r="795" spans="1:8" x14ac:dyDescent="0.25">
      <c r="A795" s="17"/>
      <c r="B795" s="17"/>
      <c r="C795" s="17"/>
      <c r="D795" s="17"/>
      <c r="E795" s="17"/>
      <c r="F795" s="17"/>
      <c r="G795" s="4"/>
      <c r="H795" s="4"/>
    </row>
    <row r="796" spans="1:8" x14ac:dyDescent="0.25">
      <c r="A796" s="17"/>
      <c r="B796" s="17"/>
      <c r="C796" s="17"/>
      <c r="D796" s="17"/>
      <c r="E796" s="17"/>
      <c r="F796" s="17"/>
      <c r="G796" s="4"/>
      <c r="H796" s="4"/>
    </row>
    <row r="797" spans="1:8" x14ac:dyDescent="0.25">
      <c r="A797" s="17"/>
      <c r="B797" s="17"/>
      <c r="C797" s="17"/>
      <c r="D797" s="17"/>
      <c r="E797" s="17"/>
      <c r="F797" s="17"/>
      <c r="G797" s="4"/>
      <c r="H797" s="4"/>
    </row>
    <row r="798" spans="1:8" x14ac:dyDescent="0.25">
      <c r="A798" s="17"/>
      <c r="B798" s="17"/>
      <c r="C798" s="17"/>
      <c r="D798" s="17"/>
      <c r="E798" s="17"/>
      <c r="F798" s="17"/>
      <c r="G798" s="4"/>
      <c r="H798" s="4"/>
    </row>
    <row r="799" spans="1:8" x14ac:dyDescent="0.25">
      <c r="A799" s="17"/>
      <c r="B799" s="17"/>
      <c r="C799" s="17"/>
      <c r="D799" s="17"/>
      <c r="E799" s="17"/>
      <c r="F799" s="17"/>
      <c r="G799" s="4"/>
      <c r="H799" s="4"/>
    </row>
    <row r="800" spans="1:8" x14ac:dyDescent="0.25">
      <c r="A800" s="17"/>
      <c r="B800" s="17"/>
      <c r="C800" s="17"/>
      <c r="D800" s="17"/>
      <c r="E800" s="17"/>
      <c r="F800" s="17"/>
      <c r="G800" s="4"/>
      <c r="H800" s="4"/>
    </row>
    <row r="801" spans="1:8" x14ac:dyDescent="0.25">
      <c r="A801" s="17"/>
      <c r="B801" s="17"/>
      <c r="C801" s="17"/>
      <c r="D801" s="17"/>
      <c r="E801" s="17"/>
      <c r="F801" s="17"/>
      <c r="G801" s="4"/>
      <c r="H801" s="4"/>
    </row>
    <row r="802" spans="1:8" x14ac:dyDescent="0.25">
      <c r="A802" s="17"/>
      <c r="B802" s="17"/>
      <c r="C802" s="17"/>
      <c r="D802" s="17"/>
      <c r="E802" s="17"/>
      <c r="F802" s="17"/>
      <c r="G802" s="4"/>
      <c r="H802" s="4"/>
    </row>
    <row r="803" spans="1:8" x14ac:dyDescent="0.25">
      <c r="A803" s="17"/>
      <c r="B803" s="17"/>
      <c r="C803" s="17"/>
      <c r="D803" s="17"/>
      <c r="E803" s="17"/>
      <c r="F803" s="17"/>
      <c r="G803" s="4"/>
      <c r="H803" s="4"/>
    </row>
    <row r="804" spans="1:8" x14ac:dyDescent="0.25">
      <c r="A804" s="17"/>
      <c r="B804" s="17"/>
      <c r="C804" s="17"/>
      <c r="D804" s="17"/>
      <c r="E804" s="17"/>
      <c r="F804" s="17"/>
      <c r="G804" s="4"/>
      <c r="H804" s="4"/>
    </row>
    <row r="805" spans="1:8" x14ac:dyDescent="0.25">
      <c r="A805" s="17"/>
      <c r="B805" s="17"/>
      <c r="C805" s="17"/>
      <c r="D805" s="17"/>
      <c r="E805" s="17"/>
      <c r="F805" s="17"/>
      <c r="G805" s="4"/>
      <c r="H805" s="4"/>
    </row>
    <row r="806" spans="1:8" x14ac:dyDescent="0.25">
      <c r="A806" s="17"/>
      <c r="B806" s="17"/>
      <c r="C806" s="17"/>
      <c r="D806" s="17"/>
      <c r="E806" s="17"/>
      <c r="F806" s="17"/>
      <c r="G806" s="4"/>
      <c r="H806" s="4"/>
    </row>
    <row r="807" spans="1:8" x14ac:dyDescent="0.25">
      <c r="A807" s="17"/>
      <c r="B807" s="17"/>
      <c r="C807" s="17"/>
      <c r="D807" s="17"/>
      <c r="E807" s="17"/>
      <c r="F807" s="17"/>
      <c r="G807" s="4"/>
      <c r="H807" s="4"/>
    </row>
    <row r="808" spans="1:8" x14ac:dyDescent="0.25">
      <c r="A808" s="17"/>
      <c r="B808" s="17"/>
      <c r="C808" s="17"/>
      <c r="D808" s="17"/>
      <c r="E808" s="17"/>
      <c r="F808" s="17"/>
      <c r="G808" s="4"/>
      <c r="H808" s="4"/>
    </row>
    <row r="809" spans="1:8" x14ac:dyDescent="0.25">
      <c r="A809" s="17"/>
      <c r="B809" s="17"/>
      <c r="C809" s="17"/>
      <c r="D809" s="17"/>
      <c r="E809" s="17"/>
      <c r="F809" s="17"/>
      <c r="G809" s="4"/>
      <c r="H809" s="4"/>
    </row>
    <row r="810" spans="1:8" x14ac:dyDescent="0.25">
      <c r="A810" s="17"/>
      <c r="B810" s="17"/>
      <c r="C810" s="17"/>
      <c r="D810" s="17"/>
      <c r="E810" s="17"/>
      <c r="F810" s="17"/>
      <c r="G810" s="4"/>
      <c r="H810" s="4"/>
    </row>
    <row r="811" spans="1:8" x14ac:dyDescent="0.25">
      <c r="A811" s="17"/>
      <c r="B811" s="17"/>
      <c r="C811" s="17"/>
      <c r="D811" s="17"/>
      <c r="E811" s="17"/>
      <c r="F811" s="17"/>
      <c r="G811" s="4"/>
      <c r="H811" s="4"/>
    </row>
    <row r="812" spans="1:8" x14ac:dyDescent="0.25">
      <c r="A812" s="17"/>
      <c r="B812" s="17"/>
      <c r="C812" s="17"/>
      <c r="D812" s="17"/>
      <c r="E812" s="17"/>
      <c r="F812" s="17"/>
      <c r="G812" s="4"/>
      <c r="H812" s="4"/>
    </row>
    <row r="813" spans="1:8" x14ac:dyDescent="0.25">
      <c r="A813" s="17"/>
      <c r="B813" s="17"/>
      <c r="C813" s="17"/>
      <c r="D813" s="17"/>
      <c r="E813" s="17"/>
      <c r="F813" s="17"/>
      <c r="G813" s="4"/>
      <c r="H813" s="4"/>
    </row>
    <row r="814" spans="1:8" x14ac:dyDescent="0.25">
      <c r="A814" s="17"/>
      <c r="B814" s="17"/>
      <c r="C814" s="17"/>
      <c r="D814" s="17"/>
      <c r="E814" s="17"/>
      <c r="F814" s="17"/>
      <c r="G814" s="4"/>
      <c r="H814" s="4"/>
    </row>
    <row r="815" spans="1:8" x14ac:dyDescent="0.25">
      <c r="A815" s="17"/>
      <c r="B815" s="17"/>
      <c r="C815" s="17"/>
      <c r="D815" s="17"/>
      <c r="E815" s="17"/>
      <c r="F815" s="17"/>
      <c r="G815" s="4"/>
      <c r="H815" s="4"/>
    </row>
    <row r="816" spans="1:8" x14ac:dyDescent="0.25">
      <c r="A816" s="17"/>
      <c r="B816" s="17"/>
      <c r="C816" s="17"/>
      <c r="D816" s="17"/>
      <c r="E816" s="17"/>
      <c r="F816" s="17"/>
      <c r="G816" s="4"/>
      <c r="H816" s="4"/>
    </row>
    <row r="817" spans="1:8" x14ac:dyDescent="0.25">
      <c r="A817" s="17"/>
      <c r="B817" s="17"/>
      <c r="C817" s="17"/>
      <c r="D817" s="17"/>
      <c r="E817" s="17"/>
      <c r="F817" s="17"/>
      <c r="G817" s="4"/>
      <c r="H817" s="4"/>
    </row>
    <row r="818" spans="1:8" x14ac:dyDescent="0.25">
      <c r="A818" s="17"/>
      <c r="B818" s="17"/>
      <c r="C818" s="17"/>
      <c r="D818" s="17"/>
      <c r="E818" s="17"/>
      <c r="F818" s="17"/>
      <c r="G818" s="4"/>
      <c r="H818" s="4"/>
    </row>
    <row r="819" spans="1:8" x14ac:dyDescent="0.25">
      <c r="A819" s="17"/>
      <c r="B819" s="17"/>
      <c r="C819" s="17"/>
      <c r="D819" s="17"/>
      <c r="E819" s="17"/>
      <c r="F819" s="17"/>
      <c r="G819" s="4"/>
      <c r="H819" s="4"/>
    </row>
    <row r="820" spans="1:8" x14ac:dyDescent="0.25">
      <c r="A820" s="17"/>
      <c r="B820" s="17"/>
      <c r="C820" s="17"/>
      <c r="D820" s="17"/>
      <c r="E820" s="17"/>
      <c r="F820" s="17"/>
      <c r="G820" s="4"/>
      <c r="H820" s="4"/>
    </row>
    <row r="821" spans="1:8" x14ac:dyDescent="0.25">
      <c r="A821" s="17"/>
      <c r="B821" s="17"/>
      <c r="C821" s="17"/>
      <c r="D821" s="17"/>
      <c r="E821" s="17"/>
      <c r="F821" s="17"/>
      <c r="G821" s="4"/>
      <c r="H821" s="4"/>
    </row>
    <row r="822" spans="1:8" x14ac:dyDescent="0.25">
      <c r="A822" s="17"/>
      <c r="B822" s="17"/>
      <c r="C822" s="17"/>
      <c r="D822" s="17"/>
      <c r="E822" s="17"/>
      <c r="F822" s="17"/>
      <c r="G822" s="4"/>
      <c r="H822" s="4"/>
    </row>
    <row r="823" spans="1:8" x14ac:dyDescent="0.25">
      <c r="A823" s="17"/>
      <c r="B823" s="17"/>
      <c r="C823" s="17"/>
      <c r="D823" s="17"/>
      <c r="E823" s="17"/>
      <c r="F823" s="17"/>
      <c r="G823" s="4"/>
      <c r="H823" s="4"/>
    </row>
    <row r="824" spans="1:8" x14ac:dyDescent="0.25">
      <c r="A824" s="17"/>
      <c r="B824" s="17"/>
      <c r="C824" s="17"/>
      <c r="D824" s="17"/>
      <c r="E824" s="17"/>
      <c r="F824" s="17"/>
      <c r="G824" s="4"/>
      <c r="H824" s="4"/>
    </row>
    <row r="825" spans="1:8" x14ac:dyDescent="0.25">
      <c r="A825" s="17"/>
      <c r="B825" s="17"/>
      <c r="C825" s="17"/>
      <c r="D825" s="17"/>
      <c r="E825" s="17"/>
      <c r="F825" s="17"/>
      <c r="G825" s="4"/>
      <c r="H825" s="4"/>
    </row>
    <row r="826" spans="1:8" x14ac:dyDescent="0.25">
      <c r="A826" s="17"/>
      <c r="B826" s="17"/>
      <c r="C826" s="17"/>
      <c r="D826" s="17"/>
      <c r="E826" s="17"/>
      <c r="F826" s="17"/>
      <c r="G826" s="4"/>
      <c r="H826" s="4"/>
    </row>
    <row r="827" spans="1:8" x14ac:dyDescent="0.25">
      <c r="A827" s="17"/>
      <c r="B827" s="17"/>
      <c r="C827" s="17"/>
      <c r="D827" s="17"/>
      <c r="E827" s="17"/>
      <c r="F827" s="17"/>
      <c r="G827" s="4"/>
      <c r="H827" s="4"/>
    </row>
    <row r="828" spans="1:8" x14ac:dyDescent="0.25">
      <c r="A828" s="17"/>
      <c r="B828" s="17"/>
      <c r="C828" s="17"/>
      <c r="D828" s="17"/>
      <c r="E828" s="17"/>
      <c r="F828" s="17"/>
      <c r="G828" s="4"/>
      <c r="H828" s="4"/>
    </row>
    <row r="829" spans="1:8" x14ac:dyDescent="0.25">
      <c r="A829" s="17"/>
      <c r="B829" s="17"/>
      <c r="C829" s="17"/>
      <c r="D829" s="17"/>
      <c r="E829" s="17"/>
      <c r="F829" s="17"/>
      <c r="G829" s="4"/>
      <c r="H829" s="4"/>
    </row>
    <row r="830" spans="1:8" x14ac:dyDescent="0.25">
      <c r="A830" s="17"/>
      <c r="B830" s="17"/>
      <c r="C830" s="17"/>
      <c r="D830" s="17"/>
      <c r="E830" s="17"/>
      <c r="F830" s="17"/>
      <c r="G830" s="4"/>
      <c r="H830" s="4"/>
    </row>
    <row r="831" spans="1:8" x14ac:dyDescent="0.25">
      <c r="A831" s="17"/>
      <c r="B831" s="17"/>
      <c r="C831" s="17"/>
      <c r="D831" s="17"/>
      <c r="E831" s="17"/>
      <c r="F831" s="17"/>
      <c r="G831" s="4"/>
      <c r="H831" s="4"/>
    </row>
    <row r="832" spans="1:8" x14ac:dyDescent="0.25">
      <c r="A832" s="17"/>
      <c r="B832" s="17"/>
      <c r="C832" s="17"/>
      <c r="D832" s="17"/>
      <c r="E832" s="17"/>
      <c r="F832" s="17"/>
      <c r="G832" s="4"/>
      <c r="H832" s="4"/>
    </row>
    <row r="833" spans="1:8" x14ac:dyDescent="0.25">
      <c r="A833" s="17"/>
      <c r="B833" s="17"/>
      <c r="C833" s="17"/>
      <c r="D833" s="17"/>
      <c r="E833" s="17"/>
      <c r="F833" s="17"/>
      <c r="G833" s="4"/>
      <c r="H833" s="4"/>
    </row>
    <row r="834" spans="1:8" x14ac:dyDescent="0.25">
      <c r="A834" s="17"/>
      <c r="B834" s="17"/>
      <c r="C834" s="17"/>
      <c r="D834" s="17"/>
      <c r="E834" s="17"/>
      <c r="F834" s="17"/>
      <c r="G834" s="4"/>
      <c r="H834" s="4"/>
    </row>
    <row r="835" spans="1:8" x14ac:dyDescent="0.25">
      <c r="A835" s="17"/>
      <c r="B835" s="17"/>
      <c r="C835" s="17"/>
      <c r="D835" s="17"/>
      <c r="E835" s="17"/>
      <c r="F835" s="17"/>
      <c r="G835" s="4"/>
      <c r="H835" s="4"/>
    </row>
    <row r="836" spans="1:8" x14ac:dyDescent="0.25">
      <c r="A836" s="17"/>
      <c r="B836" s="17"/>
      <c r="C836" s="17"/>
      <c r="D836" s="17"/>
      <c r="E836" s="17"/>
      <c r="F836" s="17"/>
      <c r="G836" s="4"/>
      <c r="H836" s="4"/>
    </row>
    <row r="837" spans="1:8" x14ac:dyDescent="0.25">
      <c r="A837" s="17"/>
      <c r="B837" s="17"/>
      <c r="C837" s="17"/>
      <c r="D837" s="17"/>
      <c r="E837" s="17"/>
      <c r="F837" s="17"/>
      <c r="G837" s="4"/>
      <c r="H837" s="4"/>
    </row>
    <row r="838" spans="1:8" x14ac:dyDescent="0.25">
      <c r="A838" s="17"/>
      <c r="B838" s="17"/>
      <c r="C838" s="17"/>
      <c r="D838" s="17"/>
      <c r="E838" s="17"/>
      <c r="F838" s="17"/>
      <c r="G838" s="4"/>
      <c r="H838" s="4"/>
    </row>
    <row r="839" spans="1:8" x14ac:dyDescent="0.25">
      <c r="A839" s="17"/>
      <c r="B839" s="17"/>
      <c r="C839" s="17"/>
      <c r="D839" s="17"/>
      <c r="E839" s="17"/>
      <c r="F839" s="17"/>
      <c r="G839" s="4"/>
      <c r="H839" s="4"/>
    </row>
    <row r="840" spans="1:8" x14ac:dyDescent="0.25">
      <c r="A840" s="17"/>
      <c r="B840" s="17"/>
      <c r="C840" s="17"/>
      <c r="D840" s="17"/>
      <c r="E840" s="17"/>
      <c r="F840" s="17"/>
      <c r="G840" s="4"/>
      <c r="H840" s="4"/>
    </row>
    <row r="841" spans="1:8" x14ac:dyDescent="0.25">
      <c r="A841" s="17"/>
      <c r="B841" s="17"/>
      <c r="C841" s="17"/>
      <c r="D841" s="17"/>
      <c r="E841" s="17"/>
      <c r="F841" s="17"/>
      <c r="G841" s="4"/>
      <c r="H841" s="4"/>
    </row>
    <row r="842" spans="1:8" x14ac:dyDescent="0.25">
      <c r="A842" s="17"/>
      <c r="B842" s="17"/>
      <c r="C842" s="17"/>
      <c r="D842" s="17"/>
      <c r="E842" s="17"/>
      <c r="F842" s="17"/>
      <c r="G842" s="4"/>
      <c r="H842" s="4"/>
    </row>
    <row r="843" spans="1:8" x14ac:dyDescent="0.25">
      <c r="A843" s="17"/>
      <c r="B843" s="17"/>
      <c r="C843" s="17"/>
      <c r="D843" s="17"/>
      <c r="E843" s="17"/>
      <c r="F843" s="17"/>
      <c r="G843" s="4"/>
      <c r="H843" s="4"/>
    </row>
    <row r="844" spans="1:8" x14ac:dyDescent="0.25">
      <c r="A844" s="17"/>
      <c r="B844" s="17"/>
      <c r="C844" s="17"/>
      <c r="D844" s="17"/>
      <c r="E844" s="17"/>
      <c r="F844" s="17"/>
      <c r="G844" s="4"/>
      <c r="H844" s="4"/>
    </row>
    <row r="845" spans="1:8" x14ac:dyDescent="0.25">
      <c r="A845" s="17"/>
      <c r="B845" s="17"/>
      <c r="C845" s="17"/>
      <c r="D845" s="17"/>
      <c r="E845" s="17"/>
      <c r="F845" s="17"/>
      <c r="G845" s="4"/>
      <c r="H845" s="4"/>
    </row>
    <row r="846" spans="1:8" x14ac:dyDescent="0.25">
      <c r="A846" s="17"/>
      <c r="B846" s="17"/>
      <c r="C846" s="17"/>
      <c r="D846" s="17"/>
      <c r="E846" s="17"/>
      <c r="F846" s="17"/>
      <c r="G846" s="4"/>
      <c r="H846" s="4"/>
    </row>
    <row r="847" spans="1:8" x14ac:dyDescent="0.25">
      <c r="A847" s="17"/>
      <c r="B847" s="17"/>
      <c r="C847" s="17"/>
      <c r="D847" s="17"/>
      <c r="E847" s="17"/>
      <c r="F847" s="17"/>
      <c r="G847" s="4"/>
      <c r="H847" s="4"/>
    </row>
    <row r="848" spans="1:8" x14ac:dyDescent="0.25">
      <c r="A848" s="17"/>
      <c r="B848" s="17"/>
      <c r="C848" s="17"/>
      <c r="D848" s="17"/>
      <c r="E848" s="17"/>
      <c r="F848" s="17"/>
      <c r="G848" s="4"/>
      <c r="H848" s="4"/>
    </row>
    <row r="849" spans="1:8" x14ac:dyDescent="0.25">
      <c r="A849" s="17"/>
      <c r="B849" s="17"/>
      <c r="C849" s="17"/>
      <c r="D849" s="17"/>
      <c r="E849" s="17"/>
      <c r="F849" s="17"/>
      <c r="G849" s="4"/>
      <c r="H849" s="4"/>
    </row>
    <row r="850" spans="1:8" x14ac:dyDescent="0.25">
      <c r="A850" s="17"/>
      <c r="B850" s="17"/>
      <c r="C850" s="17"/>
      <c r="D850" s="17"/>
      <c r="E850" s="17"/>
      <c r="F850" s="17"/>
      <c r="G850" s="4"/>
      <c r="H850" s="4"/>
    </row>
    <row r="851" spans="1:8" x14ac:dyDescent="0.25">
      <c r="A851" s="17"/>
      <c r="B851" s="17"/>
      <c r="C851" s="17"/>
      <c r="D851" s="17"/>
      <c r="E851" s="17"/>
      <c r="F851" s="17"/>
      <c r="G851" s="4"/>
      <c r="H851" s="4"/>
    </row>
    <row r="852" spans="1:8" x14ac:dyDescent="0.25">
      <c r="A852" s="17"/>
      <c r="B852" s="17"/>
      <c r="C852" s="17"/>
      <c r="D852" s="17"/>
      <c r="E852" s="17"/>
      <c r="F852" s="17"/>
      <c r="G852" s="4"/>
      <c r="H852" s="4"/>
    </row>
    <row r="853" spans="1:8" x14ac:dyDescent="0.25">
      <c r="A853" s="17"/>
      <c r="B853" s="17"/>
      <c r="C853" s="17"/>
      <c r="D853" s="17"/>
      <c r="E853" s="17"/>
      <c r="F853" s="17"/>
      <c r="G853" s="4"/>
      <c r="H853" s="4"/>
    </row>
    <row r="854" spans="1:8" x14ac:dyDescent="0.25">
      <c r="A854" s="17"/>
      <c r="B854" s="17"/>
      <c r="C854" s="17"/>
      <c r="D854" s="17"/>
      <c r="E854" s="17"/>
      <c r="F854" s="17"/>
      <c r="G854" s="4"/>
      <c r="H854" s="4"/>
    </row>
    <row r="855" spans="1:8" x14ac:dyDescent="0.25">
      <c r="A855" s="17"/>
      <c r="B855" s="17"/>
      <c r="C855" s="17"/>
      <c r="D855" s="17"/>
      <c r="E855" s="17"/>
      <c r="F855" s="17"/>
      <c r="G855" s="4"/>
      <c r="H855" s="4"/>
    </row>
    <row r="856" spans="1:8" x14ac:dyDescent="0.25">
      <c r="A856" s="17"/>
      <c r="B856" s="17"/>
      <c r="C856" s="17"/>
      <c r="D856" s="17"/>
      <c r="E856" s="17"/>
      <c r="F856" s="17"/>
      <c r="G856" s="4"/>
      <c r="H856" s="4"/>
    </row>
    <row r="857" spans="1:8" x14ac:dyDescent="0.25">
      <c r="A857" s="17"/>
      <c r="B857" s="17"/>
      <c r="C857" s="17"/>
      <c r="D857" s="17"/>
      <c r="E857" s="17"/>
      <c r="F857" s="17"/>
      <c r="G857" s="4"/>
      <c r="H857" s="4"/>
    </row>
    <row r="858" spans="1:8" x14ac:dyDescent="0.25">
      <c r="A858" s="17"/>
      <c r="B858" s="17"/>
      <c r="C858" s="17"/>
      <c r="D858" s="17"/>
      <c r="E858" s="17"/>
      <c r="F858" s="17"/>
      <c r="G858" s="4"/>
      <c r="H858" s="4"/>
    </row>
    <row r="859" spans="1:8" x14ac:dyDescent="0.25">
      <c r="A859" s="17"/>
      <c r="B859" s="17"/>
      <c r="C859" s="17"/>
      <c r="D859" s="17"/>
      <c r="E859" s="17"/>
      <c r="F859" s="17"/>
      <c r="G859" s="4"/>
      <c r="H859" s="4"/>
    </row>
    <row r="860" spans="1:8" x14ac:dyDescent="0.25">
      <c r="A860" s="17"/>
      <c r="B860" s="17"/>
      <c r="C860" s="17"/>
      <c r="D860" s="17"/>
      <c r="E860" s="17"/>
      <c r="F860" s="17"/>
      <c r="G860" s="4"/>
      <c r="H860" s="4"/>
    </row>
    <row r="861" spans="1:8" x14ac:dyDescent="0.25">
      <c r="A861" s="17"/>
      <c r="B861" s="17"/>
      <c r="C861" s="17"/>
      <c r="D861" s="17"/>
      <c r="E861" s="17"/>
      <c r="F861" s="17"/>
      <c r="G861" s="4"/>
      <c r="H861" s="4"/>
    </row>
    <row r="862" spans="1:8" x14ac:dyDescent="0.25">
      <c r="A862" s="17"/>
      <c r="B862" s="17"/>
      <c r="C862" s="17"/>
      <c r="D862" s="17"/>
      <c r="E862" s="17"/>
      <c r="F862" s="17"/>
      <c r="G862" s="4"/>
      <c r="H862" s="4"/>
    </row>
    <row r="863" spans="1:8" x14ac:dyDescent="0.25">
      <c r="A863" s="17"/>
      <c r="B863" s="17"/>
      <c r="C863" s="17"/>
      <c r="D863" s="17"/>
      <c r="E863" s="17"/>
      <c r="F863" s="17"/>
      <c r="G863" s="4"/>
      <c r="H863" s="4"/>
    </row>
    <row r="864" spans="1:8" x14ac:dyDescent="0.25">
      <c r="A864" s="17"/>
      <c r="B864" s="17"/>
      <c r="C864" s="17"/>
      <c r="D864" s="17"/>
      <c r="E864" s="17"/>
      <c r="F864" s="17"/>
      <c r="G864" s="4"/>
      <c r="H864" s="4"/>
    </row>
    <row r="865" spans="1:8" x14ac:dyDescent="0.25">
      <c r="A865" s="17"/>
      <c r="B865" s="17"/>
      <c r="C865" s="17"/>
      <c r="D865" s="17"/>
      <c r="E865" s="17"/>
      <c r="F865" s="17"/>
      <c r="G865" s="4"/>
      <c r="H865" s="4"/>
    </row>
    <row r="866" spans="1:8" x14ac:dyDescent="0.25">
      <c r="A866" s="17"/>
      <c r="B866" s="17"/>
      <c r="C866" s="17"/>
      <c r="D866" s="17"/>
      <c r="E866" s="17"/>
      <c r="F866" s="17"/>
      <c r="G866" s="4"/>
      <c r="H866" s="4"/>
    </row>
    <row r="867" spans="1:8" x14ac:dyDescent="0.25">
      <c r="A867" s="17"/>
      <c r="B867" s="17"/>
      <c r="C867" s="17"/>
      <c r="D867" s="17"/>
      <c r="E867" s="17"/>
      <c r="F867" s="17"/>
      <c r="G867" s="4"/>
      <c r="H867" s="4"/>
    </row>
    <row r="868" spans="1:8" x14ac:dyDescent="0.25">
      <c r="A868" s="17"/>
      <c r="B868" s="17"/>
      <c r="C868" s="17"/>
      <c r="D868" s="17"/>
      <c r="E868" s="17"/>
      <c r="F868" s="17"/>
      <c r="G868" s="4"/>
      <c r="H868" s="4"/>
    </row>
    <row r="869" spans="1:8" x14ac:dyDescent="0.25">
      <c r="A869" s="17"/>
      <c r="B869" s="17"/>
      <c r="C869" s="17"/>
      <c r="D869" s="17"/>
      <c r="E869" s="17"/>
      <c r="F869" s="17"/>
      <c r="G869" s="4"/>
      <c r="H869" s="4"/>
    </row>
    <row r="870" spans="1:8" x14ac:dyDescent="0.25">
      <c r="A870" s="17"/>
      <c r="B870" s="17"/>
      <c r="C870" s="17"/>
      <c r="D870" s="17"/>
      <c r="E870" s="17"/>
      <c r="F870" s="17"/>
      <c r="G870" s="4"/>
      <c r="H870" s="4"/>
    </row>
    <row r="871" spans="1:8" x14ac:dyDescent="0.25">
      <c r="A871" s="17"/>
      <c r="B871" s="17"/>
      <c r="C871" s="17"/>
      <c r="D871" s="17"/>
      <c r="E871" s="17"/>
      <c r="F871" s="17"/>
      <c r="G871" s="4"/>
      <c r="H871" s="4"/>
    </row>
    <row r="872" spans="1:8" x14ac:dyDescent="0.25">
      <c r="A872" s="17"/>
      <c r="B872" s="17"/>
      <c r="C872" s="17"/>
      <c r="D872" s="17"/>
      <c r="E872" s="17"/>
      <c r="F872" s="17"/>
      <c r="G872" s="4"/>
      <c r="H872" s="4"/>
    </row>
    <row r="873" spans="1:8" x14ac:dyDescent="0.25">
      <c r="A873" s="17"/>
      <c r="B873" s="17"/>
      <c r="C873" s="17"/>
      <c r="D873" s="17"/>
      <c r="E873" s="17"/>
      <c r="F873" s="17"/>
      <c r="G873" s="4"/>
      <c r="H873" s="4"/>
    </row>
    <row r="874" spans="1:8" x14ac:dyDescent="0.25">
      <c r="A874" s="17"/>
      <c r="B874" s="17"/>
      <c r="C874" s="17"/>
      <c r="D874" s="17"/>
      <c r="E874" s="17"/>
      <c r="F874" s="17"/>
      <c r="G874" s="4"/>
      <c r="H874" s="4"/>
    </row>
    <row r="875" spans="1:8" x14ac:dyDescent="0.25">
      <c r="A875" s="17"/>
      <c r="B875" s="17"/>
      <c r="C875" s="17"/>
      <c r="D875" s="17"/>
      <c r="E875" s="17"/>
      <c r="F875" s="17"/>
      <c r="G875" s="4"/>
      <c r="H875" s="4"/>
    </row>
    <row r="876" spans="1:8" x14ac:dyDescent="0.25">
      <c r="A876" s="17"/>
      <c r="B876" s="17"/>
      <c r="C876" s="17"/>
      <c r="D876" s="17"/>
      <c r="E876" s="17"/>
      <c r="F876" s="17"/>
      <c r="G876" s="4"/>
      <c r="H876" s="4"/>
    </row>
    <row r="877" spans="1:8" x14ac:dyDescent="0.25">
      <c r="A877" s="17"/>
      <c r="B877" s="17"/>
      <c r="C877" s="17"/>
      <c r="D877" s="17"/>
      <c r="E877" s="17"/>
      <c r="F877" s="17"/>
      <c r="G877" s="4"/>
      <c r="H877" s="4"/>
    </row>
    <row r="878" spans="1:8" x14ac:dyDescent="0.25">
      <c r="A878" s="17"/>
      <c r="B878" s="17"/>
      <c r="C878" s="17"/>
      <c r="D878" s="17"/>
      <c r="E878" s="17"/>
      <c r="F878" s="17"/>
      <c r="G878" s="4"/>
      <c r="H878" s="4"/>
    </row>
    <row r="879" spans="1:8" x14ac:dyDescent="0.25">
      <c r="A879" s="17"/>
      <c r="B879" s="17"/>
      <c r="C879" s="17"/>
      <c r="D879" s="17"/>
      <c r="E879" s="17"/>
      <c r="F879" s="17"/>
      <c r="G879" s="4"/>
      <c r="H879" s="4"/>
    </row>
    <row r="880" spans="1:8" x14ac:dyDescent="0.25">
      <c r="A880" s="17"/>
      <c r="B880" s="17"/>
      <c r="C880" s="17"/>
      <c r="D880" s="17"/>
      <c r="E880" s="17"/>
      <c r="F880" s="17"/>
      <c r="G880" s="4"/>
      <c r="H880" s="4"/>
    </row>
    <row r="881" spans="1:8" x14ac:dyDescent="0.25">
      <c r="A881" s="17"/>
      <c r="B881" s="17"/>
      <c r="C881" s="17"/>
      <c r="D881" s="17"/>
      <c r="E881" s="17"/>
      <c r="F881" s="17"/>
      <c r="G881" s="4"/>
      <c r="H881" s="4"/>
    </row>
    <row r="882" spans="1:8" x14ac:dyDescent="0.25">
      <c r="A882" s="17"/>
      <c r="B882" s="17"/>
      <c r="C882" s="17"/>
      <c r="D882" s="17"/>
      <c r="E882" s="17"/>
      <c r="F882" s="17"/>
      <c r="G882" s="4"/>
      <c r="H882" s="4"/>
    </row>
    <row r="883" spans="1:8" x14ac:dyDescent="0.25">
      <c r="A883" s="17"/>
      <c r="B883" s="17"/>
      <c r="C883" s="17"/>
      <c r="D883" s="17"/>
      <c r="E883" s="17"/>
      <c r="F883" s="17"/>
      <c r="G883" s="4"/>
      <c r="H883" s="4"/>
    </row>
    <row r="884" spans="1:8" x14ac:dyDescent="0.25">
      <c r="A884" s="17"/>
      <c r="B884" s="17"/>
      <c r="C884" s="17"/>
      <c r="D884" s="17"/>
      <c r="E884" s="17"/>
      <c r="F884" s="17"/>
      <c r="G884" s="4"/>
      <c r="H884" s="4"/>
    </row>
    <row r="885" spans="1:8" x14ac:dyDescent="0.25">
      <c r="A885" s="17"/>
      <c r="B885" s="17"/>
      <c r="C885" s="17"/>
      <c r="D885" s="17"/>
      <c r="E885" s="17"/>
      <c r="F885" s="17"/>
      <c r="G885" s="4"/>
      <c r="H885" s="4"/>
    </row>
    <row r="886" spans="1:8" x14ac:dyDescent="0.25">
      <c r="A886" s="17"/>
      <c r="B886" s="17"/>
      <c r="C886" s="17"/>
      <c r="D886" s="17"/>
      <c r="E886" s="17"/>
      <c r="F886" s="17"/>
      <c r="G886" s="4"/>
      <c r="H886" s="4"/>
    </row>
    <row r="887" spans="1:8" x14ac:dyDescent="0.25">
      <c r="A887" s="17"/>
      <c r="B887" s="17"/>
      <c r="C887" s="17"/>
      <c r="D887" s="17"/>
      <c r="E887" s="17"/>
      <c r="F887" s="17"/>
      <c r="G887" s="4"/>
      <c r="H887" s="4"/>
    </row>
    <row r="888" spans="1:8" x14ac:dyDescent="0.25">
      <c r="A888" s="17"/>
      <c r="B888" s="17"/>
      <c r="C888" s="17"/>
      <c r="D888" s="17"/>
      <c r="E888" s="17"/>
      <c r="F888" s="17"/>
      <c r="G888" s="4"/>
      <c r="H888" s="4"/>
    </row>
    <row r="889" spans="1:8" x14ac:dyDescent="0.25">
      <c r="A889" s="17"/>
      <c r="B889" s="17"/>
      <c r="C889" s="17"/>
      <c r="D889" s="17"/>
      <c r="E889" s="17"/>
      <c r="F889" s="17"/>
      <c r="G889" s="4"/>
      <c r="H889" s="4"/>
    </row>
    <row r="890" spans="1:8" x14ac:dyDescent="0.25">
      <c r="A890" s="17"/>
      <c r="B890" s="17"/>
      <c r="C890" s="17"/>
      <c r="D890" s="17"/>
      <c r="E890" s="17"/>
      <c r="F890" s="17"/>
      <c r="G890" s="4"/>
      <c r="H890" s="4"/>
    </row>
    <row r="891" spans="1:8" x14ac:dyDescent="0.25">
      <c r="A891" s="17"/>
      <c r="B891" s="17"/>
      <c r="C891" s="17"/>
      <c r="D891" s="17"/>
      <c r="E891" s="17"/>
      <c r="F891" s="17"/>
      <c r="G891" s="4"/>
      <c r="H891" s="4"/>
    </row>
    <row r="892" spans="1:8" x14ac:dyDescent="0.25">
      <c r="A892" s="17"/>
      <c r="B892" s="17"/>
      <c r="C892" s="17"/>
      <c r="D892" s="17"/>
      <c r="E892" s="17"/>
      <c r="F892" s="17"/>
      <c r="G892" s="4"/>
      <c r="H892" s="4"/>
    </row>
    <row r="893" spans="1:8" x14ac:dyDescent="0.25">
      <c r="A893" s="17"/>
      <c r="B893" s="17"/>
      <c r="C893" s="17"/>
      <c r="D893" s="17"/>
      <c r="E893" s="17"/>
      <c r="F893" s="17"/>
      <c r="G893" s="4"/>
      <c r="H893" s="4"/>
    </row>
    <row r="894" spans="1:8" x14ac:dyDescent="0.25">
      <c r="A894" s="17"/>
      <c r="B894" s="17"/>
      <c r="C894" s="17"/>
      <c r="D894" s="17"/>
      <c r="E894" s="17"/>
      <c r="F894" s="17"/>
      <c r="G894" s="4"/>
      <c r="H894" s="4"/>
    </row>
    <row r="895" spans="1:8" x14ac:dyDescent="0.25">
      <c r="A895" s="17"/>
      <c r="B895" s="17"/>
      <c r="C895" s="17"/>
      <c r="D895" s="17"/>
      <c r="E895" s="17"/>
      <c r="F895" s="17"/>
      <c r="G895" s="4"/>
      <c r="H895" s="4"/>
    </row>
    <row r="896" spans="1:8" x14ac:dyDescent="0.25">
      <c r="A896" s="17"/>
      <c r="B896" s="17"/>
      <c r="C896" s="17"/>
      <c r="D896" s="17"/>
      <c r="E896" s="17"/>
      <c r="F896" s="17"/>
      <c r="G896" s="4"/>
      <c r="H896" s="4"/>
    </row>
    <row r="897" spans="1:8" x14ac:dyDescent="0.25">
      <c r="A897" s="17"/>
      <c r="B897" s="17"/>
      <c r="C897" s="17"/>
      <c r="D897" s="17"/>
      <c r="E897" s="17"/>
      <c r="F897" s="17"/>
      <c r="G897" s="4"/>
      <c r="H897" s="4"/>
    </row>
    <row r="898" spans="1:8" x14ac:dyDescent="0.25">
      <c r="A898" s="17"/>
      <c r="B898" s="17"/>
      <c r="C898" s="17"/>
      <c r="D898" s="17"/>
      <c r="E898" s="17"/>
      <c r="F898" s="17"/>
      <c r="G898" s="4"/>
      <c r="H898" s="4"/>
    </row>
    <row r="899" spans="1:8" x14ac:dyDescent="0.25">
      <c r="A899" s="17"/>
      <c r="B899" s="17"/>
      <c r="C899" s="17"/>
      <c r="D899" s="17"/>
      <c r="E899" s="17"/>
      <c r="F899" s="17"/>
      <c r="G899" s="4"/>
      <c r="H899" s="4"/>
    </row>
    <row r="900" spans="1:8" x14ac:dyDescent="0.25">
      <c r="A900" s="17"/>
      <c r="B900" s="17"/>
      <c r="C900" s="17"/>
      <c r="D900" s="17"/>
      <c r="E900" s="17"/>
      <c r="F900" s="17"/>
      <c r="G900" s="4"/>
      <c r="H900" s="4"/>
    </row>
    <row r="901" spans="1:8" x14ac:dyDescent="0.25">
      <c r="A901" s="17"/>
      <c r="B901" s="17"/>
      <c r="C901" s="17"/>
      <c r="D901" s="17"/>
      <c r="E901" s="17"/>
      <c r="F901" s="17"/>
      <c r="G901" s="4"/>
      <c r="H901" s="4"/>
    </row>
    <row r="902" spans="1:8" x14ac:dyDescent="0.25">
      <c r="A902" s="17"/>
      <c r="B902" s="17"/>
      <c r="C902" s="17"/>
      <c r="D902" s="17"/>
      <c r="E902" s="17"/>
      <c r="F902" s="17"/>
      <c r="G902" s="4"/>
      <c r="H902" s="4"/>
    </row>
    <row r="903" spans="1:8" x14ac:dyDescent="0.25">
      <c r="A903" s="17"/>
      <c r="B903" s="17"/>
      <c r="C903" s="17"/>
      <c r="D903" s="17"/>
      <c r="E903" s="17"/>
      <c r="F903" s="17"/>
      <c r="G903" s="4"/>
      <c r="H903" s="4"/>
    </row>
    <row r="904" spans="1:8" x14ac:dyDescent="0.25">
      <c r="A904" s="17"/>
      <c r="B904" s="17"/>
      <c r="C904" s="17"/>
      <c r="D904" s="17"/>
      <c r="E904" s="17"/>
      <c r="F904" s="17"/>
      <c r="G904" s="4"/>
      <c r="H904" s="4"/>
    </row>
    <row r="905" spans="1:8" x14ac:dyDescent="0.25">
      <c r="A905" s="17"/>
      <c r="B905" s="17"/>
      <c r="C905" s="17"/>
      <c r="D905" s="17"/>
      <c r="E905" s="17"/>
      <c r="F905" s="17"/>
      <c r="G905" s="4"/>
      <c r="H905" s="4"/>
    </row>
    <row r="906" spans="1:8" x14ac:dyDescent="0.25">
      <c r="A906" s="17"/>
      <c r="B906" s="17"/>
      <c r="C906" s="17"/>
      <c r="D906" s="17"/>
      <c r="E906" s="17"/>
      <c r="F906" s="17"/>
      <c r="G906" s="4"/>
      <c r="H906" s="4"/>
    </row>
    <row r="907" spans="1:8" x14ac:dyDescent="0.25">
      <c r="A907" s="17"/>
      <c r="B907" s="17"/>
      <c r="C907" s="17"/>
      <c r="D907" s="17"/>
      <c r="E907" s="17"/>
      <c r="F907" s="17"/>
      <c r="G907" s="4"/>
      <c r="H907" s="4"/>
    </row>
    <row r="908" spans="1:8" x14ac:dyDescent="0.25">
      <c r="A908" s="17"/>
      <c r="B908" s="17"/>
      <c r="C908" s="17"/>
      <c r="D908" s="17"/>
      <c r="E908" s="17"/>
      <c r="F908" s="17"/>
      <c r="G908" s="4"/>
      <c r="H908" s="4"/>
    </row>
    <row r="909" spans="1:8" x14ac:dyDescent="0.25">
      <c r="A909" s="17"/>
      <c r="B909" s="17"/>
      <c r="C909" s="17"/>
      <c r="D909" s="17"/>
      <c r="E909" s="17"/>
      <c r="F909" s="17"/>
      <c r="G909" s="4"/>
      <c r="H909" s="4"/>
    </row>
    <row r="910" spans="1:8" x14ac:dyDescent="0.25">
      <c r="A910" s="17"/>
      <c r="B910" s="17"/>
      <c r="C910" s="17"/>
      <c r="D910" s="17"/>
      <c r="E910" s="17"/>
      <c r="F910" s="17"/>
      <c r="G910" s="4"/>
      <c r="H910" s="4"/>
    </row>
    <row r="911" spans="1:8" x14ac:dyDescent="0.25">
      <c r="A911" s="17"/>
      <c r="B911" s="17"/>
      <c r="C911" s="17"/>
      <c r="D911" s="17"/>
      <c r="E911" s="17"/>
      <c r="F911" s="17"/>
      <c r="G911" s="4"/>
      <c r="H911" s="4"/>
    </row>
    <row r="912" spans="1:8" x14ac:dyDescent="0.25">
      <c r="A912" s="17"/>
      <c r="B912" s="17"/>
      <c r="C912" s="17"/>
      <c r="D912" s="17"/>
      <c r="E912" s="17"/>
      <c r="F912" s="17"/>
      <c r="G912" s="4"/>
      <c r="H912" s="4"/>
    </row>
    <row r="913" spans="1:8" x14ac:dyDescent="0.25">
      <c r="A913" s="17"/>
      <c r="B913" s="17"/>
      <c r="C913" s="17"/>
      <c r="D913" s="17"/>
      <c r="E913" s="17"/>
      <c r="F913" s="17"/>
      <c r="G913" s="4"/>
      <c r="H913" s="4"/>
    </row>
    <row r="914" spans="1:8" x14ac:dyDescent="0.25">
      <c r="A914" s="17"/>
      <c r="B914" s="17"/>
      <c r="C914" s="17"/>
      <c r="D914" s="17"/>
      <c r="E914" s="17"/>
      <c r="F914" s="17"/>
      <c r="G914" s="4"/>
      <c r="H914" s="4"/>
    </row>
    <row r="915" spans="1:8" x14ac:dyDescent="0.25">
      <c r="A915" s="17"/>
      <c r="B915" s="17"/>
      <c r="C915" s="17"/>
      <c r="D915" s="17"/>
      <c r="E915" s="17"/>
      <c r="F915" s="17"/>
      <c r="G915" s="4"/>
      <c r="H915" s="4"/>
    </row>
    <row r="916" spans="1:8" x14ac:dyDescent="0.25">
      <c r="A916" s="17"/>
      <c r="B916" s="17"/>
      <c r="C916" s="17"/>
      <c r="D916" s="17"/>
      <c r="E916" s="17"/>
      <c r="F916" s="17"/>
      <c r="G916" s="4"/>
      <c r="H916" s="4"/>
    </row>
    <row r="917" spans="1:8" x14ac:dyDescent="0.25">
      <c r="A917" s="17"/>
      <c r="B917" s="17"/>
      <c r="C917" s="17"/>
      <c r="D917" s="17"/>
      <c r="E917" s="17"/>
      <c r="F917" s="17"/>
      <c r="G917" s="4"/>
      <c r="H917" s="4"/>
    </row>
    <row r="918" spans="1:8" x14ac:dyDescent="0.25">
      <c r="A918" s="17"/>
      <c r="B918" s="17"/>
      <c r="C918" s="17"/>
      <c r="D918" s="17"/>
      <c r="E918" s="17"/>
      <c r="F918" s="17"/>
      <c r="G918" s="4"/>
      <c r="H918" s="4"/>
    </row>
    <row r="919" spans="1:8" x14ac:dyDescent="0.25">
      <c r="A919" s="17"/>
      <c r="B919" s="17"/>
      <c r="C919" s="17"/>
      <c r="D919" s="17"/>
      <c r="E919" s="17"/>
      <c r="F919" s="17"/>
      <c r="G919" s="4"/>
      <c r="H919" s="4"/>
    </row>
    <row r="920" spans="1:8" x14ac:dyDescent="0.25">
      <c r="A920" s="17"/>
      <c r="B920" s="17"/>
      <c r="C920" s="17"/>
      <c r="D920" s="17"/>
      <c r="E920" s="17"/>
      <c r="F920" s="17"/>
      <c r="G920" s="4"/>
      <c r="H920" s="4"/>
    </row>
    <row r="921" spans="1:8" x14ac:dyDescent="0.25">
      <c r="A921" s="17"/>
      <c r="B921" s="17"/>
      <c r="C921" s="17"/>
      <c r="D921" s="17"/>
      <c r="E921" s="17"/>
      <c r="F921" s="17"/>
      <c r="G921" s="4"/>
      <c r="H921" s="4"/>
    </row>
    <row r="922" spans="1:8" x14ac:dyDescent="0.25">
      <c r="A922" s="17"/>
      <c r="B922" s="17"/>
      <c r="C922" s="17"/>
      <c r="D922" s="17"/>
      <c r="E922" s="17"/>
      <c r="F922" s="17"/>
      <c r="G922" s="4"/>
      <c r="H922" s="4"/>
    </row>
    <row r="923" spans="1:8" x14ac:dyDescent="0.25">
      <c r="A923" s="17"/>
      <c r="B923" s="17"/>
      <c r="C923" s="17"/>
      <c r="D923" s="17"/>
      <c r="E923" s="17"/>
      <c r="F923" s="17"/>
      <c r="G923" s="4"/>
      <c r="H923" s="4"/>
    </row>
    <row r="924" spans="1:8" x14ac:dyDescent="0.25">
      <c r="A924" s="17"/>
      <c r="B924" s="17"/>
      <c r="C924" s="17"/>
      <c r="D924" s="17"/>
      <c r="E924" s="17"/>
      <c r="F924" s="17"/>
      <c r="G924" s="4"/>
      <c r="H924" s="4"/>
    </row>
    <row r="925" spans="1:8" x14ac:dyDescent="0.25">
      <c r="A925" s="17"/>
      <c r="B925" s="17"/>
      <c r="C925" s="17"/>
      <c r="D925" s="17"/>
      <c r="E925" s="17"/>
      <c r="F925" s="17"/>
      <c r="G925" s="4"/>
      <c r="H925" s="4"/>
    </row>
    <row r="926" spans="1:8" x14ac:dyDescent="0.25">
      <c r="A926" s="17"/>
      <c r="B926" s="17"/>
      <c r="C926" s="17"/>
      <c r="D926" s="17"/>
      <c r="E926" s="17"/>
      <c r="F926" s="17"/>
      <c r="G926" s="4"/>
      <c r="H926" s="4"/>
    </row>
    <row r="927" spans="1:8" x14ac:dyDescent="0.25">
      <c r="A927" s="17"/>
      <c r="B927" s="17"/>
      <c r="C927" s="17"/>
      <c r="D927" s="17"/>
      <c r="E927" s="17"/>
      <c r="F927" s="17"/>
      <c r="G927" s="4"/>
      <c r="H927" s="4"/>
    </row>
    <row r="928" spans="1:8" x14ac:dyDescent="0.25">
      <c r="A928" s="17"/>
      <c r="B928" s="17"/>
      <c r="C928" s="17"/>
      <c r="D928" s="17"/>
      <c r="E928" s="17"/>
      <c r="F928" s="17"/>
      <c r="G928" s="4"/>
      <c r="H928" s="4"/>
    </row>
    <row r="929" spans="1:8" x14ac:dyDescent="0.25">
      <c r="A929" s="17"/>
      <c r="B929" s="17"/>
      <c r="C929" s="17"/>
      <c r="D929" s="17"/>
      <c r="E929" s="17"/>
      <c r="F929" s="17"/>
      <c r="G929" s="4"/>
      <c r="H929" s="4"/>
    </row>
    <row r="930" spans="1:8" x14ac:dyDescent="0.25">
      <c r="A930" s="17"/>
      <c r="B930" s="17"/>
      <c r="C930" s="17"/>
      <c r="D930" s="17"/>
      <c r="E930" s="17"/>
      <c r="F930" s="17"/>
      <c r="G930" s="4"/>
      <c r="H930" s="4"/>
    </row>
    <row r="931" spans="1:8" x14ac:dyDescent="0.25">
      <c r="A931" s="17"/>
      <c r="B931" s="17"/>
      <c r="C931" s="17"/>
      <c r="D931" s="17"/>
      <c r="E931" s="17"/>
      <c r="F931" s="17"/>
      <c r="G931" s="4"/>
      <c r="H931" s="4"/>
    </row>
    <row r="932" spans="1:8" x14ac:dyDescent="0.25">
      <c r="A932" s="17"/>
      <c r="B932" s="17"/>
      <c r="C932" s="17"/>
      <c r="D932" s="17"/>
      <c r="E932" s="17"/>
      <c r="F932" s="17"/>
      <c r="G932" s="4"/>
      <c r="H932" s="4"/>
    </row>
    <row r="933" spans="1:8" x14ac:dyDescent="0.25">
      <c r="A933" s="17"/>
      <c r="B933" s="17"/>
      <c r="C933" s="17"/>
      <c r="D933" s="17"/>
      <c r="E933" s="17"/>
      <c r="F933" s="17"/>
      <c r="G933" s="4"/>
      <c r="H933" s="4"/>
    </row>
    <row r="934" spans="1:8" x14ac:dyDescent="0.25">
      <c r="A934" s="17"/>
      <c r="B934" s="17"/>
      <c r="C934" s="17"/>
      <c r="D934" s="17"/>
      <c r="E934" s="17"/>
      <c r="F934" s="17"/>
      <c r="G934" s="4"/>
      <c r="H934" s="4"/>
    </row>
    <row r="935" spans="1:8" x14ac:dyDescent="0.25">
      <c r="A935" s="17"/>
      <c r="B935" s="17"/>
      <c r="C935" s="17"/>
      <c r="D935" s="17"/>
      <c r="E935" s="17"/>
      <c r="F935" s="17"/>
      <c r="G935" s="4"/>
      <c r="H935" s="4"/>
    </row>
    <row r="936" spans="1:8" x14ac:dyDescent="0.25">
      <c r="A936" s="17"/>
      <c r="B936" s="17"/>
      <c r="C936" s="17"/>
      <c r="D936" s="17"/>
      <c r="E936" s="17"/>
      <c r="F936" s="17"/>
      <c r="G936" s="4"/>
      <c r="H936" s="4"/>
    </row>
    <row r="937" spans="1:8" x14ac:dyDescent="0.25">
      <c r="A937" s="17"/>
      <c r="B937" s="17"/>
      <c r="C937" s="17"/>
      <c r="D937" s="17"/>
      <c r="E937" s="17"/>
      <c r="F937" s="17"/>
      <c r="G937" s="4"/>
      <c r="H937" s="4"/>
    </row>
    <row r="938" spans="1:8" x14ac:dyDescent="0.25">
      <c r="A938" s="17"/>
      <c r="B938" s="17"/>
      <c r="C938" s="17"/>
      <c r="D938" s="17"/>
      <c r="E938" s="17"/>
      <c r="F938" s="17"/>
      <c r="G938" s="4"/>
      <c r="H938" s="4"/>
    </row>
    <row r="939" spans="1:8" x14ac:dyDescent="0.25">
      <c r="A939" s="17"/>
      <c r="B939" s="17"/>
      <c r="C939" s="17"/>
      <c r="D939" s="17"/>
      <c r="E939" s="17"/>
      <c r="F939" s="17"/>
      <c r="G939" s="4"/>
      <c r="H939" s="4"/>
    </row>
    <row r="940" spans="1:8" x14ac:dyDescent="0.25">
      <c r="A940" s="17"/>
      <c r="B940" s="17"/>
      <c r="C940" s="17"/>
      <c r="D940" s="17"/>
      <c r="E940" s="17"/>
      <c r="F940" s="17"/>
      <c r="G940" s="4"/>
      <c r="H940" s="4"/>
    </row>
    <row r="941" spans="1:8" x14ac:dyDescent="0.25">
      <c r="A941" s="17"/>
      <c r="B941" s="17"/>
      <c r="C941" s="17"/>
      <c r="D941" s="17"/>
      <c r="E941" s="17"/>
      <c r="F941" s="17"/>
      <c r="G941" s="4"/>
      <c r="H941" s="4"/>
    </row>
    <row r="942" spans="1:8" x14ac:dyDescent="0.25">
      <c r="A942" s="17"/>
      <c r="B942" s="17"/>
      <c r="C942" s="17"/>
      <c r="D942" s="17"/>
      <c r="E942" s="17"/>
      <c r="F942" s="17"/>
      <c r="G942" s="4"/>
      <c r="H942" s="4"/>
    </row>
    <row r="943" spans="1:8" x14ac:dyDescent="0.25">
      <c r="A943" s="17"/>
      <c r="B943" s="17"/>
      <c r="C943" s="17"/>
      <c r="D943" s="17"/>
      <c r="E943" s="17"/>
      <c r="F943" s="17"/>
      <c r="G943" s="4"/>
      <c r="H943" s="4"/>
    </row>
    <row r="944" spans="1:8" x14ac:dyDescent="0.25">
      <c r="A944" s="17"/>
      <c r="B944" s="17"/>
      <c r="C944" s="17"/>
      <c r="D944" s="17"/>
      <c r="E944" s="17"/>
      <c r="F944" s="17"/>
      <c r="G944" s="4"/>
      <c r="H944" s="4"/>
    </row>
    <row r="945" spans="1:8" x14ac:dyDescent="0.25">
      <c r="A945" s="17"/>
      <c r="B945" s="17"/>
      <c r="C945" s="17"/>
      <c r="D945" s="17"/>
      <c r="E945" s="17"/>
      <c r="F945" s="17"/>
      <c r="G945" s="4"/>
      <c r="H945" s="4"/>
    </row>
    <row r="946" spans="1:8" x14ac:dyDescent="0.25">
      <c r="A946" s="17"/>
      <c r="B946" s="17"/>
      <c r="C946" s="17"/>
      <c r="D946" s="17"/>
      <c r="E946" s="17"/>
      <c r="F946" s="17"/>
      <c r="G946" s="4"/>
      <c r="H946" s="4"/>
    </row>
    <row r="947" spans="1:8" x14ac:dyDescent="0.25">
      <c r="A947" s="17"/>
      <c r="B947" s="17"/>
      <c r="C947" s="17"/>
      <c r="D947" s="17"/>
      <c r="E947" s="17"/>
      <c r="F947" s="17"/>
      <c r="G947" s="4"/>
      <c r="H947" s="4"/>
    </row>
    <row r="948" spans="1:8" x14ac:dyDescent="0.25">
      <c r="A948" s="17"/>
      <c r="B948" s="17"/>
      <c r="C948" s="17"/>
      <c r="D948" s="17"/>
      <c r="E948" s="17"/>
      <c r="F948" s="17"/>
      <c r="G948" s="4"/>
      <c r="H948" s="4"/>
    </row>
    <row r="949" spans="1:8" x14ac:dyDescent="0.25">
      <c r="A949" s="17"/>
      <c r="B949" s="17"/>
      <c r="C949" s="17"/>
      <c r="D949" s="17"/>
      <c r="E949" s="17"/>
      <c r="F949" s="17"/>
      <c r="G949" s="4"/>
      <c r="H949" s="4"/>
    </row>
    <row r="950" spans="1:8" x14ac:dyDescent="0.25">
      <c r="A950" s="17"/>
      <c r="B950" s="17"/>
      <c r="C950" s="17"/>
      <c r="D950" s="17"/>
      <c r="E950" s="17"/>
      <c r="F950" s="17"/>
      <c r="G950" s="4"/>
      <c r="H950" s="4"/>
    </row>
    <row r="951" spans="1:8" x14ac:dyDescent="0.25">
      <c r="A951" s="17"/>
      <c r="B951" s="17"/>
      <c r="C951" s="17"/>
      <c r="D951" s="17"/>
      <c r="E951" s="17"/>
      <c r="F951" s="17"/>
      <c r="G951" s="4"/>
      <c r="H951" s="4"/>
    </row>
    <row r="952" spans="1:8" x14ac:dyDescent="0.25">
      <c r="A952" s="17"/>
      <c r="B952" s="17"/>
      <c r="C952" s="17"/>
      <c r="D952" s="17"/>
      <c r="E952" s="17"/>
      <c r="F952" s="17"/>
      <c r="G952" s="4"/>
      <c r="H952" s="4"/>
    </row>
    <row r="953" spans="1:8" x14ac:dyDescent="0.25">
      <c r="A953" s="17"/>
      <c r="B953" s="17"/>
      <c r="C953" s="17"/>
      <c r="D953" s="17"/>
      <c r="E953" s="17"/>
      <c r="F953" s="17"/>
      <c r="G953" s="4"/>
      <c r="H953" s="4"/>
    </row>
    <row r="954" spans="1:8" x14ac:dyDescent="0.25">
      <c r="A954" s="17"/>
      <c r="B954" s="17"/>
      <c r="C954" s="17"/>
      <c r="D954" s="17"/>
      <c r="E954" s="17"/>
      <c r="F954" s="17"/>
      <c r="G954" s="4"/>
      <c r="H954" s="4"/>
    </row>
    <row r="955" spans="1:8" x14ac:dyDescent="0.25">
      <c r="A955" s="17"/>
      <c r="B955" s="17"/>
      <c r="C955" s="17"/>
      <c r="D955" s="17"/>
      <c r="E955" s="17"/>
      <c r="F955" s="17"/>
      <c r="G955" s="4"/>
      <c r="H955" s="4"/>
    </row>
    <row r="956" spans="1:8" x14ac:dyDescent="0.25">
      <c r="A956" s="17"/>
      <c r="B956" s="17"/>
      <c r="C956" s="17"/>
      <c r="D956" s="17"/>
      <c r="E956" s="17"/>
      <c r="F956" s="17"/>
      <c r="G956" s="4"/>
      <c r="H956" s="4"/>
    </row>
    <row r="957" spans="1:8" x14ac:dyDescent="0.25">
      <c r="A957" s="17"/>
      <c r="B957" s="17"/>
      <c r="C957" s="17"/>
      <c r="D957" s="17"/>
      <c r="E957" s="17"/>
      <c r="F957" s="17"/>
      <c r="G957" s="4"/>
      <c r="H957" s="4"/>
    </row>
    <row r="958" spans="1:8" x14ac:dyDescent="0.25">
      <c r="A958" s="17"/>
      <c r="B958" s="17"/>
      <c r="C958" s="17"/>
      <c r="D958" s="17"/>
      <c r="E958" s="17"/>
      <c r="F958" s="17"/>
      <c r="G958" s="4"/>
      <c r="H958" s="4"/>
    </row>
    <row r="959" spans="1:8" x14ac:dyDescent="0.25">
      <c r="A959" s="17"/>
      <c r="B959" s="17"/>
      <c r="C959" s="17"/>
      <c r="D959" s="17"/>
      <c r="E959" s="17"/>
      <c r="F959" s="17"/>
      <c r="G959" s="4"/>
      <c r="H959" s="4"/>
    </row>
    <row r="960" spans="1:8" x14ac:dyDescent="0.25">
      <c r="A960" s="17"/>
      <c r="B960" s="17"/>
      <c r="C960" s="17"/>
      <c r="D960" s="17"/>
      <c r="E960" s="17"/>
      <c r="F960" s="17"/>
      <c r="G960" s="4"/>
      <c r="H960" s="4"/>
    </row>
    <row r="961" spans="1:8" x14ac:dyDescent="0.25">
      <c r="A961" s="17"/>
      <c r="B961" s="17"/>
      <c r="C961" s="17"/>
      <c r="D961" s="17"/>
      <c r="E961" s="17"/>
      <c r="F961" s="17"/>
      <c r="G961" s="4"/>
      <c r="H961" s="4"/>
    </row>
    <row r="962" spans="1:8" x14ac:dyDescent="0.25">
      <c r="A962" s="17"/>
      <c r="B962" s="17"/>
      <c r="C962" s="17"/>
      <c r="D962" s="17"/>
      <c r="E962" s="17"/>
      <c r="F962" s="17"/>
      <c r="G962" s="4"/>
      <c r="H962" s="4"/>
    </row>
    <row r="963" spans="1:8" x14ac:dyDescent="0.25">
      <c r="A963" s="17"/>
      <c r="B963" s="17"/>
      <c r="C963" s="17"/>
      <c r="D963" s="17"/>
      <c r="E963" s="17"/>
      <c r="F963" s="17"/>
      <c r="G963" s="4"/>
      <c r="H963" s="4"/>
    </row>
    <row r="964" spans="1:8" x14ac:dyDescent="0.25">
      <c r="A964" s="17"/>
      <c r="B964" s="17"/>
      <c r="C964" s="17"/>
      <c r="D964" s="17"/>
      <c r="E964" s="17"/>
      <c r="F964" s="17"/>
      <c r="G964" s="4"/>
      <c r="H964" s="4"/>
    </row>
    <row r="965" spans="1:8" x14ac:dyDescent="0.25">
      <c r="A965" s="17"/>
      <c r="B965" s="17"/>
      <c r="C965" s="17"/>
      <c r="D965" s="17"/>
      <c r="E965" s="17"/>
      <c r="F965" s="17"/>
      <c r="G965" s="4"/>
      <c r="H965" s="4"/>
    </row>
    <row r="966" spans="1:8" x14ac:dyDescent="0.25">
      <c r="A966" s="17"/>
      <c r="B966" s="17"/>
      <c r="C966" s="17"/>
      <c r="D966" s="17"/>
      <c r="E966" s="17"/>
      <c r="F966" s="17"/>
      <c r="G966" s="4"/>
      <c r="H966" s="4"/>
    </row>
    <row r="967" spans="1:8" x14ac:dyDescent="0.25">
      <c r="A967" s="17"/>
      <c r="B967" s="17"/>
      <c r="C967" s="17"/>
      <c r="D967" s="17"/>
      <c r="E967" s="17"/>
      <c r="F967" s="17"/>
      <c r="G967" s="4"/>
      <c r="H967" s="4"/>
    </row>
    <row r="968" spans="1:8" x14ac:dyDescent="0.25">
      <c r="A968" s="17"/>
      <c r="B968" s="17"/>
      <c r="C968" s="17"/>
      <c r="D968" s="17"/>
      <c r="E968" s="17"/>
      <c r="F968" s="17"/>
      <c r="G968" s="4"/>
      <c r="H968" s="4"/>
    </row>
    <row r="969" spans="1:8" x14ac:dyDescent="0.25">
      <c r="A969" s="17"/>
      <c r="B969" s="17"/>
      <c r="C969" s="17"/>
      <c r="D969" s="17"/>
      <c r="E969" s="17"/>
      <c r="F969" s="17"/>
      <c r="G969" s="4"/>
      <c r="H969" s="4"/>
    </row>
    <row r="970" spans="1:8" x14ac:dyDescent="0.25">
      <c r="A970" s="17"/>
      <c r="B970" s="17"/>
      <c r="C970" s="17"/>
      <c r="D970" s="17"/>
      <c r="E970" s="17"/>
      <c r="F970" s="17"/>
      <c r="G970" s="4"/>
      <c r="H970" s="4"/>
    </row>
    <row r="971" spans="1:8" x14ac:dyDescent="0.25">
      <c r="A971" s="17"/>
      <c r="B971" s="17"/>
      <c r="C971" s="17"/>
      <c r="D971" s="17"/>
      <c r="E971" s="17"/>
      <c r="F971" s="17"/>
      <c r="G971" s="4"/>
      <c r="H971" s="4"/>
    </row>
    <row r="972" spans="1:8" x14ac:dyDescent="0.25">
      <c r="A972" s="17"/>
      <c r="B972" s="17"/>
      <c r="C972" s="17"/>
      <c r="D972" s="17"/>
      <c r="E972" s="17"/>
      <c r="F972" s="17"/>
      <c r="G972" s="4"/>
      <c r="H972" s="4"/>
    </row>
    <row r="973" spans="1:8" x14ac:dyDescent="0.25">
      <c r="A973" s="17"/>
      <c r="B973" s="17"/>
      <c r="C973" s="17"/>
      <c r="D973" s="17"/>
      <c r="E973" s="17"/>
      <c r="F973" s="17"/>
      <c r="G973" s="4"/>
      <c r="H973" s="4"/>
    </row>
    <row r="974" spans="1:8" x14ac:dyDescent="0.25">
      <c r="A974" s="17"/>
      <c r="B974" s="17"/>
      <c r="C974" s="17"/>
      <c r="D974" s="17"/>
      <c r="E974" s="17"/>
      <c r="F974" s="17"/>
      <c r="G974" s="4"/>
      <c r="H974" s="4"/>
    </row>
    <row r="975" spans="1:8" x14ac:dyDescent="0.25">
      <c r="A975" s="17"/>
      <c r="B975" s="17"/>
      <c r="C975" s="17"/>
      <c r="D975" s="17"/>
      <c r="E975" s="17"/>
      <c r="F975" s="17"/>
      <c r="G975" s="4"/>
      <c r="H975" s="4"/>
    </row>
    <row r="976" spans="1:8" x14ac:dyDescent="0.25">
      <c r="A976" s="17"/>
      <c r="B976" s="17"/>
      <c r="C976" s="17"/>
      <c r="D976" s="17"/>
      <c r="E976" s="17"/>
      <c r="F976" s="17"/>
      <c r="G976" s="4"/>
      <c r="H976" s="4"/>
    </row>
    <row r="977" spans="1:8" x14ac:dyDescent="0.25">
      <c r="A977" s="17"/>
      <c r="B977" s="17"/>
      <c r="C977" s="17"/>
      <c r="D977" s="17"/>
      <c r="E977" s="17"/>
      <c r="F977" s="17"/>
      <c r="G977" s="4"/>
      <c r="H977" s="4"/>
    </row>
    <row r="978" spans="1:8" x14ac:dyDescent="0.25">
      <c r="A978" s="17"/>
      <c r="B978" s="17"/>
      <c r="C978" s="17"/>
      <c r="D978" s="17"/>
      <c r="E978" s="17"/>
      <c r="F978" s="17"/>
      <c r="G978" s="4"/>
      <c r="H978" s="4"/>
    </row>
    <row r="979" spans="1:8" x14ac:dyDescent="0.25">
      <c r="A979" s="17"/>
      <c r="B979" s="17"/>
      <c r="C979" s="17"/>
      <c r="D979" s="17"/>
      <c r="E979" s="17"/>
      <c r="F979" s="17"/>
      <c r="G979" s="4"/>
      <c r="H979" s="4"/>
    </row>
    <row r="980" spans="1:8" x14ac:dyDescent="0.25">
      <c r="A980" s="17"/>
      <c r="B980" s="17"/>
      <c r="C980" s="17"/>
      <c r="D980" s="17"/>
      <c r="E980" s="17"/>
      <c r="F980" s="17"/>
      <c r="G980" s="4"/>
      <c r="H980" s="4"/>
    </row>
    <row r="981" spans="1:8" x14ac:dyDescent="0.25">
      <c r="A981" s="17"/>
      <c r="B981" s="17"/>
      <c r="C981" s="17"/>
      <c r="D981" s="17"/>
      <c r="E981" s="17"/>
      <c r="F981" s="17"/>
      <c r="G981" s="4"/>
      <c r="H981" s="4"/>
    </row>
    <row r="982" spans="1:8" x14ac:dyDescent="0.25">
      <c r="A982" s="17"/>
      <c r="B982" s="17"/>
      <c r="C982" s="17"/>
      <c r="D982" s="17"/>
      <c r="E982" s="17"/>
      <c r="F982" s="17"/>
      <c r="G982" s="4"/>
      <c r="H982" s="4"/>
    </row>
    <row r="983" spans="1:8" x14ac:dyDescent="0.25">
      <c r="A983" s="17"/>
      <c r="B983" s="17"/>
      <c r="C983" s="17"/>
      <c r="D983" s="17"/>
      <c r="E983" s="17"/>
      <c r="F983" s="17"/>
      <c r="G983" s="4"/>
      <c r="H983" s="4"/>
    </row>
    <row r="984" spans="1:8" x14ac:dyDescent="0.25">
      <c r="A984" s="17"/>
      <c r="B984" s="17"/>
      <c r="C984" s="17"/>
      <c r="D984" s="17"/>
      <c r="E984" s="17"/>
      <c r="F984" s="17"/>
      <c r="G984" s="4"/>
      <c r="H984" s="4"/>
    </row>
    <row r="985" spans="1:8" x14ac:dyDescent="0.25">
      <c r="A985" s="17"/>
      <c r="B985" s="17"/>
      <c r="C985" s="17"/>
      <c r="D985" s="17"/>
      <c r="E985" s="17"/>
      <c r="F985" s="17"/>
      <c r="G985" s="4"/>
      <c r="H985" s="4"/>
    </row>
    <row r="986" spans="1:8" x14ac:dyDescent="0.25">
      <c r="A986" s="17"/>
      <c r="B986" s="17"/>
      <c r="C986" s="17"/>
      <c r="D986" s="17"/>
      <c r="E986" s="17"/>
      <c r="F986" s="17"/>
      <c r="G986" s="4"/>
      <c r="H986" s="4"/>
    </row>
    <row r="987" spans="1:8" x14ac:dyDescent="0.25">
      <c r="A987" s="17"/>
      <c r="B987" s="17"/>
      <c r="C987" s="17"/>
      <c r="D987" s="17"/>
      <c r="E987" s="17"/>
      <c r="F987" s="17"/>
      <c r="G987" s="4"/>
      <c r="H987" s="4"/>
    </row>
    <row r="988" spans="1:8" x14ac:dyDescent="0.25">
      <c r="A988" s="17"/>
      <c r="B988" s="17"/>
      <c r="C988" s="17"/>
      <c r="D988" s="17"/>
      <c r="E988" s="17"/>
      <c r="F988" s="17"/>
      <c r="G988" s="4"/>
      <c r="H988" s="4"/>
    </row>
    <row r="989" spans="1:8" x14ac:dyDescent="0.25">
      <c r="A989" s="17"/>
      <c r="B989" s="17"/>
      <c r="C989" s="17"/>
      <c r="D989" s="17"/>
      <c r="E989" s="17"/>
      <c r="F989" s="17"/>
      <c r="G989" s="4"/>
      <c r="H989" s="4"/>
    </row>
    <row r="990" spans="1:8" x14ac:dyDescent="0.25">
      <c r="A990" s="17"/>
      <c r="B990" s="17"/>
      <c r="C990" s="17"/>
      <c r="D990" s="17"/>
      <c r="E990" s="17"/>
      <c r="F990" s="17"/>
      <c r="G990" s="4"/>
      <c r="H990" s="4"/>
    </row>
    <row r="991" spans="1:8" x14ac:dyDescent="0.25">
      <c r="A991" s="17"/>
      <c r="B991" s="17"/>
      <c r="C991" s="17"/>
      <c r="D991" s="17"/>
      <c r="E991" s="17"/>
      <c r="F991" s="17"/>
      <c r="G991" s="4"/>
      <c r="H991" s="4"/>
    </row>
    <row r="992" spans="1:8" x14ac:dyDescent="0.25">
      <c r="A992" s="17"/>
      <c r="B992" s="17"/>
      <c r="C992" s="17"/>
      <c r="D992" s="17"/>
      <c r="E992" s="17"/>
      <c r="F992" s="17"/>
      <c r="G992" s="4"/>
      <c r="H992" s="4"/>
    </row>
    <row r="993" spans="1:8" x14ac:dyDescent="0.25">
      <c r="A993" s="17"/>
      <c r="B993" s="17"/>
      <c r="C993" s="17"/>
      <c r="D993" s="17"/>
      <c r="E993" s="17"/>
      <c r="F993" s="17"/>
      <c r="G993" s="4"/>
      <c r="H993" s="4"/>
    </row>
    <row r="994" spans="1:8" x14ac:dyDescent="0.25">
      <c r="A994" s="17"/>
      <c r="B994" s="17"/>
      <c r="C994" s="17"/>
      <c r="D994" s="17"/>
      <c r="E994" s="17"/>
      <c r="F994" s="17"/>
      <c r="G994" s="4"/>
      <c r="H994" s="4"/>
    </row>
    <row r="995" spans="1:8" x14ac:dyDescent="0.25">
      <c r="A995" s="17"/>
      <c r="B995" s="17"/>
      <c r="C995" s="17"/>
      <c r="D995" s="17"/>
      <c r="E995" s="17"/>
      <c r="F995" s="17"/>
      <c r="G995" s="4"/>
      <c r="H995" s="4"/>
    </row>
    <row r="996" spans="1:8" x14ac:dyDescent="0.25">
      <c r="A996" s="17"/>
      <c r="B996" s="17"/>
      <c r="C996" s="17"/>
      <c r="D996" s="17"/>
      <c r="E996" s="17"/>
      <c r="F996" s="17"/>
      <c r="G996" s="4"/>
      <c r="H996" s="4"/>
    </row>
    <row r="997" spans="1:8" x14ac:dyDescent="0.25">
      <c r="A997" s="17"/>
      <c r="B997" s="17"/>
      <c r="C997" s="17"/>
      <c r="D997" s="17"/>
      <c r="E997" s="17"/>
      <c r="F997" s="17"/>
      <c r="G997" s="4"/>
      <c r="H997" s="4"/>
    </row>
    <row r="998" spans="1:8" x14ac:dyDescent="0.25">
      <c r="A998" s="17"/>
      <c r="B998" s="17"/>
      <c r="C998" s="17"/>
      <c r="D998" s="17"/>
      <c r="E998" s="17"/>
      <c r="F998" s="17"/>
      <c r="G998" s="4"/>
      <c r="H998" s="4"/>
    </row>
    <row r="999" spans="1:8" x14ac:dyDescent="0.25">
      <c r="A999" s="17"/>
      <c r="B999" s="17"/>
      <c r="C999" s="17"/>
      <c r="D999" s="17"/>
      <c r="E999" s="17"/>
      <c r="F999" s="17"/>
      <c r="G999" s="4"/>
      <c r="H999" s="4"/>
    </row>
    <row r="1000" spans="1:8" x14ac:dyDescent="0.25">
      <c r="A1000" s="17"/>
      <c r="B1000" s="17"/>
      <c r="C1000" s="17"/>
      <c r="D1000" s="17"/>
      <c r="E1000" s="17"/>
      <c r="F1000" s="17"/>
      <c r="G1000" s="4"/>
      <c r="H1000" s="4"/>
    </row>
    <row r="1001" spans="1:8" x14ac:dyDescent="0.25">
      <c r="A1001" s="17"/>
      <c r="B1001" s="17"/>
      <c r="C1001" s="17"/>
      <c r="D1001" s="17"/>
      <c r="E1001" s="17"/>
      <c r="F1001" s="17"/>
      <c r="G1001" s="4"/>
      <c r="H1001" s="4"/>
    </row>
    <row r="1002" spans="1:8" x14ac:dyDescent="0.25">
      <c r="A1002" s="17"/>
      <c r="B1002" s="17"/>
      <c r="C1002" s="17"/>
      <c r="D1002" s="17"/>
      <c r="E1002" s="17"/>
      <c r="F1002" s="17"/>
      <c r="G1002" s="4"/>
      <c r="H1002" s="4"/>
    </row>
    <row r="1003" spans="1:8" x14ac:dyDescent="0.25">
      <c r="A1003" s="17"/>
      <c r="B1003" s="17"/>
      <c r="C1003" s="17"/>
      <c r="D1003" s="17"/>
      <c r="E1003" s="17"/>
      <c r="F1003" s="17"/>
      <c r="G1003" s="4"/>
      <c r="H1003" s="4"/>
    </row>
    <row r="1004" spans="1:8" x14ac:dyDescent="0.25">
      <c r="A1004" s="17"/>
      <c r="B1004" s="17"/>
      <c r="C1004" s="17"/>
      <c r="D1004" s="17"/>
      <c r="E1004" s="17"/>
      <c r="F1004" s="17"/>
      <c r="G1004" s="4"/>
      <c r="H1004" s="4"/>
    </row>
    <row r="1005" spans="1:8" x14ac:dyDescent="0.25">
      <c r="A1005" s="17"/>
      <c r="B1005" s="17"/>
      <c r="C1005" s="17"/>
      <c r="D1005" s="17"/>
      <c r="E1005" s="17"/>
      <c r="F1005" s="17"/>
      <c r="G1005" s="4"/>
      <c r="H1005" s="4"/>
    </row>
    <row r="1006" spans="1:8" x14ac:dyDescent="0.25">
      <c r="A1006" s="17"/>
      <c r="B1006" s="17"/>
      <c r="C1006" s="17"/>
      <c r="D1006" s="17"/>
      <c r="E1006" s="17"/>
      <c r="F1006" s="17"/>
      <c r="G1006" s="4"/>
      <c r="H1006" s="4"/>
    </row>
    <row r="1007" spans="1:8" x14ac:dyDescent="0.25">
      <c r="A1007" s="17"/>
      <c r="B1007" s="17"/>
      <c r="C1007" s="17"/>
      <c r="D1007" s="17"/>
      <c r="E1007" s="17"/>
      <c r="F1007" s="17"/>
      <c r="G1007" s="4"/>
      <c r="H1007" s="4"/>
    </row>
    <row r="1008" spans="1:8" x14ac:dyDescent="0.25">
      <c r="A1008" s="17"/>
      <c r="B1008" s="17"/>
      <c r="C1008" s="17"/>
      <c r="D1008" s="17"/>
      <c r="E1008" s="17"/>
      <c r="F1008" s="17"/>
      <c r="G1008" s="4"/>
      <c r="H1008" s="4"/>
    </row>
    <row r="1009" spans="1:21" x14ac:dyDescent="0.25">
      <c r="A1009" s="17"/>
      <c r="B1009" s="17"/>
      <c r="C1009" s="17"/>
      <c r="D1009" s="17"/>
      <c r="E1009" s="17"/>
      <c r="F1009" s="17"/>
      <c r="G1009" s="4"/>
      <c r="H1009" s="4"/>
    </row>
    <row r="1010" spans="1:21" x14ac:dyDescent="0.25">
      <c r="A1010" s="17"/>
      <c r="B1010" s="17"/>
      <c r="C1010" s="17"/>
      <c r="D1010" s="17"/>
      <c r="E1010" s="17"/>
      <c r="F1010" s="17"/>
      <c r="G1010" s="4"/>
      <c r="H1010" s="4"/>
    </row>
    <row r="1011" spans="1:21" x14ac:dyDescent="0.25">
      <c r="A1011" s="17"/>
      <c r="B1011" s="17"/>
      <c r="C1011" s="17"/>
      <c r="D1011" s="17"/>
      <c r="E1011" s="17"/>
      <c r="F1011" s="17"/>
      <c r="G1011" s="4"/>
      <c r="H1011" s="4"/>
    </row>
    <row r="1012" spans="1:21" x14ac:dyDescent="0.25">
      <c r="A1012" s="17"/>
      <c r="B1012" s="17"/>
      <c r="C1012" s="17"/>
      <c r="D1012" s="17"/>
      <c r="E1012" s="17"/>
      <c r="F1012" s="17"/>
      <c r="G1012" s="4"/>
      <c r="H1012" s="4"/>
    </row>
    <row r="1013" spans="1:21" x14ac:dyDescent="0.25">
      <c r="A1013" s="17"/>
      <c r="B1013" s="17"/>
      <c r="C1013" s="17"/>
      <c r="D1013" s="17"/>
      <c r="E1013" s="17"/>
      <c r="F1013" s="17"/>
      <c r="G1013" s="17"/>
      <c r="H1013" s="17"/>
      <c r="I1013" s="17"/>
      <c r="J1013" s="17"/>
      <c r="K1013" s="235"/>
      <c r="L1013" s="17"/>
      <c r="M1013" s="229"/>
      <c r="N1013" s="17"/>
      <c r="O1013" s="17"/>
      <c r="P1013" s="17"/>
      <c r="Q1013" s="17"/>
      <c r="R1013" s="17"/>
      <c r="S1013" s="17"/>
      <c r="T1013" s="4"/>
      <c r="U1013" s="4"/>
    </row>
    <row r="1014" spans="1:21" x14ac:dyDescent="0.25">
      <c r="A1014" s="17"/>
      <c r="B1014" s="17"/>
      <c r="C1014" s="17"/>
      <c r="D1014" s="17"/>
      <c r="E1014" s="17"/>
      <c r="F1014" s="17"/>
      <c r="G1014" s="17"/>
      <c r="H1014" s="17"/>
      <c r="I1014" s="17"/>
      <c r="J1014" s="17"/>
      <c r="K1014" s="235"/>
      <c r="L1014" s="17"/>
      <c r="M1014" s="229"/>
      <c r="N1014" s="17"/>
      <c r="O1014" s="17"/>
      <c r="P1014" s="17"/>
      <c r="Q1014" s="17"/>
      <c r="R1014" s="17"/>
      <c r="S1014" s="17"/>
      <c r="T1014" s="4"/>
      <c r="U1014" s="4"/>
    </row>
    <row r="1015" spans="1:21" x14ac:dyDescent="0.25">
      <c r="A1015" s="17"/>
      <c r="B1015" s="17"/>
      <c r="C1015" s="17"/>
      <c r="D1015" s="17"/>
      <c r="E1015" s="17"/>
      <c r="F1015" s="17"/>
      <c r="G1015" s="17"/>
      <c r="H1015" s="17"/>
      <c r="I1015" s="17"/>
      <c r="J1015" s="17"/>
      <c r="K1015" s="235"/>
      <c r="L1015" s="17"/>
      <c r="M1015" s="229"/>
      <c r="N1015" s="17"/>
      <c r="O1015" s="17"/>
      <c r="P1015" s="17"/>
      <c r="Q1015" s="17"/>
      <c r="R1015" s="17"/>
      <c r="S1015" s="17"/>
      <c r="T1015" s="4"/>
      <c r="U1015" s="4"/>
    </row>
    <row r="1016" spans="1:21" x14ac:dyDescent="0.25">
      <c r="A1016" s="17"/>
      <c r="B1016" s="17"/>
      <c r="C1016" s="17"/>
      <c r="D1016" s="17"/>
      <c r="E1016" s="17"/>
      <c r="F1016" s="17"/>
      <c r="G1016" s="17"/>
      <c r="H1016" s="17"/>
      <c r="I1016" s="17"/>
      <c r="J1016" s="17"/>
      <c r="K1016" s="235"/>
      <c r="L1016" s="17"/>
      <c r="M1016" s="229"/>
      <c r="N1016" s="17"/>
      <c r="O1016" s="17"/>
      <c r="P1016" s="17"/>
      <c r="Q1016" s="17"/>
      <c r="R1016" s="17"/>
      <c r="S1016" s="17"/>
      <c r="T1016" s="4"/>
      <c r="U1016" s="4"/>
    </row>
    <row r="1017" spans="1:21" x14ac:dyDescent="0.25">
      <c r="A1017" s="17"/>
      <c r="B1017" s="17"/>
      <c r="C1017" s="17"/>
      <c r="D1017" s="17"/>
      <c r="E1017" s="17"/>
      <c r="F1017" s="17"/>
      <c r="G1017" s="17"/>
      <c r="H1017" s="17"/>
      <c r="I1017" s="17"/>
      <c r="J1017" s="17"/>
      <c r="K1017" s="235"/>
      <c r="L1017" s="17"/>
      <c r="M1017" s="229"/>
      <c r="N1017" s="17"/>
      <c r="O1017" s="17"/>
      <c r="P1017" s="17"/>
      <c r="Q1017" s="17"/>
      <c r="R1017" s="17"/>
      <c r="S1017" s="17"/>
      <c r="T1017" s="4"/>
      <c r="U1017" s="4"/>
    </row>
    <row r="1018" spans="1:21" x14ac:dyDescent="0.25">
      <c r="A1018" s="17"/>
      <c r="B1018" s="17"/>
      <c r="C1018" s="17"/>
      <c r="D1018" s="17"/>
      <c r="E1018" s="17"/>
      <c r="F1018" s="17"/>
      <c r="G1018" s="17"/>
      <c r="H1018" s="17"/>
      <c r="I1018" s="17"/>
      <c r="J1018" s="17"/>
      <c r="K1018" s="235"/>
      <c r="L1018" s="17"/>
      <c r="M1018" s="229"/>
      <c r="N1018" s="17"/>
      <c r="O1018" s="17"/>
      <c r="P1018" s="17"/>
      <c r="Q1018" s="17"/>
      <c r="R1018" s="17"/>
      <c r="S1018" s="17"/>
      <c r="T1018" s="4"/>
      <c r="U1018" s="4"/>
    </row>
    <row r="1019" spans="1:21" x14ac:dyDescent="0.25">
      <c r="A1019" s="17"/>
      <c r="B1019" s="17"/>
      <c r="C1019" s="17"/>
      <c r="D1019" s="17"/>
      <c r="E1019" s="17"/>
      <c r="F1019" s="17"/>
      <c r="G1019" s="17"/>
      <c r="H1019" s="17"/>
      <c r="I1019" s="17"/>
      <c r="J1019" s="17"/>
      <c r="K1019" s="235"/>
      <c r="L1019" s="17"/>
      <c r="M1019" s="229"/>
      <c r="N1019" s="17"/>
      <c r="O1019" s="17"/>
      <c r="P1019" s="17"/>
      <c r="Q1019" s="17"/>
      <c r="R1019" s="17"/>
      <c r="S1019" s="17"/>
      <c r="T1019" s="4"/>
      <c r="U1019" s="4"/>
    </row>
    <row r="1020" spans="1:21" x14ac:dyDescent="0.25">
      <c r="A1020" s="17"/>
      <c r="B1020" s="17"/>
      <c r="C1020" s="17"/>
      <c r="D1020" s="17"/>
      <c r="E1020" s="17"/>
      <c r="F1020" s="17"/>
      <c r="G1020" s="17"/>
      <c r="H1020" s="17"/>
      <c r="I1020" s="17"/>
      <c r="J1020" s="17"/>
      <c r="K1020" s="235"/>
      <c r="L1020" s="17"/>
      <c r="M1020" s="229"/>
      <c r="N1020" s="17"/>
      <c r="O1020" s="17"/>
      <c r="P1020" s="17"/>
      <c r="Q1020" s="17"/>
      <c r="R1020" s="17"/>
      <c r="S1020" s="17"/>
      <c r="T1020" s="4"/>
      <c r="U1020" s="4"/>
    </row>
    <row r="1021" spans="1:21" x14ac:dyDescent="0.25">
      <c r="A1021" s="17"/>
      <c r="B1021" s="17"/>
      <c r="C1021" s="17"/>
      <c r="D1021" s="17"/>
      <c r="E1021" s="17"/>
      <c r="F1021" s="17"/>
      <c r="G1021" s="17"/>
      <c r="H1021" s="17"/>
      <c r="I1021" s="17"/>
      <c r="J1021" s="17"/>
      <c r="K1021" s="235"/>
      <c r="L1021" s="17"/>
      <c r="M1021" s="229"/>
      <c r="N1021" s="17"/>
      <c r="O1021" s="17"/>
      <c r="P1021" s="17"/>
      <c r="Q1021" s="17"/>
      <c r="R1021" s="17"/>
      <c r="S1021" s="17"/>
      <c r="T1021" s="4"/>
      <c r="U1021" s="4"/>
    </row>
    <row r="1022" spans="1:21" x14ac:dyDescent="0.25">
      <c r="A1022" s="17"/>
      <c r="B1022" s="17"/>
      <c r="C1022" s="17"/>
      <c r="D1022" s="17"/>
      <c r="E1022" s="17"/>
      <c r="F1022" s="17"/>
      <c r="G1022" s="17"/>
      <c r="H1022" s="17"/>
      <c r="I1022" s="17"/>
      <c r="J1022" s="17"/>
      <c r="K1022" s="235"/>
      <c r="L1022" s="17"/>
      <c r="M1022" s="229"/>
      <c r="N1022" s="17"/>
      <c r="O1022" s="17"/>
      <c r="P1022" s="17"/>
      <c r="Q1022" s="17"/>
      <c r="R1022" s="17"/>
      <c r="S1022" s="17"/>
      <c r="T1022" s="4"/>
      <c r="U1022" s="4"/>
    </row>
    <row r="1023" spans="1:21" x14ac:dyDescent="0.25">
      <c r="A1023" s="17"/>
      <c r="B1023" s="17"/>
      <c r="C1023" s="17"/>
      <c r="D1023" s="17"/>
      <c r="E1023" s="17"/>
      <c r="F1023" s="17"/>
      <c r="G1023" s="17"/>
      <c r="H1023" s="17"/>
      <c r="I1023" s="17"/>
      <c r="J1023" s="17"/>
      <c r="K1023" s="235"/>
      <c r="L1023" s="17"/>
      <c r="M1023" s="229"/>
      <c r="N1023" s="17"/>
      <c r="O1023" s="17"/>
      <c r="P1023" s="17"/>
      <c r="Q1023" s="17"/>
      <c r="R1023" s="17"/>
      <c r="S1023" s="17"/>
      <c r="T1023" s="4"/>
      <c r="U1023" s="4"/>
    </row>
    <row r="1024" spans="1:21" x14ac:dyDescent="0.25">
      <c r="A1024" s="17"/>
      <c r="B1024" s="17"/>
      <c r="C1024" s="17"/>
      <c r="D1024" s="17"/>
      <c r="E1024" s="17"/>
      <c r="F1024" s="17"/>
      <c r="G1024" s="17"/>
      <c r="H1024" s="17"/>
      <c r="I1024" s="17"/>
      <c r="J1024" s="17"/>
      <c r="K1024" s="235"/>
      <c r="L1024" s="17"/>
      <c r="M1024" s="229"/>
      <c r="N1024" s="17"/>
      <c r="O1024" s="17"/>
      <c r="P1024" s="17"/>
      <c r="Q1024" s="17"/>
      <c r="R1024" s="17"/>
      <c r="S1024" s="17"/>
      <c r="T1024" s="4"/>
      <c r="U1024" s="4"/>
    </row>
    <row r="1025" spans="1:21" x14ac:dyDescent="0.25">
      <c r="A1025" s="17"/>
      <c r="B1025" s="17"/>
      <c r="C1025" s="17"/>
      <c r="D1025" s="17"/>
      <c r="E1025" s="17"/>
      <c r="F1025" s="17"/>
      <c r="G1025" s="17"/>
      <c r="H1025" s="17"/>
      <c r="I1025" s="17"/>
      <c r="J1025" s="17"/>
      <c r="K1025" s="235"/>
      <c r="L1025" s="17"/>
      <c r="M1025" s="229"/>
      <c r="N1025" s="17"/>
      <c r="O1025" s="17"/>
      <c r="P1025" s="17"/>
      <c r="Q1025" s="17"/>
      <c r="R1025" s="17"/>
      <c r="S1025" s="17"/>
      <c r="T1025" s="4"/>
      <c r="U1025" s="4"/>
    </row>
    <row r="1026" spans="1:21" x14ac:dyDescent="0.25">
      <c r="A1026" s="17"/>
      <c r="B1026" s="17"/>
      <c r="C1026" s="17"/>
      <c r="D1026" s="17"/>
      <c r="E1026" s="17"/>
      <c r="F1026" s="17"/>
      <c r="G1026" s="17"/>
      <c r="H1026" s="17"/>
      <c r="I1026" s="17"/>
      <c r="J1026" s="17"/>
      <c r="K1026" s="235"/>
      <c r="L1026" s="17"/>
      <c r="M1026" s="229"/>
      <c r="N1026" s="17"/>
      <c r="O1026" s="17"/>
      <c r="P1026" s="17"/>
      <c r="Q1026" s="17"/>
      <c r="R1026" s="17"/>
      <c r="S1026" s="17"/>
      <c r="T1026" s="4"/>
      <c r="U1026" s="4"/>
    </row>
    <row r="1027" spans="1:21" x14ac:dyDescent="0.25">
      <c r="A1027" s="17"/>
      <c r="B1027" s="17"/>
      <c r="C1027" s="17"/>
      <c r="D1027" s="17"/>
      <c r="E1027" s="17"/>
      <c r="F1027" s="17"/>
      <c r="G1027" s="17"/>
      <c r="H1027" s="17"/>
      <c r="I1027" s="17"/>
      <c r="J1027" s="17"/>
      <c r="K1027" s="235"/>
      <c r="L1027" s="17"/>
      <c r="M1027" s="229"/>
      <c r="N1027" s="17"/>
      <c r="O1027" s="17"/>
      <c r="P1027" s="17"/>
      <c r="Q1027" s="17"/>
      <c r="R1027" s="17"/>
      <c r="S1027" s="17"/>
      <c r="T1027" s="4"/>
      <c r="U1027" s="4"/>
    </row>
    <row r="1028" spans="1:21" x14ac:dyDescent="0.25">
      <c r="A1028" s="17"/>
      <c r="B1028" s="17"/>
      <c r="C1028" s="17"/>
      <c r="D1028" s="17"/>
      <c r="E1028" s="17"/>
      <c r="F1028" s="17"/>
      <c r="G1028" s="17"/>
      <c r="H1028" s="17"/>
      <c r="I1028" s="17"/>
      <c r="J1028" s="17"/>
      <c r="K1028" s="235"/>
      <c r="L1028" s="17"/>
      <c r="M1028" s="229"/>
      <c r="N1028" s="17"/>
      <c r="O1028" s="17"/>
      <c r="P1028" s="17"/>
      <c r="Q1028" s="17"/>
      <c r="R1028" s="17"/>
      <c r="S1028" s="17"/>
      <c r="T1028" s="4"/>
      <c r="U1028" s="4"/>
    </row>
    <row r="1029" spans="1:21" x14ac:dyDescent="0.25">
      <c r="A1029" s="17"/>
      <c r="B1029" s="17"/>
      <c r="C1029" s="17"/>
      <c r="D1029" s="17"/>
      <c r="E1029" s="17"/>
      <c r="F1029" s="17"/>
      <c r="G1029" s="17"/>
      <c r="H1029" s="17"/>
      <c r="I1029" s="17"/>
      <c r="J1029" s="17"/>
      <c r="K1029" s="235"/>
      <c r="L1029" s="17"/>
      <c r="M1029" s="229"/>
      <c r="N1029" s="17"/>
      <c r="O1029" s="17"/>
      <c r="P1029" s="17"/>
      <c r="Q1029" s="17"/>
      <c r="R1029" s="17"/>
      <c r="S1029" s="17"/>
      <c r="T1029" s="4"/>
      <c r="U1029" s="4"/>
    </row>
    <row r="1030" spans="1:21" x14ac:dyDescent="0.25">
      <c r="A1030" s="17"/>
      <c r="B1030" s="17"/>
      <c r="C1030" s="17"/>
      <c r="D1030" s="17"/>
      <c r="E1030" s="17"/>
      <c r="F1030" s="17"/>
      <c r="G1030" s="17"/>
      <c r="H1030" s="17"/>
      <c r="I1030" s="17"/>
      <c r="J1030" s="17"/>
      <c r="K1030" s="235"/>
      <c r="L1030" s="17"/>
      <c r="M1030" s="229"/>
      <c r="N1030" s="17"/>
      <c r="O1030" s="17"/>
      <c r="P1030" s="17"/>
      <c r="Q1030" s="17"/>
      <c r="R1030" s="17"/>
      <c r="S1030" s="17"/>
      <c r="T1030" s="4"/>
      <c r="U1030" s="4"/>
    </row>
    <row r="1031" spans="1:21" x14ac:dyDescent="0.25">
      <c r="A1031" s="17"/>
      <c r="B1031" s="17"/>
      <c r="C1031" s="17"/>
      <c r="D1031" s="17"/>
      <c r="E1031" s="17"/>
      <c r="F1031" s="17"/>
      <c r="G1031" s="17"/>
      <c r="H1031" s="17"/>
      <c r="I1031" s="17"/>
      <c r="J1031" s="17"/>
      <c r="K1031" s="235"/>
      <c r="L1031" s="17"/>
      <c r="M1031" s="229"/>
      <c r="N1031" s="17"/>
      <c r="O1031" s="17"/>
      <c r="P1031" s="17"/>
      <c r="Q1031" s="17"/>
      <c r="R1031" s="17"/>
      <c r="S1031" s="17"/>
      <c r="T1031" s="4"/>
      <c r="U1031" s="4"/>
    </row>
    <row r="1032" spans="1:21" x14ac:dyDescent="0.25">
      <c r="A1032" s="17"/>
      <c r="B1032" s="17"/>
      <c r="C1032" s="17"/>
      <c r="D1032" s="17"/>
      <c r="E1032" s="17"/>
      <c r="F1032" s="17"/>
      <c r="G1032" s="17"/>
      <c r="H1032" s="17"/>
      <c r="I1032" s="17"/>
      <c r="J1032" s="17"/>
      <c r="K1032" s="235"/>
      <c r="L1032" s="17"/>
      <c r="M1032" s="229"/>
      <c r="N1032" s="17"/>
      <c r="O1032" s="17"/>
      <c r="P1032" s="17"/>
      <c r="Q1032" s="17"/>
      <c r="R1032" s="17"/>
      <c r="S1032" s="17"/>
      <c r="T1032" s="4"/>
      <c r="U1032" s="4"/>
    </row>
    <row r="1033" spans="1:21" x14ac:dyDescent="0.25">
      <c r="A1033" s="17"/>
      <c r="B1033" s="17"/>
      <c r="C1033" s="17"/>
      <c r="D1033" s="17"/>
      <c r="E1033" s="17"/>
      <c r="F1033" s="17"/>
      <c r="G1033" s="17"/>
      <c r="H1033" s="17"/>
      <c r="I1033" s="17"/>
      <c r="J1033" s="17"/>
      <c r="K1033" s="235"/>
      <c r="L1033" s="17"/>
      <c r="M1033" s="229"/>
      <c r="N1033" s="17"/>
      <c r="O1033" s="17"/>
      <c r="P1033" s="17"/>
      <c r="Q1033" s="17"/>
      <c r="R1033" s="17"/>
      <c r="S1033" s="17"/>
      <c r="T1033" s="4"/>
      <c r="U1033" s="4"/>
    </row>
    <row r="1034" spans="1:21" x14ac:dyDescent="0.25">
      <c r="A1034" s="17"/>
      <c r="B1034" s="17"/>
      <c r="C1034" s="17"/>
      <c r="D1034" s="17"/>
      <c r="E1034" s="17"/>
      <c r="F1034" s="17"/>
      <c r="G1034" s="17"/>
      <c r="H1034" s="17"/>
      <c r="I1034" s="17"/>
      <c r="J1034" s="17"/>
      <c r="K1034" s="235"/>
      <c r="L1034" s="17"/>
      <c r="M1034" s="229"/>
      <c r="N1034" s="17"/>
      <c r="O1034" s="17"/>
      <c r="P1034" s="17"/>
      <c r="Q1034" s="17"/>
      <c r="R1034" s="17"/>
      <c r="S1034" s="17"/>
      <c r="T1034" s="4"/>
      <c r="U1034" s="4"/>
    </row>
    <row r="1035" spans="1:21" x14ac:dyDescent="0.25">
      <c r="A1035" s="17"/>
      <c r="B1035" s="17"/>
      <c r="C1035" s="17"/>
      <c r="D1035" s="17"/>
      <c r="E1035" s="17"/>
      <c r="F1035" s="17"/>
      <c r="G1035" s="17"/>
      <c r="H1035" s="17"/>
      <c r="I1035" s="17"/>
      <c r="J1035" s="17"/>
      <c r="K1035" s="235"/>
      <c r="L1035" s="17"/>
      <c r="M1035" s="229"/>
      <c r="N1035" s="17"/>
      <c r="O1035" s="17"/>
      <c r="P1035" s="17"/>
      <c r="Q1035" s="17"/>
      <c r="R1035" s="17"/>
      <c r="S1035" s="17"/>
      <c r="T1035" s="4"/>
      <c r="U1035" s="4"/>
    </row>
    <row r="1036" spans="1:21" x14ac:dyDescent="0.25">
      <c r="A1036" s="17"/>
      <c r="B1036" s="17"/>
      <c r="C1036" s="17"/>
      <c r="D1036" s="17"/>
      <c r="E1036" s="17"/>
      <c r="F1036" s="17"/>
      <c r="G1036" s="17"/>
      <c r="H1036" s="17"/>
      <c r="I1036" s="17"/>
      <c r="J1036" s="17"/>
      <c r="K1036" s="235"/>
      <c r="L1036" s="17"/>
      <c r="M1036" s="229"/>
      <c r="N1036" s="17"/>
      <c r="O1036" s="17"/>
      <c r="P1036" s="17"/>
      <c r="Q1036" s="17"/>
      <c r="R1036" s="17"/>
      <c r="S1036" s="17"/>
      <c r="T1036" s="4"/>
      <c r="U1036" s="4"/>
    </row>
    <row r="1037" spans="1:21" x14ac:dyDescent="0.25">
      <c r="A1037" s="17"/>
      <c r="B1037" s="17"/>
      <c r="C1037" s="17"/>
      <c r="D1037" s="17"/>
      <c r="E1037" s="17"/>
      <c r="F1037" s="17"/>
      <c r="G1037" s="17"/>
      <c r="H1037" s="17"/>
      <c r="I1037" s="17"/>
      <c r="J1037" s="17"/>
      <c r="K1037" s="235"/>
      <c r="L1037" s="17"/>
      <c r="M1037" s="229"/>
      <c r="N1037" s="17"/>
      <c r="O1037" s="17"/>
      <c r="P1037" s="17"/>
      <c r="Q1037" s="17"/>
      <c r="R1037" s="17"/>
      <c r="S1037" s="17"/>
      <c r="T1037" s="4"/>
      <c r="U1037" s="4"/>
    </row>
    <row r="1038" spans="1:21" x14ac:dyDescent="0.25">
      <c r="A1038" s="17"/>
      <c r="B1038" s="17"/>
      <c r="C1038" s="17"/>
      <c r="D1038" s="17"/>
      <c r="E1038" s="17"/>
      <c r="F1038" s="17"/>
      <c r="G1038" s="17"/>
      <c r="H1038" s="17"/>
      <c r="I1038" s="17"/>
      <c r="J1038" s="17"/>
      <c r="K1038" s="235"/>
      <c r="L1038" s="17"/>
      <c r="M1038" s="229"/>
      <c r="N1038" s="17"/>
      <c r="O1038" s="17"/>
      <c r="P1038" s="17"/>
      <c r="Q1038" s="17"/>
      <c r="R1038" s="17"/>
      <c r="S1038" s="17"/>
      <c r="T1038" s="4"/>
      <c r="U1038" s="4"/>
    </row>
    <row r="1039" spans="1:21" x14ac:dyDescent="0.25">
      <c r="A1039" s="17"/>
      <c r="B1039" s="17"/>
      <c r="C1039" s="17"/>
      <c r="D1039" s="17"/>
      <c r="E1039" s="17"/>
      <c r="F1039" s="17"/>
      <c r="G1039" s="17"/>
      <c r="H1039" s="17"/>
      <c r="I1039" s="17"/>
      <c r="J1039" s="17"/>
      <c r="K1039" s="235"/>
      <c r="L1039" s="17"/>
      <c r="M1039" s="229"/>
      <c r="N1039" s="17"/>
      <c r="O1039" s="17"/>
      <c r="P1039" s="17"/>
      <c r="Q1039" s="17"/>
      <c r="R1039" s="17"/>
      <c r="S1039" s="17"/>
      <c r="T1039" s="4"/>
      <c r="U1039" s="4"/>
    </row>
    <row r="1040" spans="1:21" x14ac:dyDescent="0.25">
      <c r="A1040" s="17"/>
      <c r="B1040" s="17"/>
      <c r="C1040" s="17"/>
      <c r="D1040" s="17"/>
      <c r="E1040" s="17"/>
      <c r="F1040" s="17"/>
      <c r="G1040" s="17"/>
      <c r="H1040" s="17"/>
      <c r="I1040" s="17"/>
      <c r="J1040" s="17"/>
      <c r="K1040" s="235"/>
      <c r="L1040" s="17"/>
      <c r="M1040" s="229"/>
      <c r="N1040" s="17"/>
      <c r="O1040" s="17"/>
      <c r="P1040" s="17"/>
      <c r="Q1040" s="17"/>
      <c r="R1040" s="17"/>
      <c r="S1040" s="17"/>
      <c r="T1040" s="4"/>
      <c r="U1040" s="4"/>
    </row>
    <row r="1041" spans="1:21" x14ac:dyDescent="0.25">
      <c r="A1041" s="17"/>
      <c r="B1041" s="17"/>
      <c r="C1041" s="17"/>
      <c r="D1041" s="17"/>
      <c r="E1041" s="17"/>
      <c r="F1041" s="17"/>
      <c r="G1041" s="17"/>
      <c r="H1041" s="17"/>
      <c r="I1041" s="17"/>
      <c r="J1041" s="17"/>
      <c r="K1041" s="235"/>
      <c r="L1041" s="17"/>
      <c r="M1041" s="229"/>
      <c r="N1041" s="17"/>
      <c r="O1041" s="17"/>
      <c r="P1041" s="17"/>
      <c r="Q1041" s="17"/>
      <c r="R1041" s="17"/>
      <c r="S1041" s="17"/>
      <c r="T1041" s="4"/>
      <c r="U1041" s="4"/>
    </row>
    <row r="1042" spans="1:21" x14ac:dyDescent="0.25">
      <c r="A1042" s="17"/>
      <c r="B1042" s="17"/>
      <c r="C1042" s="17"/>
      <c r="D1042" s="17"/>
      <c r="E1042" s="17"/>
      <c r="F1042" s="17"/>
      <c r="G1042" s="17"/>
      <c r="H1042" s="17"/>
      <c r="I1042" s="17"/>
      <c r="J1042" s="17"/>
      <c r="K1042" s="235"/>
      <c r="L1042" s="17"/>
      <c r="M1042" s="229"/>
      <c r="N1042" s="17"/>
      <c r="O1042" s="17"/>
      <c r="P1042" s="17"/>
      <c r="Q1042" s="17"/>
      <c r="R1042" s="17"/>
      <c r="S1042" s="17"/>
      <c r="T1042" s="4"/>
      <c r="U1042" s="4"/>
    </row>
    <row r="1043" spans="1:21" x14ac:dyDescent="0.25">
      <c r="A1043" s="17"/>
      <c r="B1043" s="17"/>
      <c r="C1043" s="17"/>
      <c r="D1043" s="17"/>
      <c r="E1043" s="17"/>
      <c r="F1043" s="17"/>
      <c r="G1043" s="17"/>
      <c r="H1043" s="17"/>
      <c r="I1043" s="17"/>
      <c r="J1043" s="17"/>
      <c r="K1043" s="235"/>
      <c r="L1043" s="17"/>
      <c r="M1043" s="229"/>
      <c r="N1043" s="17"/>
      <c r="O1043" s="17"/>
      <c r="P1043" s="17"/>
      <c r="Q1043" s="17"/>
      <c r="R1043" s="17"/>
      <c r="S1043" s="17"/>
      <c r="T1043" s="4"/>
      <c r="U1043" s="4"/>
    </row>
    <row r="1044" spans="1:21" x14ac:dyDescent="0.25">
      <c r="A1044" s="17"/>
      <c r="B1044" s="17"/>
      <c r="C1044" s="17"/>
      <c r="D1044" s="17"/>
      <c r="E1044" s="17"/>
      <c r="F1044" s="17"/>
      <c r="G1044" s="17"/>
      <c r="H1044" s="17"/>
      <c r="I1044" s="17"/>
      <c r="J1044" s="17"/>
      <c r="K1044" s="235"/>
      <c r="L1044" s="17"/>
      <c r="M1044" s="229"/>
      <c r="N1044" s="17"/>
      <c r="O1044" s="17"/>
      <c r="P1044" s="17"/>
      <c r="Q1044" s="17"/>
      <c r="R1044" s="17"/>
      <c r="S1044" s="17"/>
      <c r="T1044" s="4"/>
      <c r="U1044" s="4"/>
    </row>
    <row r="1045" spans="1:21" x14ac:dyDescent="0.25">
      <c r="A1045" s="17"/>
      <c r="B1045" s="17"/>
      <c r="C1045" s="17"/>
      <c r="D1045" s="17"/>
      <c r="E1045" s="17"/>
      <c r="F1045" s="17"/>
      <c r="G1045" s="17"/>
      <c r="H1045" s="17"/>
      <c r="I1045" s="17"/>
      <c r="J1045" s="17"/>
      <c r="K1045" s="235"/>
      <c r="L1045" s="17"/>
      <c r="M1045" s="229"/>
      <c r="N1045" s="17"/>
      <c r="O1045" s="17"/>
      <c r="P1045" s="17"/>
      <c r="Q1045" s="17"/>
      <c r="R1045" s="17"/>
      <c r="S1045" s="17"/>
      <c r="T1045" s="4"/>
      <c r="U1045" s="4"/>
    </row>
    <row r="1046" spans="1:21" x14ac:dyDescent="0.25">
      <c r="A1046" s="17"/>
      <c r="B1046" s="17"/>
      <c r="C1046" s="17"/>
      <c r="D1046" s="17"/>
      <c r="E1046" s="17"/>
      <c r="F1046" s="17"/>
      <c r="G1046" s="17"/>
      <c r="H1046" s="17"/>
      <c r="I1046" s="17"/>
      <c r="J1046" s="17"/>
      <c r="K1046" s="235"/>
      <c r="L1046" s="17"/>
      <c r="M1046" s="229"/>
      <c r="N1046" s="17"/>
      <c r="O1046" s="17"/>
      <c r="P1046" s="17"/>
      <c r="Q1046" s="17"/>
      <c r="R1046" s="17"/>
      <c r="S1046" s="17"/>
      <c r="T1046" s="4"/>
      <c r="U1046" s="4"/>
    </row>
    <row r="1047" spans="1:21" x14ac:dyDescent="0.25">
      <c r="A1047" s="17"/>
      <c r="B1047" s="17"/>
      <c r="C1047" s="17"/>
      <c r="D1047" s="17"/>
      <c r="E1047" s="17"/>
      <c r="F1047" s="17"/>
      <c r="G1047" s="17"/>
      <c r="H1047" s="17"/>
      <c r="I1047" s="17"/>
      <c r="J1047" s="17"/>
      <c r="K1047" s="235"/>
      <c r="L1047" s="17"/>
      <c r="M1047" s="229"/>
      <c r="N1047" s="17"/>
      <c r="O1047" s="17"/>
      <c r="P1047" s="17"/>
      <c r="Q1047" s="17"/>
      <c r="R1047" s="17"/>
      <c r="S1047" s="17"/>
      <c r="T1047" s="4"/>
      <c r="U1047" s="4"/>
    </row>
    <row r="1048" spans="1:21" x14ac:dyDescent="0.25">
      <c r="A1048" s="17"/>
      <c r="B1048" s="17"/>
      <c r="C1048" s="17"/>
      <c r="D1048" s="17"/>
      <c r="E1048" s="17"/>
      <c r="F1048" s="17"/>
      <c r="G1048" s="17"/>
      <c r="H1048" s="17"/>
      <c r="I1048" s="17"/>
      <c r="J1048" s="17"/>
      <c r="K1048" s="235"/>
      <c r="L1048" s="17"/>
      <c r="M1048" s="229"/>
      <c r="N1048" s="17"/>
      <c r="O1048" s="17"/>
      <c r="P1048" s="17"/>
      <c r="Q1048" s="17"/>
      <c r="R1048" s="17"/>
      <c r="S1048" s="17"/>
      <c r="T1048" s="4"/>
      <c r="U1048" s="4"/>
    </row>
    <row r="1049" spans="1:21" x14ac:dyDescent="0.25">
      <c r="A1049" s="17"/>
      <c r="B1049" s="17"/>
      <c r="C1049" s="17"/>
      <c r="D1049" s="17"/>
      <c r="E1049" s="17"/>
      <c r="F1049" s="17"/>
      <c r="G1049" s="17"/>
      <c r="H1049" s="17"/>
      <c r="I1049" s="17"/>
      <c r="J1049" s="17"/>
      <c r="K1049" s="235"/>
      <c r="L1049" s="17"/>
      <c r="M1049" s="229"/>
      <c r="N1049" s="17"/>
      <c r="O1049" s="17"/>
      <c r="P1049" s="17"/>
      <c r="Q1049" s="17"/>
      <c r="R1049" s="17"/>
      <c r="S1049" s="17"/>
      <c r="T1049" s="4"/>
      <c r="U1049" s="4"/>
    </row>
    <row r="1050" spans="1:21" x14ac:dyDescent="0.25">
      <c r="A1050" s="17"/>
      <c r="B1050" s="17"/>
      <c r="C1050" s="17"/>
      <c r="D1050" s="17"/>
      <c r="E1050" s="17"/>
      <c r="F1050" s="17"/>
      <c r="G1050" s="17"/>
      <c r="H1050" s="17"/>
      <c r="I1050" s="17"/>
      <c r="J1050" s="17"/>
      <c r="K1050" s="235"/>
      <c r="L1050" s="17"/>
      <c r="M1050" s="229"/>
      <c r="N1050" s="17"/>
      <c r="O1050" s="17"/>
      <c r="P1050" s="17"/>
      <c r="Q1050" s="17"/>
      <c r="R1050" s="17"/>
      <c r="S1050" s="17"/>
      <c r="T1050" s="4"/>
      <c r="U1050" s="4"/>
    </row>
    <row r="1051" spans="1:21" x14ac:dyDescent="0.25">
      <c r="A1051" s="17"/>
      <c r="B1051" s="17"/>
      <c r="C1051" s="17"/>
      <c r="D1051" s="17"/>
      <c r="E1051" s="17"/>
      <c r="F1051" s="17"/>
      <c r="G1051" s="17"/>
      <c r="H1051" s="17"/>
      <c r="I1051" s="17"/>
      <c r="J1051" s="17"/>
      <c r="K1051" s="235"/>
      <c r="L1051" s="17"/>
      <c r="M1051" s="229"/>
      <c r="N1051" s="17"/>
      <c r="O1051" s="17"/>
      <c r="P1051" s="17"/>
      <c r="Q1051" s="17"/>
      <c r="R1051" s="17"/>
      <c r="S1051" s="17"/>
      <c r="T1051" s="4"/>
      <c r="U1051" s="4"/>
    </row>
    <row r="1052" spans="1:21" x14ac:dyDescent="0.25">
      <c r="A1052" s="17"/>
      <c r="B1052" s="17"/>
      <c r="C1052" s="17"/>
      <c r="D1052" s="17"/>
      <c r="E1052" s="17"/>
      <c r="F1052" s="17"/>
      <c r="G1052" s="17"/>
      <c r="H1052" s="17"/>
      <c r="I1052" s="17"/>
      <c r="J1052" s="17"/>
      <c r="K1052" s="235"/>
      <c r="L1052" s="17"/>
      <c r="M1052" s="229"/>
      <c r="N1052" s="17"/>
      <c r="O1052" s="17"/>
      <c r="P1052" s="17"/>
      <c r="Q1052" s="17"/>
      <c r="R1052" s="17"/>
      <c r="S1052" s="17"/>
      <c r="T1052" s="4"/>
      <c r="U1052" s="4"/>
    </row>
    <row r="1053" spans="1:21" x14ac:dyDescent="0.25">
      <c r="A1053" s="17"/>
      <c r="B1053" s="17"/>
      <c r="C1053" s="17"/>
      <c r="D1053" s="17"/>
      <c r="E1053" s="17"/>
      <c r="F1053" s="17"/>
      <c r="G1053" s="17"/>
      <c r="H1053" s="17"/>
      <c r="I1053" s="17"/>
      <c r="J1053" s="17"/>
      <c r="K1053" s="235"/>
      <c r="L1053" s="17"/>
      <c r="M1053" s="229"/>
      <c r="N1053" s="17"/>
      <c r="O1053" s="17"/>
      <c r="P1053" s="17"/>
      <c r="Q1053" s="17"/>
      <c r="R1053" s="17"/>
      <c r="S1053" s="17"/>
      <c r="T1053" s="4"/>
      <c r="U1053" s="4"/>
    </row>
    <row r="1054" spans="1:21" x14ac:dyDescent="0.25">
      <c r="A1054" s="17"/>
      <c r="B1054" s="17"/>
      <c r="C1054" s="17"/>
      <c r="D1054" s="17"/>
      <c r="E1054" s="17"/>
      <c r="F1054" s="17"/>
      <c r="G1054" s="17"/>
      <c r="H1054" s="17"/>
      <c r="I1054" s="17"/>
      <c r="J1054" s="17"/>
      <c r="K1054" s="235"/>
      <c r="L1054" s="17"/>
      <c r="M1054" s="229"/>
      <c r="N1054" s="17"/>
      <c r="O1054" s="17"/>
      <c r="P1054" s="17"/>
      <c r="Q1054" s="17"/>
      <c r="R1054" s="17"/>
      <c r="S1054" s="17"/>
      <c r="T1054" s="4"/>
      <c r="U1054" s="4"/>
    </row>
    <row r="1055" spans="1:21" x14ac:dyDescent="0.25">
      <c r="A1055" s="17"/>
      <c r="B1055" s="17"/>
      <c r="C1055" s="17"/>
      <c r="D1055" s="17"/>
      <c r="E1055" s="17"/>
      <c r="F1055" s="17"/>
      <c r="G1055" s="17"/>
      <c r="H1055" s="17"/>
      <c r="I1055" s="17"/>
      <c r="J1055" s="17"/>
      <c r="K1055" s="235"/>
      <c r="L1055" s="17"/>
      <c r="M1055" s="229"/>
      <c r="N1055" s="17"/>
      <c r="O1055" s="17"/>
      <c r="P1055" s="17"/>
      <c r="Q1055" s="17"/>
      <c r="R1055" s="17"/>
      <c r="S1055" s="17"/>
      <c r="T1055" s="4"/>
      <c r="U1055" s="4"/>
    </row>
    <row r="1056" spans="1:21" x14ac:dyDescent="0.25">
      <c r="A1056" s="17"/>
      <c r="B1056" s="17"/>
      <c r="C1056" s="17"/>
      <c r="D1056" s="17"/>
      <c r="E1056" s="17"/>
      <c r="F1056" s="17"/>
      <c r="G1056" s="17"/>
      <c r="H1056" s="17"/>
      <c r="I1056" s="17"/>
      <c r="J1056" s="17"/>
      <c r="K1056" s="235"/>
      <c r="L1056" s="17"/>
      <c r="M1056" s="229"/>
      <c r="N1056" s="17"/>
      <c r="O1056" s="17"/>
      <c r="P1056" s="17"/>
      <c r="Q1056" s="17"/>
      <c r="R1056" s="17"/>
      <c r="S1056" s="17"/>
      <c r="T1056" s="4"/>
      <c r="U1056" s="4"/>
    </row>
    <row r="1057" spans="1:21" x14ac:dyDescent="0.25">
      <c r="A1057" s="17"/>
      <c r="B1057" s="17"/>
      <c r="C1057" s="17"/>
      <c r="D1057" s="17"/>
      <c r="E1057" s="17"/>
      <c r="F1057" s="17"/>
      <c r="G1057" s="17"/>
      <c r="H1057" s="17"/>
      <c r="I1057" s="17"/>
      <c r="J1057" s="17"/>
      <c r="K1057" s="235"/>
      <c r="L1057" s="17"/>
      <c r="M1057" s="229"/>
      <c r="N1057" s="17"/>
      <c r="O1057" s="17"/>
      <c r="P1057" s="17"/>
      <c r="Q1057" s="17"/>
      <c r="R1057" s="17"/>
      <c r="S1057" s="17"/>
      <c r="T1057" s="4"/>
      <c r="U1057" s="4"/>
    </row>
    <row r="1058" spans="1:21" x14ac:dyDescent="0.25">
      <c r="A1058" s="17"/>
      <c r="B1058" s="17"/>
      <c r="C1058" s="17"/>
      <c r="D1058" s="17"/>
      <c r="E1058" s="17"/>
      <c r="F1058" s="17"/>
      <c r="G1058" s="17"/>
      <c r="H1058" s="17"/>
      <c r="I1058" s="17"/>
      <c r="J1058" s="17"/>
      <c r="K1058" s="235"/>
      <c r="L1058" s="17"/>
      <c r="M1058" s="229"/>
      <c r="N1058" s="17"/>
      <c r="O1058" s="17"/>
      <c r="P1058" s="17"/>
      <c r="Q1058" s="17"/>
      <c r="R1058" s="17"/>
      <c r="S1058" s="17"/>
      <c r="T1058" s="4"/>
      <c r="U1058" s="4"/>
    </row>
    <row r="1059" spans="1:21" x14ac:dyDescent="0.25">
      <c r="A1059" s="17"/>
      <c r="B1059" s="17"/>
      <c r="C1059" s="17"/>
      <c r="D1059" s="17"/>
      <c r="E1059" s="17"/>
      <c r="F1059" s="17"/>
      <c r="G1059" s="17"/>
      <c r="H1059" s="17"/>
      <c r="I1059" s="17"/>
      <c r="J1059" s="17"/>
      <c r="K1059" s="235"/>
      <c r="L1059" s="17"/>
      <c r="M1059" s="229"/>
      <c r="N1059" s="17"/>
      <c r="O1059" s="17"/>
      <c r="P1059" s="17"/>
      <c r="Q1059" s="17"/>
      <c r="R1059" s="17"/>
      <c r="S1059" s="17"/>
      <c r="T1059" s="4"/>
      <c r="U1059" s="4"/>
    </row>
    <row r="1060" spans="1:21" x14ac:dyDescent="0.25">
      <c r="A1060" s="17"/>
      <c r="B1060" s="17"/>
      <c r="C1060" s="17"/>
      <c r="D1060" s="17"/>
      <c r="E1060" s="17"/>
      <c r="F1060" s="17"/>
      <c r="G1060" s="17"/>
      <c r="H1060" s="17"/>
      <c r="I1060" s="17"/>
      <c r="J1060" s="17"/>
      <c r="K1060" s="235"/>
      <c r="L1060" s="17"/>
      <c r="M1060" s="229"/>
      <c r="N1060" s="17"/>
      <c r="O1060" s="17"/>
      <c r="P1060" s="17"/>
      <c r="Q1060" s="17"/>
      <c r="R1060" s="17"/>
      <c r="S1060" s="17"/>
      <c r="T1060" s="4"/>
      <c r="U1060" s="4"/>
    </row>
    <row r="1061" spans="1:21" x14ac:dyDescent="0.25">
      <c r="A1061" s="17"/>
      <c r="B1061" s="17"/>
      <c r="C1061" s="17"/>
      <c r="D1061" s="17"/>
      <c r="E1061" s="17"/>
      <c r="F1061" s="17"/>
      <c r="G1061" s="17"/>
      <c r="H1061" s="17"/>
      <c r="I1061" s="17"/>
      <c r="J1061" s="17"/>
      <c r="K1061" s="235"/>
      <c r="L1061" s="17"/>
      <c r="M1061" s="229"/>
      <c r="N1061" s="17"/>
      <c r="O1061" s="17"/>
      <c r="P1061" s="17"/>
      <c r="Q1061" s="17"/>
      <c r="R1061" s="17"/>
      <c r="S1061" s="17"/>
      <c r="T1061" s="4"/>
      <c r="U1061" s="4"/>
    </row>
    <row r="1062" spans="1:21" x14ac:dyDescent="0.25">
      <c r="A1062" s="17"/>
      <c r="B1062" s="17"/>
      <c r="C1062" s="17"/>
      <c r="D1062" s="17"/>
      <c r="E1062" s="17"/>
      <c r="F1062" s="17"/>
      <c r="G1062" s="17"/>
      <c r="H1062" s="17"/>
      <c r="I1062" s="17"/>
      <c r="J1062" s="17"/>
      <c r="K1062" s="235"/>
      <c r="L1062" s="17"/>
      <c r="M1062" s="229"/>
      <c r="N1062" s="17"/>
      <c r="O1062" s="17"/>
      <c r="P1062" s="17"/>
      <c r="Q1062" s="17"/>
      <c r="R1062" s="17"/>
      <c r="S1062" s="17"/>
      <c r="T1062" s="4"/>
      <c r="U1062" s="4"/>
    </row>
    <row r="1063" spans="1:21" x14ac:dyDescent="0.25">
      <c r="A1063" s="17"/>
      <c r="B1063" s="17"/>
      <c r="C1063" s="17"/>
      <c r="D1063" s="17"/>
      <c r="E1063" s="17"/>
      <c r="F1063" s="17"/>
      <c r="G1063" s="17"/>
      <c r="H1063" s="17"/>
      <c r="I1063" s="17"/>
      <c r="J1063" s="17"/>
      <c r="K1063" s="235"/>
      <c r="L1063" s="17"/>
      <c r="M1063" s="229"/>
      <c r="N1063" s="17"/>
      <c r="O1063" s="17"/>
      <c r="P1063" s="17"/>
      <c r="Q1063" s="17"/>
      <c r="R1063" s="17"/>
      <c r="S1063" s="17"/>
      <c r="T1063" s="4"/>
      <c r="U1063" s="4"/>
    </row>
    <row r="1064" spans="1:21" x14ac:dyDescent="0.25">
      <c r="A1064" s="17"/>
      <c r="B1064" s="17"/>
      <c r="C1064" s="17"/>
      <c r="D1064" s="17"/>
      <c r="E1064" s="17"/>
      <c r="F1064" s="17"/>
      <c r="G1064" s="17"/>
      <c r="H1064" s="17"/>
      <c r="I1064" s="17"/>
      <c r="J1064" s="17"/>
      <c r="K1064" s="235"/>
      <c r="L1064" s="17"/>
      <c r="M1064" s="229"/>
      <c r="N1064" s="17"/>
      <c r="O1064" s="17"/>
      <c r="P1064" s="17"/>
      <c r="Q1064" s="17"/>
      <c r="R1064" s="17"/>
      <c r="S1064" s="17"/>
      <c r="T1064" s="4"/>
      <c r="U1064" s="4"/>
    </row>
    <row r="1065" spans="1:21" x14ac:dyDescent="0.25">
      <c r="A1065" s="17"/>
      <c r="B1065" s="17"/>
      <c r="C1065" s="17"/>
      <c r="D1065" s="17"/>
      <c r="E1065" s="17"/>
      <c r="F1065" s="17"/>
      <c r="G1065" s="17"/>
      <c r="H1065" s="17"/>
      <c r="I1065" s="17"/>
      <c r="J1065" s="17"/>
      <c r="K1065" s="235"/>
      <c r="L1065" s="17"/>
      <c r="M1065" s="229"/>
      <c r="N1065" s="17"/>
      <c r="O1065" s="17"/>
      <c r="P1065" s="17"/>
      <c r="Q1065" s="17"/>
      <c r="R1065" s="17"/>
      <c r="S1065" s="17"/>
      <c r="T1065" s="4"/>
      <c r="U1065" s="4"/>
    </row>
    <row r="1066" spans="1:21" x14ac:dyDescent="0.25">
      <c r="A1066" s="17"/>
      <c r="B1066" s="17"/>
      <c r="C1066" s="17"/>
      <c r="D1066" s="17"/>
      <c r="E1066" s="17"/>
      <c r="F1066" s="17"/>
      <c r="G1066" s="17"/>
      <c r="H1066" s="17"/>
      <c r="I1066" s="17"/>
      <c r="J1066" s="17"/>
      <c r="K1066" s="235"/>
      <c r="L1066" s="17"/>
      <c r="M1066" s="229"/>
      <c r="N1066" s="17"/>
      <c r="O1066" s="17"/>
      <c r="P1066" s="17"/>
      <c r="Q1066" s="17"/>
      <c r="R1066" s="17"/>
      <c r="S1066" s="17"/>
      <c r="T1066" s="4"/>
      <c r="U1066" s="4"/>
    </row>
    <row r="1067" spans="1:21" x14ac:dyDescent="0.25">
      <c r="A1067" s="17"/>
      <c r="B1067" s="17"/>
      <c r="C1067" s="17"/>
      <c r="D1067" s="17"/>
      <c r="E1067" s="17"/>
      <c r="F1067" s="17"/>
      <c r="G1067" s="17"/>
      <c r="H1067" s="17"/>
      <c r="I1067" s="17"/>
      <c r="J1067" s="17"/>
      <c r="K1067" s="235"/>
      <c r="L1067" s="17"/>
      <c r="M1067" s="229"/>
      <c r="N1067" s="17"/>
      <c r="O1067" s="17"/>
      <c r="P1067" s="17"/>
      <c r="Q1067" s="17"/>
      <c r="R1067" s="17"/>
      <c r="S1067" s="17"/>
      <c r="T1067" s="4"/>
      <c r="U1067" s="4"/>
    </row>
    <row r="1068" spans="1:21" x14ac:dyDescent="0.25">
      <c r="A1068" s="17"/>
      <c r="B1068" s="17"/>
      <c r="C1068" s="17"/>
      <c r="D1068" s="17"/>
      <c r="E1068" s="17"/>
      <c r="F1068" s="17"/>
      <c r="G1068" s="17"/>
      <c r="H1068" s="17"/>
      <c r="I1068" s="17"/>
      <c r="J1068" s="17"/>
      <c r="K1068" s="235"/>
      <c r="L1068" s="17"/>
      <c r="M1068" s="229"/>
      <c r="N1068" s="17"/>
      <c r="O1068" s="17"/>
      <c r="P1068" s="17"/>
      <c r="Q1068" s="17"/>
      <c r="R1068" s="17"/>
      <c r="S1068" s="17"/>
      <c r="T1068" s="4"/>
      <c r="U1068" s="4"/>
    </row>
    <row r="1069" spans="1:21" x14ac:dyDescent="0.25">
      <c r="A1069" s="17"/>
      <c r="B1069" s="17"/>
      <c r="C1069" s="17"/>
      <c r="D1069" s="17"/>
      <c r="E1069" s="17"/>
      <c r="F1069" s="17"/>
      <c r="G1069" s="17"/>
      <c r="H1069" s="17"/>
      <c r="I1069" s="17"/>
      <c r="J1069" s="17"/>
      <c r="K1069" s="235"/>
      <c r="L1069" s="17"/>
      <c r="M1069" s="229"/>
      <c r="N1069" s="17"/>
      <c r="O1069" s="17"/>
      <c r="P1069" s="17"/>
      <c r="Q1069" s="17"/>
      <c r="R1069" s="17"/>
      <c r="S1069" s="17"/>
      <c r="T1069" s="4"/>
      <c r="U1069" s="4"/>
    </row>
    <row r="1070" spans="1:21" x14ac:dyDescent="0.25">
      <c r="A1070" s="17"/>
      <c r="B1070" s="17"/>
      <c r="C1070" s="17"/>
      <c r="D1070" s="17"/>
      <c r="E1070" s="17"/>
      <c r="F1070" s="17"/>
      <c r="G1070" s="17"/>
      <c r="H1070" s="17"/>
      <c r="I1070" s="17"/>
      <c r="J1070" s="17"/>
      <c r="K1070" s="235"/>
      <c r="L1070" s="17"/>
      <c r="M1070" s="229"/>
      <c r="N1070" s="17"/>
      <c r="O1070" s="17"/>
      <c r="P1070" s="17"/>
      <c r="Q1070" s="17"/>
      <c r="R1070" s="17"/>
      <c r="S1070" s="17"/>
      <c r="T1070" s="4"/>
      <c r="U1070" s="4"/>
    </row>
    <row r="1071" spans="1:21" x14ac:dyDescent="0.25">
      <c r="A1071" s="17"/>
      <c r="B1071" s="17"/>
      <c r="C1071" s="17"/>
      <c r="D1071" s="17"/>
      <c r="E1071" s="17"/>
      <c r="F1071" s="17"/>
      <c r="G1071" s="17"/>
      <c r="H1071" s="17"/>
      <c r="I1071" s="17"/>
      <c r="J1071" s="17"/>
      <c r="K1071" s="235"/>
      <c r="L1071" s="17"/>
      <c r="M1071" s="229"/>
      <c r="N1071" s="17"/>
      <c r="O1071" s="17"/>
      <c r="P1071" s="17"/>
      <c r="Q1071" s="17"/>
      <c r="R1071" s="17"/>
      <c r="S1071" s="17"/>
      <c r="T1071" s="4"/>
      <c r="U1071" s="4"/>
    </row>
    <row r="1072" spans="1:21" x14ac:dyDescent="0.25">
      <c r="A1072" s="17"/>
      <c r="B1072" s="17"/>
      <c r="C1072" s="17"/>
      <c r="D1072" s="17"/>
      <c r="E1072" s="17"/>
      <c r="F1072" s="17"/>
      <c r="G1072" s="17"/>
      <c r="H1072" s="17"/>
      <c r="I1072" s="17"/>
      <c r="J1072" s="17"/>
      <c r="K1072" s="235"/>
      <c r="L1072" s="17"/>
      <c r="M1072" s="229"/>
      <c r="N1072" s="17"/>
      <c r="O1072" s="17"/>
      <c r="P1072" s="17"/>
      <c r="Q1072" s="17"/>
      <c r="R1072" s="17"/>
      <c r="S1072" s="17"/>
      <c r="T1072" s="4"/>
      <c r="U1072" s="4"/>
    </row>
    <row r="1073" spans="1:21" x14ac:dyDescent="0.25">
      <c r="A1073" s="17"/>
      <c r="B1073" s="17"/>
      <c r="C1073" s="17"/>
      <c r="D1073" s="17"/>
      <c r="E1073" s="17"/>
      <c r="F1073" s="17"/>
      <c r="G1073" s="17"/>
      <c r="H1073" s="17"/>
      <c r="I1073" s="17"/>
      <c r="J1073" s="17"/>
      <c r="K1073" s="235"/>
      <c r="L1073" s="17"/>
      <c r="M1073" s="229"/>
      <c r="N1073" s="17"/>
      <c r="O1073" s="17"/>
      <c r="P1073" s="17"/>
      <c r="Q1073" s="17"/>
      <c r="R1073" s="17"/>
      <c r="S1073" s="17"/>
      <c r="T1073" s="4"/>
      <c r="U1073" s="4"/>
    </row>
    <row r="1074" spans="1:21" x14ac:dyDescent="0.25">
      <c r="A1074" s="17"/>
      <c r="B1074" s="17"/>
      <c r="C1074" s="17"/>
      <c r="D1074" s="17"/>
      <c r="E1074" s="17"/>
      <c r="F1074" s="17"/>
      <c r="G1074" s="17"/>
      <c r="H1074" s="17"/>
      <c r="I1074" s="17"/>
      <c r="J1074" s="17"/>
      <c r="K1074" s="235"/>
      <c r="L1074" s="17"/>
      <c r="M1074" s="229"/>
      <c r="N1074" s="17"/>
      <c r="O1074" s="17"/>
      <c r="P1074" s="17"/>
      <c r="Q1074" s="17"/>
      <c r="R1074" s="17"/>
      <c r="S1074" s="17"/>
      <c r="T1074" s="4"/>
      <c r="U1074" s="4"/>
    </row>
    <row r="1075" spans="1:21" x14ac:dyDescent="0.25">
      <c r="A1075" s="17"/>
      <c r="B1075" s="17"/>
      <c r="C1075" s="17"/>
      <c r="D1075" s="17"/>
      <c r="E1075" s="17"/>
      <c r="F1075" s="17"/>
      <c r="G1075" s="17"/>
      <c r="H1075" s="17"/>
      <c r="I1075" s="17"/>
      <c r="J1075" s="17"/>
      <c r="K1075" s="235"/>
      <c r="L1075" s="17"/>
      <c r="M1075" s="229"/>
      <c r="N1075" s="17"/>
      <c r="O1075" s="17"/>
      <c r="P1075" s="17"/>
      <c r="Q1075" s="17"/>
      <c r="R1075" s="17"/>
      <c r="S1075" s="17"/>
      <c r="T1075" s="4"/>
      <c r="U1075" s="4"/>
    </row>
    <row r="1076" spans="1:21" x14ac:dyDescent="0.25">
      <c r="A1076" s="17"/>
      <c r="B1076" s="17"/>
      <c r="C1076" s="17"/>
      <c r="D1076" s="17"/>
      <c r="E1076" s="17"/>
      <c r="F1076" s="17"/>
      <c r="G1076" s="17"/>
      <c r="H1076" s="17"/>
      <c r="I1076" s="17"/>
      <c r="J1076" s="17"/>
      <c r="K1076" s="235"/>
      <c r="L1076" s="17"/>
      <c r="M1076" s="229"/>
      <c r="N1076" s="17"/>
      <c r="O1076" s="17"/>
      <c r="P1076" s="17"/>
      <c r="Q1076" s="17"/>
      <c r="R1076" s="17"/>
      <c r="S1076" s="17"/>
      <c r="T1076" s="4"/>
      <c r="U1076" s="4"/>
    </row>
    <row r="1077" spans="1:21" x14ac:dyDescent="0.25">
      <c r="A1077" s="17"/>
      <c r="B1077" s="17"/>
      <c r="C1077" s="17"/>
      <c r="D1077" s="17"/>
      <c r="E1077" s="17"/>
      <c r="F1077" s="17"/>
      <c r="G1077" s="17"/>
      <c r="H1077" s="17"/>
      <c r="I1077" s="17"/>
      <c r="J1077" s="17"/>
      <c r="K1077" s="235"/>
      <c r="L1077" s="17"/>
      <c r="M1077" s="229"/>
      <c r="N1077" s="17"/>
      <c r="O1077" s="17"/>
      <c r="P1077" s="17"/>
      <c r="Q1077" s="17"/>
      <c r="R1077" s="17"/>
      <c r="S1077" s="17"/>
      <c r="T1077" s="4"/>
      <c r="U1077" s="4"/>
    </row>
    <row r="1078" spans="1:21" x14ac:dyDescent="0.25">
      <c r="A1078" s="17"/>
      <c r="B1078" s="17"/>
      <c r="C1078" s="17"/>
      <c r="D1078" s="17"/>
      <c r="E1078" s="17"/>
      <c r="F1078" s="17"/>
      <c r="G1078" s="17"/>
      <c r="H1078" s="17"/>
      <c r="I1078" s="17"/>
      <c r="J1078" s="17"/>
      <c r="K1078" s="235"/>
      <c r="L1078" s="17"/>
      <c r="M1078" s="229"/>
      <c r="N1078" s="17"/>
      <c r="O1078" s="17"/>
      <c r="P1078" s="17"/>
      <c r="Q1078" s="17"/>
      <c r="R1078" s="17"/>
      <c r="S1078" s="17"/>
      <c r="T1078" s="4"/>
      <c r="U1078" s="4"/>
    </row>
    <row r="1079" spans="1:21" x14ac:dyDescent="0.25">
      <c r="A1079" s="17"/>
      <c r="B1079" s="17"/>
      <c r="C1079" s="17"/>
      <c r="D1079" s="17"/>
      <c r="E1079" s="17"/>
      <c r="F1079" s="17"/>
      <c r="G1079" s="17"/>
      <c r="H1079" s="17"/>
      <c r="I1079" s="17"/>
      <c r="J1079" s="17"/>
      <c r="K1079" s="235"/>
      <c r="L1079" s="17"/>
      <c r="M1079" s="229"/>
      <c r="N1079" s="17"/>
      <c r="O1079" s="17"/>
      <c r="P1079" s="17"/>
      <c r="Q1079" s="17"/>
      <c r="R1079" s="17"/>
      <c r="S1079" s="17"/>
      <c r="T1079" s="4"/>
      <c r="U1079" s="4"/>
    </row>
    <row r="1080" spans="1:21" x14ac:dyDescent="0.25">
      <c r="A1080" s="17"/>
      <c r="B1080" s="17"/>
      <c r="C1080" s="17"/>
      <c r="D1080" s="17"/>
      <c r="E1080" s="17"/>
      <c r="F1080" s="17"/>
      <c r="G1080" s="17"/>
      <c r="H1080" s="17"/>
      <c r="I1080" s="17"/>
      <c r="J1080" s="17"/>
      <c r="K1080" s="235"/>
      <c r="L1080" s="17"/>
      <c r="M1080" s="229"/>
      <c r="N1080" s="17"/>
      <c r="O1080" s="17"/>
      <c r="P1080" s="17"/>
      <c r="Q1080" s="17"/>
      <c r="R1080" s="17"/>
      <c r="S1080" s="17"/>
      <c r="T1080" s="4"/>
      <c r="U1080" s="4"/>
    </row>
    <row r="1081" spans="1:21" x14ac:dyDescent="0.25">
      <c r="A1081" s="17"/>
      <c r="B1081" s="17"/>
      <c r="C1081" s="17"/>
      <c r="D1081" s="17"/>
      <c r="E1081" s="17"/>
      <c r="F1081" s="17"/>
      <c r="G1081" s="17"/>
      <c r="H1081" s="17"/>
      <c r="I1081" s="17"/>
      <c r="J1081" s="17"/>
      <c r="K1081" s="235"/>
      <c r="L1081" s="17"/>
      <c r="M1081" s="229"/>
      <c r="N1081" s="17"/>
      <c r="O1081" s="17"/>
      <c r="P1081" s="17"/>
      <c r="Q1081" s="17"/>
      <c r="R1081" s="17"/>
      <c r="S1081" s="17"/>
      <c r="T1081" s="4"/>
      <c r="U1081" s="4"/>
    </row>
    <row r="1082" spans="1:21" x14ac:dyDescent="0.25">
      <c r="A1082" s="17"/>
      <c r="B1082" s="17"/>
      <c r="C1082" s="17"/>
      <c r="D1082" s="17"/>
      <c r="E1082" s="17"/>
      <c r="F1082" s="17"/>
      <c r="G1082" s="17"/>
      <c r="H1082" s="17"/>
      <c r="I1082" s="17"/>
      <c r="J1082" s="17"/>
      <c r="K1082" s="235"/>
      <c r="L1082" s="17"/>
      <c r="M1082" s="229"/>
      <c r="N1082" s="17"/>
      <c r="O1082" s="17"/>
      <c r="P1082" s="17"/>
      <c r="Q1082" s="17"/>
      <c r="R1082" s="17"/>
      <c r="S1082" s="17"/>
      <c r="T1082" s="4"/>
      <c r="U1082" s="4"/>
    </row>
    <row r="1083" spans="1:21" x14ac:dyDescent="0.25">
      <c r="A1083" s="17"/>
      <c r="B1083" s="17"/>
      <c r="C1083" s="17"/>
      <c r="D1083" s="17"/>
      <c r="E1083" s="17"/>
      <c r="F1083" s="17"/>
      <c r="G1083" s="17"/>
      <c r="H1083" s="17"/>
      <c r="I1083" s="17"/>
      <c r="J1083" s="17"/>
      <c r="K1083" s="235"/>
      <c r="L1083" s="17"/>
      <c r="M1083" s="229"/>
      <c r="N1083" s="17"/>
      <c r="O1083" s="17"/>
      <c r="P1083" s="17"/>
      <c r="Q1083" s="17"/>
      <c r="R1083" s="17"/>
      <c r="S1083" s="17"/>
      <c r="T1083" s="4"/>
      <c r="U1083" s="4"/>
    </row>
    <row r="1084" spans="1:21" x14ac:dyDescent="0.25">
      <c r="A1084" s="17"/>
      <c r="B1084" s="17"/>
      <c r="C1084" s="17"/>
      <c r="D1084" s="17"/>
      <c r="E1084" s="17"/>
      <c r="F1084" s="17"/>
      <c r="G1084" s="17"/>
      <c r="H1084" s="17"/>
      <c r="I1084" s="17"/>
      <c r="J1084" s="17"/>
      <c r="K1084" s="235"/>
      <c r="L1084" s="17"/>
      <c r="M1084" s="229"/>
      <c r="N1084" s="17"/>
      <c r="O1084" s="17"/>
      <c r="P1084" s="17"/>
      <c r="Q1084" s="17"/>
      <c r="R1084" s="17"/>
      <c r="S1084" s="17"/>
      <c r="T1084" s="4"/>
      <c r="U1084" s="4"/>
    </row>
    <row r="1085" spans="1:21" x14ac:dyDescent="0.25">
      <c r="A1085" s="17"/>
      <c r="B1085" s="17"/>
      <c r="C1085" s="17"/>
      <c r="D1085" s="17"/>
      <c r="E1085" s="17"/>
      <c r="F1085" s="17"/>
      <c r="G1085" s="17"/>
      <c r="H1085" s="17"/>
      <c r="I1085" s="17"/>
      <c r="J1085" s="17"/>
      <c r="K1085" s="235"/>
      <c r="L1085" s="17"/>
      <c r="M1085" s="229"/>
      <c r="N1085" s="17"/>
      <c r="O1085" s="17"/>
      <c r="P1085" s="17"/>
      <c r="Q1085" s="17"/>
      <c r="R1085" s="17"/>
      <c r="S1085" s="17"/>
      <c r="T1085" s="4"/>
      <c r="U1085" s="4"/>
    </row>
    <row r="1086" spans="1:21" x14ac:dyDescent="0.25">
      <c r="A1086" s="17"/>
      <c r="B1086" s="17"/>
      <c r="C1086" s="17"/>
      <c r="D1086" s="17"/>
      <c r="E1086" s="17"/>
      <c r="F1086" s="17"/>
      <c r="G1086" s="17"/>
      <c r="H1086" s="17"/>
      <c r="I1086" s="17"/>
      <c r="J1086" s="17"/>
      <c r="K1086" s="235"/>
      <c r="L1086" s="17"/>
      <c r="M1086" s="229"/>
      <c r="N1086" s="17"/>
      <c r="O1086" s="17"/>
      <c r="P1086" s="17"/>
      <c r="Q1086" s="17"/>
      <c r="R1086" s="17"/>
      <c r="S1086" s="17"/>
      <c r="T1086" s="4"/>
      <c r="U1086" s="4"/>
    </row>
    <row r="1087" spans="1:21" x14ac:dyDescent="0.25">
      <c r="A1087" s="17"/>
      <c r="B1087" s="17"/>
      <c r="C1087" s="17"/>
      <c r="D1087" s="17"/>
      <c r="E1087" s="17"/>
      <c r="F1087" s="17"/>
      <c r="G1087" s="17"/>
      <c r="H1087" s="17"/>
      <c r="I1087" s="17"/>
      <c r="J1087" s="17"/>
      <c r="K1087" s="235"/>
      <c r="L1087" s="17"/>
      <c r="M1087" s="229"/>
      <c r="N1087" s="17"/>
      <c r="O1087" s="17"/>
      <c r="P1087" s="17"/>
      <c r="Q1087" s="17"/>
      <c r="R1087" s="17"/>
      <c r="S1087" s="17"/>
      <c r="T1087" s="4"/>
      <c r="U1087" s="4"/>
    </row>
    <row r="1088" spans="1:21" x14ac:dyDescent="0.25">
      <c r="A1088" s="17"/>
      <c r="B1088" s="17"/>
      <c r="C1088" s="17"/>
      <c r="D1088" s="17"/>
      <c r="E1088" s="17"/>
      <c r="F1088" s="17"/>
      <c r="G1088" s="17"/>
      <c r="H1088" s="17"/>
      <c r="I1088" s="17"/>
      <c r="J1088" s="17"/>
      <c r="K1088" s="235"/>
      <c r="L1088" s="17"/>
      <c r="M1088" s="229"/>
      <c r="N1088" s="17"/>
      <c r="O1088" s="17"/>
      <c r="P1088" s="17"/>
      <c r="Q1088" s="17"/>
      <c r="R1088" s="17"/>
      <c r="S1088" s="17"/>
      <c r="T1088" s="4"/>
      <c r="U1088" s="4"/>
    </row>
    <row r="1089" spans="1:21" x14ac:dyDescent="0.25">
      <c r="A1089" s="17"/>
      <c r="B1089" s="17"/>
      <c r="C1089" s="17"/>
      <c r="D1089" s="17"/>
      <c r="E1089" s="17"/>
      <c r="F1089" s="17"/>
      <c r="G1089" s="17"/>
      <c r="H1089" s="17"/>
      <c r="I1089" s="17"/>
      <c r="J1089" s="17"/>
      <c r="K1089" s="235"/>
      <c r="L1089" s="17"/>
      <c r="M1089" s="229"/>
      <c r="N1089" s="17"/>
      <c r="O1089" s="17"/>
      <c r="P1089" s="17"/>
      <c r="Q1089" s="17"/>
      <c r="R1089" s="17"/>
      <c r="S1089" s="17"/>
      <c r="T1089" s="4"/>
      <c r="U1089" s="4"/>
    </row>
    <row r="1090" spans="1:21" x14ac:dyDescent="0.25">
      <c r="A1090" s="17"/>
      <c r="B1090" s="17"/>
      <c r="C1090" s="17"/>
      <c r="D1090" s="17"/>
      <c r="E1090" s="17"/>
      <c r="F1090" s="17"/>
      <c r="G1090" s="17"/>
      <c r="H1090" s="17"/>
      <c r="I1090" s="17"/>
      <c r="J1090" s="17"/>
      <c r="K1090" s="235"/>
      <c r="L1090" s="17"/>
      <c r="M1090" s="229"/>
      <c r="N1090" s="17"/>
      <c r="O1090" s="17"/>
      <c r="P1090" s="17"/>
      <c r="Q1090" s="17"/>
      <c r="R1090" s="17"/>
      <c r="S1090" s="17"/>
      <c r="T1090" s="4"/>
      <c r="U1090" s="4"/>
    </row>
    <row r="1091" spans="1:21" x14ac:dyDescent="0.25">
      <c r="A1091" s="17"/>
      <c r="B1091" s="17"/>
      <c r="C1091" s="17"/>
      <c r="D1091" s="17"/>
      <c r="E1091" s="17"/>
      <c r="F1091" s="17"/>
      <c r="G1091" s="17"/>
      <c r="H1091" s="17"/>
      <c r="I1091" s="17"/>
      <c r="J1091" s="17"/>
      <c r="K1091" s="235"/>
      <c r="L1091" s="17"/>
      <c r="M1091" s="229"/>
      <c r="N1091" s="17"/>
      <c r="O1091" s="17"/>
      <c r="P1091" s="17"/>
      <c r="Q1091" s="17"/>
      <c r="R1091" s="17"/>
      <c r="S1091" s="17"/>
      <c r="T1091" s="4"/>
      <c r="U1091" s="4"/>
    </row>
    <row r="1092" spans="1:21" x14ac:dyDescent="0.25">
      <c r="A1092" s="17"/>
      <c r="B1092" s="17"/>
      <c r="C1092" s="17"/>
      <c r="D1092" s="17"/>
      <c r="E1092" s="17"/>
      <c r="F1092" s="17"/>
      <c r="G1092" s="17"/>
      <c r="H1092" s="17"/>
      <c r="I1092" s="17"/>
      <c r="J1092" s="17"/>
      <c r="K1092" s="235"/>
      <c r="L1092" s="17"/>
      <c r="M1092" s="229"/>
      <c r="N1092" s="17"/>
      <c r="O1092" s="17"/>
      <c r="P1092" s="17"/>
      <c r="Q1092" s="17"/>
      <c r="R1092" s="17"/>
      <c r="S1092" s="17"/>
      <c r="T1092" s="4"/>
      <c r="U1092" s="4"/>
    </row>
    <row r="1093" spans="1:21" x14ac:dyDescent="0.25">
      <c r="A1093" s="17"/>
      <c r="B1093" s="17"/>
      <c r="C1093" s="17"/>
      <c r="D1093" s="17"/>
      <c r="E1093" s="17"/>
      <c r="F1093" s="17"/>
      <c r="G1093" s="17"/>
      <c r="H1093" s="17"/>
      <c r="I1093" s="17"/>
      <c r="J1093" s="17"/>
      <c r="K1093" s="235"/>
      <c r="L1093" s="17"/>
      <c r="M1093" s="229"/>
      <c r="N1093" s="17"/>
      <c r="O1093" s="17"/>
      <c r="P1093" s="17"/>
      <c r="Q1093" s="17"/>
      <c r="R1093" s="17"/>
      <c r="S1093" s="17"/>
      <c r="T1093" s="4"/>
      <c r="U1093" s="4"/>
    </row>
    <row r="1094" spans="1:21" x14ac:dyDescent="0.25">
      <c r="A1094" s="17"/>
      <c r="B1094" s="17"/>
      <c r="C1094" s="17"/>
      <c r="D1094" s="17"/>
      <c r="E1094" s="17"/>
      <c r="F1094" s="17"/>
      <c r="G1094" s="17"/>
      <c r="H1094" s="17"/>
      <c r="I1094" s="17"/>
      <c r="J1094" s="17"/>
      <c r="K1094" s="235"/>
      <c r="L1094" s="17"/>
      <c r="M1094" s="229"/>
      <c r="N1094" s="17"/>
      <c r="O1094" s="17"/>
      <c r="P1094" s="17"/>
      <c r="Q1094" s="17"/>
      <c r="R1094" s="17"/>
      <c r="S1094" s="17"/>
      <c r="T1094" s="4"/>
      <c r="U1094" s="4"/>
    </row>
    <row r="1095" spans="1:21" x14ac:dyDescent="0.25">
      <c r="A1095" s="17"/>
      <c r="B1095" s="17"/>
      <c r="C1095" s="17"/>
      <c r="D1095" s="17"/>
      <c r="E1095" s="17"/>
      <c r="F1095" s="17"/>
      <c r="G1095" s="17"/>
      <c r="H1095" s="17"/>
      <c r="I1095" s="17"/>
      <c r="J1095" s="17"/>
      <c r="K1095" s="235"/>
      <c r="L1095" s="17"/>
      <c r="M1095" s="229"/>
      <c r="N1095" s="17"/>
      <c r="O1095" s="17"/>
      <c r="P1095" s="17"/>
      <c r="Q1095" s="17"/>
      <c r="R1095" s="17"/>
      <c r="S1095" s="17"/>
      <c r="T1095" s="4"/>
      <c r="U1095" s="4"/>
    </row>
    <row r="1096" spans="1:21" x14ac:dyDescent="0.25">
      <c r="A1096" s="17"/>
      <c r="B1096" s="17"/>
      <c r="C1096" s="17"/>
      <c r="D1096" s="17"/>
      <c r="E1096" s="17"/>
      <c r="F1096" s="17"/>
      <c r="G1096" s="17"/>
      <c r="H1096" s="17"/>
      <c r="I1096" s="17"/>
      <c r="J1096" s="17"/>
      <c r="K1096" s="235"/>
      <c r="L1096" s="17"/>
      <c r="M1096" s="229"/>
      <c r="N1096" s="17"/>
      <c r="O1096" s="17"/>
      <c r="P1096" s="17"/>
      <c r="Q1096" s="17"/>
      <c r="R1096" s="17"/>
      <c r="S1096" s="17"/>
      <c r="T1096" s="4"/>
      <c r="U1096" s="4"/>
    </row>
    <row r="1097" spans="1:21" x14ac:dyDescent="0.25">
      <c r="A1097" s="17"/>
      <c r="B1097" s="17"/>
      <c r="C1097" s="17"/>
      <c r="D1097" s="17"/>
      <c r="E1097" s="17"/>
      <c r="F1097" s="17"/>
      <c r="G1097" s="17"/>
      <c r="H1097" s="17"/>
      <c r="I1097" s="17"/>
      <c r="J1097" s="17"/>
      <c r="K1097" s="235"/>
      <c r="L1097" s="17"/>
      <c r="M1097" s="229"/>
      <c r="N1097" s="17"/>
      <c r="O1097" s="17"/>
      <c r="P1097" s="17"/>
      <c r="Q1097" s="17"/>
      <c r="R1097" s="17"/>
      <c r="S1097" s="17"/>
      <c r="T1097" s="4"/>
      <c r="U1097" s="4"/>
    </row>
    <row r="1098" spans="1:21" x14ac:dyDescent="0.25">
      <c r="A1098" s="17"/>
      <c r="B1098" s="17"/>
      <c r="C1098" s="17"/>
      <c r="D1098" s="17"/>
      <c r="E1098" s="17"/>
      <c r="F1098" s="17"/>
      <c r="G1098" s="17"/>
      <c r="H1098" s="17"/>
      <c r="I1098" s="17"/>
      <c r="J1098" s="17"/>
      <c r="K1098" s="235"/>
      <c r="L1098" s="17"/>
      <c r="M1098" s="229"/>
      <c r="N1098" s="17"/>
      <c r="O1098" s="17"/>
      <c r="P1098" s="17"/>
      <c r="Q1098" s="17"/>
      <c r="R1098" s="17"/>
      <c r="S1098" s="17"/>
      <c r="T1098" s="4"/>
      <c r="U1098" s="4"/>
    </row>
    <row r="1099" spans="1:21" x14ac:dyDescent="0.25">
      <c r="A1099" s="17"/>
      <c r="B1099" s="17"/>
      <c r="C1099" s="17"/>
      <c r="D1099" s="17"/>
      <c r="E1099" s="17"/>
      <c r="F1099" s="17"/>
      <c r="G1099" s="17"/>
      <c r="H1099" s="17"/>
      <c r="I1099" s="17"/>
      <c r="J1099" s="17"/>
      <c r="K1099" s="235"/>
      <c r="L1099" s="17"/>
      <c r="M1099" s="229"/>
      <c r="N1099" s="17"/>
      <c r="O1099" s="17"/>
      <c r="P1099" s="17"/>
      <c r="Q1099" s="17"/>
      <c r="R1099" s="17"/>
      <c r="S1099" s="17"/>
      <c r="T1099" s="4"/>
      <c r="U1099" s="4"/>
    </row>
    <row r="1100" spans="1:21" x14ac:dyDescent="0.25">
      <c r="A1100" s="17"/>
      <c r="B1100" s="17"/>
      <c r="C1100" s="17"/>
      <c r="D1100" s="17"/>
      <c r="E1100" s="17"/>
      <c r="F1100" s="17"/>
      <c r="G1100" s="17"/>
      <c r="H1100" s="17"/>
      <c r="I1100" s="17"/>
      <c r="J1100" s="17"/>
      <c r="K1100" s="235"/>
      <c r="L1100" s="17"/>
      <c r="M1100" s="229"/>
      <c r="N1100" s="17"/>
      <c r="O1100" s="17"/>
      <c r="P1100" s="17"/>
      <c r="Q1100" s="17"/>
      <c r="R1100" s="17"/>
      <c r="S1100" s="17"/>
      <c r="T1100" s="4"/>
      <c r="U1100" s="4"/>
    </row>
    <row r="1101" spans="1:21" x14ac:dyDescent="0.25">
      <c r="A1101" s="17"/>
      <c r="B1101" s="17"/>
      <c r="C1101" s="17"/>
      <c r="D1101" s="17"/>
      <c r="E1101" s="17"/>
      <c r="F1101" s="17"/>
      <c r="G1101" s="17"/>
      <c r="H1101" s="17"/>
      <c r="I1101" s="17"/>
      <c r="J1101" s="17"/>
      <c r="K1101" s="235"/>
      <c r="L1101" s="17"/>
      <c r="M1101" s="229"/>
      <c r="N1101" s="17"/>
      <c r="O1101" s="17"/>
      <c r="P1101" s="17"/>
      <c r="Q1101" s="17"/>
      <c r="R1101" s="17"/>
      <c r="S1101" s="17"/>
      <c r="T1101" s="4"/>
      <c r="U1101" s="4"/>
    </row>
    <row r="1102" spans="1:21" x14ac:dyDescent="0.25">
      <c r="A1102" s="17"/>
      <c r="B1102" s="17"/>
      <c r="C1102" s="17"/>
      <c r="D1102" s="17"/>
      <c r="E1102" s="17"/>
      <c r="F1102" s="17"/>
      <c r="G1102" s="17"/>
      <c r="H1102" s="17"/>
      <c r="I1102" s="17"/>
      <c r="J1102" s="17"/>
      <c r="K1102" s="235"/>
      <c r="L1102" s="17"/>
      <c r="M1102" s="229"/>
      <c r="N1102" s="17"/>
      <c r="O1102" s="17"/>
      <c r="P1102" s="17"/>
      <c r="Q1102" s="17"/>
      <c r="R1102" s="17"/>
      <c r="S1102" s="17"/>
      <c r="T1102" s="4"/>
      <c r="U1102" s="4"/>
    </row>
    <row r="1103" spans="1:21" x14ac:dyDescent="0.25">
      <c r="A1103" s="17"/>
      <c r="B1103" s="17"/>
      <c r="C1103" s="17"/>
      <c r="D1103" s="17"/>
      <c r="E1103" s="17"/>
      <c r="F1103" s="17"/>
      <c r="G1103" s="17"/>
      <c r="H1103" s="17"/>
      <c r="I1103" s="17"/>
      <c r="J1103" s="17"/>
      <c r="K1103" s="235"/>
      <c r="L1103" s="17"/>
      <c r="M1103" s="229"/>
      <c r="N1103" s="17"/>
      <c r="O1103" s="17"/>
      <c r="P1103" s="17"/>
      <c r="Q1103" s="17"/>
      <c r="R1103" s="17"/>
      <c r="S1103" s="17"/>
      <c r="T1103" s="4"/>
      <c r="U1103" s="4"/>
    </row>
    <row r="1104" spans="1:21" x14ac:dyDescent="0.25">
      <c r="A1104" s="17"/>
      <c r="B1104" s="17"/>
      <c r="C1104" s="17"/>
      <c r="D1104" s="17"/>
      <c r="E1104" s="17"/>
      <c r="F1104" s="17"/>
      <c r="G1104" s="17"/>
      <c r="H1104" s="17"/>
      <c r="I1104" s="17"/>
      <c r="J1104" s="17"/>
      <c r="K1104" s="235"/>
      <c r="L1104" s="17"/>
      <c r="M1104" s="229"/>
      <c r="N1104" s="17"/>
      <c r="O1104" s="17"/>
      <c r="P1104" s="17"/>
      <c r="Q1104" s="17"/>
      <c r="R1104" s="17"/>
      <c r="S1104" s="17"/>
      <c r="T1104" s="4"/>
      <c r="U1104" s="4"/>
    </row>
    <row r="1105" spans="1:21" x14ac:dyDescent="0.25">
      <c r="A1105" s="17"/>
      <c r="B1105" s="17"/>
      <c r="C1105" s="17"/>
      <c r="D1105" s="17"/>
      <c r="E1105" s="17"/>
      <c r="F1105" s="17"/>
      <c r="G1105" s="17"/>
      <c r="H1105" s="17"/>
      <c r="I1105" s="17"/>
      <c r="J1105" s="17"/>
      <c r="K1105" s="235"/>
      <c r="L1105" s="17"/>
      <c r="M1105" s="229"/>
      <c r="N1105" s="17"/>
      <c r="O1105" s="17"/>
      <c r="P1105" s="17"/>
      <c r="Q1105" s="17"/>
      <c r="R1105" s="17"/>
      <c r="S1105" s="17"/>
      <c r="T1105" s="4"/>
      <c r="U1105" s="4"/>
    </row>
    <row r="1106" spans="1:21" x14ac:dyDescent="0.25">
      <c r="A1106" s="17"/>
      <c r="B1106" s="17"/>
      <c r="C1106" s="17"/>
      <c r="D1106" s="17"/>
      <c r="E1106" s="17"/>
      <c r="F1106" s="17"/>
      <c r="G1106" s="17"/>
      <c r="H1106" s="17"/>
      <c r="I1106" s="17"/>
      <c r="J1106" s="17"/>
      <c r="K1106" s="235"/>
      <c r="L1106" s="17"/>
      <c r="M1106" s="229"/>
      <c r="N1106" s="17"/>
      <c r="O1106" s="17"/>
      <c r="P1106" s="17"/>
      <c r="Q1106" s="17"/>
      <c r="R1106" s="17"/>
      <c r="S1106" s="17"/>
      <c r="T1106" s="4"/>
      <c r="U1106" s="4"/>
    </row>
    <row r="1107" spans="1:21" x14ac:dyDescent="0.25">
      <c r="A1107" s="17"/>
      <c r="B1107" s="17"/>
      <c r="C1107" s="17"/>
      <c r="D1107" s="17"/>
      <c r="E1107" s="17"/>
      <c r="F1107" s="17"/>
      <c r="G1107" s="17"/>
      <c r="H1107" s="17"/>
      <c r="I1107" s="17"/>
      <c r="J1107" s="17"/>
      <c r="K1107" s="235"/>
      <c r="L1107" s="17"/>
      <c r="M1107" s="229"/>
      <c r="N1107" s="17"/>
      <c r="O1107" s="17"/>
      <c r="P1107" s="17"/>
      <c r="Q1107" s="17"/>
      <c r="R1107" s="17"/>
      <c r="S1107" s="17"/>
      <c r="T1107" s="4"/>
      <c r="U1107" s="4"/>
    </row>
    <row r="1108" spans="1:21" x14ac:dyDescent="0.25">
      <c r="A1108" s="17"/>
      <c r="B1108" s="17"/>
      <c r="C1108" s="17"/>
      <c r="D1108" s="17"/>
      <c r="E1108" s="17"/>
      <c r="F1108" s="17"/>
      <c r="G1108" s="17"/>
      <c r="H1108" s="17"/>
      <c r="I1108" s="17"/>
      <c r="J1108" s="17"/>
      <c r="K1108" s="235"/>
      <c r="L1108" s="17"/>
      <c r="M1108" s="229"/>
      <c r="N1108" s="17"/>
      <c r="O1108" s="17"/>
      <c r="P1108" s="17"/>
      <c r="Q1108" s="17"/>
      <c r="R1108" s="17"/>
      <c r="S1108" s="17"/>
      <c r="T1108" s="4"/>
      <c r="U1108" s="4"/>
    </row>
    <row r="1109" spans="1:21" x14ac:dyDescent="0.25">
      <c r="A1109" s="17"/>
      <c r="B1109" s="17"/>
      <c r="C1109" s="17"/>
      <c r="D1109" s="17"/>
      <c r="E1109" s="17"/>
      <c r="F1109" s="17"/>
      <c r="G1109" s="17"/>
      <c r="H1109" s="17"/>
      <c r="I1109" s="17"/>
      <c r="J1109" s="17"/>
      <c r="K1109" s="235"/>
      <c r="L1109" s="17"/>
      <c r="M1109" s="229"/>
      <c r="N1109" s="17"/>
      <c r="O1109" s="17"/>
      <c r="P1109" s="17"/>
      <c r="Q1109" s="17"/>
      <c r="R1109" s="17"/>
      <c r="S1109" s="17"/>
      <c r="T1109" s="4"/>
      <c r="U1109" s="4"/>
    </row>
    <row r="1110" spans="1:21" x14ac:dyDescent="0.25">
      <c r="A1110" s="17"/>
      <c r="B1110" s="17"/>
      <c r="C1110" s="17"/>
      <c r="D1110" s="17"/>
      <c r="E1110" s="17"/>
      <c r="F1110" s="17"/>
      <c r="G1110" s="17"/>
      <c r="H1110" s="17"/>
      <c r="I1110" s="17"/>
      <c r="J1110" s="17"/>
      <c r="K1110" s="235"/>
      <c r="L1110" s="17"/>
      <c r="M1110" s="229"/>
      <c r="N1110" s="17"/>
      <c r="O1110" s="17"/>
      <c r="P1110" s="17"/>
      <c r="Q1110" s="17"/>
      <c r="R1110" s="17"/>
      <c r="S1110" s="17"/>
      <c r="T1110" s="4"/>
      <c r="U1110" s="4"/>
    </row>
    <row r="1111" spans="1:21" x14ac:dyDescent="0.25">
      <c r="A1111" s="17"/>
      <c r="B1111" s="17"/>
      <c r="C1111" s="17"/>
      <c r="D1111" s="17"/>
      <c r="E1111" s="17"/>
      <c r="F1111" s="17"/>
      <c r="G1111" s="17"/>
      <c r="H1111" s="17"/>
      <c r="I1111" s="17"/>
      <c r="J1111" s="17"/>
      <c r="K1111" s="235"/>
      <c r="L1111" s="17"/>
      <c r="M1111" s="229"/>
      <c r="N1111" s="17"/>
      <c r="O1111" s="17"/>
      <c r="P1111" s="17"/>
      <c r="Q1111" s="17"/>
      <c r="R1111" s="17"/>
      <c r="S1111" s="17"/>
      <c r="T1111" s="4"/>
      <c r="U1111" s="4"/>
    </row>
    <row r="1112" spans="1:21" x14ac:dyDescent="0.25">
      <c r="A1112" s="17"/>
      <c r="B1112" s="17"/>
      <c r="C1112" s="17"/>
      <c r="D1112" s="17"/>
      <c r="E1112" s="17"/>
      <c r="F1112" s="17"/>
      <c r="G1112" s="17"/>
      <c r="H1112" s="17"/>
      <c r="I1112" s="17"/>
      <c r="J1112" s="17"/>
      <c r="K1112" s="235"/>
      <c r="L1112" s="17"/>
      <c r="M1112" s="229"/>
      <c r="N1112" s="17"/>
      <c r="O1112" s="17"/>
      <c r="P1112" s="17"/>
      <c r="Q1112" s="17"/>
      <c r="R1112" s="17"/>
      <c r="S1112" s="17"/>
      <c r="T1112" s="4"/>
      <c r="U1112" s="4"/>
    </row>
    <row r="1113" spans="1:21" x14ac:dyDescent="0.25">
      <c r="A1113" s="17"/>
      <c r="B1113" s="17"/>
      <c r="C1113" s="17"/>
      <c r="D1113" s="17"/>
      <c r="E1113" s="17"/>
      <c r="F1113" s="17"/>
      <c r="G1113" s="17"/>
      <c r="H1113" s="17"/>
      <c r="I1113" s="17"/>
      <c r="J1113" s="17"/>
      <c r="K1113" s="235"/>
      <c r="L1113" s="17"/>
      <c r="M1113" s="229"/>
      <c r="N1113" s="17"/>
      <c r="O1113" s="17"/>
      <c r="P1113" s="17"/>
      <c r="Q1113" s="17"/>
      <c r="R1113" s="17"/>
      <c r="S1113" s="17"/>
      <c r="T1113" s="4"/>
      <c r="U1113" s="4"/>
    </row>
    <row r="1114" spans="1:21" x14ac:dyDescent="0.25">
      <c r="A1114" s="17"/>
      <c r="B1114" s="17"/>
      <c r="C1114" s="17"/>
      <c r="D1114" s="17"/>
      <c r="E1114" s="17"/>
      <c r="F1114" s="17"/>
      <c r="G1114" s="17"/>
      <c r="H1114" s="17"/>
      <c r="I1114" s="17"/>
      <c r="J1114" s="17"/>
      <c r="K1114" s="235"/>
      <c r="L1114" s="17"/>
      <c r="M1114" s="229"/>
      <c r="N1114" s="17"/>
      <c r="O1114" s="17"/>
      <c r="P1114" s="17"/>
      <c r="Q1114" s="17"/>
      <c r="R1114" s="17"/>
      <c r="S1114" s="17"/>
      <c r="T1114" s="4"/>
      <c r="U1114" s="4"/>
    </row>
    <row r="1115" spans="1:21" x14ac:dyDescent="0.25">
      <c r="A1115" s="17"/>
      <c r="B1115" s="17"/>
      <c r="C1115" s="17"/>
      <c r="D1115" s="17"/>
      <c r="E1115" s="17"/>
      <c r="F1115" s="17"/>
      <c r="G1115" s="17"/>
      <c r="H1115" s="17"/>
      <c r="I1115" s="17"/>
      <c r="J1115" s="17"/>
      <c r="K1115" s="235"/>
      <c r="L1115" s="17"/>
      <c r="M1115" s="229"/>
      <c r="N1115" s="17"/>
      <c r="O1115" s="17"/>
      <c r="P1115" s="17"/>
      <c r="Q1115" s="17"/>
      <c r="R1115" s="17"/>
      <c r="S1115" s="17"/>
      <c r="T1115" s="4"/>
      <c r="U1115" s="4"/>
    </row>
    <row r="1116" spans="1:21" x14ac:dyDescent="0.25">
      <c r="A1116" s="17"/>
      <c r="B1116" s="17"/>
      <c r="C1116" s="17"/>
      <c r="D1116" s="17"/>
      <c r="E1116" s="17"/>
      <c r="F1116" s="17"/>
      <c r="G1116" s="17"/>
      <c r="H1116" s="17"/>
      <c r="I1116" s="17"/>
      <c r="J1116" s="17"/>
      <c r="K1116" s="235"/>
      <c r="L1116" s="17"/>
      <c r="M1116" s="229"/>
      <c r="N1116" s="17"/>
      <c r="O1116" s="17"/>
      <c r="P1116" s="17"/>
      <c r="Q1116" s="17"/>
      <c r="R1116" s="17"/>
      <c r="S1116" s="17"/>
      <c r="T1116" s="4"/>
      <c r="U1116" s="4"/>
    </row>
    <row r="1117" spans="1:21" x14ac:dyDescent="0.25">
      <c r="A1117" s="17"/>
      <c r="B1117" s="17"/>
      <c r="C1117" s="17"/>
      <c r="D1117" s="17"/>
      <c r="E1117" s="17"/>
      <c r="F1117" s="17"/>
      <c r="G1117" s="17"/>
      <c r="H1117" s="17"/>
      <c r="I1117" s="17"/>
      <c r="J1117" s="17"/>
      <c r="K1117" s="235"/>
      <c r="L1117" s="17"/>
      <c r="M1117" s="229"/>
      <c r="N1117" s="17"/>
      <c r="O1117" s="17"/>
      <c r="P1117" s="17"/>
      <c r="Q1117" s="17"/>
      <c r="R1117" s="17"/>
      <c r="S1117" s="17"/>
      <c r="T1117" s="4"/>
      <c r="U1117" s="4"/>
    </row>
    <row r="1118" spans="1:21" x14ac:dyDescent="0.25">
      <c r="A1118" s="17"/>
      <c r="B1118" s="17"/>
      <c r="C1118" s="17"/>
      <c r="D1118" s="17"/>
      <c r="E1118" s="17"/>
      <c r="F1118" s="17"/>
      <c r="G1118" s="17"/>
      <c r="H1118" s="17"/>
      <c r="I1118" s="17"/>
      <c r="J1118" s="17"/>
      <c r="K1118" s="235"/>
      <c r="L1118" s="17"/>
      <c r="M1118" s="229"/>
      <c r="N1118" s="17"/>
      <c r="O1118" s="17"/>
      <c r="P1118" s="17"/>
      <c r="Q1118" s="17"/>
      <c r="R1118" s="17"/>
      <c r="S1118" s="17"/>
      <c r="T1118" s="4"/>
      <c r="U1118" s="4"/>
    </row>
    <row r="1119" spans="1:21" x14ac:dyDescent="0.25">
      <c r="A1119" s="17"/>
      <c r="B1119" s="17"/>
      <c r="C1119" s="17"/>
      <c r="D1119" s="17"/>
      <c r="E1119" s="17"/>
      <c r="F1119" s="17"/>
      <c r="G1119" s="17"/>
      <c r="H1119" s="17"/>
      <c r="I1119" s="17"/>
      <c r="J1119" s="17"/>
      <c r="K1119" s="235"/>
      <c r="L1119" s="17"/>
      <c r="M1119" s="229"/>
      <c r="N1119" s="17"/>
      <c r="O1119" s="17"/>
      <c r="P1119" s="17"/>
      <c r="Q1119" s="17"/>
      <c r="R1119" s="17"/>
      <c r="S1119" s="17"/>
      <c r="T1119" s="4"/>
      <c r="U1119" s="4"/>
    </row>
    <row r="1120" spans="1:21" x14ac:dyDescent="0.25">
      <c r="A1120" s="17"/>
      <c r="B1120" s="17"/>
      <c r="C1120" s="17"/>
      <c r="D1120" s="17"/>
      <c r="E1120" s="17"/>
      <c r="F1120" s="17"/>
      <c r="G1120" s="17"/>
      <c r="H1120" s="17"/>
      <c r="I1120" s="17"/>
      <c r="J1120" s="17"/>
      <c r="K1120" s="235"/>
      <c r="L1120" s="17"/>
      <c r="M1120" s="229"/>
      <c r="N1120" s="17"/>
      <c r="O1120" s="17"/>
      <c r="P1120" s="17"/>
      <c r="Q1120" s="17"/>
      <c r="R1120" s="17"/>
      <c r="S1120" s="17"/>
      <c r="T1120" s="4"/>
      <c r="U1120" s="4"/>
    </row>
    <row r="1121" spans="1:21" x14ac:dyDescent="0.25">
      <c r="A1121" s="17"/>
      <c r="B1121" s="17"/>
      <c r="C1121" s="17"/>
      <c r="D1121" s="17"/>
      <c r="E1121" s="17"/>
      <c r="F1121" s="17"/>
      <c r="G1121" s="17"/>
      <c r="H1121" s="17"/>
      <c r="I1121" s="17"/>
      <c r="J1121" s="17"/>
      <c r="K1121" s="235"/>
      <c r="L1121" s="17"/>
      <c r="M1121" s="229"/>
      <c r="N1121" s="17"/>
      <c r="O1121" s="17"/>
      <c r="P1121" s="17"/>
      <c r="Q1121" s="17"/>
      <c r="R1121" s="17"/>
      <c r="S1121" s="17"/>
      <c r="T1121" s="4"/>
      <c r="U1121" s="4"/>
    </row>
    <row r="1122" spans="1:21" x14ac:dyDescent="0.25">
      <c r="A1122" s="17"/>
      <c r="B1122" s="17"/>
      <c r="C1122" s="17"/>
      <c r="D1122" s="17"/>
      <c r="E1122" s="17"/>
      <c r="F1122" s="17"/>
      <c r="G1122" s="17"/>
      <c r="H1122" s="17"/>
      <c r="I1122" s="17"/>
      <c r="J1122" s="17"/>
      <c r="K1122" s="235"/>
      <c r="L1122" s="17"/>
      <c r="M1122" s="229"/>
      <c r="N1122" s="17"/>
      <c r="O1122" s="17"/>
      <c r="P1122" s="17"/>
      <c r="Q1122" s="17"/>
      <c r="R1122" s="17"/>
      <c r="S1122" s="17"/>
      <c r="T1122" s="4"/>
      <c r="U1122" s="4"/>
    </row>
    <row r="1123" spans="1:21" x14ac:dyDescent="0.25">
      <c r="A1123" s="17"/>
      <c r="B1123" s="17"/>
      <c r="C1123" s="17"/>
      <c r="D1123" s="17"/>
      <c r="E1123" s="17"/>
      <c r="F1123" s="17"/>
      <c r="G1123" s="17"/>
      <c r="H1123" s="17"/>
      <c r="I1123" s="17"/>
      <c r="J1123" s="17"/>
      <c r="K1123" s="235"/>
      <c r="L1123" s="17"/>
      <c r="M1123" s="229"/>
      <c r="N1123" s="17"/>
      <c r="O1123" s="17"/>
      <c r="P1123" s="17"/>
      <c r="Q1123" s="17"/>
      <c r="R1123" s="17"/>
      <c r="S1123" s="17"/>
      <c r="T1123" s="4"/>
      <c r="U1123" s="4"/>
    </row>
    <row r="1124" spans="1:21" x14ac:dyDescent="0.25">
      <c r="A1124" s="17"/>
      <c r="B1124" s="17"/>
      <c r="C1124" s="17"/>
      <c r="D1124" s="17"/>
      <c r="E1124" s="17"/>
      <c r="F1124" s="17"/>
      <c r="G1124" s="17"/>
      <c r="H1124" s="17"/>
      <c r="I1124" s="17"/>
      <c r="J1124" s="17"/>
      <c r="K1124" s="235"/>
      <c r="L1124" s="17"/>
      <c r="M1124" s="229"/>
      <c r="N1124" s="17"/>
      <c r="O1124" s="17"/>
      <c r="P1124" s="17"/>
      <c r="Q1124" s="17"/>
      <c r="R1124" s="17"/>
      <c r="S1124" s="17"/>
      <c r="T1124" s="4"/>
      <c r="U1124" s="4"/>
    </row>
    <row r="1125" spans="1:21" x14ac:dyDescent="0.25">
      <c r="A1125" s="17"/>
      <c r="B1125" s="17"/>
      <c r="C1125" s="17"/>
      <c r="D1125" s="17"/>
      <c r="E1125" s="17"/>
      <c r="F1125" s="17"/>
      <c r="G1125" s="17"/>
      <c r="H1125" s="17"/>
      <c r="I1125" s="17"/>
      <c r="J1125" s="17"/>
      <c r="K1125" s="235"/>
      <c r="L1125" s="17"/>
      <c r="M1125" s="229"/>
      <c r="N1125" s="17"/>
      <c r="O1125" s="17"/>
      <c r="P1125" s="17"/>
      <c r="Q1125" s="17"/>
      <c r="R1125" s="17"/>
      <c r="S1125" s="17"/>
      <c r="T1125" s="4"/>
      <c r="U1125" s="4"/>
    </row>
    <row r="1126" spans="1:21" x14ac:dyDescent="0.25">
      <c r="A1126" s="17"/>
      <c r="B1126" s="17"/>
      <c r="C1126" s="17"/>
      <c r="D1126" s="17"/>
      <c r="E1126" s="17"/>
      <c r="F1126" s="17"/>
      <c r="G1126" s="17"/>
      <c r="H1126" s="17"/>
      <c r="I1126" s="17"/>
      <c r="J1126" s="17"/>
      <c r="K1126" s="235"/>
      <c r="L1126" s="17"/>
      <c r="M1126" s="229"/>
      <c r="N1126" s="17"/>
      <c r="O1126" s="17"/>
      <c r="P1126" s="17"/>
      <c r="Q1126" s="17"/>
      <c r="R1126" s="17"/>
      <c r="S1126" s="17"/>
      <c r="T1126" s="4"/>
      <c r="U1126" s="4"/>
    </row>
    <row r="1127" spans="1:21" x14ac:dyDescent="0.25">
      <c r="A1127" s="17"/>
      <c r="B1127" s="17"/>
      <c r="C1127" s="17"/>
      <c r="D1127" s="17"/>
      <c r="E1127" s="17"/>
      <c r="F1127" s="17"/>
      <c r="G1127" s="17"/>
      <c r="H1127" s="17"/>
      <c r="I1127" s="17"/>
      <c r="J1127" s="17"/>
      <c r="K1127" s="235"/>
      <c r="L1127" s="17"/>
      <c r="M1127" s="229"/>
      <c r="N1127" s="17"/>
      <c r="O1127" s="17"/>
      <c r="P1127" s="17"/>
      <c r="Q1127" s="17"/>
      <c r="R1127" s="17"/>
      <c r="S1127" s="17"/>
      <c r="T1127" s="4"/>
      <c r="U1127" s="4"/>
    </row>
    <row r="1128" spans="1:21" x14ac:dyDescent="0.25">
      <c r="A1128" s="17"/>
      <c r="B1128" s="17"/>
      <c r="C1128" s="17"/>
      <c r="D1128" s="17"/>
      <c r="E1128" s="17"/>
      <c r="F1128" s="17"/>
      <c r="G1128" s="17"/>
      <c r="H1128" s="17"/>
      <c r="I1128" s="17"/>
      <c r="J1128" s="17"/>
      <c r="K1128" s="235"/>
      <c r="L1128" s="17"/>
      <c r="M1128" s="229"/>
      <c r="N1128" s="17"/>
      <c r="O1128" s="17"/>
      <c r="P1128" s="17"/>
      <c r="Q1128" s="17"/>
      <c r="R1128" s="17"/>
      <c r="S1128" s="17"/>
      <c r="T1128" s="4"/>
      <c r="U1128" s="4"/>
    </row>
    <row r="1129" spans="1:21" x14ac:dyDescent="0.25">
      <c r="A1129" s="17"/>
      <c r="B1129" s="17"/>
      <c r="C1129" s="17"/>
      <c r="D1129" s="17"/>
      <c r="E1129" s="17"/>
      <c r="F1129" s="17"/>
      <c r="G1129" s="17"/>
      <c r="H1129" s="17"/>
      <c r="I1129" s="17"/>
      <c r="J1129" s="17"/>
      <c r="K1129" s="235"/>
      <c r="L1129" s="17"/>
      <c r="M1129" s="229"/>
      <c r="N1129" s="17"/>
      <c r="O1129" s="17"/>
      <c r="P1129" s="17"/>
      <c r="Q1129" s="17"/>
      <c r="R1129" s="17"/>
      <c r="S1129" s="17"/>
      <c r="T1129" s="4"/>
      <c r="U1129" s="4"/>
    </row>
    <row r="1130" spans="1:21" x14ac:dyDescent="0.25">
      <c r="A1130" s="17"/>
      <c r="B1130" s="17"/>
      <c r="C1130" s="17"/>
      <c r="D1130" s="17"/>
      <c r="E1130" s="17"/>
      <c r="F1130" s="17"/>
      <c r="G1130" s="17"/>
      <c r="H1130" s="17"/>
      <c r="I1130" s="17"/>
      <c r="J1130" s="17"/>
      <c r="K1130" s="235"/>
      <c r="L1130" s="17"/>
      <c r="M1130" s="229"/>
      <c r="N1130" s="17"/>
      <c r="O1130" s="17"/>
      <c r="P1130" s="17"/>
      <c r="Q1130" s="17"/>
      <c r="R1130" s="17"/>
      <c r="S1130" s="17"/>
      <c r="T1130" s="4"/>
      <c r="U1130" s="4"/>
    </row>
    <row r="1131" spans="1:21" x14ac:dyDescent="0.25">
      <c r="A1131" s="17"/>
      <c r="B1131" s="17"/>
      <c r="C1131" s="17"/>
      <c r="D1131" s="17"/>
      <c r="E1131" s="17"/>
      <c r="F1131" s="17"/>
      <c r="G1131" s="17"/>
      <c r="H1131" s="17"/>
      <c r="I1131" s="17"/>
      <c r="J1131" s="17"/>
      <c r="K1131" s="235"/>
      <c r="L1131" s="17"/>
      <c r="M1131" s="229"/>
      <c r="N1131" s="17"/>
      <c r="O1131" s="17"/>
      <c r="P1131" s="17"/>
      <c r="Q1131" s="17"/>
      <c r="R1131" s="17"/>
      <c r="S1131" s="17"/>
      <c r="T1131" s="4"/>
      <c r="U1131" s="4"/>
    </row>
    <row r="1132" spans="1:21" x14ac:dyDescent="0.25">
      <c r="A1132" s="17"/>
      <c r="B1132" s="17"/>
      <c r="C1132" s="17"/>
      <c r="D1132" s="17"/>
      <c r="E1132" s="17"/>
      <c r="F1132" s="17"/>
      <c r="G1132" s="17"/>
      <c r="H1132" s="17"/>
      <c r="I1132" s="17"/>
      <c r="J1132" s="17"/>
      <c r="K1132" s="235"/>
      <c r="L1132" s="17"/>
      <c r="M1132" s="229"/>
      <c r="N1132" s="17"/>
      <c r="O1132" s="17"/>
      <c r="P1132" s="17"/>
      <c r="Q1132" s="17"/>
      <c r="R1132" s="17"/>
      <c r="S1132" s="17"/>
      <c r="T1132" s="4"/>
      <c r="U1132" s="4"/>
    </row>
    <row r="1133" spans="1:21" x14ac:dyDescent="0.25">
      <c r="A1133" s="17"/>
      <c r="B1133" s="17"/>
      <c r="C1133" s="17"/>
      <c r="D1133" s="17"/>
      <c r="E1133" s="17"/>
      <c r="F1133" s="17"/>
      <c r="G1133" s="17"/>
      <c r="H1133" s="17"/>
      <c r="I1133" s="17"/>
      <c r="J1133" s="17"/>
      <c r="K1133" s="235"/>
      <c r="L1133" s="17"/>
      <c r="M1133" s="229"/>
      <c r="N1133" s="17"/>
      <c r="O1133" s="17"/>
      <c r="P1133" s="17"/>
      <c r="Q1133" s="17"/>
      <c r="R1133" s="17"/>
      <c r="S1133" s="17"/>
      <c r="T1133" s="4"/>
      <c r="U1133" s="4"/>
    </row>
    <row r="1134" spans="1:21" x14ac:dyDescent="0.25">
      <c r="A1134" s="17"/>
      <c r="B1134" s="17"/>
      <c r="C1134" s="17"/>
      <c r="D1134" s="17"/>
      <c r="E1134" s="17"/>
      <c r="F1134" s="17"/>
      <c r="G1134" s="17"/>
      <c r="H1134" s="17"/>
      <c r="I1134" s="17"/>
      <c r="J1134" s="17"/>
      <c r="K1134" s="235"/>
      <c r="L1134" s="17"/>
      <c r="M1134" s="229"/>
      <c r="N1134" s="17"/>
      <c r="O1134" s="17"/>
      <c r="P1134" s="17"/>
      <c r="Q1134" s="17"/>
      <c r="R1134" s="17"/>
      <c r="S1134" s="17"/>
      <c r="T1134" s="4"/>
      <c r="U1134" s="4"/>
    </row>
    <row r="1135" spans="1:21" x14ac:dyDescent="0.25">
      <c r="A1135" s="17"/>
      <c r="B1135" s="17"/>
      <c r="C1135" s="17"/>
      <c r="D1135" s="17"/>
      <c r="E1135" s="17"/>
      <c r="F1135" s="17"/>
      <c r="G1135" s="17"/>
      <c r="H1135" s="17"/>
      <c r="I1135" s="17"/>
      <c r="J1135" s="17"/>
      <c r="K1135" s="235"/>
      <c r="L1135" s="17"/>
      <c r="M1135" s="229"/>
      <c r="N1135" s="17"/>
      <c r="O1135" s="17"/>
      <c r="P1135" s="17"/>
      <c r="Q1135" s="17"/>
      <c r="R1135" s="17"/>
      <c r="S1135" s="17"/>
      <c r="T1135" s="4"/>
      <c r="U1135" s="4"/>
    </row>
    <row r="1136" spans="1:21" x14ac:dyDescent="0.25">
      <c r="A1136" s="17"/>
      <c r="B1136" s="17"/>
      <c r="C1136" s="17"/>
      <c r="D1136" s="17"/>
      <c r="E1136" s="17"/>
      <c r="F1136" s="17"/>
      <c r="G1136" s="17"/>
      <c r="H1136" s="17"/>
      <c r="I1136" s="17"/>
      <c r="J1136" s="17"/>
      <c r="K1136" s="235"/>
      <c r="L1136" s="17"/>
      <c r="M1136" s="229"/>
      <c r="N1136" s="17"/>
      <c r="O1136" s="17"/>
      <c r="P1136" s="17"/>
      <c r="Q1136" s="17"/>
      <c r="R1136" s="17"/>
      <c r="S1136" s="17"/>
      <c r="T1136" s="4"/>
      <c r="U1136" s="4"/>
    </row>
    <row r="1137" spans="1:21" x14ac:dyDescent="0.25">
      <c r="A1137" s="17"/>
      <c r="B1137" s="17"/>
      <c r="C1137" s="17"/>
      <c r="D1137" s="17"/>
      <c r="E1137" s="17"/>
      <c r="F1137" s="17"/>
      <c r="G1137" s="17"/>
      <c r="H1137" s="17"/>
      <c r="I1137" s="17"/>
      <c r="J1137" s="17"/>
      <c r="K1137" s="235"/>
      <c r="L1137" s="17"/>
      <c r="M1137" s="229"/>
      <c r="N1137" s="17"/>
      <c r="O1137" s="17"/>
      <c r="P1137" s="17"/>
      <c r="Q1137" s="17"/>
      <c r="R1137" s="17"/>
      <c r="S1137" s="17"/>
      <c r="T1137" s="4"/>
      <c r="U1137" s="4"/>
    </row>
    <row r="1138" spans="1:21" x14ac:dyDescent="0.25">
      <c r="A1138" s="17"/>
      <c r="B1138" s="17"/>
      <c r="C1138" s="17"/>
      <c r="D1138" s="17"/>
      <c r="E1138" s="17"/>
      <c r="F1138" s="17"/>
      <c r="G1138" s="17"/>
      <c r="H1138" s="17"/>
      <c r="I1138" s="17"/>
      <c r="J1138" s="17"/>
      <c r="K1138" s="235"/>
      <c r="L1138" s="17"/>
      <c r="M1138" s="229"/>
      <c r="N1138" s="17"/>
      <c r="O1138" s="17"/>
      <c r="P1138" s="17"/>
      <c r="Q1138" s="17"/>
      <c r="R1138" s="17"/>
      <c r="S1138" s="17"/>
      <c r="T1138" s="4"/>
      <c r="U1138" s="4"/>
    </row>
    <row r="1139" spans="1:21" x14ac:dyDescent="0.25">
      <c r="A1139" s="17"/>
      <c r="B1139" s="17"/>
      <c r="C1139" s="17"/>
      <c r="D1139" s="17"/>
      <c r="E1139" s="17"/>
      <c r="F1139" s="17"/>
      <c r="G1139" s="17"/>
      <c r="H1139" s="17"/>
      <c r="I1139" s="17"/>
      <c r="J1139" s="17"/>
      <c r="K1139" s="235"/>
      <c r="L1139" s="17"/>
      <c r="M1139" s="229"/>
      <c r="N1139" s="17"/>
      <c r="O1139" s="17"/>
      <c r="P1139" s="17"/>
      <c r="Q1139" s="17"/>
      <c r="R1139" s="17"/>
      <c r="S1139" s="17"/>
      <c r="T1139" s="4"/>
      <c r="U1139" s="4"/>
    </row>
    <row r="1140" spans="1:21" x14ac:dyDescent="0.25">
      <c r="A1140" s="17"/>
      <c r="B1140" s="17"/>
      <c r="C1140" s="17"/>
      <c r="D1140" s="17"/>
      <c r="E1140" s="17"/>
      <c r="F1140" s="17"/>
      <c r="G1140" s="17"/>
      <c r="H1140" s="17"/>
      <c r="I1140" s="17"/>
      <c r="J1140" s="17"/>
      <c r="K1140" s="235"/>
      <c r="L1140" s="17"/>
      <c r="M1140" s="229"/>
      <c r="N1140" s="17"/>
      <c r="O1140" s="17"/>
      <c r="P1140" s="17"/>
      <c r="Q1140" s="17"/>
      <c r="R1140" s="17"/>
      <c r="S1140" s="17"/>
      <c r="T1140" s="4"/>
      <c r="U1140" s="4"/>
    </row>
    <row r="1141" spans="1:21" x14ac:dyDescent="0.25">
      <c r="A1141" s="17"/>
      <c r="B1141" s="17"/>
      <c r="C1141" s="17"/>
      <c r="D1141" s="17"/>
      <c r="E1141" s="17"/>
      <c r="F1141" s="17"/>
      <c r="G1141" s="17"/>
      <c r="H1141" s="17"/>
      <c r="I1141" s="17"/>
      <c r="J1141" s="17"/>
      <c r="K1141" s="235"/>
      <c r="L1141" s="17"/>
      <c r="M1141" s="229"/>
      <c r="N1141" s="17"/>
      <c r="O1141" s="17"/>
      <c r="P1141" s="17"/>
      <c r="Q1141" s="17"/>
      <c r="R1141" s="17"/>
      <c r="S1141" s="17"/>
      <c r="T1141" s="4"/>
      <c r="U1141" s="4"/>
    </row>
    <row r="1142" spans="1:21" x14ac:dyDescent="0.25">
      <c r="A1142" s="17"/>
      <c r="B1142" s="17"/>
      <c r="C1142" s="17"/>
      <c r="D1142" s="17"/>
      <c r="E1142" s="17"/>
      <c r="F1142" s="17"/>
      <c r="G1142" s="17"/>
      <c r="H1142" s="17"/>
      <c r="I1142" s="17"/>
      <c r="J1142" s="17"/>
      <c r="K1142" s="235"/>
      <c r="L1142" s="17"/>
      <c r="M1142" s="229"/>
      <c r="N1142" s="17"/>
      <c r="O1142" s="17"/>
      <c r="P1142" s="17"/>
      <c r="Q1142" s="17"/>
      <c r="R1142" s="17"/>
      <c r="S1142" s="17"/>
      <c r="T1142" s="4"/>
      <c r="U1142" s="4"/>
    </row>
    <row r="1143" spans="1:21" x14ac:dyDescent="0.25">
      <c r="A1143" s="17"/>
      <c r="B1143" s="17"/>
      <c r="C1143" s="17"/>
      <c r="D1143" s="17"/>
      <c r="E1143" s="17"/>
      <c r="F1143" s="17"/>
      <c r="G1143" s="17"/>
      <c r="H1143" s="17"/>
      <c r="I1143" s="17"/>
      <c r="J1143" s="17"/>
      <c r="K1143" s="235"/>
      <c r="L1143" s="17"/>
      <c r="M1143" s="229"/>
      <c r="N1143" s="17"/>
      <c r="O1143" s="17"/>
      <c r="P1143" s="17"/>
      <c r="Q1143" s="17"/>
      <c r="R1143" s="17"/>
      <c r="S1143" s="17"/>
      <c r="T1143" s="4"/>
      <c r="U1143" s="4"/>
    </row>
    <row r="1144" spans="1:21" x14ac:dyDescent="0.25">
      <c r="A1144" s="17"/>
      <c r="B1144" s="17"/>
      <c r="C1144" s="17"/>
      <c r="D1144" s="17"/>
      <c r="E1144" s="17"/>
      <c r="F1144" s="17"/>
      <c r="G1144" s="17"/>
      <c r="H1144" s="17"/>
      <c r="I1144" s="17"/>
      <c r="J1144" s="17"/>
      <c r="K1144" s="235"/>
      <c r="L1144" s="17"/>
      <c r="M1144" s="229"/>
      <c r="N1144" s="17"/>
      <c r="O1144" s="17"/>
      <c r="P1144" s="17"/>
      <c r="Q1144" s="17"/>
      <c r="R1144" s="17"/>
      <c r="S1144" s="17"/>
      <c r="T1144" s="4"/>
      <c r="U1144" s="4"/>
    </row>
    <row r="1145" spans="1:21" x14ac:dyDescent="0.25">
      <c r="A1145" s="17"/>
      <c r="B1145" s="17"/>
      <c r="C1145" s="17"/>
      <c r="D1145" s="17"/>
      <c r="E1145" s="17"/>
      <c r="F1145" s="17"/>
      <c r="G1145" s="17"/>
      <c r="H1145" s="17"/>
      <c r="I1145" s="17"/>
      <c r="J1145" s="17"/>
      <c r="K1145" s="235"/>
      <c r="L1145" s="17"/>
      <c r="M1145" s="229"/>
      <c r="N1145" s="17"/>
      <c r="O1145" s="17"/>
      <c r="P1145" s="17"/>
      <c r="Q1145" s="17"/>
      <c r="R1145" s="17"/>
      <c r="S1145" s="17"/>
      <c r="T1145" s="4"/>
      <c r="U1145" s="4"/>
    </row>
    <row r="1146" spans="1:21" x14ac:dyDescent="0.25">
      <c r="A1146" s="17"/>
      <c r="B1146" s="17"/>
      <c r="C1146" s="17"/>
      <c r="D1146" s="17"/>
      <c r="E1146" s="17"/>
      <c r="F1146" s="17"/>
      <c r="G1146" s="17"/>
      <c r="H1146" s="17"/>
      <c r="I1146" s="17"/>
      <c r="J1146" s="17"/>
      <c r="K1146" s="235"/>
      <c r="L1146" s="17"/>
      <c r="M1146" s="229"/>
      <c r="N1146" s="17"/>
      <c r="O1146" s="17"/>
      <c r="P1146" s="17"/>
      <c r="Q1146" s="17"/>
      <c r="R1146" s="17"/>
      <c r="S1146" s="17"/>
      <c r="T1146" s="4"/>
      <c r="U1146" s="4"/>
    </row>
    <row r="1147" spans="1:21" x14ac:dyDescent="0.25">
      <c r="A1147" s="17"/>
      <c r="B1147" s="17"/>
      <c r="C1147" s="17"/>
      <c r="D1147" s="17"/>
      <c r="E1147" s="17"/>
      <c r="F1147" s="17"/>
      <c r="G1147" s="17"/>
      <c r="H1147" s="17"/>
      <c r="I1147" s="17"/>
      <c r="J1147" s="17"/>
      <c r="K1147" s="235"/>
      <c r="L1147" s="17"/>
      <c r="M1147" s="229"/>
      <c r="N1147" s="17"/>
      <c r="O1147" s="17"/>
      <c r="P1147" s="17"/>
      <c r="Q1147" s="17"/>
      <c r="R1147" s="17"/>
      <c r="S1147" s="17"/>
      <c r="T1147" s="4"/>
      <c r="U1147" s="4"/>
    </row>
    <row r="1148" spans="1:21" x14ac:dyDescent="0.25">
      <c r="A1148" s="17"/>
      <c r="B1148" s="17"/>
      <c r="C1148" s="17"/>
      <c r="D1148" s="17"/>
      <c r="E1148" s="17"/>
      <c r="F1148" s="17"/>
      <c r="G1148" s="17"/>
      <c r="H1148" s="17"/>
      <c r="I1148" s="17"/>
      <c r="J1148" s="17"/>
      <c r="K1148" s="235"/>
      <c r="L1148" s="17"/>
      <c r="M1148" s="229"/>
      <c r="N1148" s="17"/>
      <c r="O1148" s="17"/>
      <c r="P1148" s="17"/>
      <c r="Q1148" s="17"/>
      <c r="R1148" s="17"/>
      <c r="S1148" s="17"/>
      <c r="T1148" s="4"/>
      <c r="U1148" s="4"/>
    </row>
    <row r="1149" spans="1:21" x14ac:dyDescent="0.25">
      <c r="A1149" s="17"/>
      <c r="B1149" s="17"/>
      <c r="C1149" s="17"/>
      <c r="D1149" s="17"/>
      <c r="E1149" s="17"/>
      <c r="F1149" s="17"/>
      <c r="G1149" s="17"/>
      <c r="H1149" s="17"/>
      <c r="I1149" s="17"/>
      <c r="J1149" s="17"/>
      <c r="K1149" s="235"/>
      <c r="L1149" s="17"/>
      <c r="M1149" s="229"/>
      <c r="N1149" s="17"/>
      <c r="O1149" s="17"/>
      <c r="P1149" s="17"/>
      <c r="Q1149" s="17"/>
      <c r="R1149" s="17"/>
      <c r="S1149" s="17"/>
      <c r="T1149" s="4"/>
      <c r="U1149" s="4"/>
    </row>
    <row r="1150" spans="1:21" x14ac:dyDescent="0.25">
      <c r="A1150" s="17"/>
      <c r="B1150" s="17"/>
      <c r="C1150" s="17"/>
      <c r="D1150" s="17"/>
      <c r="E1150" s="17"/>
      <c r="F1150" s="17"/>
      <c r="G1150" s="17"/>
      <c r="H1150" s="17"/>
      <c r="I1150" s="17"/>
      <c r="J1150" s="17"/>
      <c r="K1150" s="235"/>
      <c r="L1150" s="17"/>
      <c r="M1150" s="229"/>
      <c r="N1150" s="17"/>
      <c r="O1150" s="17"/>
      <c r="P1150" s="17"/>
      <c r="Q1150" s="17"/>
      <c r="R1150" s="17"/>
      <c r="S1150" s="17"/>
      <c r="T1150" s="4"/>
      <c r="U1150" s="4"/>
    </row>
    <row r="1151" spans="1:21" x14ac:dyDescent="0.25">
      <c r="A1151" s="17"/>
      <c r="B1151" s="17"/>
      <c r="C1151" s="17"/>
      <c r="D1151" s="17"/>
      <c r="E1151" s="17"/>
      <c r="F1151" s="17"/>
      <c r="G1151" s="17"/>
      <c r="H1151" s="17"/>
      <c r="I1151" s="17"/>
      <c r="J1151" s="17"/>
      <c r="K1151" s="235"/>
      <c r="L1151" s="17"/>
      <c r="M1151" s="229"/>
      <c r="N1151" s="17"/>
      <c r="O1151" s="17"/>
      <c r="P1151" s="17"/>
      <c r="Q1151" s="17"/>
      <c r="R1151" s="17"/>
      <c r="S1151" s="17"/>
      <c r="T1151" s="4"/>
      <c r="U1151" s="4"/>
    </row>
    <row r="1152" spans="1:21" x14ac:dyDescent="0.25">
      <c r="A1152" s="17"/>
      <c r="B1152" s="17"/>
      <c r="C1152" s="17"/>
      <c r="D1152" s="17"/>
      <c r="E1152" s="17"/>
      <c r="F1152" s="17"/>
      <c r="G1152" s="17"/>
      <c r="H1152" s="17"/>
      <c r="I1152" s="17"/>
      <c r="J1152" s="17"/>
      <c r="K1152" s="235"/>
      <c r="L1152" s="17"/>
      <c r="M1152" s="229"/>
      <c r="N1152" s="17"/>
      <c r="O1152" s="17"/>
      <c r="P1152" s="17"/>
      <c r="Q1152" s="17"/>
      <c r="R1152" s="17"/>
      <c r="S1152" s="17"/>
      <c r="T1152" s="4"/>
      <c r="U1152" s="4"/>
    </row>
    <row r="1153" spans="1:21" x14ac:dyDescent="0.25">
      <c r="A1153" s="17"/>
      <c r="B1153" s="17"/>
      <c r="C1153" s="17"/>
      <c r="D1153" s="17"/>
      <c r="E1153" s="17"/>
      <c r="F1153" s="17"/>
      <c r="G1153" s="17"/>
      <c r="H1153" s="17"/>
      <c r="I1153" s="17"/>
      <c r="J1153" s="17"/>
      <c r="K1153" s="235"/>
      <c r="L1153" s="17"/>
      <c r="M1153" s="229"/>
      <c r="N1153" s="17"/>
      <c r="O1153" s="17"/>
      <c r="P1153" s="17"/>
      <c r="Q1153" s="17"/>
      <c r="R1153" s="17"/>
      <c r="S1153" s="17"/>
      <c r="T1153" s="4"/>
      <c r="U1153" s="4"/>
    </row>
    <row r="1154" spans="1:21" x14ac:dyDescent="0.25">
      <c r="A1154" s="17"/>
      <c r="B1154" s="17"/>
      <c r="C1154" s="17"/>
      <c r="D1154" s="17"/>
      <c r="E1154" s="17"/>
      <c r="F1154" s="17"/>
      <c r="G1154" s="17"/>
      <c r="H1154" s="17"/>
      <c r="I1154" s="17"/>
      <c r="J1154" s="17"/>
      <c r="K1154" s="235"/>
      <c r="L1154" s="17"/>
      <c r="M1154" s="229"/>
      <c r="N1154" s="17"/>
      <c r="O1154" s="17"/>
      <c r="P1154" s="17"/>
      <c r="Q1154" s="17"/>
      <c r="R1154" s="17"/>
      <c r="S1154" s="17"/>
      <c r="T1154" s="4"/>
      <c r="U1154" s="4"/>
    </row>
    <row r="1155" spans="1:21" x14ac:dyDescent="0.25">
      <c r="A1155" s="17"/>
      <c r="B1155" s="17"/>
      <c r="C1155" s="17"/>
      <c r="D1155" s="17"/>
      <c r="E1155" s="17"/>
      <c r="F1155" s="17"/>
      <c r="G1155" s="17"/>
      <c r="H1155" s="17"/>
      <c r="I1155" s="17"/>
      <c r="J1155" s="17"/>
      <c r="K1155" s="235"/>
      <c r="L1155" s="17"/>
      <c r="M1155" s="229"/>
      <c r="N1155" s="17"/>
      <c r="O1155" s="17"/>
      <c r="P1155" s="17"/>
      <c r="Q1155" s="17"/>
      <c r="R1155" s="17"/>
      <c r="S1155" s="17"/>
      <c r="T1155" s="4"/>
      <c r="U1155" s="4"/>
    </row>
    <row r="1156" spans="1:21" x14ac:dyDescent="0.25">
      <c r="A1156" s="17"/>
      <c r="B1156" s="17"/>
      <c r="C1156" s="17"/>
      <c r="D1156" s="17"/>
      <c r="E1156" s="17"/>
      <c r="F1156" s="17"/>
      <c r="G1156" s="17"/>
      <c r="H1156" s="17"/>
      <c r="I1156" s="17"/>
      <c r="J1156" s="17"/>
      <c r="K1156" s="235"/>
      <c r="L1156" s="17"/>
      <c r="M1156" s="229"/>
      <c r="N1156" s="17"/>
      <c r="O1156" s="17"/>
      <c r="P1156" s="17"/>
      <c r="Q1156" s="17"/>
      <c r="R1156" s="17"/>
      <c r="S1156" s="17"/>
      <c r="T1156" s="4"/>
      <c r="U1156" s="4"/>
    </row>
    <row r="1157" spans="1:21" x14ac:dyDescent="0.25">
      <c r="A1157" s="17"/>
      <c r="B1157" s="17"/>
      <c r="C1157" s="17"/>
      <c r="D1157" s="17"/>
      <c r="E1157" s="17"/>
      <c r="F1157" s="17"/>
      <c r="G1157" s="17"/>
      <c r="H1157" s="17"/>
      <c r="I1157" s="17"/>
      <c r="J1157" s="17"/>
      <c r="K1157" s="235"/>
      <c r="L1157" s="17"/>
      <c r="M1157" s="229"/>
      <c r="N1157" s="17"/>
      <c r="O1157" s="17"/>
      <c r="P1157" s="17"/>
      <c r="Q1157" s="17"/>
      <c r="R1157" s="17"/>
      <c r="S1157" s="17"/>
      <c r="T1157" s="4"/>
      <c r="U1157" s="4"/>
    </row>
    <row r="1158" spans="1:21" x14ac:dyDescent="0.25">
      <c r="A1158" s="17"/>
      <c r="B1158" s="17"/>
      <c r="C1158" s="17"/>
      <c r="D1158" s="17"/>
      <c r="E1158" s="17"/>
      <c r="F1158" s="17"/>
      <c r="G1158" s="17"/>
      <c r="H1158" s="17"/>
      <c r="I1158" s="17"/>
      <c r="J1158" s="17"/>
      <c r="K1158" s="235"/>
      <c r="L1158" s="17"/>
      <c r="M1158" s="229"/>
      <c r="N1158" s="17"/>
      <c r="O1158" s="17"/>
      <c r="P1158" s="17"/>
      <c r="Q1158" s="17"/>
      <c r="R1158" s="17"/>
      <c r="S1158" s="17"/>
      <c r="T1158" s="4"/>
      <c r="U1158" s="4"/>
    </row>
    <row r="1159" spans="1:21" x14ac:dyDescent="0.25">
      <c r="A1159" s="17"/>
      <c r="B1159" s="17"/>
      <c r="C1159" s="17"/>
      <c r="D1159" s="17"/>
      <c r="E1159" s="17"/>
      <c r="F1159" s="17"/>
      <c r="G1159" s="17"/>
      <c r="H1159" s="17"/>
      <c r="I1159" s="17"/>
      <c r="J1159" s="17"/>
      <c r="K1159" s="235"/>
      <c r="L1159" s="17"/>
      <c r="M1159" s="229"/>
      <c r="N1159" s="17"/>
      <c r="O1159" s="17"/>
      <c r="P1159" s="17"/>
      <c r="Q1159" s="17"/>
      <c r="R1159" s="17"/>
      <c r="S1159" s="17"/>
      <c r="T1159" s="4"/>
      <c r="U1159" s="4"/>
    </row>
    <row r="1160" spans="1:21" x14ac:dyDescent="0.25">
      <c r="A1160" s="17"/>
      <c r="B1160" s="17"/>
      <c r="C1160" s="17"/>
      <c r="D1160" s="17"/>
      <c r="E1160" s="17"/>
      <c r="F1160" s="17"/>
      <c r="G1160" s="17"/>
      <c r="H1160" s="17"/>
      <c r="I1160" s="17"/>
      <c r="J1160" s="17"/>
      <c r="K1160" s="235"/>
      <c r="L1160" s="17"/>
      <c r="M1160" s="229"/>
      <c r="N1160" s="17"/>
      <c r="O1160" s="17"/>
      <c r="P1160" s="17"/>
      <c r="Q1160" s="17"/>
      <c r="R1160" s="17"/>
      <c r="S1160" s="17"/>
      <c r="T1160" s="4"/>
      <c r="U1160" s="4"/>
    </row>
    <row r="1161" spans="1:21" x14ac:dyDescent="0.25">
      <c r="A1161" s="17"/>
      <c r="B1161" s="17"/>
      <c r="C1161" s="17"/>
      <c r="D1161" s="17"/>
      <c r="E1161" s="17"/>
      <c r="F1161" s="17"/>
      <c r="G1161" s="17"/>
      <c r="H1161" s="17"/>
      <c r="I1161" s="17"/>
      <c r="J1161" s="17"/>
      <c r="K1161" s="235"/>
      <c r="L1161" s="17"/>
      <c r="M1161" s="229"/>
      <c r="N1161" s="17"/>
      <c r="O1161" s="17"/>
      <c r="P1161" s="17"/>
      <c r="Q1161" s="17"/>
      <c r="R1161" s="17"/>
      <c r="S1161" s="17"/>
      <c r="T1161" s="4"/>
      <c r="U1161" s="4"/>
    </row>
    <row r="1162" spans="1:21" x14ac:dyDescent="0.25">
      <c r="A1162" s="17"/>
      <c r="B1162" s="17"/>
      <c r="C1162" s="17"/>
      <c r="D1162" s="17"/>
      <c r="E1162" s="17"/>
      <c r="F1162" s="17"/>
      <c r="G1162" s="17"/>
      <c r="H1162" s="17"/>
      <c r="I1162" s="17"/>
      <c r="J1162" s="17"/>
      <c r="K1162" s="235"/>
      <c r="L1162" s="17"/>
      <c r="M1162" s="229"/>
      <c r="N1162" s="17"/>
      <c r="O1162" s="17"/>
      <c r="P1162" s="17"/>
      <c r="Q1162" s="17"/>
      <c r="R1162" s="17"/>
      <c r="S1162" s="17"/>
      <c r="T1162" s="4"/>
      <c r="U1162" s="4"/>
    </row>
    <row r="1163" spans="1:21" x14ac:dyDescent="0.25">
      <c r="A1163" s="17"/>
      <c r="B1163" s="17"/>
      <c r="C1163" s="17"/>
      <c r="D1163" s="17"/>
      <c r="E1163" s="17"/>
      <c r="F1163" s="17"/>
      <c r="G1163" s="17"/>
      <c r="H1163" s="17"/>
      <c r="I1163" s="17"/>
      <c r="J1163" s="17"/>
      <c r="K1163" s="235"/>
      <c r="L1163" s="17"/>
      <c r="M1163" s="229"/>
      <c r="N1163" s="17"/>
      <c r="O1163" s="17"/>
      <c r="P1163" s="17"/>
      <c r="Q1163" s="17"/>
      <c r="R1163" s="17"/>
      <c r="S1163" s="17"/>
      <c r="T1163" s="4"/>
      <c r="U1163" s="4"/>
    </row>
    <row r="1164" spans="1:21" x14ac:dyDescent="0.25">
      <c r="A1164" s="17"/>
      <c r="B1164" s="17"/>
      <c r="C1164" s="17"/>
      <c r="D1164" s="17"/>
      <c r="E1164" s="17"/>
      <c r="F1164" s="17"/>
      <c r="G1164" s="17"/>
      <c r="H1164" s="17"/>
      <c r="I1164" s="17"/>
      <c r="J1164" s="17"/>
      <c r="K1164" s="235"/>
      <c r="L1164" s="17"/>
      <c r="M1164" s="229"/>
      <c r="N1164" s="17"/>
      <c r="O1164" s="17"/>
      <c r="P1164" s="17"/>
      <c r="Q1164" s="17"/>
      <c r="R1164" s="17"/>
      <c r="S1164" s="17"/>
      <c r="T1164" s="4"/>
      <c r="U1164" s="4"/>
    </row>
    <row r="1165" spans="1:21" x14ac:dyDescent="0.25">
      <c r="A1165" s="17"/>
      <c r="B1165" s="17"/>
      <c r="C1165" s="17"/>
      <c r="D1165" s="17"/>
      <c r="E1165" s="17"/>
      <c r="F1165" s="17"/>
      <c r="G1165" s="17"/>
      <c r="H1165" s="17"/>
      <c r="I1165" s="17"/>
      <c r="J1165" s="17"/>
      <c r="K1165" s="235"/>
      <c r="L1165" s="17"/>
      <c r="M1165" s="229"/>
      <c r="N1165" s="17"/>
      <c r="O1165" s="17"/>
      <c r="P1165" s="17"/>
      <c r="Q1165" s="17"/>
      <c r="R1165" s="17"/>
      <c r="S1165" s="17"/>
      <c r="T1165" s="4"/>
      <c r="U1165" s="4"/>
    </row>
    <row r="1166" spans="1:21" x14ac:dyDescent="0.25">
      <c r="A1166" s="17"/>
      <c r="B1166" s="17"/>
      <c r="C1166" s="17"/>
      <c r="D1166" s="17"/>
      <c r="E1166" s="17"/>
      <c r="F1166" s="17"/>
      <c r="G1166" s="17"/>
      <c r="H1166" s="17"/>
      <c r="I1166" s="17"/>
      <c r="J1166" s="17"/>
      <c r="K1166" s="235"/>
      <c r="L1166" s="17"/>
      <c r="M1166" s="229"/>
      <c r="N1166" s="17"/>
      <c r="O1166" s="17"/>
      <c r="P1166" s="17"/>
      <c r="Q1166" s="17"/>
      <c r="R1166" s="17"/>
      <c r="S1166" s="17"/>
      <c r="T1166" s="4"/>
      <c r="U1166" s="4"/>
    </row>
    <row r="1167" spans="1:21" x14ac:dyDescent="0.25">
      <c r="A1167" s="17"/>
      <c r="B1167" s="17"/>
      <c r="C1167" s="17"/>
      <c r="D1167" s="17"/>
      <c r="E1167" s="17"/>
      <c r="F1167" s="17"/>
      <c r="G1167" s="17"/>
      <c r="H1167" s="17"/>
      <c r="I1167" s="17"/>
      <c r="J1167" s="17"/>
      <c r="K1167" s="235"/>
      <c r="L1167" s="17"/>
      <c r="M1167" s="229"/>
      <c r="N1167" s="17"/>
      <c r="O1167" s="17"/>
      <c r="P1167" s="17"/>
      <c r="Q1167" s="17"/>
      <c r="R1167" s="17"/>
      <c r="S1167" s="17"/>
      <c r="T1167" s="4"/>
      <c r="U1167" s="4"/>
    </row>
    <row r="1168" spans="1:21" x14ac:dyDescent="0.25">
      <c r="A1168" s="17"/>
      <c r="B1168" s="17"/>
      <c r="C1168" s="17"/>
      <c r="D1168" s="17"/>
      <c r="E1168" s="17"/>
      <c r="F1168" s="17"/>
      <c r="G1168" s="17"/>
      <c r="H1168" s="17"/>
      <c r="I1168" s="17"/>
      <c r="J1168" s="17"/>
      <c r="K1168" s="235"/>
      <c r="L1168" s="17"/>
      <c r="M1168" s="229"/>
      <c r="N1168" s="17"/>
      <c r="O1168" s="17"/>
      <c r="P1168" s="17"/>
      <c r="Q1168" s="17"/>
      <c r="R1168" s="17"/>
      <c r="S1168" s="17"/>
      <c r="T1168" s="4"/>
      <c r="U1168" s="4"/>
    </row>
    <row r="1169" spans="1:21" x14ac:dyDescent="0.25">
      <c r="A1169" s="17"/>
      <c r="B1169" s="17"/>
      <c r="C1169" s="17"/>
      <c r="D1169" s="17"/>
      <c r="E1169" s="17"/>
      <c r="F1169" s="17"/>
      <c r="G1169" s="17"/>
      <c r="H1169" s="17"/>
      <c r="I1169" s="17"/>
      <c r="J1169" s="17"/>
      <c r="K1169" s="235"/>
      <c r="L1169" s="17"/>
      <c r="M1169" s="229"/>
      <c r="N1169" s="17"/>
      <c r="O1169" s="17"/>
      <c r="P1169" s="17"/>
      <c r="Q1169" s="17"/>
      <c r="R1169" s="17"/>
      <c r="S1169" s="17"/>
      <c r="T1169" s="4"/>
      <c r="U1169" s="4"/>
    </row>
    <row r="1170" spans="1:21" x14ac:dyDescent="0.25">
      <c r="A1170" s="17"/>
      <c r="B1170" s="17"/>
      <c r="C1170" s="17"/>
      <c r="D1170" s="17"/>
      <c r="E1170" s="17"/>
      <c r="F1170" s="17"/>
      <c r="G1170" s="17"/>
      <c r="H1170" s="17"/>
      <c r="I1170" s="17"/>
      <c r="J1170" s="17"/>
      <c r="K1170" s="235"/>
      <c r="L1170" s="17"/>
      <c r="M1170" s="229"/>
      <c r="N1170" s="17"/>
      <c r="O1170" s="17"/>
      <c r="P1170" s="17"/>
      <c r="Q1170" s="17"/>
      <c r="R1170" s="17"/>
      <c r="S1170" s="17"/>
      <c r="T1170" s="4"/>
      <c r="U1170" s="4"/>
    </row>
    <row r="1171" spans="1:21" x14ac:dyDescent="0.25">
      <c r="A1171" s="17"/>
      <c r="B1171" s="17"/>
      <c r="C1171" s="17"/>
      <c r="D1171" s="17"/>
      <c r="E1171" s="17"/>
      <c r="F1171" s="17"/>
      <c r="G1171" s="17"/>
      <c r="H1171" s="17"/>
      <c r="I1171" s="17"/>
      <c r="J1171" s="17"/>
      <c r="K1171" s="235"/>
      <c r="L1171" s="17"/>
      <c r="M1171" s="229"/>
      <c r="N1171" s="17"/>
      <c r="O1171" s="17"/>
      <c r="P1171" s="17"/>
      <c r="Q1171" s="17"/>
      <c r="R1171" s="17"/>
      <c r="S1171" s="17"/>
      <c r="T1171" s="4"/>
      <c r="U1171" s="4"/>
    </row>
    <row r="1172" spans="1:21" x14ac:dyDescent="0.25">
      <c r="A1172" s="17"/>
      <c r="B1172" s="17"/>
      <c r="C1172" s="17"/>
      <c r="D1172" s="17"/>
      <c r="E1172" s="17"/>
      <c r="F1172" s="17"/>
      <c r="G1172" s="17"/>
      <c r="H1172" s="17"/>
      <c r="I1172" s="17"/>
      <c r="J1172" s="17"/>
      <c r="K1172" s="235"/>
      <c r="L1172" s="17"/>
      <c r="M1172" s="229"/>
      <c r="N1172" s="17"/>
      <c r="O1172" s="17"/>
      <c r="P1172" s="17"/>
      <c r="Q1172" s="17"/>
      <c r="R1172" s="17"/>
      <c r="S1172" s="17"/>
      <c r="T1172" s="4"/>
      <c r="U1172" s="4"/>
    </row>
    <row r="1173" spans="1:21" x14ac:dyDescent="0.25">
      <c r="A1173" s="17"/>
      <c r="B1173" s="17"/>
      <c r="C1173" s="17"/>
      <c r="D1173" s="17"/>
      <c r="E1173" s="17"/>
      <c r="F1173" s="17"/>
      <c r="G1173" s="17"/>
      <c r="H1173" s="17"/>
      <c r="I1173" s="17"/>
      <c r="J1173" s="17"/>
      <c r="K1173" s="235"/>
      <c r="L1173" s="17"/>
      <c r="M1173" s="229"/>
      <c r="N1173" s="17"/>
      <c r="O1173" s="17"/>
      <c r="P1173" s="17"/>
      <c r="Q1173" s="17"/>
      <c r="R1173" s="17"/>
      <c r="S1173" s="17"/>
      <c r="T1173" s="4"/>
      <c r="U1173" s="4"/>
    </row>
    <row r="1174" spans="1:21" x14ac:dyDescent="0.25">
      <c r="A1174" s="17"/>
      <c r="B1174" s="17"/>
      <c r="C1174" s="17"/>
      <c r="D1174" s="17"/>
      <c r="E1174" s="17"/>
      <c r="F1174" s="17"/>
      <c r="G1174" s="17"/>
      <c r="H1174" s="17"/>
      <c r="I1174" s="17"/>
      <c r="J1174" s="17"/>
      <c r="K1174" s="235"/>
      <c r="L1174" s="17"/>
      <c r="M1174" s="229"/>
      <c r="N1174" s="17"/>
      <c r="O1174" s="17"/>
      <c r="P1174" s="17"/>
      <c r="Q1174" s="17"/>
      <c r="R1174" s="17"/>
      <c r="S1174" s="17"/>
      <c r="T1174" s="4"/>
      <c r="U1174" s="4"/>
    </row>
    <row r="1175" spans="1:21" x14ac:dyDescent="0.25">
      <c r="A1175" s="17"/>
      <c r="B1175" s="17"/>
      <c r="C1175" s="17"/>
      <c r="D1175" s="17"/>
      <c r="E1175" s="17"/>
      <c r="F1175" s="17"/>
      <c r="G1175" s="17"/>
      <c r="H1175" s="17"/>
      <c r="I1175" s="17"/>
      <c r="J1175" s="17"/>
      <c r="K1175" s="235"/>
      <c r="L1175" s="17"/>
      <c r="M1175" s="229"/>
      <c r="N1175" s="17"/>
      <c r="O1175" s="17"/>
      <c r="P1175" s="17"/>
      <c r="Q1175" s="17"/>
      <c r="R1175" s="17"/>
      <c r="S1175" s="17"/>
      <c r="T1175" s="4"/>
      <c r="U1175" s="4"/>
    </row>
    <row r="1176" spans="1:21" x14ac:dyDescent="0.25">
      <c r="A1176" s="17"/>
      <c r="B1176" s="17"/>
      <c r="C1176" s="17"/>
      <c r="D1176" s="17"/>
      <c r="E1176" s="17"/>
      <c r="F1176" s="17"/>
      <c r="G1176" s="17"/>
      <c r="H1176" s="17"/>
      <c r="I1176" s="17"/>
      <c r="J1176" s="17"/>
      <c r="K1176" s="235"/>
      <c r="L1176" s="17"/>
      <c r="M1176" s="229"/>
      <c r="N1176" s="17"/>
      <c r="O1176" s="17"/>
      <c r="P1176" s="17"/>
      <c r="Q1176" s="17"/>
      <c r="R1176" s="17"/>
      <c r="S1176" s="17"/>
      <c r="T1176" s="4"/>
      <c r="U1176" s="4"/>
    </row>
    <row r="1177" spans="1:21" x14ac:dyDescent="0.25">
      <c r="A1177" s="17"/>
      <c r="B1177" s="17"/>
      <c r="C1177" s="17"/>
      <c r="D1177" s="17"/>
      <c r="E1177" s="17"/>
      <c r="F1177" s="17"/>
      <c r="G1177" s="17"/>
      <c r="H1177" s="17"/>
      <c r="I1177" s="17"/>
      <c r="J1177" s="17"/>
      <c r="K1177" s="235"/>
      <c r="L1177" s="17"/>
      <c r="M1177" s="229"/>
      <c r="N1177" s="17"/>
      <c r="O1177" s="17"/>
      <c r="P1177" s="17"/>
      <c r="Q1177" s="17"/>
      <c r="R1177" s="17"/>
      <c r="S1177" s="17"/>
      <c r="T1177" s="4"/>
      <c r="U1177" s="4"/>
    </row>
    <row r="1178" spans="1:21" x14ac:dyDescent="0.25">
      <c r="A1178" s="17"/>
      <c r="B1178" s="17"/>
      <c r="C1178" s="17"/>
      <c r="D1178" s="17"/>
      <c r="E1178" s="17"/>
      <c r="F1178" s="17"/>
      <c r="G1178" s="17"/>
      <c r="H1178" s="17"/>
      <c r="I1178" s="17"/>
      <c r="J1178" s="17"/>
      <c r="K1178" s="235"/>
      <c r="L1178" s="17"/>
      <c r="M1178" s="229"/>
      <c r="N1178" s="17"/>
      <c r="O1178" s="17"/>
      <c r="P1178" s="17"/>
      <c r="Q1178" s="17"/>
      <c r="R1178" s="17"/>
      <c r="S1178" s="17"/>
      <c r="T1178" s="4"/>
      <c r="U1178" s="4"/>
    </row>
    <row r="1179" spans="1:21" x14ac:dyDescent="0.25">
      <c r="A1179" s="17"/>
      <c r="B1179" s="17"/>
      <c r="C1179" s="17"/>
      <c r="D1179" s="17"/>
      <c r="E1179" s="17"/>
      <c r="F1179" s="17"/>
      <c r="G1179" s="17"/>
      <c r="H1179" s="17"/>
      <c r="I1179" s="17"/>
      <c r="J1179" s="17"/>
      <c r="K1179" s="235"/>
      <c r="L1179" s="17"/>
      <c r="M1179" s="229"/>
      <c r="N1179" s="17"/>
      <c r="O1179" s="17"/>
      <c r="P1179" s="17"/>
      <c r="Q1179" s="17"/>
      <c r="R1179" s="17"/>
      <c r="S1179" s="17"/>
      <c r="T1179" s="4"/>
      <c r="U1179" s="4"/>
    </row>
    <row r="1180" spans="1:21" x14ac:dyDescent="0.25">
      <c r="A1180" s="17"/>
      <c r="B1180" s="17"/>
      <c r="C1180" s="17"/>
      <c r="D1180" s="17"/>
      <c r="E1180" s="17"/>
      <c r="F1180" s="17"/>
      <c r="G1180" s="17"/>
      <c r="H1180" s="17"/>
      <c r="I1180" s="17"/>
      <c r="J1180" s="17"/>
      <c r="K1180" s="235"/>
      <c r="L1180" s="17"/>
      <c r="M1180" s="229"/>
      <c r="N1180" s="17"/>
      <c r="O1180" s="17"/>
      <c r="P1180" s="17"/>
      <c r="Q1180" s="17"/>
      <c r="R1180" s="17"/>
      <c r="S1180" s="17"/>
      <c r="T1180" s="4"/>
      <c r="U1180" s="4"/>
    </row>
    <row r="1181" spans="1:21" x14ac:dyDescent="0.25">
      <c r="A1181" s="17"/>
      <c r="B1181" s="17"/>
      <c r="C1181" s="17"/>
      <c r="D1181" s="17"/>
      <c r="E1181" s="17"/>
      <c r="F1181" s="17"/>
      <c r="G1181" s="17"/>
      <c r="H1181" s="17"/>
      <c r="I1181" s="17"/>
      <c r="J1181" s="17"/>
      <c r="K1181" s="235"/>
      <c r="L1181" s="17"/>
      <c r="M1181" s="229"/>
      <c r="N1181" s="17"/>
      <c r="O1181" s="17"/>
      <c r="P1181" s="17"/>
      <c r="Q1181" s="17"/>
      <c r="R1181" s="17"/>
      <c r="S1181" s="17"/>
      <c r="T1181" s="4"/>
      <c r="U1181" s="4"/>
    </row>
    <row r="1182" spans="1:21" x14ac:dyDescent="0.25">
      <c r="A1182" s="17"/>
      <c r="B1182" s="17"/>
      <c r="C1182" s="17"/>
      <c r="D1182" s="17"/>
      <c r="E1182" s="17"/>
      <c r="F1182" s="17"/>
      <c r="G1182" s="17"/>
      <c r="H1182" s="17"/>
      <c r="I1182" s="17"/>
      <c r="J1182" s="17"/>
      <c r="K1182" s="235"/>
      <c r="L1182" s="17"/>
      <c r="M1182" s="229"/>
      <c r="N1182" s="17"/>
      <c r="O1182" s="17"/>
      <c r="P1182" s="17"/>
      <c r="Q1182" s="17"/>
      <c r="R1182" s="17"/>
      <c r="S1182" s="17"/>
      <c r="T1182" s="4"/>
      <c r="U1182" s="4"/>
    </row>
    <row r="1183" spans="1:21" x14ac:dyDescent="0.25">
      <c r="A1183" s="17"/>
      <c r="B1183" s="17"/>
      <c r="C1183" s="17"/>
      <c r="D1183" s="17"/>
      <c r="E1183" s="17"/>
      <c r="F1183" s="17"/>
      <c r="G1183" s="17"/>
      <c r="H1183" s="17"/>
      <c r="I1183" s="17"/>
      <c r="J1183" s="17"/>
      <c r="K1183" s="235"/>
      <c r="L1183" s="17"/>
      <c r="M1183" s="229"/>
      <c r="N1183" s="17"/>
      <c r="O1183" s="17"/>
      <c r="P1183" s="17"/>
      <c r="Q1183" s="17"/>
      <c r="R1183" s="17"/>
      <c r="S1183" s="17"/>
      <c r="T1183" s="4"/>
      <c r="U1183" s="4"/>
    </row>
    <row r="1184" spans="1:21" x14ac:dyDescent="0.25">
      <c r="A1184" s="17"/>
      <c r="B1184" s="17"/>
      <c r="C1184" s="17"/>
      <c r="D1184" s="17"/>
      <c r="E1184" s="17"/>
      <c r="F1184" s="17"/>
      <c r="G1184" s="17"/>
      <c r="H1184" s="17"/>
      <c r="I1184" s="17"/>
      <c r="J1184" s="17"/>
      <c r="K1184" s="235"/>
      <c r="L1184" s="17"/>
      <c r="M1184" s="229"/>
      <c r="N1184" s="17"/>
      <c r="O1184" s="17"/>
      <c r="P1184" s="17"/>
      <c r="Q1184" s="17"/>
      <c r="R1184" s="17"/>
      <c r="S1184" s="17"/>
      <c r="T1184" s="4"/>
      <c r="U1184" s="4"/>
    </row>
    <row r="1185" spans="1:21" x14ac:dyDescent="0.25">
      <c r="A1185" s="4"/>
      <c r="B1185" s="4"/>
      <c r="C1185" s="4"/>
      <c r="D1185" s="4"/>
      <c r="E1185" s="4"/>
      <c r="F1185" s="4"/>
      <c r="G1185" s="4"/>
      <c r="H1185" s="4"/>
      <c r="I1185" s="4"/>
      <c r="J1185" s="4"/>
      <c r="K1185" s="235"/>
      <c r="L1185" s="4"/>
      <c r="M1185" s="229"/>
      <c r="N1185" s="17"/>
      <c r="O1185" s="17"/>
      <c r="P1185" s="17"/>
      <c r="Q1185" s="17"/>
      <c r="R1185" s="17"/>
      <c r="S1185" s="17"/>
      <c r="T1185" s="4"/>
      <c r="U1185" s="4"/>
    </row>
    <row r="1186" spans="1:21" x14ac:dyDescent="0.25">
      <c r="A1186" s="4"/>
      <c r="B1186" s="4"/>
      <c r="C1186" s="4"/>
      <c r="D1186" s="4"/>
      <c r="E1186" s="4"/>
      <c r="F1186" s="4"/>
      <c r="G1186" s="4"/>
      <c r="H1186" s="4"/>
      <c r="I1186" s="4"/>
      <c r="J1186" s="4"/>
      <c r="K1186" s="235"/>
      <c r="L1186" s="4"/>
      <c r="M1186" s="229"/>
      <c r="N1186" s="17"/>
      <c r="O1186" s="17"/>
      <c r="P1186" s="17"/>
      <c r="Q1186" s="17"/>
      <c r="R1186" s="17"/>
      <c r="S1186" s="17"/>
      <c r="T1186" s="4"/>
      <c r="U1186" s="4"/>
    </row>
    <row r="1187" spans="1:21" x14ac:dyDescent="0.25">
      <c r="A1187" s="4"/>
      <c r="B1187" s="4"/>
      <c r="C1187" s="4"/>
      <c r="D1187" s="4"/>
      <c r="E1187" s="4"/>
      <c r="F1187" s="4"/>
      <c r="G1187" s="4"/>
      <c r="H1187" s="4"/>
      <c r="I1187" s="4"/>
      <c r="J1187" s="4"/>
      <c r="K1187" s="235"/>
      <c r="L1187" s="4"/>
      <c r="M1187" s="229"/>
      <c r="N1187" s="17"/>
      <c r="O1187" s="17"/>
      <c r="P1187" s="17"/>
      <c r="Q1187" s="17"/>
      <c r="R1187" s="17"/>
      <c r="S1187" s="17"/>
      <c r="T1187" s="4"/>
      <c r="U1187" s="4"/>
    </row>
    <row r="1188" spans="1:21" x14ac:dyDescent="0.25">
      <c r="A1188" s="4"/>
      <c r="B1188" s="4"/>
      <c r="C1188" s="4"/>
      <c r="D1188" s="4"/>
      <c r="E1188" s="4"/>
      <c r="F1188" s="4"/>
      <c r="G1188" s="4"/>
      <c r="H1188" s="4"/>
      <c r="I1188" s="4"/>
      <c r="J1188" s="4"/>
      <c r="K1188" s="235"/>
      <c r="L1188" s="4"/>
      <c r="M1188" s="229"/>
      <c r="N1188" s="17"/>
      <c r="O1188" s="17"/>
      <c r="P1188" s="17"/>
      <c r="Q1188" s="17"/>
      <c r="R1188" s="17"/>
      <c r="S1188" s="17"/>
      <c r="T1188" s="4"/>
      <c r="U1188" s="4"/>
    </row>
    <row r="1189" spans="1:21" x14ac:dyDescent="0.25">
      <c r="A1189" s="4"/>
      <c r="B1189" s="4"/>
      <c r="C1189" s="4"/>
      <c r="D1189" s="4"/>
      <c r="E1189" s="4"/>
      <c r="F1189" s="4"/>
      <c r="G1189" s="4"/>
      <c r="H1189" s="4"/>
      <c r="I1189" s="4"/>
      <c r="J1189" s="4"/>
      <c r="K1189" s="235"/>
      <c r="L1189" s="4"/>
      <c r="M1189" s="229"/>
      <c r="N1189" s="17"/>
      <c r="O1189" s="17"/>
      <c r="P1189" s="17"/>
      <c r="Q1189" s="17"/>
      <c r="R1189" s="17"/>
      <c r="S1189" s="17"/>
      <c r="T1189" s="4"/>
      <c r="U1189" s="4"/>
    </row>
    <row r="1190" spans="1:21" x14ac:dyDescent="0.25">
      <c r="A1190" s="4"/>
      <c r="B1190" s="4"/>
      <c r="C1190" s="4"/>
      <c r="D1190" s="4"/>
      <c r="E1190" s="4"/>
      <c r="F1190" s="4"/>
      <c r="G1190" s="4"/>
      <c r="H1190" s="4"/>
      <c r="I1190" s="4"/>
      <c r="J1190" s="4"/>
      <c r="K1190" s="235"/>
      <c r="L1190" s="4"/>
      <c r="M1190" s="229"/>
      <c r="N1190" s="17"/>
      <c r="O1190" s="17"/>
      <c r="P1190" s="17"/>
      <c r="Q1190" s="17"/>
      <c r="R1190" s="17"/>
      <c r="S1190" s="17"/>
      <c r="T1190" s="4"/>
      <c r="U1190" s="4"/>
    </row>
    <row r="1191" spans="1:21" x14ac:dyDescent="0.25">
      <c r="A1191" s="4"/>
      <c r="B1191" s="4"/>
      <c r="C1191" s="4"/>
      <c r="D1191" s="4"/>
      <c r="E1191" s="4"/>
      <c r="F1191" s="4"/>
      <c r="G1191" s="4"/>
      <c r="H1191" s="4"/>
      <c r="I1191" s="4"/>
      <c r="J1191" s="4"/>
      <c r="K1191" s="235"/>
      <c r="L1191" s="4"/>
      <c r="M1191" s="229"/>
      <c r="N1191" s="17"/>
      <c r="O1191" s="17"/>
      <c r="P1191" s="17"/>
      <c r="Q1191" s="17"/>
      <c r="R1191" s="17"/>
      <c r="S1191" s="17"/>
      <c r="T1191" s="4"/>
      <c r="U1191" s="4"/>
    </row>
    <row r="1192" spans="1:21" x14ac:dyDescent="0.25">
      <c r="A1192" s="4"/>
      <c r="B1192" s="4"/>
      <c r="C1192" s="4"/>
      <c r="D1192" s="4"/>
      <c r="E1192" s="4"/>
      <c r="F1192" s="4"/>
      <c r="G1192" s="4"/>
      <c r="H1192" s="4"/>
      <c r="I1192" s="4"/>
      <c r="J1192" s="4"/>
      <c r="K1192" s="235"/>
      <c r="L1192" s="4"/>
      <c r="M1192" s="229"/>
      <c r="N1192" s="17"/>
      <c r="O1192" s="17"/>
      <c r="P1192" s="17"/>
      <c r="Q1192" s="17"/>
      <c r="R1192" s="17"/>
      <c r="S1192" s="17"/>
      <c r="T1192" s="4"/>
      <c r="U1192" s="4"/>
    </row>
    <row r="1193" spans="1:21" x14ac:dyDescent="0.25">
      <c r="A1193" s="4"/>
      <c r="B1193" s="4"/>
      <c r="C1193" s="4"/>
      <c r="D1193" s="4"/>
      <c r="E1193" s="4"/>
      <c r="F1193" s="4"/>
      <c r="G1193" s="4"/>
      <c r="H1193" s="4"/>
      <c r="I1193" s="4"/>
      <c r="J1193" s="4"/>
      <c r="K1193" s="235"/>
      <c r="L1193" s="4"/>
      <c r="M1193" s="229"/>
      <c r="N1193" s="17"/>
      <c r="O1193" s="17"/>
      <c r="P1193" s="17"/>
      <c r="Q1193" s="17"/>
      <c r="R1193" s="17"/>
      <c r="S1193" s="17"/>
      <c r="T1193" s="4"/>
      <c r="U1193" s="4"/>
    </row>
    <row r="1194" spans="1:21" x14ac:dyDescent="0.25">
      <c r="A1194" s="4"/>
      <c r="B1194" s="4"/>
      <c r="C1194" s="4"/>
      <c r="D1194" s="4"/>
      <c r="E1194" s="4"/>
      <c r="F1194" s="4"/>
      <c r="G1194" s="4"/>
      <c r="H1194" s="4"/>
      <c r="I1194" s="4"/>
      <c r="J1194" s="4"/>
      <c r="K1194" s="235"/>
      <c r="L1194" s="4"/>
      <c r="M1194" s="229"/>
      <c r="N1194" s="17"/>
      <c r="O1194" s="17"/>
      <c r="P1194" s="17"/>
      <c r="Q1194" s="17"/>
      <c r="R1194" s="17"/>
      <c r="S1194" s="17"/>
      <c r="T1194" s="4"/>
      <c r="U1194" s="4"/>
    </row>
    <row r="1195" spans="1:21" x14ac:dyDescent="0.25">
      <c r="A1195" s="4"/>
      <c r="B1195" s="4"/>
      <c r="C1195" s="4"/>
      <c r="D1195" s="4"/>
      <c r="E1195" s="4"/>
      <c r="F1195" s="4"/>
      <c r="G1195" s="4"/>
      <c r="H1195" s="4"/>
      <c r="I1195" s="4"/>
      <c r="J1195" s="4"/>
      <c r="K1195" s="235"/>
      <c r="L1195" s="4"/>
      <c r="M1195" s="229"/>
      <c r="N1195" s="17"/>
      <c r="O1195" s="17"/>
      <c r="P1195" s="17"/>
      <c r="Q1195" s="17"/>
      <c r="R1195" s="17"/>
      <c r="S1195" s="17"/>
      <c r="T1195" s="4"/>
      <c r="U1195" s="4"/>
    </row>
    <row r="1196" spans="1:21" x14ac:dyDescent="0.25">
      <c r="A1196" s="4"/>
      <c r="B1196" s="4"/>
      <c r="C1196" s="4"/>
      <c r="D1196" s="4"/>
      <c r="E1196" s="4"/>
      <c r="F1196" s="4"/>
      <c r="G1196" s="4"/>
      <c r="H1196" s="4"/>
      <c r="I1196" s="4"/>
      <c r="J1196" s="4"/>
      <c r="K1196" s="235"/>
      <c r="L1196" s="4"/>
      <c r="M1196" s="229"/>
      <c r="N1196" s="17"/>
      <c r="O1196" s="17"/>
      <c r="P1196" s="17"/>
      <c r="Q1196" s="17"/>
      <c r="R1196" s="17"/>
      <c r="S1196" s="17"/>
      <c r="T1196" s="4"/>
      <c r="U1196" s="4"/>
    </row>
    <row r="1197" spans="1:21" x14ac:dyDescent="0.25">
      <c r="A1197" s="4"/>
      <c r="B1197" s="4"/>
      <c r="C1197" s="4"/>
      <c r="D1197" s="4"/>
      <c r="E1197" s="4"/>
      <c r="F1197" s="4"/>
      <c r="G1197" s="4"/>
      <c r="H1197" s="4"/>
      <c r="I1197" s="4"/>
      <c r="J1197" s="4"/>
      <c r="K1197" s="235"/>
      <c r="L1197" s="4"/>
      <c r="M1197" s="229"/>
      <c r="N1197" s="17"/>
      <c r="O1197" s="17"/>
      <c r="P1197" s="17"/>
      <c r="Q1197" s="17"/>
      <c r="R1197" s="17"/>
      <c r="S1197" s="17"/>
      <c r="T1197" s="4"/>
      <c r="U1197" s="4"/>
    </row>
    <row r="1198" spans="1:21" x14ac:dyDescent="0.25">
      <c r="A1198" s="4"/>
      <c r="B1198" s="4"/>
      <c r="C1198" s="4"/>
      <c r="D1198" s="4"/>
      <c r="E1198" s="4"/>
      <c r="F1198" s="4"/>
      <c r="G1198" s="4"/>
      <c r="H1198" s="4"/>
      <c r="I1198" s="4"/>
      <c r="J1198" s="4"/>
      <c r="K1198" s="235"/>
      <c r="L1198" s="4"/>
      <c r="M1198" s="229"/>
      <c r="N1198" s="17"/>
      <c r="O1198" s="17"/>
      <c r="P1198" s="17"/>
      <c r="Q1198" s="17"/>
      <c r="R1198" s="17"/>
      <c r="S1198" s="17"/>
      <c r="T1198" s="4"/>
      <c r="U1198" s="4"/>
    </row>
    <row r="1199" spans="1:21" x14ac:dyDescent="0.25">
      <c r="A1199" s="4"/>
      <c r="B1199" s="4"/>
      <c r="C1199" s="4"/>
      <c r="D1199" s="4"/>
      <c r="E1199" s="4"/>
      <c r="F1199" s="4"/>
      <c r="G1199" s="4"/>
      <c r="H1199" s="4"/>
      <c r="I1199" s="4"/>
      <c r="J1199" s="4"/>
      <c r="K1199" s="235"/>
      <c r="L1199" s="4"/>
      <c r="M1199" s="229"/>
      <c r="N1199" s="17"/>
      <c r="O1199" s="17"/>
      <c r="P1199" s="17"/>
      <c r="Q1199" s="17"/>
      <c r="R1199" s="17"/>
      <c r="S1199" s="17"/>
      <c r="T1199" s="4"/>
      <c r="U1199" s="4"/>
    </row>
    <row r="1200" spans="1:21" x14ac:dyDescent="0.25">
      <c r="A1200" s="4"/>
      <c r="B1200" s="4"/>
      <c r="C1200" s="4"/>
      <c r="D1200" s="4"/>
      <c r="E1200" s="4"/>
      <c r="F1200" s="4"/>
      <c r="G1200" s="4"/>
      <c r="H1200" s="4"/>
      <c r="I1200" s="4"/>
      <c r="J1200" s="4"/>
      <c r="K1200" s="235"/>
      <c r="L1200" s="4"/>
      <c r="M1200" s="229"/>
      <c r="N1200" s="17"/>
      <c r="O1200" s="17"/>
      <c r="P1200" s="17"/>
      <c r="Q1200" s="17"/>
      <c r="R1200" s="17"/>
      <c r="S1200" s="17"/>
      <c r="T1200" s="4"/>
      <c r="U1200" s="4"/>
    </row>
    <row r="1201" spans="1:21" x14ac:dyDescent="0.25">
      <c r="A1201" s="4"/>
      <c r="B1201" s="4"/>
      <c r="C1201" s="4"/>
      <c r="D1201" s="4"/>
      <c r="E1201" s="4"/>
      <c r="F1201" s="4"/>
      <c r="G1201" s="4"/>
      <c r="H1201" s="4"/>
      <c r="I1201" s="4"/>
      <c r="J1201" s="4"/>
      <c r="K1201" s="235"/>
      <c r="L1201" s="4"/>
      <c r="M1201" s="229"/>
      <c r="N1201" s="17"/>
      <c r="O1201" s="17"/>
      <c r="P1201" s="17"/>
      <c r="Q1201" s="17"/>
      <c r="R1201" s="17"/>
      <c r="S1201" s="17"/>
      <c r="T1201" s="4"/>
      <c r="U1201" s="4"/>
    </row>
    <row r="1202" spans="1:21" x14ac:dyDescent="0.25">
      <c r="A1202" s="4"/>
      <c r="B1202" s="4"/>
      <c r="C1202" s="4"/>
      <c r="D1202" s="4"/>
      <c r="E1202" s="4"/>
      <c r="F1202" s="4"/>
      <c r="G1202" s="4"/>
      <c r="H1202" s="4"/>
      <c r="I1202" s="4"/>
      <c r="J1202" s="4"/>
      <c r="K1202" s="235"/>
      <c r="L1202" s="4"/>
      <c r="M1202" s="229"/>
      <c r="N1202" s="17"/>
      <c r="O1202" s="17"/>
      <c r="P1202" s="17"/>
      <c r="Q1202" s="17"/>
      <c r="R1202" s="17"/>
      <c r="S1202" s="17"/>
      <c r="T1202" s="4"/>
      <c r="U1202" s="4"/>
    </row>
    <row r="1203" spans="1:21" x14ac:dyDescent="0.25">
      <c r="A1203" s="4"/>
      <c r="B1203" s="4"/>
      <c r="C1203" s="4"/>
      <c r="D1203" s="4"/>
      <c r="E1203" s="4"/>
      <c r="F1203" s="4"/>
      <c r="G1203" s="4"/>
      <c r="H1203" s="4"/>
      <c r="I1203" s="4"/>
      <c r="J1203" s="4"/>
      <c r="K1203" s="235"/>
      <c r="L1203" s="4"/>
      <c r="M1203" s="229"/>
      <c r="N1203" s="17"/>
      <c r="O1203" s="17"/>
      <c r="P1203" s="17"/>
      <c r="Q1203" s="17"/>
      <c r="R1203" s="17"/>
      <c r="S1203" s="17"/>
      <c r="T1203" s="4"/>
      <c r="U1203" s="4"/>
    </row>
    <row r="1204" spans="1:21" x14ac:dyDescent="0.25">
      <c r="A1204" s="4"/>
      <c r="B1204" s="4"/>
      <c r="C1204" s="4"/>
      <c r="D1204" s="4"/>
      <c r="E1204" s="4"/>
      <c r="F1204" s="4"/>
      <c r="G1204" s="4"/>
      <c r="H1204" s="4"/>
      <c r="I1204" s="4"/>
      <c r="J1204" s="4"/>
      <c r="K1204" s="235"/>
      <c r="L1204" s="4"/>
      <c r="M1204" s="229"/>
      <c r="N1204" s="17"/>
      <c r="O1204" s="17"/>
      <c r="P1204" s="17"/>
      <c r="Q1204" s="17"/>
      <c r="R1204" s="17"/>
      <c r="S1204" s="17"/>
      <c r="T1204" s="4"/>
      <c r="U1204" s="4"/>
    </row>
    <row r="1205" spans="1:21" x14ac:dyDescent="0.25">
      <c r="A1205" s="4"/>
      <c r="B1205" s="4"/>
      <c r="C1205" s="4"/>
      <c r="D1205" s="4"/>
      <c r="E1205" s="4"/>
      <c r="F1205" s="4"/>
      <c r="G1205" s="4"/>
      <c r="H1205" s="4"/>
      <c r="I1205" s="4"/>
      <c r="J1205" s="4"/>
      <c r="K1205" s="235"/>
      <c r="L1205" s="4"/>
      <c r="M1205" s="229"/>
      <c r="N1205" s="17"/>
      <c r="O1205" s="17"/>
      <c r="P1205" s="17"/>
      <c r="Q1205" s="17"/>
      <c r="R1205" s="17"/>
      <c r="S1205" s="17"/>
      <c r="T1205" s="4"/>
      <c r="U1205" s="4"/>
    </row>
    <row r="1206" spans="1:21" x14ac:dyDescent="0.25">
      <c r="A1206" s="4"/>
      <c r="B1206" s="4"/>
      <c r="C1206" s="4"/>
      <c r="D1206" s="4"/>
      <c r="E1206" s="4"/>
      <c r="F1206" s="4"/>
      <c r="G1206" s="4"/>
      <c r="H1206" s="4"/>
      <c r="I1206" s="4"/>
      <c r="J1206" s="4"/>
      <c r="K1206" s="235"/>
      <c r="L1206" s="4"/>
      <c r="M1206" s="229"/>
      <c r="N1206" s="17"/>
      <c r="O1206" s="17"/>
      <c r="P1206" s="17"/>
      <c r="Q1206" s="17"/>
      <c r="R1206" s="17"/>
      <c r="S1206" s="17"/>
      <c r="T1206" s="4"/>
      <c r="U1206" s="4"/>
    </row>
    <row r="1207" spans="1:21" x14ac:dyDescent="0.25">
      <c r="A1207" s="4"/>
      <c r="B1207" s="4"/>
      <c r="C1207" s="4"/>
      <c r="D1207" s="4"/>
      <c r="E1207" s="4"/>
      <c r="F1207" s="4"/>
      <c r="G1207" s="4"/>
      <c r="H1207" s="4"/>
      <c r="I1207" s="4"/>
      <c r="J1207" s="4"/>
      <c r="K1207" s="235"/>
      <c r="L1207" s="4"/>
      <c r="M1207" s="229"/>
      <c r="N1207" s="17"/>
      <c r="O1207" s="17"/>
      <c r="P1207" s="17"/>
      <c r="Q1207" s="17"/>
      <c r="R1207" s="17"/>
      <c r="S1207" s="17"/>
      <c r="T1207" s="4"/>
      <c r="U1207" s="4"/>
    </row>
    <row r="1208" spans="1:21" x14ac:dyDescent="0.25">
      <c r="A1208" s="4"/>
      <c r="B1208" s="4"/>
      <c r="C1208" s="4"/>
      <c r="D1208" s="4"/>
      <c r="E1208" s="4"/>
      <c r="F1208" s="4"/>
      <c r="G1208" s="4"/>
      <c r="H1208" s="4"/>
      <c r="I1208" s="4"/>
      <c r="J1208" s="4"/>
      <c r="K1208" s="235"/>
      <c r="L1208" s="4"/>
      <c r="M1208" s="229"/>
      <c r="N1208" s="17"/>
      <c r="O1208" s="17"/>
      <c r="P1208" s="17"/>
      <c r="Q1208" s="17"/>
      <c r="R1208" s="17"/>
      <c r="S1208" s="17"/>
      <c r="T1208" s="4"/>
      <c r="U1208" s="4"/>
    </row>
    <row r="1209" spans="1:21" x14ac:dyDescent="0.25">
      <c r="A1209" s="4"/>
      <c r="B1209" s="4"/>
      <c r="C1209" s="4"/>
      <c r="D1209" s="4"/>
      <c r="E1209" s="4"/>
      <c r="F1209" s="4"/>
      <c r="G1209" s="4"/>
      <c r="H1209" s="4"/>
      <c r="I1209" s="4"/>
      <c r="J1209" s="4"/>
      <c r="K1209" s="235"/>
      <c r="L1209" s="4"/>
      <c r="M1209" s="229"/>
      <c r="N1209" s="17"/>
      <c r="O1209" s="17"/>
      <c r="P1209" s="17"/>
      <c r="Q1209" s="17"/>
      <c r="R1209" s="17"/>
      <c r="S1209" s="17"/>
      <c r="T1209" s="4"/>
      <c r="U1209" s="4"/>
    </row>
    <row r="1210" spans="1:21" x14ac:dyDescent="0.25">
      <c r="A1210" s="4"/>
      <c r="B1210" s="4"/>
      <c r="C1210" s="4"/>
      <c r="D1210" s="4"/>
      <c r="E1210" s="4"/>
      <c r="F1210" s="4"/>
      <c r="G1210" s="4"/>
      <c r="H1210" s="4"/>
      <c r="I1210" s="4"/>
      <c r="J1210" s="4"/>
      <c r="K1210" s="235"/>
      <c r="L1210" s="4"/>
      <c r="M1210" s="229"/>
      <c r="N1210" s="17"/>
      <c r="O1210" s="17"/>
      <c r="P1210" s="17"/>
      <c r="Q1210" s="17"/>
      <c r="R1210" s="17"/>
      <c r="S1210" s="17"/>
      <c r="T1210" s="4"/>
      <c r="U1210" s="4"/>
    </row>
    <row r="1211" spans="1:21" x14ac:dyDescent="0.25">
      <c r="A1211" s="4"/>
      <c r="B1211" s="4"/>
      <c r="C1211" s="4"/>
      <c r="D1211" s="4"/>
      <c r="E1211" s="4"/>
      <c r="F1211" s="4"/>
      <c r="G1211" s="4"/>
      <c r="H1211" s="4"/>
      <c r="I1211" s="4"/>
      <c r="J1211" s="4"/>
      <c r="K1211" s="235"/>
      <c r="L1211" s="4"/>
      <c r="M1211" s="229"/>
      <c r="N1211" s="17"/>
      <c r="O1211" s="17"/>
      <c r="P1211" s="17"/>
      <c r="Q1211" s="17"/>
      <c r="R1211" s="17"/>
      <c r="S1211" s="17"/>
      <c r="T1211" s="4"/>
      <c r="U1211" s="4"/>
    </row>
    <row r="1212" spans="1:21" x14ac:dyDescent="0.25">
      <c r="A1212" s="4"/>
      <c r="B1212" s="4"/>
      <c r="C1212" s="4"/>
      <c r="D1212" s="4"/>
      <c r="E1212" s="4"/>
      <c r="F1212" s="4"/>
      <c r="G1212" s="4"/>
      <c r="H1212" s="4"/>
      <c r="I1212" s="4"/>
      <c r="J1212" s="4"/>
      <c r="K1212" s="235"/>
      <c r="L1212" s="4"/>
      <c r="M1212" s="229"/>
      <c r="N1212" s="17"/>
      <c r="O1212" s="17"/>
      <c r="P1212" s="17"/>
      <c r="Q1212" s="17"/>
      <c r="R1212" s="17"/>
      <c r="S1212" s="17"/>
      <c r="T1212" s="4"/>
      <c r="U1212" s="4"/>
    </row>
    <row r="1213" spans="1:21" x14ac:dyDescent="0.25">
      <c r="A1213" s="4"/>
      <c r="B1213" s="4"/>
      <c r="C1213" s="4"/>
      <c r="D1213" s="4"/>
      <c r="E1213" s="4"/>
      <c r="F1213" s="4"/>
      <c r="G1213" s="4"/>
      <c r="H1213" s="4"/>
      <c r="I1213" s="4"/>
      <c r="J1213" s="4"/>
      <c r="K1213" s="235"/>
      <c r="L1213" s="4"/>
      <c r="M1213" s="229"/>
      <c r="N1213" s="17"/>
      <c r="O1213" s="17"/>
      <c r="P1213" s="17"/>
      <c r="Q1213" s="17"/>
      <c r="R1213" s="17"/>
      <c r="S1213" s="17"/>
      <c r="T1213" s="4"/>
      <c r="U1213" s="4"/>
    </row>
    <row r="1214" spans="1:21" x14ac:dyDescent="0.25">
      <c r="A1214" s="4"/>
      <c r="B1214" s="4"/>
      <c r="C1214" s="4"/>
      <c r="D1214" s="4"/>
      <c r="E1214" s="4"/>
      <c r="F1214" s="4"/>
      <c r="G1214" s="4"/>
      <c r="H1214" s="4"/>
      <c r="I1214" s="4"/>
      <c r="J1214" s="4"/>
      <c r="K1214" s="235"/>
      <c r="L1214" s="4"/>
      <c r="M1214" s="229"/>
      <c r="N1214" s="17"/>
      <c r="O1214" s="17"/>
      <c r="P1214" s="17"/>
      <c r="Q1214" s="17"/>
      <c r="R1214" s="17"/>
      <c r="S1214" s="17"/>
      <c r="T1214" s="4"/>
      <c r="U1214" s="4"/>
    </row>
    <row r="1215" spans="1:21" x14ac:dyDescent="0.25">
      <c r="A1215" s="4"/>
      <c r="B1215" s="4"/>
      <c r="C1215" s="4"/>
      <c r="D1215" s="4"/>
      <c r="E1215" s="4"/>
      <c r="F1215" s="4"/>
      <c r="G1215" s="4"/>
      <c r="H1215" s="4"/>
      <c r="I1215" s="4"/>
      <c r="J1215" s="4"/>
      <c r="K1215" s="235"/>
      <c r="L1215" s="4"/>
      <c r="M1215" s="229"/>
      <c r="N1215" s="17"/>
      <c r="O1215" s="17"/>
      <c r="P1215" s="17"/>
      <c r="Q1215" s="17"/>
      <c r="R1215" s="17"/>
      <c r="S1215" s="17"/>
      <c r="T1215" s="4"/>
      <c r="U1215" s="4"/>
    </row>
    <row r="1216" spans="1:21" x14ac:dyDescent="0.25">
      <c r="A1216" s="4"/>
      <c r="B1216" s="4"/>
      <c r="C1216" s="4"/>
      <c r="D1216" s="4"/>
      <c r="E1216" s="4"/>
      <c r="F1216" s="4"/>
      <c r="G1216" s="4"/>
      <c r="H1216" s="4"/>
      <c r="I1216" s="4"/>
      <c r="J1216" s="4"/>
      <c r="K1216" s="235"/>
      <c r="L1216" s="4"/>
      <c r="M1216" s="229"/>
      <c r="N1216" s="17"/>
      <c r="O1216" s="17"/>
      <c r="P1216" s="17"/>
      <c r="Q1216" s="17"/>
      <c r="R1216" s="17"/>
      <c r="S1216" s="17"/>
      <c r="T1216" s="4"/>
      <c r="U1216" s="4"/>
    </row>
    <row r="1217" spans="1:21" x14ac:dyDescent="0.25">
      <c r="A1217" s="4"/>
      <c r="B1217" s="4"/>
      <c r="C1217" s="4"/>
      <c r="D1217" s="4"/>
      <c r="E1217" s="4"/>
      <c r="F1217" s="4"/>
      <c r="G1217" s="4"/>
      <c r="H1217" s="4"/>
      <c r="I1217" s="4"/>
      <c r="J1217" s="4"/>
      <c r="K1217" s="235"/>
      <c r="L1217" s="4"/>
      <c r="M1217" s="229"/>
      <c r="N1217" s="17"/>
      <c r="O1217" s="17"/>
      <c r="P1217" s="17"/>
      <c r="Q1217" s="17"/>
      <c r="R1217" s="17"/>
      <c r="S1217" s="17"/>
      <c r="T1217" s="4"/>
      <c r="U1217" s="4"/>
    </row>
    <row r="1218" spans="1:21" x14ac:dyDescent="0.25">
      <c r="A1218" s="4"/>
      <c r="B1218" s="4"/>
      <c r="C1218" s="4"/>
      <c r="D1218" s="4"/>
      <c r="E1218" s="4"/>
      <c r="F1218" s="4"/>
      <c r="G1218" s="4"/>
      <c r="H1218" s="4"/>
      <c r="I1218" s="4"/>
      <c r="J1218" s="4"/>
      <c r="K1218" s="235"/>
      <c r="L1218" s="4"/>
      <c r="M1218" s="229"/>
      <c r="N1218" s="17"/>
      <c r="O1218" s="17"/>
      <c r="P1218" s="17"/>
      <c r="Q1218" s="17"/>
      <c r="R1218" s="17"/>
      <c r="S1218" s="17"/>
      <c r="T1218" s="4"/>
      <c r="U1218" s="4"/>
    </row>
    <row r="1219" spans="1:21" x14ac:dyDescent="0.25">
      <c r="A1219" s="4"/>
      <c r="B1219" s="4"/>
      <c r="C1219" s="4"/>
      <c r="D1219" s="4"/>
      <c r="E1219" s="4"/>
      <c r="F1219" s="4"/>
      <c r="G1219" s="4"/>
      <c r="H1219" s="4"/>
      <c r="I1219" s="4"/>
      <c r="J1219" s="4"/>
      <c r="K1219" s="235"/>
      <c r="L1219" s="4"/>
      <c r="M1219" s="229"/>
      <c r="N1219" s="17"/>
      <c r="O1219" s="17"/>
      <c r="P1219" s="17"/>
      <c r="Q1219" s="17"/>
      <c r="R1219" s="17"/>
      <c r="S1219" s="17"/>
      <c r="T1219" s="4"/>
      <c r="U1219" s="4"/>
    </row>
    <row r="1220" spans="1:21" x14ac:dyDescent="0.25">
      <c r="A1220" s="4"/>
      <c r="B1220" s="4"/>
      <c r="C1220" s="4"/>
      <c r="D1220" s="4"/>
      <c r="E1220" s="4"/>
      <c r="F1220" s="4"/>
      <c r="G1220" s="4"/>
      <c r="H1220" s="4"/>
      <c r="I1220" s="4"/>
      <c r="J1220" s="4"/>
      <c r="K1220" s="235"/>
      <c r="L1220" s="4"/>
      <c r="M1220" s="229"/>
      <c r="N1220" s="17"/>
      <c r="O1220" s="17"/>
      <c r="P1220" s="17"/>
      <c r="Q1220" s="17"/>
      <c r="R1220" s="17"/>
      <c r="S1220" s="17"/>
      <c r="T1220" s="4"/>
      <c r="U1220" s="4"/>
    </row>
    <row r="1221" spans="1:21" x14ac:dyDescent="0.25">
      <c r="A1221" s="4"/>
      <c r="B1221" s="4"/>
      <c r="C1221" s="4"/>
      <c r="D1221" s="4"/>
      <c r="E1221" s="4"/>
      <c r="F1221" s="4"/>
      <c r="G1221" s="4"/>
      <c r="H1221" s="4"/>
      <c r="I1221" s="4"/>
      <c r="J1221" s="4"/>
      <c r="K1221" s="235"/>
      <c r="L1221" s="4"/>
      <c r="M1221" s="229"/>
      <c r="N1221" s="17"/>
      <c r="O1221" s="17"/>
      <c r="P1221" s="17"/>
      <c r="Q1221" s="17"/>
      <c r="R1221" s="17"/>
      <c r="S1221" s="17"/>
      <c r="T1221" s="4"/>
      <c r="U1221" s="4"/>
    </row>
    <row r="1222" spans="1:21" x14ac:dyDescent="0.25">
      <c r="A1222" s="4"/>
      <c r="B1222" s="4"/>
      <c r="C1222" s="4"/>
      <c r="D1222" s="4"/>
      <c r="E1222" s="4"/>
      <c r="F1222" s="4"/>
      <c r="G1222" s="4"/>
      <c r="H1222" s="4"/>
      <c r="I1222" s="4"/>
      <c r="J1222" s="4"/>
      <c r="K1222" s="235"/>
      <c r="L1222" s="4"/>
      <c r="M1222" s="229"/>
      <c r="N1222" s="17"/>
      <c r="O1222" s="17"/>
      <c r="P1222" s="17"/>
      <c r="Q1222" s="17"/>
      <c r="R1222" s="17"/>
      <c r="S1222" s="17"/>
      <c r="T1222" s="4"/>
      <c r="U1222" s="4"/>
    </row>
    <row r="1223" spans="1:21" x14ac:dyDescent="0.25">
      <c r="A1223" s="4"/>
      <c r="B1223" s="4"/>
      <c r="C1223" s="4"/>
      <c r="D1223" s="4"/>
      <c r="E1223" s="4"/>
      <c r="F1223" s="4"/>
      <c r="G1223" s="4"/>
      <c r="H1223" s="4"/>
      <c r="I1223" s="4"/>
      <c r="J1223" s="4"/>
      <c r="K1223" s="235"/>
      <c r="L1223" s="4"/>
      <c r="M1223" s="229"/>
      <c r="N1223" s="17"/>
      <c r="O1223" s="17"/>
      <c r="P1223" s="17"/>
      <c r="Q1223" s="17"/>
      <c r="R1223" s="17"/>
      <c r="S1223" s="17"/>
      <c r="T1223" s="4"/>
      <c r="U1223" s="4"/>
    </row>
    <row r="1224" spans="1:21" x14ac:dyDescent="0.25">
      <c r="A1224" s="4"/>
      <c r="B1224" s="4"/>
      <c r="C1224" s="4"/>
      <c r="D1224" s="4"/>
      <c r="E1224" s="4"/>
      <c r="F1224" s="4"/>
      <c r="G1224" s="4"/>
      <c r="H1224" s="4"/>
      <c r="I1224" s="4"/>
      <c r="J1224" s="4"/>
      <c r="K1224" s="235"/>
      <c r="L1224" s="4"/>
      <c r="M1224" s="229"/>
      <c r="N1224" s="17"/>
      <c r="O1224" s="17"/>
      <c r="P1224" s="17"/>
      <c r="Q1224" s="17"/>
      <c r="R1224" s="17"/>
      <c r="S1224" s="17"/>
      <c r="T1224" s="4"/>
      <c r="U1224" s="4"/>
    </row>
    <row r="1225" spans="1:21" x14ac:dyDescent="0.25">
      <c r="A1225" s="4"/>
      <c r="B1225" s="4"/>
      <c r="C1225" s="4"/>
      <c r="D1225" s="4"/>
      <c r="E1225" s="4"/>
      <c r="F1225" s="4"/>
      <c r="G1225" s="4"/>
      <c r="H1225" s="4"/>
      <c r="I1225" s="4"/>
      <c r="J1225" s="4"/>
      <c r="K1225" s="235"/>
      <c r="L1225" s="4"/>
      <c r="M1225" s="229"/>
      <c r="N1225" s="17"/>
      <c r="O1225" s="17"/>
      <c r="P1225" s="17"/>
      <c r="Q1225" s="17"/>
      <c r="R1225" s="17"/>
      <c r="S1225" s="17"/>
      <c r="T1225" s="4"/>
      <c r="U1225" s="4"/>
    </row>
    <row r="1226" spans="1:21" x14ac:dyDescent="0.25">
      <c r="A1226" s="4"/>
      <c r="B1226" s="4"/>
      <c r="C1226" s="4"/>
      <c r="D1226" s="4"/>
      <c r="E1226" s="4"/>
      <c r="F1226" s="4"/>
      <c r="G1226" s="4"/>
      <c r="H1226" s="4"/>
      <c r="I1226" s="4"/>
      <c r="J1226" s="4"/>
      <c r="K1226" s="235"/>
      <c r="L1226" s="4"/>
      <c r="M1226" s="229"/>
      <c r="N1226" s="17"/>
      <c r="O1226" s="17"/>
      <c r="P1226" s="17"/>
      <c r="Q1226" s="17"/>
      <c r="R1226" s="17"/>
      <c r="S1226" s="17"/>
      <c r="T1226" s="4"/>
      <c r="U1226" s="4"/>
    </row>
    <row r="1227" spans="1:21" x14ac:dyDescent="0.25">
      <c r="A1227" s="4"/>
      <c r="B1227" s="4"/>
      <c r="C1227" s="4"/>
      <c r="D1227" s="4"/>
      <c r="E1227" s="4"/>
      <c r="F1227" s="4"/>
      <c r="G1227" s="4"/>
      <c r="H1227" s="4"/>
      <c r="I1227" s="4"/>
      <c r="J1227" s="4"/>
      <c r="K1227" s="235"/>
      <c r="L1227" s="4"/>
      <c r="M1227" s="229"/>
      <c r="N1227" s="17"/>
      <c r="O1227" s="17"/>
      <c r="P1227" s="17"/>
      <c r="Q1227" s="17"/>
      <c r="R1227" s="17"/>
      <c r="S1227" s="17"/>
      <c r="T1227" s="4"/>
      <c r="U1227" s="4"/>
    </row>
    <row r="1228" spans="1:21" x14ac:dyDescent="0.25">
      <c r="A1228" s="4"/>
      <c r="B1228" s="4"/>
      <c r="C1228" s="4"/>
      <c r="D1228" s="4"/>
      <c r="E1228" s="4"/>
      <c r="F1228" s="4"/>
      <c r="G1228" s="4"/>
      <c r="H1228" s="4"/>
      <c r="I1228" s="4"/>
      <c r="J1228" s="4"/>
      <c r="K1228" s="235"/>
      <c r="L1228" s="4"/>
      <c r="M1228" s="229"/>
      <c r="N1228" s="17"/>
      <c r="O1228" s="17"/>
      <c r="P1228" s="17"/>
      <c r="Q1228" s="17"/>
      <c r="R1228" s="17"/>
      <c r="S1228" s="17"/>
      <c r="T1228" s="4"/>
      <c r="U1228" s="4"/>
    </row>
    <row r="1229" spans="1:21" x14ac:dyDescent="0.25">
      <c r="A1229" s="4"/>
      <c r="B1229" s="4"/>
      <c r="C1229" s="4"/>
      <c r="D1229" s="4"/>
      <c r="E1229" s="4"/>
      <c r="F1229" s="4"/>
      <c r="G1229" s="4"/>
      <c r="H1229" s="4"/>
      <c r="I1229" s="4"/>
      <c r="J1229" s="4"/>
      <c r="K1229" s="235"/>
      <c r="L1229" s="4"/>
      <c r="M1229" s="229"/>
      <c r="N1229" s="17"/>
      <c r="O1229" s="17"/>
      <c r="P1229" s="17"/>
      <c r="Q1229" s="17"/>
      <c r="R1229" s="17"/>
      <c r="S1229" s="17"/>
      <c r="T1229" s="4"/>
      <c r="U1229" s="4"/>
    </row>
    <row r="1230" spans="1:21" x14ac:dyDescent="0.25">
      <c r="A1230" s="4"/>
      <c r="B1230" s="4"/>
      <c r="C1230" s="4"/>
      <c r="D1230" s="4"/>
      <c r="E1230" s="4"/>
      <c r="F1230" s="4"/>
      <c r="G1230" s="4"/>
      <c r="H1230" s="4"/>
      <c r="I1230" s="4"/>
      <c r="J1230" s="4"/>
      <c r="K1230" s="235"/>
      <c r="L1230" s="4"/>
      <c r="M1230" s="229"/>
      <c r="N1230" s="17"/>
      <c r="O1230" s="17"/>
      <c r="P1230" s="17"/>
      <c r="Q1230" s="17"/>
      <c r="R1230" s="17"/>
      <c r="S1230" s="17"/>
      <c r="T1230" s="4"/>
      <c r="U1230" s="4"/>
    </row>
    <row r="1231" spans="1:21" x14ac:dyDescent="0.25">
      <c r="A1231" s="4"/>
      <c r="B1231" s="4"/>
      <c r="C1231" s="4"/>
      <c r="D1231" s="4"/>
      <c r="E1231" s="4"/>
      <c r="F1231" s="4"/>
      <c r="G1231" s="4"/>
      <c r="H1231" s="4"/>
      <c r="I1231" s="4"/>
      <c r="J1231" s="4"/>
      <c r="K1231" s="235"/>
      <c r="L1231" s="4"/>
      <c r="M1231" s="229"/>
      <c r="N1231" s="17"/>
      <c r="O1231" s="17"/>
      <c r="P1231" s="17"/>
      <c r="Q1231" s="17"/>
      <c r="R1231" s="17"/>
      <c r="S1231" s="17"/>
      <c r="T1231" s="4"/>
      <c r="U1231" s="4"/>
    </row>
    <row r="1232" spans="1:21" x14ac:dyDescent="0.25">
      <c r="A1232" s="4"/>
      <c r="B1232" s="4"/>
      <c r="C1232" s="4"/>
      <c r="D1232" s="4"/>
      <c r="E1232" s="4"/>
      <c r="F1232" s="4"/>
      <c r="G1232" s="4"/>
      <c r="H1232" s="4"/>
      <c r="I1232" s="4"/>
      <c r="J1232" s="4"/>
      <c r="K1232" s="235"/>
      <c r="L1232" s="4"/>
      <c r="M1232" s="229"/>
      <c r="N1232" s="17"/>
      <c r="O1232" s="17"/>
      <c r="P1232" s="17"/>
      <c r="Q1232" s="17"/>
      <c r="R1232" s="17"/>
      <c r="S1232" s="17"/>
      <c r="T1232" s="4"/>
      <c r="U1232" s="4"/>
    </row>
    <row r="1233" spans="1:21" x14ac:dyDescent="0.25">
      <c r="A1233" s="4"/>
      <c r="B1233" s="4"/>
      <c r="C1233" s="4"/>
      <c r="D1233" s="4"/>
      <c r="E1233" s="4"/>
      <c r="F1233" s="4"/>
      <c r="G1233" s="4"/>
      <c r="H1233" s="4"/>
      <c r="I1233" s="4"/>
      <c r="J1233" s="4"/>
      <c r="K1233" s="235"/>
      <c r="L1233" s="4"/>
      <c r="M1233" s="229"/>
      <c r="N1233" s="17"/>
      <c r="O1233" s="17"/>
      <c r="P1233" s="17"/>
      <c r="Q1233" s="17"/>
      <c r="R1233" s="17"/>
      <c r="S1233" s="17"/>
      <c r="T1233" s="4"/>
      <c r="U1233" s="4"/>
    </row>
    <row r="1234" spans="1:21" x14ac:dyDescent="0.25">
      <c r="A1234" s="4"/>
      <c r="B1234" s="4"/>
      <c r="C1234" s="4"/>
      <c r="D1234" s="4"/>
      <c r="E1234" s="4"/>
      <c r="F1234" s="4"/>
      <c r="G1234" s="4"/>
      <c r="H1234" s="4"/>
      <c r="I1234" s="4"/>
      <c r="J1234" s="4"/>
      <c r="K1234" s="235"/>
      <c r="L1234" s="4"/>
      <c r="M1234" s="229"/>
      <c r="N1234" s="17"/>
      <c r="O1234" s="17"/>
      <c r="P1234" s="17"/>
      <c r="Q1234" s="17"/>
      <c r="R1234" s="17"/>
      <c r="S1234" s="17"/>
      <c r="T1234" s="4"/>
      <c r="U1234" s="4"/>
    </row>
    <row r="1235" spans="1:21" x14ac:dyDescent="0.25">
      <c r="A1235" s="4"/>
      <c r="B1235" s="4"/>
      <c r="C1235" s="4"/>
      <c r="D1235" s="4"/>
      <c r="E1235" s="4"/>
      <c r="F1235" s="4"/>
      <c r="G1235" s="4"/>
      <c r="H1235" s="4"/>
      <c r="I1235" s="4"/>
      <c r="J1235" s="4"/>
      <c r="K1235" s="235"/>
      <c r="L1235" s="4"/>
      <c r="M1235" s="229"/>
      <c r="N1235" s="17"/>
      <c r="O1235" s="17"/>
      <c r="P1235" s="17"/>
      <c r="Q1235" s="17"/>
      <c r="R1235" s="17"/>
      <c r="S1235" s="17"/>
      <c r="T1235" s="4"/>
      <c r="U1235" s="4"/>
    </row>
    <row r="1236" spans="1:21" x14ac:dyDescent="0.25">
      <c r="A1236" s="4"/>
      <c r="B1236" s="4"/>
      <c r="C1236" s="4"/>
      <c r="D1236" s="4"/>
      <c r="E1236" s="4"/>
      <c r="F1236" s="4"/>
      <c r="G1236" s="4"/>
      <c r="H1236" s="4"/>
      <c r="I1236" s="4"/>
      <c r="J1236" s="4"/>
      <c r="K1236" s="235"/>
      <c r="L1236" s="4"/>
      <c r="M1236" s="229"/>
      <c r="N1236" s="17"/>
      <c r="O1236" s="17"/>
      <c r="P1236" s="17"/>
      <c r="Q1236" s="17"/>
      <c r="R1236" s="17"/>
      <c r="S1236" s="17"/>
      <c r="T1236" s="4"/>
      <c r="U1236" s="4"/>
    </row>
    <row r="1237" spans="1:21" x14ac:dyDescent="0.25">
      <c r="A1237" s="4"/>
      <c r="B1237" s="4"/>
      <c r="C1237" s="4"/>
      <c r="D1237" s="4"/>
      <c r="E1237" s="4"/>
      <c r="F1237" s="4"/>
      <c r="G1237" s="4"/>
      <c r="H1237" s="4"/>
      <c r="I1237" s="4"/>
      <c r="J1237" s="4"/>
      <c r="K1237" s="235"/>
      <c r="L1237" s="4"/>
      <c r="M1237" s="229"/>
      <c r="N1237" s="17"/>
      <c r="O1237" s="17"/>
      <c r="P1237" s="17"/>
      <c r="Q1237" s="17"/>
      <c r="R1237" s="17"/>
      <c r="S1237" s="17"/>
      <c r="T1237" s="4"/>
      <c r="U1237" s="4"/>
    </row>
    <row r="1238" spans="1:21" x14ac:dyDescent="0.25">
      <c r="M1238" s="229"/>
      <c r="N1238" s="17"/>
      <c r="O1238" s="17"/>
      <c r="P1238" s="17"/>
      <c r="Q1238" s="17"/>
      <c r="R1238" s="17"/>
      <c r="S1238" s="17"/>
      <c r="T1238" s="4"/>
      <c r="U1238" s="4"/>
    </row>
    <row r="1239" spans="1:21" x14ac:dyDescent="0.25">
      <c r="M1239" s="229"/>
      <c r="N1239" s="17"/>
      <c r="O1239" s="17"/>
      <c r="P1239" s="17"/>
      <c r="Q1239" s="17"/>
      <c r="R1239" s="17"/>
      <c r="S1239" s="17"/>
      <c r="T1239" s="4"/>
      <c r="U1239" s="4"/>
    </row>
    <row r="1240" spans="1:21" x14ac:dyDescent="0.25">
      <c r="M1240" s="229"/>
      <c r="N1240" s="17"/>
      <c r="O1240" s="17"/>
      <c r="P1240" s="17"/>
      <c r="Q1240" s="17"/>
      <c r="R1240" s="17"/>
      <c r="S1240" s="17"/>
      <c r="T1240" s="4"/>
      <c r="U1240" s="4"/>
    </row>
    <row r="1241" spans="1:21" x14ac:dyDescent="0.25">
      <c r="M1241" s="229"/>
      <c r="N1241" s="17"/>
      <c r="O1241" s="17"/>
      <c r="P1241" s="17"/>
      <c r="Q1241" s="17"/>
      <c r="R1241" s="17"/>
      <c r="S1241" s="17"/>
      <c r="T1241" s="4"/>
      <c r="U1241" s="4"/>
    </row>
    <row r="1242" spans="1:21" x14ac:dyDescent="0.25">
      <c r="M1242" s="229"/>
      <c r="N1242" s="17"/>
      <c r="O1242" s="17"/>
      <c r="P1242" s="17"/>
      <c r="Q1242" s="17"/>
      <c r="R1242" s="17"/>
      <c r="S1242" s="17"/>
      <c r="T1242" s="4"/>
      <c r="U1242" s="4"/>
    </row>
    <row r="1243" spans="1:21" x14ac:dyDescent="0.25">
      <c r="M1243" s="229"/>
      <c r="N1243" s="17"/>
      <c r="O1243" s="17"/>
      <c r="P1243" s="17"/>
      <c r="Q1243" s="17"/>
      <c r="R1243" s="17"/>
      <c r="S1243" s="17"/>
      <c r="T1243" s="4"/>
      <c r="U1243" s="4"/>
    </row>
    <row r="1244" spans="1:21" x14ac:dyDescent="0.25">
      <c r="M1244" s="229"/>
      <c r="N1244" s="17"/>
      <c r="O1244" s="17"/>
      <c r="P1244" s="17"/>
      <c r="Q1244" s="17"/>
      <c r="R1244" s="17"/>
      <c r="S1244" s="17"/>
      <c r="T1244" s="4"/>
      <c r="U1244" s="4"/>
    </row>
    <row r="1245" spans="1:21" x14ac:dyDescent="0.25">
      <c r="M1245" s="229"/>
      <c r="N1245" s="17"/>
      <c r="O1245" s="17"/>
      <c r="P1245" s="17"/>
      <c r="Q1245" s="17"/>
      <c r="R1245" s="17"/>
      <c r="S1245" s="17"/>
      <c r="T1245" s="4"/>
      <c r="U1245" s="4"/>
    </row>
    <row r="1246" spans="1:21" x14ac:dyDescent="0.25">
      <c r="M1246" s="229"/>
      <c r="N1246" s="17"/>
      <c r="O1246" s="17"/>
      <c r="P1246" s="17"/>
      <c r="Q1246" s="17"/>
      <c r="R1246" s="17"/>
      <c r="S1246" s="17"/>
      <c r="T1246" s="4"/>
      <c r="U1246" s="4"/>
    </row>
    <row r="1247" spans="1:21" x14ac:dyDescent="0.25">
      <c r="M1247" s="229"/>
      <c r="N1247" s="17"/>
      <c r="O1247" s="17"/>
      <c r="P1247" s="17"/>
      <c r="Q1247" s="17"/>
      <c r="R1247" s="17"/>
      <c r="S1247" s="17"/>
      <c r="T1247" s="4"/>
      <c r="U1247" s="4"/>
    </row>
    <row r="1248" spans="1:21" x14ac:dyDescent="0.25">
      <c r="M1248" s="229"/>
      <c r="N1248" s="17"/>
      <c r="O1248" s="17"/>
      <c r="P1248" s="17"/>
      <c r="Q1248" s="17"/>
      <c r="R1248" s="17"/>
      <c r="S1248" s="17"/>
      <c r="T1248" s="4"/>
      <c r="U1248" s="4"/>
    </row>
    <row r="1249" spans="13:21" x14ac:dyDescent="0.25">
      <c r="M1249" s="229"/>
      <c r="N1249" s="17"/>
      <c r="O1249" s="17"/>
      <c r="P1249" s="17"/>
      <c r="Q1249" s="17"/>
      <c r="R1249" s="17"/>
      <c r="S1249" s="17"/>
      <c r="T1249" s="4"/>
      <c r="U1249" s="4"/>
    </row>
    <row r="1250" spans="13:21" x14ac:dyDescent="0.25">
      <c r="M1250" s="229"/>
      <c r="N1250" s="17"/>
      <c r="O1250" s="17"/>
      <c r="P1250" s="17"/>
      <c r="Q1250" s="17"/>
      <c r="R1250" s="17"/>
      <c r="S1250" s="17"/>
      <c r="T1250" s="4"/>
      <c r="U1250" s="4"/>
    </row>
    <row r="1251" spans="13:21" x14ac:dyDescent="0.25">
      <c r="M1251" s="229"/>
      <c r="N1251" s="17"/>
      <c r="O1251" s="17"/>
      <c r="P1251" s="17"/>
      <c r="Q1251" s="17"/>
      <c r="R1251" s="17"/>
      <c r="S1251" s="17"/>
      <c r="T1251" s="4"/>
      <c r="U1251" s="4"/>
    </row>
    <row r="1252" spans="13:21" x14ac:dyDescent="0.25">
      <c r="M1252" s="229"/>
      <c r="N1252" s="17"/>
      <c r="O1252" s="17"/>
      <c r="P1252" s="17"/>
      <c r="Q1252" s="17"/>
      <c r="R1252" s="17"/>
      <c r="S1252" s="17"/>
      <c r="T1252" s="4"/>
      <c r="U1252" s="4"/>
    </row>
    <row r="1253" spans="13:21" x14ac:dyDescent="0.25">
      <c r="M1253" s="229"/>
      <c r="N1253" s="17"/>
      <c r="O1253" s="17"/>
      <c r="P1253" s="17"/>
      <c r="Q1253" s="17"/>
      <c r="R1253" s="17"/>
      <c r="S1253" s="17"/>
      <c r="T1253" s="4"/>
      <c r="U1253" s="4"/>
    </row>
    <row r="1254" spans="13:21" x14ac:dyDescent="0.25">
      <c r="M1254" s="229"/>
      <c r="N1254" s="17"/>
      <c r="O1254" s="17"/>
      <c r="P1254" s="17"/>
      <c r="Q1254" s="17"/>
      <c r="R1254" s="17"/>
      <c r="S1254" s="17"/>
      <c r="T1254" s="4"/>
      <c r="U1254" s="4"/>
    </row>
    <row r="1255" spans="13:21" x14ac:dyDescent="0.25">
      <c r="M1255" s="229"/>
      <c r="N1255" s="17"/>
      <c r="O1255" s="17"/>
      <c r="P1255" s="17"/>
      <c r="Q1255" s="17"/>
      <c r="R1255" s="17"/>
      <c r="S1255" s="17"/>
      <c r="T1255" s="4"/>
      <c r="U1255" s="4"/>
    </row>
    <row r="1256" spans="13:21" x14ac:dyDescent="0.25">
      <c r="M1256" s="229"/>
      <c r="N1256" s="17"/>
      <c r="O1256" s="17"/>
      <c r="P1256" s="17"/>
      <c r="Q1256" s="17"/>
      <c r="R1256" s="17"/>
      <c r="S1256" s="17"/>
      <c r="T1256" s="4"/>
      <c r="U1256" s="4"/>
    </row>
    <row r="1257" spans="13:21" x14ac:dyDescent="0.25">
      <c r="M1257" s="229"/>
      <c r="N1257" s="17"/>
      <c r="O1257" s="17"/>
      <c r="P1257" s="17"/>
      <c r="Q1257" s="17"/>
      <c r="R1257" s="17"/>
      <c r="S1257" s="17"/>
      <c r="T1257" s="4"/>
      <c r="U1257" s="4"/>
    </row>
    <row r="1258" spans="13:21" x14ac:dyDescent="0.25">
      <c r="M1258" s="229"/>
      <c r="N1258" s="17"/>
      <c r="O1258" s="17"/>
      <c r="P1258" s="17"/>
      <c r="Q1258" s="17"/>
      <c r="R1258" s="17"/>
      <c r="S1258" s="17"/>
      <c r="T1258" s="4"/>
      <c r="U1258" s="4"/>
    </row>
    <row r="1259" spans="13:21" x14ac:dyDescent="0.25">
      <c r="M1259" s="229"/>
      <c r="N1259" s="17"/>
      <c r="O1259" s="17"/>
      <c r="P1259" s="17"/>
      <c r="Q1259" s="17"/>
      <c r="R1259" s="17"/>
      <c r="S1259" s="17"/>
      <c r="T1259" s="4"/>
      <c r="U1259" s="4"/>
    </row>
    <row r="1260" spans="13:21" x14ac:dyDescent="0.25">
      <c r="M1260" s="229"/>
      <c r="N1260" s="17"/>
      <c r="O1260" s="17"/>
      <c r="P1260" s="17"/>
      <c r="Q1260" s="17"/>
      <c r="R1260" s="17"/>
      <c r="S1260" s="17"/>
      <c r="T1260" s="4"/>
      <c r="U1260" s="4"/>
    </row>
    <row r="1261" spans="13:21" x14ac:dyDescent="0.25">
      <c r="M1261" s="229"/>
      <c r="N1261" s="17"/>
      <c r="O1261" s="17"/>
      <c r="P1261" s="17"/>
      <c r="Q1261" s="17"/>
      <c r="R1261" s="17"/>
      <c r="S1261" s="17"/>
      <c r="T1261" s="4"/>
      <c r="U1261" s="4"/>
    </row>
    <row r="1262" spans="13:21" x14ac:dyDescent="0.25">
      <c r="M1262" s="229"/>
      <c r="N1262" s="17"/>
      <c r="O1262" s="17"/>
      <c r="P1262" s="17"/>
      <c r="Q1262" s="17"/>
      <c r="R1262" s="17"/>
      <c r="S1262" s="17"/>
      <c r="T1262" s="4"/>
      <c r="U1262" s="4"/>
    </row>
    <row r="1263" spans="13:21" x14ac:dyDescent="0.25">
      <c r="M1263" s="229"/>
      <c r="N1263" s="17"/>
      <c r="O1263" s="17"/>
      <c r="P1263" s="17"/>
      <c r="Q1263" s="17"/>
      <c r="R1263" s="17"/>
      <c r="S1263" s="17"/>
      <c r="T1263" s="4"/>
      <c r="U1263" s="4"/>
    </row>
    <row r="1264" spans="13:21" x14ac:dyDescent="0.25">
      <c r="M1264" s="229"/>
      <c r="N1264" s="17"/>
      <c r="O1264" s="17"/>
      <c r="P1264" s="17"/>
      <c r="Q1264" s="17"/>
      <c r="R1264" s="17"/>
      <c r="S1264" s="17"/>
      <c r="T1264" s="4"/>
      <c r="U1264" s="4"/>
    </row>
    <row r="1265" spans="13:21" x14ac:dyDescent="0.25">
      <c r="M1265" s="229"/>
      <c r="N1265" s="17"/>
      <c r="O1265" s="17"/>
      <c r="P1265" s="17"/>
      <c r="Q1265" s="17"/>
      <c r="R1265" s="17"/>
      <c r="S1265" s="17"/>
      <c r="T1265" s="4"/>
      <c r="U1265" s="4"/>
    </row>
    <row r="1266" spans="13:21" x14ac:dyDescent="0.25">
      <c r="M1266" s="229"/>
      <c r="N1266" s="17"/>
      <c r="O1266" s="17"/>
      <c r="P1266" s="17"/>
      <c r="Q1266" s="17"/>
      <c r="R1266" s="17"/>
      <c r="S1266" s="17"/>
      <c r="T1266" s="4"/>
      <c r="U1266" s="4"/>
    </row>
    <row r="1267" spans="13:21" x14ac:dyDescent="0.25">
      <c r="M1267" s="229"/>
      <c r="N1267" s="17"/>
      <c r="O1267" s="17"/>
      <c r="P1267" s="17"/>
      <c r="Q1267" s="17"/>
      <c r="R1267" s="17"/>
      <c r="S1267" s="17"/>
      <c r="T1267" s="4"/>
      <c r="U1267" s="4"/>
    </row>
    <row r="1268" spans="13:21" x14ac:dyDescent="0.25">
      <c r="M1268" s="229"/>
      <c r="N1268" s="17"/>
      <c r="O1268" s="17"/>
      <c r="P1268" s="17"/>
      <c r="Q1268" s="17"/>
      <c r="R1268" s="17"/>
      <c r="S1268" s="17"/>
      <c r="T1268" s="4"/>
      <c r="U1268" s="4"/>
    </row>
    <row r="1269" spans="13:21" x14ac:dyDescent="0.25">
      <c r="M1269" s="229"/>
      <c r="N1269" s="17"/>
      <c r="O1269" s="17"/>
      <c r="P1269" s="17"/>
      <c r="Q1269" s="17"/>
      <c r="R1269" s="17"/>
      <c r="S1269" s="17"/>
      <c r="T1269" s="4"/>
      <c r="U1269" s="4"/>
    </row>
    <row r="1270" spans="13:21" x14ac:dyDescent="0.25">
      <c r="M1270" s="229"/>
      <c r="N1270" s="17"/>
      <c r="O1270" s="17"/>
      <c r="P1270" s="17"/>
      <c r="Q1270" s="17"/>
      <c r="R1270" s="17"/>
      <c r="S1270" s="17"/>
      <c r="T1270" s="4"/>
      <c r="U1270" s="4"/>
    </row>
    <row r="1271" spans="13:21" x14ac:dyDescent="0.25">
      <c r="M1271" s="229"/>
      <c r="N1271" s="17"/>
      <c r="O1271" s="17"/>
      <c r="P1271" s="17"/>
      <c r="Q1271" s="17"/>
      <c r="R1271" s="17"/>
      <c r="S1271" s="17"/>
      <c r="T1271" s="4"/>
      <c r="U1271" s="4"/>
    </row>
    <row r="1272" spans="13:21" x14ac:dyDescent="0.25">
      <c r="M1272" s="229"/>
      <c r="N1272" s="17"/>
      <c r="O1272" s="17"/>
      <c r="P1272" s="17"/>
      <c r="Q1272" s="17"/>
      <c r="R1272" s="17"/>
      <c r="S1272" s="17"/>
      <c r="T1272" s="4"/>
      <c r="U1272" s="4"/>
    </row>
    <row r="1273" spans="13:21" x14ac:dyDescent="0.25">
      <c r="M1273" s="229"/>
      <c r="N1273" s="17"/>
      <c r="O1273" s="17"/>
      <c r="P1273" s="17"/>
      <c r="Q1273" s="17"/>
      <c r="R1273" s="17"/>
      <c r="S1273" s="17"/>
      <c r="T1273" s="4"/>
      <c r="U1273" s="4"/>
    </row>
    <row r="1274" spans="13:21" x14ac:dyDescent="0.25">
      <c r="M1274" s="229"/>
      <c r="N1274" s="17"/>
      <c r="O1274" s="17"/>
      <c r="P1274" s="17"/>
      <c r="Q1274" s="17"/>
      <c r="R1274" s="17"/>
      <c r="S1274" s="17"/>
      <c r="T1274" s="4"/>
      <c r="U1274" s="4"/>
    </row>
    <row r="1275" spans="13:21" x14ac:dyDescent="0.25">
      <c r="M1275" s="229"/>
      <c r="N1275" s="17"/>
      <c r="O1275" s="17"/>
      <c r="P1275" s="17"/>
      <c r="Q1275" s="17"/>
      <c r="R1275" s="17"/>
      <c r="S1275" s="17"/>
      <c r="T1275" s="4"/>
      <c r="U1275" s="4"/>
    </row>
    <row r="1276" spans="13:21" x14ac:dyDescent="0.25">
      <c r="M1276" s="229"/>
      <c r="N1276" s="17"/>
      <c r="O1276" s="17"/>
      <c r="P1276" s="17"/>
      <c r="Q1276" s="17"/>
      <c r="R1276" s="17"/>
      <c r="S1276" s="17"/>
      <c r="T1276" s="4"/>
      <c r="U1276" s="4"/>
    </row>
    <row r="1277" spans="13:21" x14ac:dyDescent="0.25">
      <c r="M1277" s="229"/>
      <c r="N1277" s="17"/>
      <c r="O1277" s="17"/>
      <c r="P1277" s="17"/>
      <c r="Q1277" s="17"/>
      <c r="R1277" s="17"/>
      <c r="S1277" s="17"/>
      <c r="T1277" s="4"/>
      <c r="U1277" s="4"/>
    </row>
    <row r="1278" spans="13:21" x14ac:dyDescent="0.25">
      <c r="M1278" s="229"/>
      <c r="N1278" s="17"/>
      <c r="O1278" s="17"/>
      <c r="P1278" s="17"/>
      <c r="Q1278" s="17"/>
      <c r="R1278" s="17"/>
      <c r="S1278" s="17"/>
      <c r="T1278" s="4"/>
      <c r="U1278" s="4"/>
    </row>
    <row r="1279" spans="13:21" x14ac:dyDescent="0.25">
      <c r="M1279" s="229"/>
      <c r="N1279" s="17"/>
      <c r="O1279" s="17"/>
      <c r="P1279" s="17"/>
      <c r="Q1279" s="17"/>
      <c r="R1279" s="17"/>
      <c r="S1279" s="17"/>
      <c r="T1279" s="4"/>
      <c r="U1279" s="4"/>
    </row>
    <row r="1280" spans="13:21" x14ac:dyDescent="0.25">
      <c r="M1280" s="229"/>
      <c r="N1280" s="17"/>
      <c r="O1280" s="17"/>
      <c r="P1280" s="17"/>
      <c r="Q1280" s="17"/>
      <c r="R1280" s="17"/>
      <c r="S1280" s="17"/>
      <c r="T1280" s="4"/>
      <c r="U1280" s="4"/>
    </row>
    <row r="1281" spans="13:21" x14ac:dyDescent="0.25">
      <c r="M1281" s="229"/>
      <c r="N1281" s="17"/>
      <c r="O1281" s="17"/>
      <c r="P1281" s="17"/>
      <c r="Q1281" s="17"/>
      <c r="R1281" s="17"/>
      <c r="S1281" s="17"/>
      <c r="T1281" s="4"/>
      <c r="U1281" s="4"/>
    </row>
    <row r="1282" spans="13:21" x14ac:dyDescent="0.25">
      <c r="M1282" s="229"/>
      <c r="N1282" s="17"/>
      <c r="O1282" s="17"/>
      <c r="P1282" s="17"/>
      <c r="Q1282" s="17"/>
      <c r="R1282" s="17"/>
      <c r="S1282" s="17"/>
      <c r="T1282" s="4"/>
      <c r="U1282" s="4"/>
    </row>
    <row r="1283" spans="13:21" x14ac:dyDescent="0.25">
      <c r="M1283" s="229"/>
      <c r="N1283" s="17"/>
      <c r="O1283" s="17"/>
      <c r="P1283" s="17"/>
      <c r="Q1283" s="17"/>
      <c r="R1283" s="17"/>
      <c r="S1283" s="17"/>
      <c r="T1283" s="4"/>
      <c r="U1283" s="4"/>
    </row>
    <row r="1284" spans="13:21" x14ac:dyDescent="0.25">
      <c r="M1284" s="229"/>
      <c r="N1284" s="17"/>
      <c r="O1284" s="17"/>
      <c r="P1284" s="17"/>
      <c r="Q1284" s="17"/>
      <c r="R1284" s="17"/>
      <c r="S1284" s="17"/>
      <c r="T1284" s="4"/>
      <c r="U1284" s="4"/>
    </row>
    <row r="1285" spans="13:21" x14ac:dyDescent="0.25">
      <c r="M1285" s="229"/>
      <c r="N1285" s="17"/>
      <c r="O1285" s="17"/>
      <c r="P1285" s="17"/>
      <c r="Q1285" s="17"/>
      <c r="R1285" s="17"/>
      <c r="S1285" s="17"/>
      <c r="T1285" s="4"/>
      <c r="U1285" s="4"/>
    </row>
    <row r="1286" spans="13:21" x14ac:dyDescent="0.25">
      <c r="M1286" s="229"/>
      <c r="N1286" s="17"/>
      <c r="O1286" s="17"/>
      <c r="P1286" s="17"/>
      <c r="Q1286" s="17"/>
      <c r="R1286" s="17"/>
      <c r="S1286" s="17"/>
      <c r="T1286" s="4"/>
      <c r="U1286" s="4"/>
    </row>
    <row r="1287" spans="13:21" x14ac:dyDescent="0.25">
      <c r="M1287" s="229"/>
      <c r="N1287" s="17"/>
      <c r="O1287" s="17"/>
      <c r="P1287" s="17"/>
      <c r="Q1287" s="17"/>
      <c r="R1287" s="17"/>
      <c r="S1287" s="17"/>
      <c r="T1287" s="4"/>
      <c r="U1287" s="4"/>
    </row>
    <row r="1288" spans="13:21" x14ac:dyDescent="0.25">
      <c r="M1288" s="229"/>
      <c r="N1288" s="17"/>
      <c r="O1288" s="17"/>
      <c r="P1288" s="17"/>
      <c r="Q1288" s="17"/>
      <c r="R1288" s="17"/>
      <c r="S1288" s="17"/>
      <c r="T1288" s="4"/>
      <c r="U1288" s="4"/>
    </row>
    <row r="1289" spans="13:21" x14ac:dyDescent="0.25">
      <c r="M1289" s="229"/>
      <c r="N1289" s="17"/>
      <c r="O1289" s="17"/>
      <c r="P1289" s="17"/>
      <c r="Q1289" s="17"/>
      <c r="R1289" s="17"/>
      <c r="S1289" s="17"/>
      <c r="T1289" s="4"/>
      <c r="U1289" s="4"/>
    </row>
    <row r="1290" spans="13:21" x14ac:dyDescent="0.25">
      <c r="M1290" s="229"/>
      <c r="N1290" s="17"/>
      <c r="O1290" s="17"/>
      <c r="P1290" s="17"/>
      <c r="Q1290" s="17"/>
      <c r="R1290" s="17"/>
      <c r="S1290" s="17"/>
      <c r="T1290" s="4"/>
      <c r="U1290" s="4"/>
    </row>
    <row r="1291" spans="13:21" x14ac:dyDescent="0.25">
      <c r="M1291" s="229"/>
      <c r="N1291" s="17"/>
      <c r="O1291" s="17"/>
      <c r="P1291" s="17"/>
      <c r="Q1291" s="17"/>
      <c r="R1291" s="17"/>
      <c r="S1291" s="17"/>
      <c r="T1291" s="4"/>
      <c r="U1291" s="4"/>
    </row>
    <row r="1292" spans="13:21" x14ac:dyDescent="0.25">
      <c r="M1292" s="229"/>
      <c r="N1292" s="17"/>
      <c r="O1292" s="17"/>
      <c r="P1292" s="17"/>
      <c r="Q1292" s="17"/>
      <c r="R1292" s="17"/>
      <c r="S1292" s="17"/>
      <c r="T1292" s="4"/>
      <c r="U1292" s="4"/>
    </row>
    <row r="1293" spans="13:21" x14ac:dyDescent="0.25">
      <c r="M1293" s="229"/>
      <c r="N1293" s="17"/>
      <c r="O1293" s="17"/>
      <c r="P1293" s="17"/>
      <c r="Q1293" s="17"/>
      <c r="R1293" s="17"/>
      <c r="S1293" s="17"/>
      <c r="T1293" s="4"/>
      <c r="U1293" s="4"/>
    </row>
    <row r="1294" spans="13:21" x14ac:dyDescent="0.25">
      <c r="M1294" s="229"/>
      <c r="N1294" s="17"/>
      <c r="O1294" s="17"/>
      <c r="P1294" s="17"/>
      <c r="Q1294" s="17"/>
      <c r="R1294" s="17"/>
      <c r="S1294" s="17"/>
      <c r="T1294" s="4"/>
      <c r="U1294" s="4"/>
    </row>
    <row r="1295" spans="13:21" x14ac:dyDescent="0.25">
      <c r="M1295" s="229"/>
      <c r="N1295" s="17"/>
      <c r="O1295" s="17"/>
      <c r="P1295" s="17"/>
      <c r="Q1295" s="17"/>
      <c r="R1295" s="17"/>
      <c r="S1295" s="17"/>
      <c r="T1295" s="4"/>
      <c r="U1295" s="4"/>
    </row>
    <row r="1296" spans="13:21" x14ac:dyDescent="0.25">
      <c r="M1296" s="229"/>
      <c r="N1296" s="17"/>
      <c r="O1296" s="17"/>
      <c r="P1296" s="17"/>
      <c r="Q1296" s="17"/>
      <c r="R1296" s="17"/>
      <c r="S1296" s="17"/>
      <c r="T1296" s="4"/>
      <c r="U1296" s="4"/>
    </row>
    <row r="1297" spans="13:21" x14ac:dyDescent="0.25">
      <c r="M1297" s="229"/>
      <c r="N1297" s="17"/>
      <c r="O1297" s="17"/>
      <c r="P1297" s="17"/>
      <c r="Q1297" s="17"/>
      <c r="R1297" s="17"/>
      <c r="S1297" s="17"/>
      <c r="T1297" s="4"/>
      <c r="U1297" s="4"/>
    </row>
    <row r="1298" spans="13:21" x14ac:dyDescent="0.25">
      <c r="M1298" s="229"/>
      <c r="N1298" s="17"/>
      <c r="O1298" s="17"/>
      <c r="P1298" s="17"/>
      <c r="Q1298" s="17"/>
      <c r="R1298" s="17"/>
      <c r="S1298" s="17"/>
      <c r="T1298" s="4"/>
      <c r="U1298" s="4"/>
    </row>
    <row r="1299" spans="13:21" x14ac:dyDescent="0.25">
      <c r="M1299" s="229"/>
      <c r="N1299" s="17"/>
      <c r="O1299" s="17"/>
      <c r="P1299" s="17"/>
      <c r="Q1299" s="17"/>
      <c r="R1299" s="17"/>
      <c r="S1299" s="17"/>
      <c r="T1299" s="4"/>
      <c r="U1299" s="4"/>
    </row>
    <row r="1300" spans="13:21" x14ac:dyDescent="0.25">
      <c r="M1300" s="229"/>
      <c r="N1300" s="17"/>
      <c r="O1300" s="17"/>
      <c r="P1300" s="17"/>
      <c r="Q1300" s="17"/>
      <c r="R1300" s="17"/>
      <c r="S1300" s="17"/>
      <c r="T1300" s="4"/>
      <c r="U1300" s="4"/>
    </row>
    <row r="1301" spans="13:21" x14ac:dyDescent="0.25">
      <c r="M1301" s="229"/>
      <c r="N1301" s="17"/>
      <c r="O1301" s="17"/>
      <c r="P1301" s="17"/>
      <c r="Q1301" s="17"/>
      <c r="R1301" s="17"/>
      <c r="S1301" s="17"/>
      <c r="T1301" s="4"/>
      <c r="U1301" s="4"/>
    </row>
    <row r="1302" spans="13:21" x14ac:dyDescent="0.25">
      <c r="M1302" s="229"/>
      <c r="N1302" s="17"/>
      <c r="O1302" s="17"/>
      <c r="P1302" s="17"/>
      <c r="Q1302" s="17"/>
      <c r="R1302" s="17"/>
      <c r="S1302" s="17"/>
      <c r="T1302" s="4"/>
      <c r="U1302" s="4"/>
    </row>
    <row r="1303" spans="13:21" x14ac:dyDescent="0.25">
      <c r="M1303" s="229"/>
      <c r="N1303" s="17"/>
      <c r="O1303" s="17"/>
      <c r="P1303" s="17"/>
      <c r="Q1303" s="17"/>
      <c r="R1303" s="17"/>
      <c r="S1303" s="17"/>
      <c r="T1303" s="4"/>
      <c r="U1303" s="4"/>
    </row>
    <row r="1304" spans="13:21" x14ac:dyDescent="0.25">
      <c r="M1304" s="229"/>
      <c r="N1304" s="17"/>
      <c r="O1304" s="17"/>
      <c r="P1304" s="17"/>
      <c r="Q1304" s="17"/>
      <c r="R1304" s="17"/>
      <c r="S1304" s="17"/>
      <c r="T1304" s="4"/>
      <c r="U1304" s="4"/>
    </row>
    <row r="1305" spans="13:21" x14ac:dyDescent="0.25">
      <c r="M1305" s="229"/>
      <c r="N1305" s="17"/>
      <c r="O1305" s="17"/>
      <c r="P1305" s="17"/>
      <c r="Q1305" s="17"/>
      <c r="R1305" s="17"/>
      <c r="S1305" s="17"/>
      <c r="T1305" s="4"/>
      <c r="U1305" s="4"/>
    </row>
    <row r="1306" spans="13:21" x14ac:dyDescent="0.25">
      <c r="M1306" s="229"/>
      <c r="N1306" s="17"/>
      <c r="O1306" s="17"/>
      <c r="P1306" s="17"/>
      <c r="Q1306" s="17"/>
      <c r="R1306" s="17"/>
      <c r="S1306" s="17"/>
      <c r="T1306" s="4"/>
      <c r="U1306" s="4"/>
    </row>
    <row r="1307" spans="13:21" x14ac:dyDescent="0.25">
      <c r="M1307" s="229"/>
      <c r="N1307" s="17"/>
      <c r="O1307" s="17"/>
      <c r="P1307" s="17"/>
      <c r="Q1307" s="17"/>
      <c r="R1307" s="17"/>
      <c r="S1307" s="17"/>
      <c r="T1307" s="4"/>
      <c r="U1307" s="4"/>
    </row>
    <row r="1308" spans="13:21" x14ac:dyDescent="0.25">
      <c r="M1308" s="229"/>
      <c r="N1308" s="17"/>
      <c r="O1308" s="17"/>
      <c r="P1308" s="17"/>
      <c r="Q1308" s="17"/>
      <c r="R1308" s="17"/>
      <c r="S1308" s="17"/>
      <c r="T1308" s="4"/>
      <c r="U1308" s="4"/>
    </row>
    <row r="1309" spans="13:21" x14ac:dyDescent="0.25">
      <c r="M1309" s="229"/>
      <c r="N1309" s="17"/>
      <c r="O1309" s="17"/>
      <c r="P1309" s="17"/>
      <c r="Q1309" s="17"/>
      <c r="R1309" s="17"/>
      <c r="S1309" s="17"/>
      <c r="T1309" s="4"/>
      <c r="U1309" s="4"/>
    </row>
    <row r="1310" spans="13:21" x14ac:dyDescent="0.25">
      <c r="M1310" s="229"/>
      <c r="N1310" s="17"/>
      <c r="O1310" s="17"/>
      <c r="P1310" s="17"/>
      <c r="Q1310" s="17"/>
      <c r="R1310" s="17"/>
      <c r="S1310" s="17"/>
      <c r="T1310" s="4"/>
      <c r="U1310" s="4"/>
    </row>
    <row r="1311" spans="13:21" x14ac:dyDescent="0.25">
      <c r="M1311" s="229"/>
      <c r="N1311" s="17"/>
      <c r="O1311" s="17"/>
      <c r="P1311" s="17"/>
      <c r="Q1311" s="17"/>
      <c r="R1311" s="17"/>
      <c r="S1311" s="17"/>
      <c r="T1311" s="4"/>
      <c r="U1311" s="4"/>
    </row>
    <row r="1312" spans="13:21" x14ac:dyDescent="0.25">
      <c r="M1312" s="229"/>
      <c r="N1312" s="17"/>
      <c r="O1312" s="17"/>
      <c r="P1312" s="17"/>
      <c r="Q1312" s="17"/>
      <c r="R1312" s="17"/>
      <c r="S1312" s="17"/>
      <c r="T1312" s="4"/>
      <c r="U1312" s="4"/>
    </row>
    <row r="1313" spans="13:21" x14ac:dyDescent="0.25">
      <c r="M1313" s="229"/>
      <c r="N1313" s="17"/>
      <c r="O1313" s="17"/>
      <c r="P1313" s="17"/>
      <c r="Q1313" s="17"/>
      <c r="R1313" s="17"/>
      <c r="S1313" s="17"/>
      <c r="T1313" s="4"/>
      <c r="U1313" s="4"/>
    </row>
    <row r="1314" spans="13:21" x14ac:dyDescent="0.25">
      <c r="M1314" s="229"/>
      <c r="N1314" s="17"/>
      <c r="O1314" s="17"/>
      <c r="P1314" s="17"/>
      <c r="Q1314" s="17"/>
      <c r="R1314" s="17"/>
      <c r="S1314" s="17"/>
      <c r="T1314" s="4"/>
      <c r="U1314" s="4"/>
    </row>
    <row r="1315" spans="13:21" x14ac:dyDescent="0.25">
      <c r="M1315" s="229"/>
      <c r="N1315" s="17"/>
      <c r="O1315" s="17"/>
      <c r="P1315" s="17"/>
      <c r="Q1315" s="17"/>
      <c r="R1315" s="17"/>
      <c r="S1315" s="17"/>
      <c r="T1315" s="4"/>
      <c r="U1315" s="4"/>
    </row>
    <row r="1316" spans="13:21" x14ac:dyDescent="0.25">
      <c r="M1316" s="229"/>
      <c r="N1316" s="17"/>
      <c r="O1316" s="17"/>
      <c r="P1316" s="17"/>
      <c r="Q1316" s="17"/>
      <c r="R1316" s="17"/>
      <c r="S1316" s="17"/>
      <c r="T1316" s="4"/>
      <c r="U1316" s="4"/>
    </row>
    <row r="1317" spans="13:21" x14ac:dyDescent="0.25">
      <c r="M1317" s="229"/>
      <c r="N1317" s="17"/>
      <c r="O1317" s="17"/>
      <c r="P1317" s="17"/>
      <c r="Q1317" s="17"/>
      <c r="R1317" s="17"/>
      <c r="S1317" s="17"/>
      <c r="T1317" s="4"/>
      <c r="U1317" s="4"/>
    </row>
    <row r="1318" spans="13:21" x14ac:dyDescent="0.25">
      <c r="M1318" s="229"/>
      <c r="N1318" s="17"/>
      <c r="O1318" s="17"/>
      <c r="P1318" s="17"/>
      <c r="Q1318" s="17"/>
      <c r="R1318" s="17"/>
      <c r="S1318" s="17"/>
      <c r="T1318" s="4"/>
      <c r="U1318" s="4"/>
    </row>
    <row r="1319" spans="13:21" x14ac:dyDescent="0.25">
      <c r="M1319" s="229"/>
      <c r="N1319" s="17"/>
      <c r="O1319" s="17"/>
      <c r="P1319" s="17"/>
      <c r="Q1319" s="17"/>
      <c r="R1319" s="17"/>
      <c r="S1319" s="17"/>
      <c r="T1319" s="4"/>
      <c r="U1319" s="4"/>
    </row>
    <row r="1320" spans="13:21" x14ac:dyDescent="0.25">
      <c r="M1320" s="229"/>
      <c r="N1320" s="17"/>
      <c r="O1320" s="17"/>
      <c r="P1320" s="17"/>
      <c r="Q1320" s="17"/>
      <c r="R1320" s="17"/>
      <c r="S1320" s="17"/>
      <c r="T1320" s="4"/>
      <c r="U1320" s="4"/>
    </row>
    <row r="1321" spans="13:21" x14ac:dyDescent="0.25">
      <c r="M1321" s="229"/>
      <c r="N1321" s="17"/>
      <c r="O1321" s="17"/>
      <c r="P1321" s="17"/>
      <c r="Q1321" s="17"/>
      <c r="R1321" s="17"/>
      <c r="S1321" s="17"/>
      <c r="T1321" s="4"/>
      <c r="U1321" s="4"/>
    </row>
    <row r="1322" spans="13:21" x14ac:dyDescent="0.25">
      <c r="M1322" s="229"/>
      <c r="N1322" s="17"/>
      <c r="O1322" s="17"/>
      <c r="P1322" s="17"/>
      <c r="Q1322" s="17"/>
      <c r="R1322" s="17"/>
      <c r="S1322" s="17"/>
      <c r="T1322" s="4"/>
      <c r="U1322" s="4"/>
    </row>
    <row r="1323" spans="13:21" x14ac:dyDescent="0.25">
      <c r="M1323" s="229"/>
      <c r="N1323" s="17"/>
      <c r="O1323" s="17"/>
      <c r="P1323" s="17"/>
      <c r="Q1323" s="17"/>
      <c r="R1323" s="17"/>
      <c r="S1323" s="17"/>
      <c r="T1323" s="4"/>
      <c r="U1323" s="4"/>
    </row>
    <row r="1324" spans="13:21" x14ac:dyDescent="0.25">
      <c r="M1324" s="229"/>
      <c r="N1324" s="17"/>
      <c r="O1324" s="17"/>
      <c r="P1324" s="17"/>
      <c r="Q1324" s="17"/>
      <c r="R1324" s="17"/>
      <c r="S1324" s="17"/>
      <c r="T1324" s="4"/>
      <c r="U1324" s="4"/>
    </row>
    <row r="1325" spans="13:21" x14ac:dyDescent="0.25">
      <c r="M1325" s="229"/>
      <c r="N1325" s="17"/>
      <c r="O1325" s="17"/>
      <c r="P1325" s="17"/>
      <c r="Q1325" s="17"/>
      <c r="R1325" s="17"/>
      <c r="S1325" s="17"/>
      <c r="T1325" s="4"/>
      <c r="U1325" s="4"/>
    </row>
    <row r="1326" spans="13:21" x14ac:dyDescent="0.25">
      <c r="M1326" s="229"/>
      <c r="N1326" s="17"/>
      <c r="O1326" s="17"/>
      <c r="P1326" s="17"/>
      <c r="Q1326" s="17"/>
      <c r="R1326" s="17"/>
      <c r="S1326" s="17"/>
      <c r="T1326" s="4"/>
      <c r="U1326" s="4"/>
    </row>
    <row r="1327" spans="13:21" x14ac:dyDescent="0.25">
      <c r="M1327" s="229"/>
      <c r="N1327" s="17"/>
      <c r="O1327" s="17"/>
      <c r="P1327" s="17"/>
      <c r="Q1327" s="17"/>
      <c r="R1327" s="17"/>
      <c r="S1327" s="17"/>
      <c r="T1327" s="4"/>
      <c r="U1327" s="4"/>
    </row>
    <row r="1328" spans="13:21" x14ac:dyDescent="0.25">
      <c r="M1328" s="229"/>
      <c r="N1328" s="17"/>
      <c r="O1328" s="17"/>
      <c r="P1328" s="17"/>
      <c r="Q1328" s="17"/>
      <c r="R1328" s="17"/>
      <c r="S1328" s="17"/>
      <c r="T1328" s="4"/>
      <c r="U1328" s="4"/>
    </row>
    <row r="1329" spans="13:21" x14ac:dyDescent="0.25">
      <c r="M1329" s="229"/>
      <c r="N1329" s="17"/>
      <c r="O1329" s="17"/>
      <c r="P1329" s="17"/>
      <c r="Q1329" s="17"/>
      <c r="R1329" s="17"/>
      <c r="S1329" s="17"/>
      <c r="T1329" s="4"/>
      <c r="U1329" s="4"/>
    </row>
    <row r="1330" spans="13:21" x14ac:dyDescent="0.25">
      <c r="M1330" s="229"/>
      <c r="N1330" s="17"/>
      <c r="O1330" s="17"/>
      <c r="P1330" s="17"/>
      <c r="Q1330" s="17"/>
      <c r="R1330" s="17"/>
      <c r="S1330" s="17"/>
      <c r="T1330" s="4"/>
      <c r="U1330" s="4"/>
    </row>
    <row r="1331" spans="13:21" x14ac:dyDescent="0.25">
      <c r="M1331" s="229"/>
      <c r="N1331" s="17"/>
      <c r="O1331" s="17"/>
      <c r="P1331" s="17"/>
      <c r="Q1331" s="17"/>
      <c r="R1331" s="17"/>
      <c r="S1331" s="17"/>
      <c r="T1331" s="4"/>
      <c r="U1331" s="4"/>
    </row>
    <row r="1332" spans="13:21" x14ac:dyDescent="0.25">
      <c r="M1332" s="229"/>
      <c r="N1332" s="17"/>
      <c r="O1332" s="17"/>
      <c r="P1332" s="17"/>
      <c r="Q1332" s="17"/>
      <c r="R1332" s="17"/>
      <c r="S1332" s="17"/>
      <c r="T1332" s="4"/>
      <c r="U1332" s="4"/>
    </row>
    <row r="1333" spans="13:21" x14ac:dyDescent="0.25">
      <c r="M1333" s="229"/>
      <c r="N1333" s="17"/>
      <c r="O1333" s="17"/>
      <c r="P1333" s="17"/>
      <c r="Q1333" s="17"/>
      <c r="R1333" s="17"/>
      <c r="S1333" s="17"/>
      <c r="T1333" s="4"/>
      <c r="U1333" s="4"/>
    </row>
    <row r="1334" spans="13:21" x14ac:dyDescent="0.25">
      <c r="M1334" s="229"/>
      <c r="N1334" s="17"/>
      <c r="O1334" s="17"/>
      <c r="P1334" s="17"/>
      <c r="Q1334" s="17"/>
      <c r="R1334" s="17"/>
      <c r="S1334" s="17"/>
      <c r="T1334" s="4"/>
      <c r="U1334" s="4"/>
    </row>
    <row r="1335" spans="13:21" x14ac:dyDescent="0.25">
      <c r="M1335" s="229"/>
      <c r="N1335" s="17"/>
      <c r="O1335" s="17"/>
      <c r="P1335" s="17"/>
      <c r="Q1335" s="17"/>
      <c r="R1335" s="17"/>
      <c r="S1335" s="17"/>
      <c r="T1335" s="4"/>
      <c r="U1335" s="4"/>
    </row>
    <row r="1336" spans="13:21" x14ac:dyDescent="0.25">
      <c r="M1336" s="229"/>
      <c r="N1336" s="17"/>
      <c r="O1336" s="17"/>
      <c r="P1336" s="17"/>
      <c r="Q1336" s="17"/>
      <c r="R1336" s="17"/>
      <c r="S1336" s="17"/>
      <c r="T1336" s="4"/>
      <c r="U1336" s="4"/>
    </row>
    <row r="1337" spans="13:21" x14ac:dyDescent="0.25">
      <c r="M1337" s="229"/>
      <c r="N1337" s="17"/>
      <c r="O1337" s="17"/>
      <c r="P1337" s="17"/>
      <c r="Q1337" s="17"/>
      <c r="R1337" s="17"/>
      <c r="S1337" s="17"/>
      <c r="T1337" s="4"/>
      <c r="U1337" s="4"/>
    </row>
    <row r="1338" spans="13:21" x14ac:dyDescent="0.25">
      <c r="M1338" s="229"/>
      <c r="N1338" s="17"/>
      <c r="O1338" s="17"/>
      <c r="P1338" s="17"/>
      <c r="Q1338" s="17"/>
      <c r="R1338" s="17"/>
      <c r="S1338" s="17"/>
      <c r="T1338" s="4"/>
      <c r="U1338" s="4"/>
    </row>
    <row r="1339" spans="13:21" x14ac:dyDescent="0.25">
      <c r="M1339" s="229"/>
      <c r="N1339" s="17"/>
      <c r="O1339" s="17"/>
      <c r="P1339" s="17"/>
      <c r="Q1339" s="17"/>
      <c r="R1339" s="17"/>
      <c r="S1339" s="17"/>
      <c r="T1339" s="4"/>
      <c r="U1339" s="4"/>
    </row>
    <row r="1340" spans="13:21" x14ac:dyDescent="0.25">
      <c r="M1340" s="229"/>
      <c r="N1340" s="17"/>
      <c r="O1340" s="17"/>
      <c r="P1340" s="17"/>
      <c r="Q1340" s="17"/>
      <c r="R1340" s="17"/>
      <c r="S1340" s="17"/>
      <c r="T1340" s="4"/>
      <c r="U1340" s="4"/>
    </row>
    <row r="1341" spans="13:21" x14ac:dyDescent="0.25">
      <c r="M1341" s="229"/>
      <c r="N1341" s="17"/>
      <c r="O1341" s="17"/>
      <c r="P1341" s="17"/>
      <c r="Q1341" s="17"/>
      <c r="R1341" s="17"/>
      <c r="S1341" s="17"/>
      <c r="T1341" s="4"/>
      <c r="U1341" s="4"/>
    </row>
    <row r="1342" spans="13:21" x14ac:dyDescent="0.25">
      <c r="M1342" s="229"/>
      <c r="N1342" s="17"/>
      <c r="O1342" s="17"/>
      <c r="P1342" s="17"/>
      <c r="Q1342" s="17"/>
      <c r="R1342" s="17"/>
      <c r="S1342" s="17"/>
      <c r="T1342" s="4"/>
      <c r="U1342" s="4"/>
    </row>
    <row r="1343" spans="13:21" x14ac:dyDescent="0.25">
      <c r="M1343" s="229"/>
      <c r="N1343" s="17"/>
      <c r="O1343" s="17"/>
      <c r="P1343" s="17"/>
      <c r="Q1343" s="17"/>
      <c r="R1343" s="17"/>
      <c r="S1343" s="17"/>
      <c r="T1343" s="4"/>
      <c r="U1343" s="4"/>
    </row>
    <row r="1344" spans="13:21" x14ac:dyDescent="0.25">
      <c r="M1344" s="229"/>
      <c r="N1344" s="17"/>
      <c r="O1344" s="17"/>
      <c r="P1344" s="17"/>
      <c r="Q1344" s="17"/>
      <c r="R1344" s="17"/>
      <c r="S1344" s="17"/>
      <c r="T1344" s="4"/>
      <c r="U1344" s="4"/>
    </row>
    <row r="1345" spans="13:21" x14ac:dyDescent="0.25">
      <c r="M1345" s="229"/>
      <c r="N1345" s="17"/>
      <c r="O1345" s="17"/>
      <c r="P1345" s="17"/>
      <c r="Q1345" s="17"/>
      <c r="R1345" s="17"/>
      <c r="S1345" s="17"/>
      <c r="T1345" s="4"/>
      <c r="U1345" s="4"/>
    </row>
    <row r="1346" spans="13:21" x14ac:dyDescent="0.25">
      <c r="M1346" s="229"/>
      <c r="N1346" s="17"/>
      <c r="O1346" s="17"/>
      <c r="P1346" s="17"/>
      <c r="Q1346" s="17"/>
      <c r="R1346" s="17"/>
      <c r="S1346" s="17"/>
      <c r="T1346" s="4"/>
      <c r="U1346" s="4"/>
    </row>
    <row r="1347" spans="13:21" x14ac:dyDescent="0.25">
      <c r="M1347" s="229"/>
      <c r="N1347" s="17"/>
      <c r="O1347" s="17"/>
      <c r="P1347" s="17"/>
      <c r="Q1347" s="17"/>
      <c r="R1347" s="17"/>
      <c r="S1347" s="17"/>
      <c r="T1347" s="4"/>
      <c r="U1347" s="4"/>
    </row>
    <row r="1348" spans="13:21" x14ac:dyDescent="0.25">
      <c r="M1348" s="229"/>
      <c r="N1348" s="17"/>
      <c r="O1348" s="17"/>
      <c r="P1348" s="17"/>
      <c r="Q1348" s="17"/>
      <c r="R1348" s="17"/>
      <c r="S1348" s="17"/>
      <c r="T1348" s="4"/>
      <c r="U1348" s="4"/>
    </row>
    <row r="1349" spans="13:21" x14ac:dyDescent="0.25">
      <c r="M1349" s="229"/>
      <c r="N1349" s="17"/>
      <c r="O1349" s="17"/>
      <c r="P1349" s="17"/>
      <c r="Q1349" s="17"/>
      <c r="R1349" s="17"/>
      <c r="S1349" s="17"/>
      <c r="T1349" s="4"/>
      <c r="U1349" s="4"/>
    </row>
    <row r="1350" spans="13:21" x14ac:dyDescent="0.25">
      <c r="M1350" s="229"/>
      <c r="N1350" s="17"/>
      <c r="O1350" s="17"/>
      <c r="P1350" s="17"/>
      <c r="Q1350" s="17"/>
      <c r="R1350" s="17"/>
      <c r="S1350" s="17"/>
      <c r="T1350" s="4"/>
      <c r="U1350" s="4"/>
    </row>
    <row r="1351" spans="13:21" x14ac:dyDescent="0.25">
      <c r="M1351" s="229"/>
      <c r="N1351" s="17"/>
      <c r="O1351" s="17"/>
      <c r="P1351" s="17"/>
      <c r="Q1351" s="17"/>
      <c r="R1351" s="17"/>
      <c r="S1351" s="17"/>
      <c r="T1351" s="4"/>
      <c r="U1351" s="4"/>
    </row>
    <row r="1352" spans="13:21" x14ac:dyDescent="0.25">
      <c r="M1352" s="229"/>
      <c r="N1352" s="17"/>
      <c r="O1352" s="17"/>
      <c r="P1352" s="17"/>
      <c r="Q1352" s="17"/>
      <c r="R1352" s="17"/>
      <c r="S1352" s="17"/>
      <c r="T1352" s="4"/>
      <c r="U1352" s="4"/>
    </row>
    <row r="1353" spans="13:21" x14ac:dyDescent="0.25">
      <c r="M1353" s="229"/>
      <c r="N1353" s="17"/>
      <c r="O1353" s="17"/>
      <c r="P1353" s="17"/>
      <c r="Q1353" s="17"/>
      <c r="R1353" s="17"/>
      <c r="S1353" s="17"/>
      <c r="T1353" s="4"/>
      <c r="U1353" s="4"/>
    </row>
    <row r="1354" spans="13:21" x14ac:dyDescent="0.25">
      <c r="M1354" s="229"/>
      <c r="N1354" s="17"/>
      <c r="O1354" s="17"/>
      <c r="P1354" s="17"/>
      <c r="Q1354" s="17"/>
      <c r="R1354" s="17"/>
      <c r="S1354" s="17"/>
      <c r="T1354" s="4"/>
      <c r="U1354" s="4"/>
    </row>
    <row r="1355" spans="13:21" x14ac:dyDescent="0.25">
      <c r="M1355" s="229"/>
      <c r="N1355" s="17"/>
      <c r="O1355" s="17"/>
      <c r="P1355" s="17"/>
      <c r="Q1355" s="17"/>
      <c r="R1355" s="17"/>
      <c r="S1355" s="17"/>
      <c r="T1355" s="4"/>
      <c r="U1355" s="4"/>
    </row>
    <row r="1356" spans="13:21" x14ac:dyDescent="0.25">
      <c r="M1356" s="229"/>
      <c r="N1356" s="17"/>
      <c r="O1356" s="17"/>
      <c r="P1356" s="17"/>
      <c r="Q1356" s="17"/>
      <c r="R1356" s="17"/>
      <c r="S1356" s="17"/>
      <c r="T1356" s="4"/>
      <c r="U1356" s="4"/>
    </row>
    <row r="1357" spans="13:21" x14ac:dyDescent="0.25">
      <c r="M1357" s="229"/>
      <c r="N1357" s="17"/>
      <c r="O1357" s="17"/>
      <c r="P1357" s="17"/>
      <c r="Q1357" s="17"/>
      <c r="R1357" s="17"/>
      <c r="S1357" s="17"/>
      <c r="T1357" s="4"/>
      <c r="U1357" s="4"/>
    </row>
    <row r="1358" spans="13:21" x14ac:dyDescent="0.25">
      <c r="M1358" s="229"/>
      <c r="N1358" s="17"/>
      <c r="O1358" s="17"/>
      <c r="P1358" s="17"/>
      <c r="Q1358" s="17"/>
      <c r="R1358" s="17"/>
      <c r="S1358" s="17"/>
      <c r="T1358" s="4"/>
      <c r="U1358" s="4"/>
    </row>
    <row r="1359" spans="13:21" x14ac:dyDescent="0.25">
      <c r="M1359" s="229"/>
      <c r="N1359" s="17"/>
      <c r="O1359" s="17"/>
      <c r="P1359" s="17"/>
      <c r="Q1359" s="17"/>
      <c r="R1359" s="17"/>
      <c r="S1359" s="17"/>
      <c r="T1359" s="4"/>
      <c r="U1359" s="4"/>
    </row>
    <row r="1360" spans="13:21" x14ac:dyDescent="0.25">
      <c r="M1360" s="229"/>
      <c r="N1360" s="17"/>
      <c r="O1360" s="17"/>
      <c r="P1360" s="17"/>
      <c r="Q1360" s="17"/>
      <c r="R1360" s="17"/>
      <c r="S1360" s="17"/>
      <c r="T1360" s="4"/>
      <c r="U1360" s="4"/>
    </row>
    <row r="1361" spans="13:21" x14ac:dyDescent="0.25">
      <c r="M1361" s="229"/>
      <c r="N1361" s="17"/>
      <c r="O1361" s="17"/>
      <c r="P1361" s="17"/>
      <c r="Q1361" s="17"/>
      <c r="R1361" s="17"/>
      <c r="S1361" s="17"/>
      <c r="T1361" s="4"/>
      <c r="U1361" s="4"/>
    </row>
    <row r="1362" spans="13:21" x14ac:dyDescent="0.25">
      <c r="M1362" s="229"/>
      <c r="N1362" s="17"/>
      <c r="O1362" s="17"/>
      <c r="P1362" s="17"/>
      <c r="Q1362" s="17"/>
      <c r="R1362" s="17"/>
      <c r="S1362" s="17"/>
      <c r="T1362" s="4"/>
      <c r="U1362" s="4"/>
    </row>
    <row r="1363" spans="13:21" x14ac:dyDescent="0.25">
      <c r="M1363" s="229"/>
      <c r="N1363" s="17"/>
      <c r="O1363" s="17"/>
      <c r="P1363" s="17"/>
      <c r="Q1363" s="17"/>
      <c r="R1363" s="17"/>
      <c r="S1363" s="17"/>
      <c r="T1363" s="4"/>
      <c r="U1363" s="4"/>
    </row>
    <row r="1364" spans="13:21" x14ac:dyDescent="0.25">
      <c r="M1364" s="229"/>
      <c r="N1364" s="17"/>
      <c r="O1364" s="17"/>
      <c r="P1364" s="17"/>
      <c r="Q1364" s="17"/>
      <c r="R1364" s="17"/>
      <c r="S1364" s="17"/>
      <c r="T1364" s="4"/>
      <c r="U1364" s="4"/>
    </row>
    <row r="1365" spans="13:21" x14ac:dyDescent="0.25">
      <c r="M1365" s="229"/>
      <c r="N1365" s="17"/>
      <c r="O1365" s="17"/>
      <c r="P1365" s="17"/>
      <c r="Q1365" s="17"/>
      <c r="R1365" s="17"/>
      <c r="S1365" s="17"/>
      <c r="T1365" s="4"/>
      <c r="U1365" s="4"/>
    </row>
    <row r="1366" spans="13:21" x14ac:dyDescent="0.25">
      <c r="M1366" s="229"/>
      <c r="N1366" s="17"/>
      <c r="O1366" s="17"/>
      <c r="P1366" s="17"/>
      <c r="Q1366" s="17"/>
      <c r="R1366" s="17"/>
      <c r="S1366" s="17"/>
      <c r="T1366" s="4"/>
      <c r="U1366" s="4"/>
    </row>
    <row r="1367" spans="13:21" x14ac:dyDescent="0.25">
      <c r="M1367" s="229"/>
      <c r="N1367" s="17"/>
      <c r="O1367" s="17"/>
      <c r="P1367" s="17"/>
      <c r="Q1367" s="17"/>
      <c r="R1367" s="17"/>
      <c r="S1367" s="17"/>
      <c r="T1367" s="4"/>
      <c r="U1367" s="4"/>
    </row>
    <row r="1368" spans="13:21" x14ac:dyDescent="0.25">
      <c r="M1368" s="229"/>
      <c r="N1368" s="17"/>
      <c r="O1368" s="17"/>
      <c r="P1368" s="17"/>
      <c r="Q1368" s="17"/>
      <c r="R1368" s="17"/>
      <c r="S1368" s="17"/>
      <c r="T1368" s="4"/>
      <c r="U1368" s="4"/>
    </row>
    <row r="1369" spans="13:21" x14ac:dyDescent="0.25">
      <c r="M1369" s="229"/>
      <c r="N1369" s="17"/>
      <c r="O1369" s="17"/>
      <c r="P1369" s="17"/>
      <c r="Q1369" s="17"/>
      <c r="R1369" s="17"/>
      <c r="S1369" s="17"/>
      <c r="T1369" s="4"/>
      <c r="U1369" s="4"/>
    </row>
    <row r="1370" spans="13:21" x14ac:dyDescent="0.25">
      <c r="M1370" s="229"/>
      <c r="N1370" s="17"/>
      <c r="O1370" s="17"/>
      <c r="P1370" s="17"/>
      <c r="Q1370" s="17"/>
      <c r="R1370" s="17"/>
      <c r="S1370" s="17"/>
      <c r="T1370" s="4"/>
      <c r="U1370" s="4"/>
    </row>
    <row r="1371" spans="13:21" x14ac:dyDescent="0.25">
      <c r="M1371" s="229"/>
      <c r="N1371" s="17"/>
      <c r="O1371" s="17"/>
      <c r="P1371" s="17"/>
      <c r="Q1371" s="17"/>
      <c r="R1371" s="17"/>
      <c r="S1371" s="17"/>
      <c r="T1371" s="4"/>
      <c r="U1371" s="4"/>
    </row>
    <row r="1372" spans="13:21" x14ac:dyDescent="0.25">
      <c r="M1372" s="229"/>
      <c r="N1372" s="17"/>
      <c r="O1372" s="17"/>
      <c r="P1372" s="17"/>
      <c r="Q1372" s="17"/>
      <c r="R1372" s="17"/>
      <c r="S1372" s="17"/>
      <c r="T1372" s="4"/>
      <c r="U1372" s="4"/>
    </row>
    <row r="1373" spans="13:21" x14ac:dyDescent="0.25">
      <c r="M1373" s="229"/>
      <c r="N1373" s="17"/>
      <c r="O1373" s="17"/>
      <c r="P1373" s="17"/>
      <c r="Q1373" s="17"/>
      <c r="R1373" s="17"/>
      <c r="S1373" s="17"/>
      <c r="T1373" s="4"/>
      <c r="U1373" s="4"/>
    </row>
    <row r="1374" spans="13:21" x14ac:dyDescent="0.25">
      <c r="M1374" s="229"/>
      <c r="N1374" s="17"/>
      <c r="O1374" s="17"/>
      <c r="P1374" s="17"/>
      <c r="Q1374" s="17"/>
      <c r="R1374" s="17"/>
      <c r="S1374" s="17"/>
      <c r="T1374" s="4"/>
      <c r="U1374" s="4"/>
    </row>
    <row r="1375" spans="13:21" x14ac:dyDescent="0.25">
      <c r="M1375" s="229"/>
      <c r="N1375" s="17"/>
      <c r="O1375" s="17"/>
      <c r="P1375" s="17"/>
      <c r="Q1375" s="17"/>
      <c r="R1375" s="17"/>
      <c r="S1375" s="17"/>
      <c r="T1375" s="4"/>
      <c r="U1375" s="4"/>
    </row>
    <row r="1376" spans="13:21" x14ac:dyDescent="0.25">
      <c r="M1376" s="229"/>
      <c r="N1376" s="17"/>
      <c r="O1376" s="17"/>
      <c r="P1376" s="17"/>
      <c r="Q1376" s="17"/>
      <c r="R1376" s="17"/>
      <c r="S1376" s="17"/>
      <c r="T1376" s="4"/>
      <c r="U1376" s="4"/>
    </row>
    <row r="1377" spans="13:21" x14ac:dyDescent="0.25">
      <c r="M1377" s="229"/>
      <c r="N1377" s="17"/>
      <c r="O1377" s="17"/>
      <c r="P1377" s="17"/>
      <c r="Q1377" s="17"/>
      <c r="R1377" s="17"/>
      <c r="S1377" s="17"/>
      <c r="T1377" s="4"/>
      <c r="U1377" s="4"/>
    </row>
    <row r="1378" spans="13:21" x14ac:dyDescent="0.25">
      <c r="M1378" s="229"/>
      <c r="N1378" s="17"/>
      <c r="O1378" s="17"/>
      <c r="P1378" s="17"/>
      <c r="Q1378" s="17"/>
      <c r="R1378" s="17"/>
      <c r="S1378" s="17"/>
      <c r="T1378" s="4"/>
      <c r="U1378" s="4"/>
    </row>
    <row r="1379" spans="13:21" x14ac:dyDescent="0.25">
      <c r="M1379" s="229"/>
      <c r="N1379" s="17"/>
      <c r="O1379" s="17"/>
      <c r="P1379" s="17"/>
      <c r="Q1379" s="17"/>
      <c r="R1379" s="17"/>
      <c r="S1379" s="17"/>
      <c r="T1379" s="4"/>
      <c r="U1379" s="4"/>
    </row>
    <row r="1380" spans="13:21" x14ac:dyDescent="0.25">
      <c r="M1380" s="229"/>
      <c r="N1380" s="17"/>
      <c r="O1380" s="17"/>
      <c r="P1380" s="17"/>
      <c r="Q1380" s="17"/>
      <c r="R1380" s="17"/>
      <c r="S1380" s="17"/>
      <c r="T1380" s="4"/>
      <c r="U1380" s="4"/>
    </row>
    <row r="1381" spans="13:21" x14ac:dyDescent="0.25">
      <c r="M1381" s="229"/>
      <c r="N1381" s="17"/>
      <c r="O1381" s="17"/>
      <c r="P1381" s="17"/>
      <c r="Q1381" s="17"/>
      <c r="R1381" s="17"/>
      <c r="S1381" s="17"/>
      <c r="T1381" s="4"/>
      <c r="U1381" s="4"/>
    </row>
    <row r="1382" spans="13:21" x14ac:dyDescent="0.25">
      <c r="M1382" s="229"/>
      <c r="N1382" s="17"/>
      <c r="O1382" s="17"/>
      <c r="P1382" s="17"/>
      <c r="Q1382" s="17"/>
      <c r="R1382" s="17"/>
      <c r="S1382" s="17"/>
      <c r="T1382" s="4"/>
      <c r="U1382" s="4"/>
    </row>
    <row r="1383" spans="13:21" x14ac:dyDescent="0.25">
      <c r="M1383" s="229"/>
      <c r="N1383" s="17"/>
      <c r="O1383" s="17"/>
      <c r="P1383" s="17"/>
      <c r="Q1383" s="17"/>
      <c r="R1383" s="17"/>
      <c r="S1383" s="17"/>
      <c r="T1383" s="4"/>
      <c r="U1383" s="4"/>
    </row>
    <row r="1384" spans="13:21" x14ac:dyDescent="0.25">
      <c r="M1384" s="229"/>
      <c r="N1384" s="17"/>
      <c r="O1384" s="17"/>
      <c r="P1384" s="17"/>
      <c r="Q1384" s="17"/>
      <c r="R1384" s="17"/>
      <c r="S1384" s="17"/>
      <c r="T1384" s="4"/>
      <c r="U1384" s="4"/>
    </row>
    <row r="1385" spans="13:21" x14ac:dyDescent="0.25">
      <c r="M1385" s="229"/>
      <c r="N1385" s="17"/>
      <c r="O1385" s="17"/>
      <c r="P1385" s="17"/>
      <c r="Q1385" s="17"/>
      <c r="R1385" s="17"/>
      <c r="S1385" s="17"/>
      <c r="T1385" s="4"/>
      <c r="U1385" s="4"/>
    </row>
    <row r="1386" spans="13:21" x14ac:dyDescent="0.25">
      <c r="M1386" s="229"/>
      <c r="N1386" s="17"/>
      <c r="O1386" s="17"/>
      <c r="P1386" s="17"/>
      <c r="Q1386" s="17"/>
      <c r="R1386" s="17"/>
      <c r="S1386" s="17"/>
      <c r="T1386" s="4"/>
      <c r="U1386" s="4"/>
    </row>
    <row r="1387" spans="13:21" x14ac:dyDescent="0.25">
      <c r="M1387" s="229"/>
      <c r="N1387" s="17"/>
      <c r="O1387" s="17"/>
      <c r="P1387" s="17"/>
      <c r="Q1387" s="17"/>
      <c r="R1387" s="17"/>
      <c r="S1387" s="17"/>
      <c r="T1387" s="4"/>
      <c r="U1387" s="4"/>
    </row>
    <row r="1388" spans="13:21" x14ac:dyDescent="0.25">
      <c r="M1388" s="229"/>
      <c r="N1388" s="17"/>
      <c r="O1388" s="17"/>
      <c r="P1388" s="17"/>
      <c r="Q1388" s="17"/>
      <c r="R1388" s="17"/>
      <c r="S1388" s="17"/>
      <c r="T1388" s="4"/>
      <c r="U1388" s="4"/>
    </row>
    <row r="1389" spans="13:21" x14ac:dyDescent="0.25">
      <c r="M1389" s="229"/>
      <c r="N1389" s="17"/>
      <c r="O1389" s="17"/>
      <c r="P1389" s="17"/>
      <c r="Q1389" s="17"/>
      <c r="R1389" s="17"/>
      <c r="S1389" s="17"/>
      <c r="T1389" s="4"/>
      <c r="U1389" s="4"/>
    </row>
    <row r="1390" spans="13:21" x14ac:dyDescent="0.25">
      <c r="M1390" s="229"/>
      <c r="N1390" s="17"/>
      <c r="O1390" s="17"/>
      <c r="P1390" s="17"/>
      <c r="Q1390" s="17"/>
      <c r="R1390" s="17"/>
      <c r="S1390" s="17"/>
      <c r="T1390" s="4"/>
      <c r="U1390" s="4"/>
    </row>
    <row r="1391" spans="13:21" x14ac:dyDescent="0.25">
      <c r="M1391" s="229"/>
      <c r="N1391" s="17"/>
      <c r="O1391" s="17"/>
      <c r="P1391" s="17"/>
      <c r="Q1391" s="17"/>
      <c r="R1391" s="17"/>
      <c r="S1391" s="17"/>
      <c r="T1391" s="4"/>
      <c r="U1391" s="4"/>
    </row>
    <row r="1392" spans="13:21" x14ac:dyDescent="0.25">
      <c r="M1392" s="229"/>
      <c r="N1392" s="17"/>
      <c r="O1392" s="17"/>
      <c r="P1392" s="17"/>
      <c r="Q1392" s="17"/>
      <c r="R1392" s="17"/>
      <c r="S1392" s="17"/>
      <c r="T1392" s="4"/>
      <c r="U1392" s="4"/>
    </row>
    <row r="1393" spans="13:21" x14ac:dyDescent="0.25">
      <c r="M1393" s="229"/>
      <c r="N1393" s="17"/>
      <c r="O1393" s="17"/>
      <c r="P1393" s="17"/>
      <c r="Q1393" s="17"/>
      <c r="R1393" s="17"/>
      <c r="S1393" s="17"/>
      <c r="T1393" s="4"/>
      <c r="U1393" s="4"/>
    </row>
    <row r="1394" spans="13:21" x14ac:dyDescent="0.25">
      <c r="M1394" s="229"/>
      <c r="N1394" s="17"/>
      <c r="O1394" s="17"/>
      <c r="P1394" s="17"/>
      <c r="Q1394" s="17"/>
      <c r="R1394" s="17"/>
      <c r="S1394" s="17"/>
      <c r="T1394" s="4"/>
      <c r="U1394" s="4"/>
    </row>
    <row r="1395" spans="13:21" x14ac:dyDescent="0.25">
      <c r="M1395" s="229"/>
      <c r="N1395" s="17"/>
      <c r="O1395" s="17"/>
      <c r="P1395" s="17"/>
      <c r="Q1395" s="17"/>
      <c r="R1395" s="17"/>
      <c r="S1395" s="17"/>
      <c r="T1395" s="4"/>
      <c r="U1395" s="4"/>
    </row>
    <row r="1396" spans="13:21" x14ac:dyDescent="0.25">
      <c r="M1396" s="229"/>
      <c r="N1396" s="17"/>
      <c r="O1396" s="17"/>
      <c r="P1396" s="17"/>
      <c r="Q1396" s="17"/>
      <c r="R1396" s="17"/>
      <c r="S1396" s="17"/>
      <c r="T1396" s="4"/>
      <c r="U1396" s="4"/>
    </row>
    <row r="1397" spans="13:21" x14ac:dyDescent="0.25">
      <c r="M1397" s="229"/>
      <c r="N1397" s="17"/>
      <c r="O1397" s="17"/>
      <c r="P1397" s="17"/>
      <c r="Q1397" s="17"/>
      <c r="R1397" s="17"/>
      <c r="S1397" s="17"/>
      <c r="T1397" s="4"/>
      <c r="U1397" s="4"/>
    </row>
    <row r="1398" spans="13:21" x14ac:dyDescent="0.25">
      <c r="M1398" s="229"/>
      <c r="N1398" s="17"/>
      <c r="O1398" s="17"/>
      <c r="P1398" s="17"/>
      <c r="Q1398" s="17"/>
      <c r="R1398" s="17"/>
      <c r="S1398" s="17"/>
      <c r="T1398" s="4"/>
      <c r="U1398" s="4"/>
    </row>
    <row r="1399" spans="13:21" x14ac:dyDescent="0.25">
      <c r="M1399" s="229"/>
      <c r="N1399" s="17"/>
      <c r="O1399" s="17"/>
      <c r="P1399" s="17"/>
      <c r="Q1399" s="17"/>
      <c r="R1399" s="17"/>
      <c r="S1399" s="17"/>
      <c r="T1399" s="4"/>
      <c r="U1399" s="4"/>
    </row>
    <row r="1400" spans="13:21" x14ac:dyDescent="0.25">
      <c r="M1400" s="229"/>
      <c r="N1400" s="17"/>
      <c r="O1400" s="17"/>
      <c r="P1400" s="17"/>
      <c r="Q1400" s="17"/>
      <c r="R1400" s="17"/>
      <c r="S1400" s="17"/>
      <c r="T1400" s="4"/>
      <c r="U1400" s="4"/>
    </row>
    <row r="1401" spans="13:21" x14ac:dyDescent="0.25">
      <c r="M1401" s="229"/>
      <c r="N1401" s="17"/>
      <c r="O1401" s="17"/>
      <c r="P1401" s="17"/>
      <c r="Q1401" s="17"/>
      <c r="R1401" s="17"/>
      <c r="S1401" s="17"/>
      <c r="T1401" s="4"/>
      <c r="U1401" s="4"/>
    </row>
    <row r="1402" spans="13:21" x14ac:dyDescent="0.25">
      <c r="M1402" s="229"/>
      <c r="N1402" s="17"/>
      <c r="O1402" s="17"/>
      <c r="P1402" s="17"/>
      <c r="Q1402" s="17"/>
      <c r="R1402" s="17"/>
      <c r="S1402" s="17"/>
      <c r="T1402" s="4"/>
      <c r="U1402" s="4"/>
    </row>
    <row r="1403" spans="13:21" x14ac:dyDescent="0.25">
      <c r="M1403" s="229"/>
      <c r="N1403" s="17"/>
      <c r="O1403" s="17"/>
      <c r="P1403" s="17"/>
      <c r="Q1403" s="17"/>
      <c r="R1403" s="17"/>
      <c r="S1403" s="17"/>
      <c r="T1403" s="4"/>
      <c r="U1403" s="4"/>
    </row>
    <row r="1404" spans="13:21" x14ac:dyDescent="0.25">
      <c r="M1404" s="229"/>
      <c r="N1404" s="17"/>
      <c r="O1404" s="17"/>
      <c r="P1404" s="17"/>
      <c r="Q1404" s="17"/>
      <c r="R1404" s="17"/>
      <c r="S1404" s="17"/>
      <c r="T1404" s="4"/>
      <c r="U1404" s="4"/>
    </row>
    <row r="1405" spans="13:21" x14ac:dyDescent="0.25">
      <c r="M1405" s="229"/>
      <c r="N1405" s="17"/>
      <c r="O1405" s="17"/>
      <c r="P1405" s="17"/>
      <c r="Q1405" s="17"/>
      <c r="R1405" s="17"/>
      <c r="S1405" s="17"/>
      <c r="T1405" s="4"/>
      <c r="U1405" s="4"/>
    </row>
    <row r="1406" spans="13:21" x14ac:dyDescent="0.25">
      <c r="M1406" s="229"/>
      <c r="N1406" s="17"/>
      <c r="O1406" s="17"/>
      <c r="P1406" s="17"/>
      <c r="Q1406" s="17"/>
      <c r="R1406" s="17"/>
      <c r="S1406" s="17"/>
      <c r="T1406" s="4"/>
      <c r="U1406" s="4"/>
    </row>
    <row r="1407" spans="13:21" x14ac:dyDescent="0.25">
      <c r="M1407" s="229"/>
      <c r="N1407" s="17"/>
      <c r="O1407" s="17"/>
      <c r="P1407" s="17"/>
      <c r="Q1407" s="17"/>
      <c r="R1407" s="17"/>
      <c r="S1407" s="17"/>
      <c r="T1407" s="4"/>
      <c r="U1407" s="4"/>
    </row>
    <row r="1408" spans="13:21" x14ac:dyDescent="0.25">
      <c r="M1408" s="229"/>
      <c r="N1408" s="17"/>
      <c r="O1408" s="17"/>
      <c r="P1408" s="17"/>
      <c r="Q1408" s="17"/>
      <c r="R1408" s="17"/>
      <c r="S1408" s="17"/>
      <c r="T1408" s="4"/>
      <c r="U1408" s="4"/>
    </row>
    <row r="1409" spans="13:21" x14ac:dyDescent="0.25">
      <c r="M1409" s="229"/>
      <c r="N1409" s="17"/>
      <c r="O1409" s="17"/>
      <c r="P1409" s="17"/>
      <c r="Q1409" s="17"/>
      <c r="R1409" s="17"/>
      <c r="S1409" s="17"/>
      <c r="T1409" s="4"/>
      <c r="U1409" s="4"/>
    </row>
    <row r="1410" spans="13:21" x14ac:dyDescent="0.25">
      <c r="M1410" s="229"/>
      <c r="N1410" s="17"/>
      <c r="O1410" s="17"/>
      <c r="P1410" s="17"/>
      <c r="Q1410" s="17"/>
      <c r="R1410" s="17"/>
      <c r="S1410" s="17"/>
      <c r="T1410" s="4"/>
      <c r="U1410" s="4"/>
    </row>
    <row r="1411" spans="13:21" x14ac:dyDescent="0.25">
      <c r="M1411" s="229"/>
      <c r="N1411" s="17"/>
      <c r="O1411" s="17"/>
      <c r="P1411" s="17"/>
      <c r="Q1411" s="17"/>
      <c r="R1411" s="17"/>
      <c r="S1411" s="17"/>
      <c r="T1411" s="4"/>
      <c r="U1411" s="4"/>
    </row>
    <row r="1412" spans="13:21" x14ac:dyDescent="0.25">
      <c r="M1412" s="229"/>
      <c r="N1412" s="17"/>
      <c r="O1412" s="17"/>
      <c r="P1412" s="17"/>
      <c r="Q1412" s="17"/>
      <c r="R1412" s="17"/>
      <c r="S1412" s="17"/>
      <c r="T1412" s="4"/>
      <c r="U1412" s="4"/>
    </row>
    <row r="1413" spans="13:21" x14ac:dyDescent="0.25">
      <c r="M1413" s="229"/>
      <c r="N1413" s="17"/>
      <c r="O1413" s="17"/>
      <c r="P1413" s="17"/>
      <c r="Q1413" s="17"/>
      <c r="R1413" s="17"/>
      <c r="S1413" s="17"/>
      <c r="T1413" s="4"/>
      <c r="U1413" s="4"/>
    </row>
    <row r="1414" spans="13:21" x14ac:dyDescent="0.25">
      <c r="M1414" s="229"/>
      <c r="N1414" s="17"/>
      <c r="O1414" s="17"/>
      <c r="P1414" s="17"/>
      <c r="Q1414" s="17"/>
      <c r="R1414" s="17"/>
      <c r="S1414" s="17"/>
      <c r="T1414" s="4"/>
      <c r="U1414" s="4"/>
    </row>
    <row r="1415" spans="13:21" x14ac:dyDescent="0.25">
      <c r="M1415" s="229"/>
      <c r="N1415" s="17"/>
      <c r="O1415" s="17"/>
      <c r="P1415" s="17"/>
      <c r="Q1415" s="17"/>
      <c r="R1415" s="17"/>
      <c r="S1415" s="17"/>
      <c r="T1415" s="4"/>
      <c r="U1415" s="4"/>
    </row>
    <row r="1416" spans="13:21" x14ac:dyDescent="0.25">
      <c r="M1416" s="229"/>
      <c r="N1416" s="17"/>
      <c r="O1416" s="17"/>
      <c r="P1416" s="17"/>
      <c r="Q1416" s="17"/>
      <c r="R1416" s="17"/>
      <c r="S1416" s="17"/>
      <c r="T1416" s="4"/>
      <c r="U1416" s="4"/>
    </row>
    <row r="1417" spans="13:21" x14ac:dyDescent="0.25">
      <c r="M1417" s="229"/>
      <c r="N1417" s="17"/>
      <c r="O1417" s="17"/>
      <c r="P1417" s="17"/>
      <c r="Q1417" s="17"/>
      <c r="R1417" s="17"/>
      <c r="S1417" s="17"/>
      <c r="T1417" s="4"/>
      <c r="U1417" s="4"/>
    </row>
    <row r="1418" spans="13:21" x14ac:dyDescent="0.25">
      <c r="M1418" s="229"/>
      <c r="N1418" s="17"/>
      <c r="O1418" s="17"/>
      <c r="P1418" s="17"/>
      <c r="Q1418" s="17"/>
      <c r="R1418" s="17"/>
      <c r="S1418" s="17"/>
      <c r="T1418" s="4"/>
      <c r="U1418" s="4"/>
    </row>
    <row r="1419" spans="13:21" x14ac:dyDescent="0.25">
      <c r="M1419" s="229"/>
      <c r="N1419" s="17"/>
      <c r="O1419" s="17"/>
      <c r="P1419" s="17"/>
      <c r="Q1419" s="17"/>
      <c r="R1419" s="17"/>
      <c r="S1419" s="17"/>
      <c r="T1419" s="4"/>
      <c r="U1419" s="4"/>
    </row>
    <row r="1420" spans="13:21" x14ac:dyDescent="0.25">
      <c r="M1420" s="229"/>
      <c r="N1420" s="17"/>
      <c r="O1420" s="17"/>
      <c r="P1420" s="17"/>
      <c r="Q1420" s="17"/>
      <c r="R1420" s="17"/>
      <c r="S1420" s="17"/>
      <c r="T1420" s="4"/>
      <c r="U1420" s="4"/>
    </row>
    <row r="1421" spans="13:21" x14ac:dyDescent="0.25">
      <c r="M1421" s="229"/>
      <c r="N1421" s="17"/>
      <c r="O1421" s="17"/>
      <c r="P1421" s="17"/>
      <c r="Q1421" s="17"/>
      <c r="R1421" s="17"/>
      <c r="S1421" s="17"/>
      <c r="T1421" s="4"/>
      <c r="U1421" s="4"/>
    </row>
    <row r="1422" spans="13:21" x14ac:dyDescent="0.25">
      <c r="M1422" s="229"/>
      <c r="N1422" s="17"/>
      <c r="O1422" s="17"/>
      <c r="P1422" s="17"/>
      <c r="Q1422" s="17"/>
      <c r="R1422" s="17"/>
      <c r="S1422" s="17"/>
      <c r="T1422" s="4"/>
      <c r="U1422" s="4"/>
    </row>
    <row r="1423" spans="13:21" x14ac:dyDescent="0.25">
      <c r="M1423" s="229"/>
      <c r="N1423" s="17"/>
      <c r="O1423" s="17"/>
      <c r="P1423" s="17"/>
      <c r="Q1423" s="17"/>
      <c r="R1423" s="17"/>
      <c r="S1423" s="17"/>
      <c r="T1423" s="4"/>
      <c r="U1423" s="4"/>
    </row>
    <row r="1424" spans="13:21" x14ac:dyDescent="0.25">
      <c r="M1424" s="229"/>
      <c r="N1424" s="17"/>
      <c r="O1424" s="17"/>
      <c r="P1424" s="17"/>
      <c r="Q1424" s="17"/>
      <c r="R1424" s="17"/>
      <c r="S1424" s="17"/>
      <c r="T1424" s="4"/>
      <c r="U1424" s="4"/>
    </row>
    <row r="1425" spans="13:21" x14ac:dyDescent="0.25">
      <c r="M1425" s="229"/>
      <c r="N1425" s="17"/>
      <c r="O1425" s="17"/>
      <c r="P1425" s="17"/>
      <c r="Q1425" s="17"/>
      <c r="R1425" s="17"/>
      <c r="S1425" s="17"/>
      <c r="T1425" s="4"/>
      <c r="U1425" s="4"/>
    </row>
    <row r="1426" spans="13:21" x14ac:dyDescent="0.25">
      <c r="M1426" s="229"/>
      <c r="N1426" s="17"/>
      <c r="O1426" s="17"/>
      <c r="P1426" s="17"/>
      <c r="Q1426" s="17"/>
      <c r="R1426" s="17"/>
      <c r="S1426" s="17"/>
      <c r="T1426" s="4"/>
      <c r="U1426" s="4"/>
    </row>
    <row r="1427" spans="13:21" x14ac:dyDescent="0.25">
      <c r="M1427" s="229"/>
      <c r="N1427" s="17"/>
      <c r="O1427" s="17"/>
      <c r="P1427" s="17"/>
      <c r="Q1427" s="17"/>
      <c r="R1427" s="17"/>
      <c r="S1427" s="17"/>
      <c r="T1427" s="4"/>
      <c r="U1427" s="4"/>
    </row>
    <row r="1428" spans="13:21" x14ac:dyDescent="0.25">
      <c r="M1428" s="229"/>
      <c r="N1428" s="17"/>
      <c r="O1428" s="17"/>
      <c r="P1428" s="17"/>
      <c r="Q1428" s="17"/>
      <c r="R1428" s="17"/>
      <c r="S1428" s="17"/>
      <c r="T1428" s="4"/>
      <c r="U1428" s="4"/>
    </row>
    <row r="1429" spans="13:21" x14ac:dyDescent="0.25">
      <c r="M1429" s="229"/>
      <c r="N1429" s="17"/>
      <c r="O1429" s="17"/>
      <c r="P1429" s="17"/>
      <c r="Q1429" s="17"/>
      <c r="R1429" s="17"/>
      <c r="S1429" s="17"/>
      <c r="T1429" s="4"/>
      <c r="U1429" s="4"/>
    </row>
    <row r="1430" spans="13:21" x14ac:dyDescent="0.25">
      <c r="M1430" s="229"/>
      <c r="N1430" s="17"/>
      <c r="O1430" s="17"/>
      <c r="P1430" s="17"/>
      <c r="Q1430" s="17"/>
      <c r="R1430" s="17"/>
      <c r="S1430" s="17"/>
      <c r="T1430" s="4"/>
      <c r="U1430" s="4"/>
    </row>
    <row r="1431" spans="13:21" x14ac:dyDescent="0.25">
      <c r="M1431" s="229"/>
      <c r="N1431" s="17"/>
      <c r="O1431" s="17"/>
      <c r="P1431" s="17"/>
      <c r="Q1431" s="17"/>
      <c r="R1431" s="17"/>
      <c r="S1431" s="17"/>
      <c r="T1431" s="4"/>
      <c r="U1431" s="4"/>
    </row>
    <row r="1432" spans="13:21" x14ac:dyDescent="0.25">
      <c r="M1432" s="229"/>
      <c r="N1432" s="17"/>
      <c r="O1432" s="17"/>
      <c r="P1432" s="17"/>
      <c r="Q1432" s="17"/>
      <c r="R1432" s="17"/>
      <c r="S1432" s="17"/>
      <c r="T1432" s="4"/>
      <c r="U1432" s="4"/>
    </row>
    <row r="1433" spans="13:21" x14ac:dyDescent="0.25">
      <c r="M1433" s="229"/>
      <c r="N1433" s="17"/>
      <c r="O1433" s="17"/>
      <c r="P1433" s="17"/>
      <c r="Q1433" s="17"/>
      <c r="R1433" s="17"/>
      <c r="S1433" s="17"/>
      <c r="T1433" s="4"/>
      <c r="U1433" s="4"/>
    </row>
    <row r="1434" spans="13:21" x14ac:dyDescent="0.25">
      <c r="M1434" s="229"/>
      <c r="N1434" s="17"/>
      <c r="O1434" s="17"/>
      <c r="P1434" s="17"/>
      <c r="Q1434" s="17"/>
      <c r="R1434" s="17"/>
      <c r="S1434" s="17"/>
      <c r="T1434" s="4"/>
      <c r="U1434" s="4"/>
    </row>
    <row r="1435" spans="13:21" x14ac:dyDescent="0.25">
      <c r="M1435" s="229"/>
      <c r="N1435" s="17"/>
      <c r="O1435" s="17"/>
      <c r="P1435" s="17"/>
      <c r="Q1435" s="17"/>
      <c r="R1435" s="17"/>
      <c r="S1435" s="17"/>
      <c r="T1435" s="4"/>
      <c r="U1435" s="4"/>
    </row>
    <row r="1436" spans="13:21" x14ac:dyDescent="0.25">
      <c r="M1436" s="229"/>
      <c r="N1436" s="17"/>
      <c r="O1436" s="17"/>
      <c r="P1436" s="17"/>
      <c r="Q1436" s="17"/>
      <c r="R1436" s="17"/>
      <c r="S1436" s="17"/>
      <c r="T1436" s="4"/>
      <c r="U1436" s="4"/>
    </row>
    <row r="1437" spans="13:21" x14ac:dyDescent="0.25">
      <c r="M1437" s="229"/>
      <c r="N1437" s="17"/>
      <c r="O1437" s="17"/>
      <c r="P1437" s="17"/>
      <c r="Q1437" s="17"/>
      <c r="R1437" s="17"/>
      <c r="S1437" s="17"/>
      <c r="T1437" s="4"/>
      <c r="U1437" s="4"/>
    </row>
    <row r="1438" spans="13:21" x14ac:dyDescent="0.25">
      <c r="M1438" s="229"/>
      <c r="N1438" s="17"/>
      <c r="O1438" s="17"/>
      <c r="P1438" s="17"/>
      <c r="Q1438" s="17"/>
      <c r="R1438" s="17"/>
      <c r="S1438" s="17"/>
      <c r="T1438" s="4"/>
      <c r="U1438" s="4"/>
    </row>
    <row r="1439" spans="13:21" x14ac:dyDescent="0.25">
      <c r="M1439" s="229"/>
      <c r="N1439" s="17"/>
      <c r="O1439" s="17"/>
      <c r="P1439" s="17"/>
      <c r="Q1439" s="17"/>
      <c r="R1439" s="17"/>
      <c r="S1439" s="17"/>
      <c r="T1439" s="4"/>
      <c r="U1439" s="4"/>
    </row>
    <row r="1440" spans="13:21" x14ac:dyDescent="0.25">
      <c r="M1440" s="229"/>
      <c r="N1440" s="17"/>
      <c r="O1440" s="17"/>
      <c r="P1440" s="17"/>
      <c r="Q1440" s="17"/>
      <c r="R1440" s="17"/>
      <c r="S1440" s="17"/>
      <c r="T1440" s="4"/>
      <c r="U1440" s="4"/>
    </row>
    <row r="1441" spans="13:21" x14ac:dyDescent="0.25">
      <c r="M1441" s="229"/>
      <c r="N1441" s="17"/>
      <c r="O1441" s="17"/>
      <c r="P1441" s="17"/>
      <c r="Q1441" s="17"/>
      <c r="R1441" s="17"/>
      <c r="S1441" s="17"/>
      <c r="T1441" s="4"/>
      <c r="U1441" s="4"/>
    </row>
    <row r="1442" spans="13:21" x14ac:dyDescent="0.25">
      <c r="M1442" s="229"/>
      <c r="N1442" s="17"/>
      <c r="O1442" s="17"/>
      <c r="P1442" s="17"/>
      <c r="Q1442" s="17"/>
      <c r="R1442" s="17"/>
      <c r="S1442" s="17"/>
      <c r="T1442" s="4"/>
      <c r="U1442" s="4"/>
    </row>
    <row r="1443" spans="13:21" x14ac:dyDescent="0.25">
      <c r="M1443" s="229"/>
      <c r="N1443" s="17"/>
      <c r="O1443" s="17"/>
      <c r="P1443" s="17"/>
      <c r="Q1443" s="17"/>
      <c r="R1443" s="17"/>
      <c r="S1443" s="17"/>
      <c r="T1443" s="4"/>
      <c r="U1443" s="4"/>
    </row>
    <row r="1444" spans="13:21" x14ac:dyDescent="0.25">
      <c r="M1444" s="229"/>
      <c r="N1444" s="17"/>
      <c r="O1444" s="17"/>
      <c r="P1444" s="17"/>
      <c r="Q1444" s="17"/>
      <c r="R1444" s="17"/>
      <c r="S1444" s="17"/>
      <c r="T1444" s="4"/>
      <c r="U1444" s="4"/>
    </row>
    <row r="1445" spans="13:21" x14ac:dyDescent="0.25">
      <c r="M1445" s="229"/>
      <c r="N1445" s="17"/>
      <c r="O1445" s="17"/>
      <c r="P1445" s="17"/>
      <c r="Q1445" s="17"/>
      <c r="R1445" s="17"/>
      <c r="S1445" s="17"/>
      <c r="T1445" s="4"/>
      <c r="U1445" s="4"/>
    </row>
    <row r="1446" spans="13:21" x14ac:dyDescent="0.25">
      <c r="M1446" s="229"/>
      <c r="N1446" s="17"/>
      <c r="O1446" s="17"/>
      <c r="P1446" s="17"/>
      <c r="Q1446" s="17"/>
      <c r="R1446" s="17"/>
      <c r="S1446" s="17"/>
      <c r="T1446" s="4"/>
      <c r="U1446" s="4"/>
    </row>
    <row r="1447" spans="13:21" x14ac:dyDescent="0.25">
      <c r="M1447" s="229"/>
      <c r="N1447" s="17"/>
      <c r="O1447" s="17"/>
      <c r="P1447" s="17"/>
      <c r="Q1447" s="17"/>
      <c r="R1447" s="17"/>
      <c r="S1447" s="17"/>
      <c r="T1447" s="4"/>
      <c r="U1447" s="4"/>
    </row>
    <row r="1448" spans="13:21" x14ac:dyDescent="0.25">
      <c r="M1448" s="229"/>
      <c r="N1448" s="17"/>
      <c r="O1448" s="17"/>
      <c r="P1448" s="17"/>
      <c r="Q1448" s="17"/>
      <c r="R1448" s="17"/>
      <c r="S1448" s="17"/>
      <c r="T1448" s="4"/>
      <c r="U1448" s="4"/>
    </row>
    <row r="1449" spans="13:21" x14ac:dyDescent="0.25">
      <c r="M1449" s="229"/>
      <c r="N1449" s="17"/>
      <c r="O1449" s="17"/>
      <c r="P1449" s="17"/>
      <c r="Q1449" s="17"/>
      <c r="R1449" s="17"/>
      <c r="S1449" s="17"/>
      <c r="T1449" s="4"/>
      <c r="U1449" s="4"/>
    </row>
    <row r="1450" spans="13:21" x14ac:dyDescent="0.25">
      <c r="M1450" s="229"/>
      <c r="N1450" s="17"/>
      <c r="O1450" s="17"/>
      <c r="P1450" s="17"/>
      <c r="Q1450" s="17"/>
      <c r="R1450" s="17"/>
      <c r="S1450" s="17"/>
      <c r="T1450" s="4"/>
      <c r="U1450" s="4"/>
    </row>
    <row r="1451" spans="13:21" x14ac:dyDescent="0.25">
      <c r="M1451" s="229"/>
      <c r="N1451" s="17"/>
      <c r="O1451" s="17"/>
      <c r="P1451" s="17"/>
      <c r="Q1451" s="17"/>
      <c r="R1451" s="17"/>
      <c r="S1451" s="17"/>
      <c r="T1451" s="4"/>
      <c r="U1451" s="4"/>
    </row>
    <row r="1452" spans="13:21" x14ac:dyDescent="0.25">
      <c r="M1452" s="229"/>
      <c r="N1452" s="17"/>
      <c r="O1452" s="17"/>
      <c r="P1452" s="17"/>
      <c r="Q1452" s="17"/>
      <c r="R1452" s="17"/>
      <c r="S1452" s="17"/>
      <c r="T1452" s="4"/>
      <c r="U1452" s="4"/>
    </row>
    <row r="1453" spans="13:21" x14ac:dyDescent="0.25">
      <c r="M1453" s="229"/>
      <c r="N1453" s="17"/>
      <c r="O1453" s="17"/>
      <c r="P1453" s="17"/>
      <c r="Q1453" s="17"/>
      <c r="R1453" s="17"/>
      <c r="S1453" s="17"/>
      <c r="T1453" s="4"/>
      <c r="U1453" s="4"/>
    </row>
    <row r="1454" spans="13:21" x14ac:dyDescent="0.25">
      <c r="M1454" s="229"/>
      <c r="N1454" s="17"/>
      <c r="O1454" s="17"/>
      <c r="P1454" s="17"/>
      <c r="Q1454" s="17"/>
      <c r="R1454" s="17"/>
      <c r="S1454" s="17"/>
      <c r="T1454" s="4"/>
      <c r="U1454" s="4"/>
    </row>
    <row r="1455" spans="13:21" x14ac:dyDescent="0.25">
      <c r="M1455" s="229"/>
      <c r="N1455" s="17"/>
      <c r="O1455" s="17"/>
      <c r="P1455" s="17"/>
      <c r="Q1455" s="17"/>
      <c r="R1455" s="17"/>
      <c r="S1455" s="17"/>
      <c r="T1455" s="4"/>
      <c r="U1455" s="4"/>
    </row>
    <row r="1456" spans="13:21" x14ac:dyDescent="0.25">
      <c r="M1456" s="229"/>
      <c r="N1456" s="17"/>
      <c r="O1456" s="17"/>
      <c r="P1456" s="17"/>
      <c r="Q1456" s="17"/>
      <c r="R1456" s="17"/>
      <c r="S1456" s="17"/>
      <c r="T1456" s="4"/>
      <c r="U1456" s="4"/>
    </row>
    <row r="1457" spans="13:21" x14ac:dyDescent="0.25">
      <c r="M1457" s="229"/>
      <c r="N1457" s="17"/>
      <c r="O1457" s="17"/>
      <c r="P1457" s="17"/>
      <c r="Q1457" s="17"/>
      <c r="R1457" s="17"/>
      <c r="S1457" s="17"/>
      <c r="T1457" s="4"/>
      <c r="U1457" s="4"/>
    </row>
    <row r="1458" spans="13:21" x14ac:dyDescent="0.25">
      <c r="M1458" s="229"/>
      <c r="N1458" s="17"/>
      <c r="O1458" s="17"/>
      <c r="P1458" s="17"/>
      <c r="Q1458" s="17"/>
      <c r="R1458" s="17"/>
      <c r="S1458" s="17"/>
      <c r="T1458" s="4"/>
      <c r="U1458" s="4"/>
    </row>
    <row r="1459" spans="13:21" x14ac:dyDescent="0.25">
      <c r="M1459" s="229"/>
      <c r="N1459" s="17"/>
      <c r="O1459" s="17"/>
      <c r="P1459" s="17"/>
      <c r="Q1459" s="17"/>
      <c r="R1459" s="17"/>
      <c r="S1459" s="17"/>
      <c r="T1459" s="4"/>
      <c r="U1459" s="4"/>
    </row>
    <row r="1460" spans="13:21" x14ac:dyDescent="0.25">
      <c r="M1460" s="229"/>
      <c r="N1460" s="17"/>
      <c r="O1460" s="17"/>
      <c r="P1460" s="17"/>
      <c r="Q1460" s="17"/>
      <c r="R1460" s="17"/>
      <c r="S1460" s="17"/>
      <c r="T1460" s="4"/>
      <c r="U1460" s="4"/>
    </row>
    <row r="1461" spans="13:21" x14ac:dyDescent="0.25">
      <c r="M1461" s="229"/>
      <c r="N1461" s="17"/>
      <c r="O1461" s="17"/>
      <c r="P1461" s="17"/>
      <c r="Q1461" s="17"/>
      <c r="R1461" s="17"/>
      <c r="S1461" s="17"/>
      <c r="T1461" s="4"/>
      <c r="U1461" s="4"/>
    </row>
    <row r="1462" spans="13:21" x14ac:dyDescent="0.25">
      <c r="M1462" s="229"/>
      <c r="N1462" s="17"/>
      <c r="O1462" s="17"/>
      <c r="P1462" s="17"/>
      <c r="Q1462" s="17"/>
      <c r="R1462" s="17"/>
      <c r="S1462" s="17"/>
      <c r="T1462" s="4"/>
      <c r="U1462" s="4"/>
    </row>
    <row r="1463" spans="13:21" x14ac:dyDescent="0.25">
      <c r="M1463" s="229"/>
      <c r="N1463" s="17"/>
      <c r="O1463" s="17"/>
      <c r="P1463" s="17"/>
      <c r="Q1463" s="17"/>
      <c r="R1463" s="17"/>
      <c r="S1463" s="17"/>
      <c r="T1463" s="4"/>
      <c r="U1463" s="4"/>
    </row>
    <row r="1464" spans="13:21" x14ac:dyDescent="0.25">
      <c r="M1464" s="229"/>
      <c r="N1464" s="17"/>
      <c r="O1464" s="17"/>
      <c r="P1464" s="17"/>
      <c r="Q1464" s="17"/>
      <c r="R1464" s="17"/>
      <c r="S1464" s="17"/>
      <c r="T1464" s="4"/>
      <c r="U1464" s="4"/>
    </row>
    <row r="1465" spans="13:21" x14ac:dyDescent="0.25">
      <c r="M1465" s="229"/>
      <c r="N1465" s="17"/>
      <c r="O1465" s="17"/>
      <c r="P1465" s="17"/>
      <c r="Q1465" s="17"/>
      <c r="R1465" s="17"/>
      <c r="S1465" s="17"/>
      <c r="T1465" s="4"/>
      <c r="U1465" s="4"/>
    </row>
    <row r="1466" spans="13:21" x14ac:dyDescent="0.25">
      <c r="M1466" s="229"/>
      <c r="N1466" s="17"/>
      <c r="O1466" s="17"/>
      <c r="P1466" s="17"/>
      <c r="Q1466" s="17"/>
      <c r="R1466" s="17"/>
      <c r="S1466" s="17"/>
      <c r="T1466" s="4"/>
      <c r="U1466" s="4"/>
    </row>
    <row r="1467" spans="13:21" x14ac:dyDescent="0.25">
      <c r="M1467" s="229"/>
      <c r="N1467" s="17"/>
      <c r="O1467" s="17"/>
      <c r="P1467" s="17"/>
      <c r="Q1467" s="17"/>
      <c r="R1467" s="17"/>
      <c r="S1467" s="17"/>
      <c r="T1467" s="4"/>
      <c r="U1467" s="4"/>
    </row>
    <row r="1468" spans="13:21" x14ac:dyDescent="0.25">
      <c r="M1468" s="229"/>
      <c r="N1468" s="17"/>
      <c r="O1468" s="17"/>
      <c r="P1468" s="17"/>
      <c r="Q1468" s="17"/>
      <c r="R1468" s="17"/>
      <c r="S1468" s="17"/>
      <c r="T1468" s="4"/>
      <c r="U1468" s="4"/>
    </row>
    <row r="1469" spans="13:21" x14ac:dyDescent="0.25">
      <c r="M1469" s="229"/>
      <c r="N1469" s="17"/>
      <c r="O1469" s="17"/>
      <c r="P1469" s="17"/>
      <c r="Q1469" s="17"/>
      <c r="R1469" s="17"/>
      <c r="S1469" s="17"/>
      <c r="T1469" s="4"/>
      <c r="U1469" s="4"/>
    </row>
    <row r="1470" spans="13:21" x14ac:dyDescent="0.25">
      <c r="M1470" s="229"/>
      <c r="N1470" s="17"/>
      <c r="O1470" s="17"/>
      <c r="P1470" s="17"/>
      <c r="Q1470" s="17"/>
      <c r="R1470" s="17"/>
      <c r="S1470" s="17"/>
      <c r="T1470" s="4"/>
      <c r="U1470" s="4"/>
    </row>
    <row r="1471" spans="13:21" x14ac:dyDescent="0.25">
      <c r="M1471" s="229"/>
      <c r="N1471" s="17"/>
      <c r="O1471" s="17"/>
      <c r="P1471" s="17"/>
      <c r="Q1471" s="17"/>
      <c r="R1471" s="17"/>
      <c r="S1471" s="17"/>
      <c r="T1471" s="4"/>
      <c r="U1471" s="4"/>
    </row>
    <row r="1472" spans="13:21" x14ac:dyDescent="0.25">
      <c r="M1472" s="229"/>
      <c r="N1472" s="17"/>
      <c r="O1472" s="17"/>
      <c r="P1472" s="17"/>
      <c r="Q1472" s="17"/>
      <c r="R1472" s="17"/>
      <c r="S1472" s="17"/>
      <c r="T1472" s="4"/>
      <c r="U1472" s="4"/>
    </row>
    <row r="1473" spans="13:21" x14ac:dyDescent="0.25">
      <c r="M1473" s="229"/>
      <c r="N1473" s="17"/>
      <c r="O1473" s="17"/>
      <c r="P1473" s="17"/>
      <c r="Q1473" s="17"/>
      <c r="R1473" s="17"/>
      <c r="S1473" s="17"/>
      <c r="T1473" s="4"/>
      <c r="U1473" s="4"/>
    </row>
    <row r="1474" spans="13:21" x14ac:dyDescent="0.25">
      <c r="M1474" s="229"/>
      <c r="N1474" s="17"/>
      <c r="O1474" s="17"/>
      <c r="P1474" s="17"/>
      <c r="Q1474" s="17"/>
      <c r="R1474" s="17"/>
      <c r="S1474" s="17"/>
      <c r="T1474" s="4"/>
      <c r="U1474" s="4"/>
    </row>
    <row r="1475" spans="13:21" x14ac:dyDescent="0.25">
      <c r="M1475" s="229"/>
      <c r="N1475" s="17"/>
      <c r="O1475" s="17"/>
      <c r="P1475" s="17"/>
      <c r="Q1475" s="17"/>
      <c r="R1475" s="17"/>
      <c r="S1475" s="17"/>
      <c r="T1475" s="4"/>
      <c r="U1475" s="4"/>
    </row>
    <row r="1476" spans="13:21" x14ac:dyDescent="0.25">
      <c r="M1476" s="229"/>
      <c r="N1476" s="17"/>
      <c r="O1476" s="17"/>
      <c r="P1476" s="17"/>
      <c r="Q1476" s="17"/>
      <c r="R1476" s="17"/>
      <c r="S1476" s="17"/>
      <c r="T1476" s="4"/>
      <c r="U1476" s="4"/>
    </row>
    <row r="1477" spans="13:21" x14ac:dyDescent="0.25">
      <c r="M1477" s="229"/>
      <c r="N1477" s="17"/>
      <c r="O1477" s="17"/>
      <c r="P1477" s="17"/>
      <c r="Q1477" s="17"/>
      <c r="R1477" s="17"/>
      <c r="S1477" s="17"/>
      <c r="T1477" s="4"/>
      <c r="U1477" s="4"/>
    </row>
    <row r="1478" spans="13:21" x14ac:dyDescent="0.25">
      <c r="M1478" s="229"/>
      <c r="N1478" s="17"/>
      <c r="O1478" s="17"/>
      <c r="P1478" s="17"/>
      <c r="Q1478" s="17"/>
      <c r="R1478" s="17"/>
      <c r="S1478" s="17"/>
      <c r="T1478" s="4"/>
      <c r="U1478" s="4"/>
    </row>
    <row r="1479" spans="13:21" x14ac:dyDescent="0.25">
      <c r="M1479" s="229"/>
      <c r="N1479" s="17"/>
      <c r="O1479" s="17"/>
      <c r="P1479" s="17"/>
      <c r="Q1479" s="17"/>
      <c r="R1479" s="17"/>
      <c r="S1479" s="17"/>
      <c r="T1479" s="4"/>
      <c r="U1479" s="4"/>
    </row>
    <row r="1480" spans="13:21" x14ac:dyDescent="0.25">
      <c r="M1480" s="229"/>
      <c r="N1480" s="17"/>
      <c r="O1480" s="17"/>
      <c r="P1480" s="17"/>
      <c r="Q1480" s="17"/>
      <c r="R1480" s="17"/>
      <c r="S1480" s="17"/>
      <c r="T1480" s="4"/>
      <c r="U1480" s="4"/>
    </row>
    <row r="1481" spans="13:21" x14ac:dyDescent="0.25">
      <c r="M1481" s="229"/>
      <c r="N1481" s="17"/>
      <c r="O1481" s="17"/>
      <c r="P1481" s="17"/>
      <c r="Q1481" s="17"/>
      <c r="R1481" s="17"/>
      <c r="S1481" s="17"/>
      <c r="T1481" s="4"/>
      <c r="U1481" s="4"/>
    </row>
    <row r="1482" spans="13:21" x14ac:dyDescent="0.25">
      <c r="M1482" s="229"/>
      <c r="N1482" s="17"/>
      <c r="O1482" s="17"/>
      <c r="P1482" s="17"/>
      <c r="Q1482" s="17"/>
      <c r="R1482" s="17"/>
      <c r="S1482" s="17"/>
      <c r="T1482" s="4"/>
      <c r="U1482" s="4"/>
    </row>
    <row r="1483" spans="13:21" x14ac:dyDescent="0.25">
      <c r="M1483" s="229"/>
      <c r="N1483" s="17"/>
      <c r="O1483" s="17"/>
      <c r="P1483" s="17"/>
      <c r="Q1483" s="17"/>
      <c r="R1483" s="17"/>
      <c r="S1483" s="17"/>
      <c r="T1483" s="4"/>
      <c r="U1483" s="4"/>
    </row>
    <row r="1484" spans="13:21" x14ac:dyDescent="0.25">
      <c r="M1484" s="229"/>
      <c r="N1484" s="17"/>
      <c r="O1484" s="17"/>
      <c r="P1484" s="17"/>
      <c r="Q1484" s="17"/>
      <c r="R1484" s="17"/>
      <c r="S1484" s="17"/>
      <c r="T1484" s="4"/>
      <c r="U1484" s="4"/>
    </row>
    <row r="1485" spans="13:21" x14ac:dyDescent="0.25">
      <c r="M1485" s="229"/>
      <c r="N1485" s="17"/>
      <c r="O1485" s="17"/>
      <c r="P1485" s="17"/>
      <c r="Q1485" s="17"/>
      <c r="R1485" s="17"/>
      <c r="S1485" s="17"/>
      <c r="T1485" s="4"/>
      <c r="U1485" s="4"/>
    </row>
    <row r="1486" spans="13:21" x14ac:dyDescent="0.25">
      <c r="M1486" s="229"/>
      <c r="N1486" s="17"/>
      <c r="O1486" s="17"/>
      <c r="P1486" s="17"/>
      <c r="Q1486" s="17"/>
      <c r="R1486" s="17"/>
      <c r="S1486" s="17"/>
      <c r="T1486" s="4"/>
      <c r="U1486" s="4"/>
    </row>
    <row r="1487" spans="13:21" x14ac:dyDescent="0.25">
      <c r="M1487" s="229"/>
      <c r="N1487" s="17"/>
      <c r="O1487" s="17"/>
      <c r="P1487" s="17"/>
      <c r="Q1487" s="17"/>
      <c r="R1487" s="17"/>
      <c r="S1487" s="17"/>
      <c r="T1487" s="4"/>
      <c r="U1487" s="4"/>
    </row>
    <row r="1488" spans="13:21" x14ac:dyDescent="0.25">
      <c r="M1488" s="229"/>
      <c r="N1488" s="17"/>
      <c r="O1488" s="17"/>
      <c r="P1488" s="17"/>
      <c r="Q1488" s="17"/>
      <c r="R1488" s="17"/>
      <c r="S1488" s="17"/>
      <c r="T1488" s="4"/>
      <c r="U1488" s="4"/>
    </row>
    <row r="1489" spans="13:21" x14ac:dyDescent="0.25">
      <c r="M1489" s="229"/>
      <c r="N1489" s="17"/>
      <c r="O1489" s="17"/>
      <c r="P1489" s="17"/>
      <c r="Q1489" s="17"/>
      <c r="R1489" s="17"/>
      <c r="S1489" s="17"/>
      <c r="T1489" s="4"/>
      <c r="U1489" s="4"/>
    </row>
    <row r="1490" spans="13:21" x14ac:dyDescent="0.25">
      <c r="M1490" s="229"/>
      <c r="N1490" s="17"/>
      <c r="O1490" s="17"/>
      <c r="P1490" s="17"/>
      <c r="Q1490" s="17"/>
      <c r="R1490" s="17"/>
      <c r="S1490" s="17"/>
      <c r="T1490" s="4"/>
      <c r="U1490" s="4"/>
    </row>
    <row r="1491" spans="13:21" x14ac:dyDescent="0.25">
      <c r="M1491" s="229"/>
      <c r="N1491" s="17"/>
      <c r="O1491" s="17"/>
      <c r="P1491" s="17"/>
      <c r="Q1491" s="17"/>
      <c r="R1491" s="17"/>
      <c r="S1491" s="17"/>
      <c r="T1491" s="4"/>
      <c r="U1491" s="4"/>
    </row>
    <row r="1492" spans="13:21" x14ac:dyDescent="0.25">
      <c r="M1492" s="229"/>
      <c r="N1492" s="17"/>
      <c r="O1492" s="17"/>
      <c r="P1492" s="17"/>
      <c r="Q1492" s="17"/>
      <c r="R1492" s="17"/>
      <c r="S1492" s="17"/>
      <c r="T1492" s="4"/>
      <c r="U1492" s="4"/>
    </row>
    <row r="1493" spans="13:21" x14ac:dyDescent="0.25">
      <c r="M1493" s="229"/>
      <c r="N1493" s="17"/>
      <c r="O1493" s="17"/>
      <c r="P1493" s="17"/>
      <c r="Q1493" s="17"/>
      <c r="R1493" s="17"/>
      <c r="S1493" s="17"/>
      <c r="T1493" s="4"/>
      <c r="U1493" s="4"/>
    </row>
    <row r="1494" spans="13:21" x14ac:dyDescent="0.25">
      <c r="M1494" s="229"/>
      <c r="N1494" s="17"/>
      <c r="O1494" s="17"/>
      <c r="P1494" s="17"/>
      <c r="Q1494" s="17"/>
      <c r="R1494" s="17"/>
      <c r="S1494" s="17"/>
      <c r="T1494" s="4"/>
      <c r="U1494" s="4"/>
    </row>
    <row r="1495" spans="13:21" x14ac:dyDescent="0.25">
      <c r="M1495" s="229"/>
      <c r="N1495" s="17"/>
      <c r="O1495" s="17"/>
      <c r="P1495" s="17"/>
      <c r="Q1495" s="17"/>
      <c r="R1495" s="17"/>
      <c r="S1495" s="17"/>
      <c r="T1495" s="4"/>
      <c r="U1495" s="4"/>
    </row>
    <row r="1496" spans="13:21" x14ac:dyDescent="0.25">
      <c r="M1496" s="229"/>
      <c r="N1496" s="17"/>
      <c r="O1496" s="17"/>
      <c r="P1496" s="17"/>
      <c r="Q1496" s="17"/>
      <c r="R1496" s="17"/>
      <c r="S1496" s="17"/>
      <c r="T1496" s="4"/>
      <c r="U1496" s="4"/>
    </row>
    <row r="1497" spans="13:21" x14ac:dyDescent="0.25">
      <c r="M1497" s="229"/>
      <c r="N1497" s="17"/>
      <c r="O1497" s="17"/>
      <c r="P1497" s="17"/>
      <c r="Q1497" s="17"/>
      <c r="R1497" s="17"/>
      <c r="S1497" s="17"/>
      <c r="T1497" s="4"/>
      <c r="U1497" s="4"/>
    </row>
    <row r="1498" spans="13:21" x14ac:dyDescent="0.25">
      <c r="M1498" s="229"/>
      <c r="N1498" s="17"/>
      <c r="O1498" s="17"/>
      <c r="P1498" s="17"/>
      <c r="Q1498" s="17"/>
      <c r="R1498" s="17"/>
      <c r="S1498" s="17"/>
      <c r="T1498" s="4"/>
      <c r="U1498" s="4"/>
    </row>
    <row r="1499" spans="13:21" x14ac:dyDescent="0.25">
      <c r="M1499" s="229"/>
      <c r="N1499" s="17"/>
      <c r="O1499" s="17"/>
      <c r="P1499" s="17"/>
      <c r="Q1499" s="17"/>
      <c r="R1499" s="17"/>
      <c r="S1499" s="17"/>
      <c r="T1499" s="4"/>
      <c r="U1499" s="4"/>
    </row>
    <row r="1500" spans="13:21" x14ac:dyDescent="0.25">
      <c r="M1500" s="229"/>
      <c r="N1500" s="17"/>
      <c r="O1500" s="17"/>
      <c r="P1500" s="17"/>
      <c r="Q1500" s="17"/>
      <c r="R1500" s="17"/>
      <c r="S1500" s="17"/>
      <c r="T1500" s="4"/>
      <c r="U1500" s="4"/>
    </row>
    <row r="1501" spans="13:21" x14ac:dyDescent="0.25">
      <c r="M1501" s="229"/>
      <c r="N1501" s="17"/>
      <c r="O1501" s="17"/>
      <c r="P1501" s="17"/>
      <c r="Q1501" s="17"/>
      <c r="R1501" s="17"/>
      <c r="S1501" s="17"/>
      <c r="T1501" s="4"/>
      <c r="U1501" s="4"/>
    </row>
    <row r="1502" spans="13:21" x14ac:dyDescent="0.25">
      <c r="M1502" s="229"/>
      <c r="N1502" s="17"/>
      <c r="O1502" s="17"/>
      <c r="P1502" s="17"/>
      <c r="Q1502" s="17"/>
      <c r="R1502" s="17"/>
      <c r="S1502" s="17"/>
      <c r="T1502" s="4"/>
      <c r="U1502" s="4"/>
    </row>
    <row r="1503" spans="13:21" x14ac:dyDescent="0.25">
      <c r="M1503" s="229"/>
      <c r="N1503" s="17"/>
      <c r="O1503" s="17"/>
      <c r="P1503" s="17"/>
      <c r="Q1503" s="17"/>
      <c r="R1503" s="17"/>
      <c r="S1503" s="17"/>
      <c r="T1503" s="4"/>
      <c r="U1503" s="4"/>
    </row>
    <row r="1504" spans="13:21" x14ac:dyDescent="0.25">
      <c r="M1504" s="229"/>
      <c r="N1504" s="17"/>
      <c r="O1504" s="17"/>
      <c r="P1504" s="17"/>
      <c r="Q1504" s="17"/>
      <c r="R1504" s="17"/>
      <c r="S1504" s="17"/>
      <c r="T1504" s="4"/>
      <c r="U1504" s="4"/>
    </row>
    <row r="1505" spans="13:21" x14ac:dyDescent="0.25">
      <c r="M1505" s="229"/>
      <c r="N1505" s="17"/>
      <c r="O1505" s="17"/>
      <c r="P1505" s="17"/>
      <c r="Q1505" s="17"/>
      <c r="R1505" s="17"/>
      <c r="S1505" s="17"/>
      <c r="T1505" s="4"/>
      <c r="U1505" s="4"/>
    </row>
    <row r="1506" spans="13:21" x14ac:dyDescent="0.25">
      <c r="M1506" s="229"/>
      <c r="N1506" s="17"/>
      <c r="O1506" s="17"/>
      <c r="P1506" s="17"/>
      <c r="Q1506" s="17"/>
      <c r="R1506" s="17"/>
      <c r="S1506" s="17"/>
      <c r="T1506" s="4"/>
      <c r="U1506" s="4"/>
    </row>
    <row r="1507" spans="13:21" x14ac:dyDescent="0.25">
      <c r="M1507" s="229"/>
      <c r="N1507" s="17"/>
      <c r="O1507" s="17"/>
      <c r="P1507" s="17"/>
      <c r="Q1507" s="17"/>
      <c r="R1507" s="17"/>
      <c r="S1507" s="17"/>
      <c r="T1507" s="4"/>
      <c r="U1507" s="4"/>
    </row>
    <row r="1508" spans="13:21" x14ac:dyDescent="0.25">
      <c r="M1508" s="229"/>
      <c r="N1508" s="17"/>
      <c r="O1508" s="17"/>
      <c r="P1508" s="17"/>
      <c r="Q1508" s="17"/>
      <c r="R1508" s="17"/>
      <c r="S1508" s="17"/>
      <c r="T1508" s="4"/>
      <c r="U1508" s="4"/>
    </row>
    <row r="1509" spans="13:21" x14ac:dyDescent="0.25">
      <c r="M1509" s="229"/>
      <c r="N1509" s="17"/>
      <c r="O1509" s="17"/>
      <c r="P1509" s="17"/>
      <c r="Q1509" s="17"/>
      <c r="R1509" s="17"/>
      <c r="S1509" s="17"/>
      <c r="T1509" s="4"/>
      <c r="U1509" s="4"/>
    </row>
    <row r="1510" spans="13:21" x14ac:dyDescent="0.25">
      <c r="M1510" s="229"/>
      <c r="N1510" s="17"/>
      <c r="O1510" s="17"/>
      <c r="P1510" s="17"/>
      <c r="Q1510" s="17"/>
      <c r="R1510" s="17"/>
      <c r="S1510" s="17"/>
      <c r="T1510" s="4"/>
      <c r="U1510" s="4"/>
    </row>
    <row r="1511" spans="13:21" x14ac:dyDescent="0.25">
      <c r="M1511" s="229"/>
      <c r="N1511" s="17"/>
      <c r="O1511" s="17"/>
      <c r="P1511" s="17"/>
      <c r="Q1511" s="17"/>
      <c r="R1511" s="17"/>
      <c r="S1511" s="17"/>
      <c r="T1511" s="4"/>
      <c r="U1511" s="4"/>
    </row>
    <row r="1512" spans="13:21" x14ac:dyDescent="0.25">
      <c r="M1512" s="229"/>
      <c r="N1512" s="17"/>
      <c r="O1512" s="17"/>
      <c r="P1512" s="17"/>
      <c r="Q1512" s="17"/>
      <c r="R1512" s="17"/>
      <c r="S1512" s="17"/>
      <c r="T1512" s="4"/>
      <c r="U1512" s="4"/>
    </row>
    <row r="1513" spans="13:21" x14ac:dyDescent="0.25">
      <c r="M1513" s="229"/>
      <c r="N1513" s="17"/>
      <c r="O1513" s="17"/>
      <c r="P1513" s="17"/>
      <c r="Q1513" s="17"/>
      <c r="R1513" s="17"/>
      <c r="S1513" s="17"/>
      <c r="T1513" s="4"/>
      <c r="U1513" s="4"/>
    </row>
    <row r="1514" spans="13:21" x14ac:dyDescent="0.25">
      <c r="M1514" s="229"/>
      <c r="N1514" s="17"/>
      <c r="O1514" s="17"/>
      <c r="P1514" s="17"/>
      <c r="Q1514" s="17"/>
      <c r="R1514" s="17"/>
      <c r="S1514" s="17"/>
      <c r="T1514" s="4"/>
      <c r="U1514" s="4"/>
    </row>
    <row r="1515" spans="13:21" x14ac:dyDescent="0.25">
      <c r="M1515" s="229"/>
      <c r="N1515" s="17"/>
      <c r="O1515" s="17"/>
      <c r="P1515" s="17"/>
      <c r="Q1515" s="17"/>
      <c r="R1515" s="17"/>
      <c r="S1515" s="17"/>
      <c r="T1515" s="4"/>
      <c r="U1515" s="4"/>
    </row>
    <row r="1516" spans="13:21" x14ac:dyDescent="0.25">
      <c r="M1516" s="229"/>
      <c r="N1516" s="17"/>
      <c r="O1516" s="17"/>
      <c r="P1516" s="17"/>
      <c r="Q1516" s="17"/>
      <c r="R1516" s="17"/>
      <c r="S1516" s="17"/>
      <c r="T1516" s="4"/>
      <c r="U1516" s="4"/>
    </row>
    <row r="1517" spans="13:21" x14ac:dyDescent="0.25">
      <c r="M1517" s="229"/>
      <c r="N1517" s="17"/>
      <c r="O1517" s="17"/>
      <c r="P1517" s="17"/>
      <c r="Q1517" s="17"/>
      <c r="R1517" s="17"/>
      <c r="S1517" s="17"/>
      <c r="T1517" s="4"/>
      <c r="U1517" s="4"/>
    </row>
    <row r="1518" spans="13:21" x14ac:dyDescent="0.25">
      <c r="M1518" s="229"/>
      <c r="N1518" s="17"/>
      <c r="O1518" s="17"/>
      <c r="P1518" s="17"/>
      <c r="Q1518" s="17"/>
      <c r="R1518" s="17"/>
      <c r="S1518" s="17"/>
      <c r="T1518" s="4"/>
      <c r="U1518" s="4"/>
    </row>
    <row r="1519" spans="13:21" x14ac:dyDescent="0.25">
      <c r="M1519" s="229"/>
      <c r="N1519" s="17"/>
      <c r="O1519" s="17"/>
      <c r="P1519" s="17"/>
      <c r="Q1519" s="17"/>
      <c r="R1519" s="17"/>
      <c r="S1519" s="17"/>
      <c r="T1519" s="4"/>
      <c r="U1519" s="4"/>
    </row>
    <row r="1520" spans="13:21" x14ac:dyDescent="0.25">
      <c r="M1520" s="229"/>
      <c r="N1520" s="17"/>
      <c r="O1520" s="17"/>
      <c r="P1520" s="17"/>
      <c r="Q1520" s="17"/>
      <c r="R1520" s="17"/>
      <c r="S1520" s="17"/>
      <c r="T1520" s="4"/>
      <c r="U1520" s="4"/>
    </row>
    <row r="1521" spans="13:21" x14ac:dyDescent="0.25">
      <c r="M1521" s="229"/>
      <c r="N1521" s="17"/>
      <c r="O1521" s="17"/>
      <c r="P1521" s="17"/>
      <c r="Q1521" s="17"/>
      <c r="R1521" s="17"/>
      <c r="S1521" s="17"/>
      <c r="T1521" s="4"/>
      <c r="U1521" s="4"/>
    </row>
    <row r="1522" spans="13:21" x14ac:dyDescent="0.25">
      <c r="M1522" s="229"/>
      <c r="N1522" s="17"/>
      <c r="O1522" s="17"/>
      <c r="P1522" s="17"/>
      <c r="Q1522" s="17"/>
      <c r="R1522" s="17"/>
      <c r="S1522" s="17"/>
      <c r="T1522" s="4"/>
      <c r="U1522" s="4"/>
    </row>
    <row r="1523" spans="13:21" x14ac:dyDescent="0.25">
      <c r="M1523" s="229"/>
      <c r="N1523" s="17"/>
      <c r="O1523" s="17"/>
      <c r="P1523" s="17"/>
      <c r="Q1523" s="17"/>
      <c r="R1523" s="17"/>
      <c r="S1523" s="17"/>
      <c r="T1523" s="4"/>
      <c r="U1523" s="4"/>
    </row>
    <row r="1524" spans="13:21" x14ac:dyDescent="0.25">
      <c r="M1524" s="229"/>
      <c r="N1524" s="17"/>
      <c r="O1524" s="17"/>
      <c r="P1524" s="17"/>
      <c r="Q1524" s="17"/>
      <c r="R1524" s="17"/>
      <c r="S1524" s="17"/>
      <c r="T1524" s="4"/>
      <c r="U1524" s="4"/>
    </row>
    <row r="1525" spans="13:21" x14ac:dyDescent="0.25">
      <c r="M1525" s="229"/>
      <c r="N1525" s="17"/>
      <c r="O1525" s="17"/>
      <c r="P1525" s="17"/>
      <c r="Q1525" s="17"/>
      <c r="R1525" s="17"/>
      <c r="S1525" s="17"/>
      <c r="T1525" s="4"/>
      <c r="U1525" s="4"/>
    </row>
    <row r="1526" spans="13:21" x14ac:dyDescent="0.25">
      <c r="M1526" s="229"/>
      <c r="N1526" s="17"/>
      <c r="O1526" s="17"/>
      <c r="P1526" s="17"/>
      <c r="Q1526" s="17"/>
      <c r="R1526" s="17"/>
      <c r="S1526" s="17"/>
      <c r="T1526" s="4"/>
      <c r="U1526" s="4"/>
    </row>
    <row r="1527" spans="13:21" x14ac:dyDescent="0.25">
      <c r="M1527" s="229"/>
      <c r="N1527" s="17"/>
      <c r="O1527" s="17"/>
      <c r="P1527" s="17"/>
      <c r="Q1527" s="17"/>
      <c r="R1527" s="17"/>
      <c r="S1527" s="17"/>
      <c r="T1527" s="4"/>
      <c r="U1527" s="4"/>
    </row>
    <row r="1528" spans="13:21" x14ac:dyDescent="0.25">
      <c r="M1528" s="229"/>
      <c r="N1528" s="17"/>
      <c r="O1528" s="17"/>
      <c r="P1528" s="17"/>
      <c r="Q1528" s="17"/>
      <c r="R1528" s="17"/>
      <c r="S1528" s="17"/>
      <c r="T1528" s="4"/>
      <c r="U1528" s="4"/>
    </row>
    <row r="1529" spans="13:21" x14ac:dyDescent="0.25">
      <c r="M1529" s="229"/>
      <c r="N1529" s="17"/>
      <c r="O1529" s="17"/>
      <c r="P1529" s="17"/>
      <c r="Q1529" s="17"/>
      <c r="R1529" s="17"/>
      <c r="S1529" s="17"/>
      <c r="T1529" s="4"/>
      <c r="U1529" s="4"/>
    </row>
    <row r="1530" spans="13:21" x14ac:dyDescent="0.25">
      <c r="M1530" s="229"/>
      <c r="N1530" s="17"/>
      <c r="O1530" s="17"/>
      <c r="P1530" s="17"/>
      <c r="Q1530" s="17"/>
      <c r="R1530" s="17"/>
      <c r="S1530" s="17"/>
      <c r="T1530" s="4"/>
      <c r="U1530" s="4"/>
    </row>
    <row r="1531" spans="13:21" x14ac:dyDescent="0.25">
      <c r="M1531" s="229"/>
      <c r="N1531" s="17"/>
      <c r="O1531" s="17"/>
      <c r="P1531" s="17"/>
      <c r="Q1531" s="17"/>
      <c r="R1531" s="17"/>
      <c r="S1531" s="17"/>
      <c r="T1531" s="4"/>
      <c r="U1531" s="4"/>
    </row>
    <row r="1532" spans="13:21" x14ac:dyDescent="0.25">
      <c r="M1532" s="229"/>
      <c r="N1532" s="17"/>
      <c r="O1532" s="17"/>
      <c r="P1532" s="17"/>
      <c r="Q1532" s="17"/>
      <c r="R1532" s="17"/>
      <c r="S1532" s="17"/>
      <c r="T1532" s="4"/>
      <c r="U1532" s="4"/>
    </row>
    <row r="1533" spans="13:21" x14ac:dyDescent="0.25">
      <c r="M1533" s="229"/>
      <c r="N1533" s="17"/>
      <c r="O1533" s="17"/>
      <c r="P1533" s="17"/>
      <c r="Q1533" s="17"/>
      <c r="R1533" s="17"/>
      <c r="S1533" s="17"/>
      <c r="T1533" s="4"/>
      <c r="U1533" s="4"/>
    </row>
    <row r="1534" spans="13:21" x14ac:dyDescent="0.25">
      <c r="M1534" s="229"/>
      <c r="N1534" s="17"/>
      <c r="O1534" s="17"/>
      <c r="P1534" s="17"/>
      <c r="Q1534" s="17"/>
      <c r="R1534" s="17"/>
      <c r="S1534" s="17"/>
      <c r="T1534" s="4"/>
      <c r="U1534" s="4"/>
    </row>
    <row r="1535" spans="13:21" x14ac:dyDescent="0.25">
      <c r="M1535" s="229"/>
      <c r="N1535" s="17"/>
      <c r="O1535" s="17"/>
      <c r="P1535" s="17"/>
      <c r="Q1535" s="17"/>
      <c r="R1535" s="17"/>
      <c r="S1535" s="17"/>
      <c r="T1535" s="4"/>
      <c r="U1535" s="4"/>
    </row>
    <row r="1536" spans="13:21" x14ac:dyDescent="0.25">
      <c r="M1536" s="229"/>
      <c r="N1536" s="17"/>
      <c r="O1536" s="17"/>
      <c r="P1536" s="17"/>
      <c r="Q1536" s="17"/>
      <c r="R1536" s="17"/>
      <c r="S1536" s="17"/>
      <c r="T1536" s="4"/>
      <c r="U1536" s="4"/>
    </row>
    <row r="1537" spans="13:21" x14ac:dyDescent="0.25">
      <c r="M1537" s="229"/>
      <c r="N1537" s="17"/>
      <c r="O1537" s="17"/>
      <c r="P1537" s="17"/>
      <c r="Q1537" s="17"/>
      <c r="R1537" s="17"/>
      <c r="S1537" s="17"/>
      <c r="T1537" s="4"/>
      <c r="U1537" s="4"/>
    </row>
    <row r="1538" spans="13:21" x14ac:dyDescent="0.25">
      <c r="M1538" s="229"/>
      <c r="N1538" s="17"/>
      <c r="O1538" s="17"/>
      <c r="P1538" s="17"/>
      <c r="Q1538" s="17"/>
      <c r="R1538" s="17"/>
      <c r="S1538" s="17"/>
      <c r="T1538" s="4"/>
      <c r="U1538" s="4"/>
    </row>
    <row r="1539" spans="13:21" x14ac:dyDescent="0.25">
      <c r="M1539" s="229"/>
      <c r="N1539" s="17"/>
      <c r="O1539" s="17"/>
      <c r="P1539" s="17"/>
      <c r="Q1539" s="17"/>
      <c r="R1539" s="17"/>
      <c r="S1539" s="17"/>
      <c r="T1539" s="4"/>
      <c r="U1539" s="4"/>
    </row>
    <row r="1540" spans="13:21" x14ac:dyDescent="0.25">
      <c r="M1540" s="229"/>
      <c r="N1540" s="17"/>
      <c r="O1540" s="17"/>
      <c r="P1540" s="17"/>
      <c r="Q1540" s="17"/>
      <c r="R1540" s="17"/>
      <c r="S1540" s="17"/>
      <c r="T1540" s="4"/>
      <c r="U1540" s="4"/>
    </row>
    <row r="1541" spans="13:21" x14ac:dyDescent="0.25">
      <c r="M1541" s="229"/>
      <c r="N1541" s="17"/>
      <c r="O1541" s="17"/>
      <c r="P1541" s="17"/>
      <c r="Q1541" s="17"/>
      <c r="R1541" s="17"/>
      <c r="S1541" s="17"/>
      <c r="T1541" s="4"/>
      <c r="U1541" s="4"/>
    </row>
    <row r="1542" spans="13:21" x14ac:dyDescent="0.25">
      <c r="M1542" s="229"/>
      <c r="N1542" s="17"/>
      <c r="O1542" s="17"/>
      <c r="P1542" s="17"/>
      <c r="Q1542" s="17"/>
      <c r="R1542" s="17"/>
      <c r="S1542" s="17"/>
      <c r="T1542" s="4"/>
      <c r="U1542" s="4"/>
    </row>
    <row r="1543" spans="13:21" x14ac:dyDescent="0.25">
      <c r="M1543" s="229"/>
      <c r="N1543" s="17"/>
      <c r="O1543" s="17"/>
      <c r="P1543" s="17"/>
      <c r="Q1543" s="17"/>
      <c r="R1543" s="17"/>
      <c r="S1543" s="17"/>
      <c r="T1543" s="4"/>
      <c r="U1543" s="4"/>
    </row>
    <row r="1544" spans="13:21" x14ac:dyDescent="0.25">
      <c r="M1544" s="229"/>
      <c r="N1544" s="17"/>
      <c r="O1544" s="17"/>
      <c r="P1544" s="17"/>
      <c r="Q1544" s="17"/>
      <c r="R1544" s="17"/>
      <c r="S1544" s="17"/>
      <c r="T1544" s="4"/>
      <c r="U1544" s="4"/>
    </row>
    <row r="1545" spans="13:21" x14ac:dyDescent="0.25">
      <c r="M1545" s="229"/>
      <c r="N1545" s="17"/>
      <c r="O1545" s="17"/>
      <c r="P1545" s="17"/>
      <c r="Q1545" s="17"/>
      <c r="R1545" s="17"/>
      <c r="S1545" s="17"/>
      <c r="T1545" s="4"/>
      <c r="U1545" s="4"/>
    </row>
    <row r="1546" spans="13:21" x14ac:dyDescent="0.25">
      <c r="M1546" s="229"/>
      <c r="N1546" s="17"/>
      <c r="O1546" s="17"/>
      <c r="P1546" s="17"/>
      <c r="Q1546" s="17"/>
      <c r="R1546" s="17"/>
      <c r="S1546" s="17"/>
      <c r="T1546" s="4"/>
      <c r="U1546" s="4"/>
    </row>
    <row r="1547" spans="13:21" x14ac:dyDescent="0.25">
      <c r="M1547" s="229"/>
      <c r="N1547" s="17"/>
      <c r="O1547" s="17"/>
      <c r="P1547" s="17"/>
      <c r="Q1547" s="17"/>
      <c r="R1547" s="17"/>
      <c r="S1547" s="17"/>
      <c r="T1547" s="4"/>
      <c r="U1547" s="4"/>
    </row>
    <row r="1548" spans="13:21" x14ac:dyDescent="0.25">
      <c r="M1548" s="229"/>
      <c r="N1548" s="17"/>
      <c r="O1548" s="17"/>
      <c r="P1548" s="17"/>
      <c r="Q1548" s="17"/>
      <c r="R1548" s="17"/>
      <c r="S1548" s="17"/>
      <c r="T1548" s="4"/>
      <c r="U1548" s="4"/>
    </row>
    <row r="1549" spans="13:21" x14ac:dyDescent="0.25">
      <c r="M1549" s="229"/>
      <c r="N1549" s="17"/>
      <c r="O1549" s="17"/>
      <c r="P1549" s="17"/>
      <c r="Q1549" s="17"/>
      <c r="R1549" s="17"/>
      <c r="S1549" s="17"/>
      <c r="T1549" s="4"/>
      <c r="U1549" s="4"/>
    </row>
    <row r="1550" spans="13:21" x14ac:dyDescent="0.25">
      <c r="M1550" s="229"/>
      <c r="N1550" s="17"/>
      <c r="O1550" s="17"/>
      <c r="P1550" s="17"/>
      <c r="Q1550" s="17"/>
      <c r="R1550" s="17"/>
      <c r="S1550" s="17"/>
      <c r="T1550" s="4"/>
      <c r="U1550" s="4"/>
    </row>
    <row r="1551" spans="13:21" x14ac:dyDescent="0.25">
      <c r="M1551" s="229"/>
      <c r="N1551" s="17"/>
      <c r="O1551" s="17"/>
      <c r="P1551" s="17"/>
      <c r="Q1551" s="17"/>
      <c r="R1551" s="17"/>
      <c r="S1551" s="17"/>
      <c r="T1551" s="4"/>
      <c r="U1551" s="4"/>
    </row>
    <row r="1552" spans="13:21" x14ac:dyDescent="0.25">
      <c r="M1552" s="229"/>
      <c r="N1552" s="17"/>
      <c r="O1552" s="17"/>
      <c r="P1552" s="17"/>
      <c r="Q1552" s="17"/>
      <c r="R1552" s="17"/>
      <c r="S1552" s="17"/>
      <c r="T1552" s="4"/>
      <c r="U1552" s="4"/>
    </row>
    <row r="1553" spans="13:21" x14ac:dyDescent="0.25">
      <c r="M1553" s="229"/>
      <c r="N1553" s="17"/>
      <c r="O1553" s="17"/>
      <c r="P1553" s="17"/>
      <c r="Q1553" s="17"/>
      <c r="R1553" s="17"/>
      <c r="S1553" s="17"/>
      <c r="T1553" s="4"/>
      <c r="U1553" s="4"/>
    </row>
    <row r="1554" spans="13:21" x14ac:dyDescent="0.25">
      <c r="M1554" s="229"/>
      <c r="N1554" s="17"/>
      <c r="O1554" s="17"/>
      <c r="P1554" s="17"/>
      <c r="Q1554" s="17"/>
      <c r="R1554" s="17"/>
      <c r="S1554" s="17"/>
      <c r="T1554" s="4"/>
      <c r="U1554" s="4"/>
    </row>
    <row r="1555" spans="13:21" x14ac:dyDescent="0.25">
      <c r="M1555" s="229"/>
      <c r="N1555" s="17"/>
      <c r="O1555" s="17"/>
      <c r="P1555" s="17"/>
      <c r="Q1555" s="17"/>
      <c r="R1555" s="17"/>
      <c r="S1555" s="17"/>
      <c r="T1555" s="4"/>
      <c r="U1555" s="4"/>
    </row>
    <row r="1556" spans="13:21" x14ac:dyDescent="0.25">
      <c r="M1556" s="229"/>
      <c r="N1556" s="17"/>
      <c r="O1556" s="17"/>
      <c r="P1556" s="17"/>
      <c r="Q1556" s="17"/>
      <c r="R1556" s="17"/>
      <c r="S1556" s="17"/>
      <c r="T1556" s="4"/>
      <c r="U1556" s="4"/>
    </row>
    <row r="1557" spans="13:21" x14ac:dyDescent="0.25">
      <c r="M1557" s="229"/>
      <c r="N1557" s="17"/>
      <c r="O1557" s="17"/>
      <c r="P1557" s="17"/>
      <c r="Q1557" s="17"/>
      <c r="R1557" s="17"/>
      <c r="S1557" s="17"/>
      <c r="T1557" s="4"/>
      <c r="U1557" s="4"/>
    </row>
    <row r="1558" spans="13:21" x14ac:dyDescent="0.25">
      <c r="M1558" s="229"/>
      <c r="N1558" s="17"/>
      <c r="O1558" s="17"/>
      <c r="P1558" s="17"/>
      <c r="Q1558" s="17"/>
      <c r="R1558" s="17"/>
      <c r="S1558" s="17"/>
      <c r="T1558" s="4"/>
      <c r="U1558" s="4"/>
    </row>
    <row r="1559" spans="13:21" x14ac:dyDescent="0.25">
      <c r="M1559" s="229"/>
      <c r="N1559" s="17"/>
      <c r="O1559" s="17"/>
      <c r="P1559" s="17"/>
      <c r="Q1559" s="17"/>
      <c r="R1559" s="17"/>
      <c r="S1559" s="17"/>
      <c r="T1559" s="4"/>
      <c r="U1559" s="4"/>
    </row>
    <row r="1560" spans="13:21" x14ac:dyDescent="0.25">
      <c r="M1560" s="229"/>
      <c r="N1560" s="17"/>
      <c r="O1560" s="17"/>
      <c r="P1560" s="17"/>
      <c r="Q1560" s="17"/>
      <c r="R1560" s="17"/>
      <c r="S1560" s="17"/>
      <c r="T1560" s="4"/>
      <c r="U1560" s="4"/>
    </row>
    <row r="1561" spans="13:21" x14ac:dyDescent="0.25">
      <c r="M1561" s="229"/>
      <c r="N1561" s="17"/>
      <c r="O1561" s="17"/>
      <c r="P1561" s="17"/>
      <c r="Q1561" s="17"/>
      <c r="R1561" s="17"/>
      <c r="S1561" s="17"/>
      <c r="T1561" s="4"/>
      <c r="U1561" s="4"/>
    </row>
    <row r="1562" spans="13:21" x14ac:dyDescent="0.25">
      <c r="M1562" s="229"/>
      <c r="N1562" s="17"/>
      <c r="O1562" s="17"/>
      <c r="P1562" s="17"/>
      <c r="Q1562" s="17"/>
      <c r="R1562" s="17"/>
      <c r="S1562" s="17"/>
      <c r="T1562" s="4"/>
      <c r="U1562" s="4"/>
    </row>
    <row r="1563" spans="13:21" x14ac:dyDescent="0.25">
      <c r="M1563" s="229"/>
      <c r="N1563" s="17"/>
      <c r="O1563" s="17"/>
      <c r="P1563" s="17"/>
      <c r="Q1563" s="17"/>
      <c r="R1563" s="17"/>
      <c r="S1563" s="17"/>
      <c r="T1563" s="4"/>
      <c r="U1563" s="4"/>
    </row>
    <row r="1564" spans="13:21" x14ac:dyDescent="0.25">
      <c r="M1564" s="229"/>
      <c r="N1564" s="17"/>
      <c r="O1564" s="17"/>
      <c r="P1564" s="17"/>
      <c r="Q1564" s="17"/>
      <c r="R1564" s="17"/>
      <c r="S1564" s="17"/>
      <c r="T1564" s="4"/>
      <c r="U1564" s="4"/>
    </row>
    <row r="1565" spans="13:21" x14ac:dyDescent="0.25">
      <c r="M1565" s="229"/>
      <c r="N1565" s="17"/>
      <c r="O1565" s="17"/>
      <c r="P1565" s="17"/>
      <c r="Q1565" s="17"/>
      <c r="R1565" s="17"/>
      <c r="S1565" s="17"/>
      <c r="T1565" s="4"/>
      <c r="U1565" s="4"/>
    </row>
    <row r="1566" spans="13:21" x14ac:dyDescent="0.25">
      <c r="M1566" s="229"/>
      <c r="N1566" s="17"/>
      <c r="O1566" s="17"/>
      <c r="P1566" s="17"/>
      <c r="Q1566" s="17"/>
      <c r="R1566" s="17"/>
      <c r="S1566" s="17"/>
      <c r="T1566" s="4"/>
      <c r="U1566" s="4"/>
    </row>
    <row r="1567" spans="13:21" x14ac:dyDescent="0.25">
      <c r="M1567" s="229"/>
      <c r="N1567" s="17"/>
      <c r="O1567" s="17"/>
      <c r="P1567" s="17"/>
      <c r="Q1567" s="17"/>
      <c r="R1567" s="17"/>
      <c r="S1567" s="17"/>
      <c r="T1567" s="4"/>
      <c r="U1567" s="4"/>
    </row>
    <row r="1568" spans="13:21" x14ac:dyDescent="0.25">
      <c r="M1568" s="229"/>
      <c r="N1568" s="17"/>
      <c r="O1568" s="17"/>
      <c r="P1568" s="17"/>
      <c r="Q1568" s="17"/>
      <c r="R1568" s="17"/>
      <c r="S1568" s="17"/>
      <c r="T1568" s="4"/>
      <c r="U1568" s="4"/>
    </row>
    <row r="1569" spans="13:21" x14ac:dyDescent="0.25">
      <c r="M1569" s="229"/>
      <c r="N1569" s="17"/>
      <c r="O1569" s="17"/>
      <c r="P1569" s="17"/>
      <c r="Q1569" s="17"/>
      <c r="R1569" s="17"/>
      <c r="S1569" s="17"/>
      <c r="T1569" s="4"/>
      <c r="U1569" s="4"/>
    </row>
    <row r="1570" spans="13:21" x14ac:dyDescent="0.25">
      <c r="M1570" s="229"/>
      <c r="N1570" s="17"/>
      <c r="O1570" s="17"/>
      <c r="P1570" s="17"/>
      <c r="Q1570" s="17"/>
      <c r="R1570" s="17"/>
      <c r="S1570" s="17"/>
      <c r="T1570" s="4"/>
      <c r="U1570" s="4"/>
    </row>
    <row r="1571" spans="13:21" x14ac:dyDescent="0.25">
      <c r="M1571" s="229"/>
      <c r="N1571" s="17"/>
      <c r="O1571" s="17"/>
      <c r="P1571" s="17"/>
      <c r="Q1571" s="17"/>
      <c r="R1571" s="17"/>
      <c r="S1571" s="17"/>
      <c r="T1571" s="4"/>
      <c r="U1571" s="4"/>
    </row>
    <row r="1572" spans="13:21" x14ac:dyDescent="0.25">
      <c r="M1572" s="229"/>
      <c r="N1572" s="17"/>
      <c r="O1572" s="17"/>
      <c r="P1572" s="17"/>
      <c r="Q1572" s="17"/>
      <c r="R1572" s="17"/>
      <c r="S1572" s="17"/>
      <c r="T1572" s="4"/>
      <c r="U1572" s="4"/>
    </row>
    <row r="1573" spans="13:21" x14ac:dyDescent="0.25">
      <c r="M1573" s="229"/>
      <c r="N1573" s="17"/>
      <c r="O1573" s="17"/>
      <c r="P1573" s="17"/>
      <c r="Q1573" s="17"/>
      <c r="R1573" s="17"/>
      <c r="S1573" s="17"/>
      <c r="T1573" s="4"/>
      <c r="U1573" s="4"/>
    </row>
    <row r="1574" spans="13:21" x14ac:dyDescent="0.25">
      <c r="M1574" s="229"/>
      <c r="N1574" s="17"/>
      <c r="O1574" s="17"/>
      <c r="P1574" s="17"/>
      <c r="Q1574" s="17"/>
      <c r="R1574" s="17"/>
      <c r="S1574" s="17"/>
      <c r="T1574" s="4"/>
      <c r="U1574" s="4"/>
    </row>
    <row r="1575" spans="13:21" x14ac:dyDescent="0.25">
      <c r="M1575" s="229"/>
      <c r="N1575" s="17"/>
      <c r="O1575" s="17"/>
      <c r="P1575" s="17"/>
      <c r="Q1575" s="17"/>
      <c r="R1575" s="17"/>
      <c r="S1575" s="17"/>
      <c r="T1575" s="4"/>
      <c r="U1575" s="4"/>
    </row>
    <row r="1576" spans="13:21" x14ac:dyDescent="0.25">
      <c r="M1576" s="229"/>
      <c r="N1576" s="17"/>
      <c r="O1576" s="17"/>
      <c r="P1576" s="17"/>
      <c r="Q1576" s="17"/>
      <c r="R1576" s="17"/>
      <c r="S1576" s="17"/>
      <c r="T1576" s="4"/>
      <c r="U1576" s="4"/>
    </row>
    <row r="1577" spans="13:21" x14ac:dyDescent="0.25">
      <c r="M1577" s="229"/>
      <c r="N1577" s="17"/>
      <c r="O1577" s="17"/>
      <c r="P1577" s="17"/>
      <c r="Q1577" s="17"/>
      <c r="R1577" s="17"/>
      <c r="S1577" s="17"/>
      <c r="T1577" s="4"/>
      <c r="U1577" s="4"/>
    </row>
    <row r="1578" spans="13:21" x14ac:dyDescent="0.25">
      <c r="M1578" s="229"/>
      <c r="N1578" s="17"/>
      <c r="O1578" s="17"/>
      <c r="P1578" s="17"/>
      <c r="Q1578" s="17"/>
      <c r="R1578" s="17"/>
      <c r="S1578" s="17"/>
      <c r="T1578" s="4"/>
      <c r="U1578" s="4"/>
    </row>
    <row r="1579" spans="13:21" x14ac:dyDescent="0.25">
      <c r="M1579" s="229"/>
      <c r="N1579" s="17"/>
      <c r="O1579" s="17"/>
      <c r="P1579" s="17"/>
      <c r="Q1579" s="17"/>
      <c r="R1579" s="17"/>
      <c r="S1579" s="17"/>
      <c r="T1579" s="4"/>
      <c r="U1579" s="4"/>
    </row>
    <row r="1580" spans="13:21" x14ac:dyDescent="0.25">
      <c r="M1580" s="229"/>
      <c r="N1580" s="17"/>
      <c r="O1580" s="17"/>
      <c r="P1580" s="17"/>
      <c r="Q1580" s="17"/>
      <c r="R1580" s="17"/>
      <c r="S1580" s="17"/>
      <c r="T1580" s="4"/>
      <c r="U1580" s="4"/>
    </row>
    <row r="1581" spans="13:21" x14ac:dyDescent="0.25">
      <c r="M1581" s="229"/>
      <c r="N1581" s="17"/>
      <c r="O1581" s="17"/>
      <c r="P1581" s="17"/>
      <c r="Q1581" s="17"/>
      <c r="R1581" s="17"/>
      <c r="S1581" s="17"/>
      <c r="T1581" s="4"/>
      <c r="U1581" s="4"/>
    </row>
    <row r="1582" spans="13:21" x14ac:dyDescent="0.25">
      <c r="M1582" s="229"/>
      <c r="N1582" s="17"/>
      <c r="O1582" s="17"/>
      <c r="P1582" s="17"/>
      <c r="Q1582" s="17"/>
      <c r="R1582" s="17"/>
      <c r="S1582" s="17"/>
      <c r="T1582" s="4"/>
      <c r="U1582" s="4"/>
    </row>
    <row r="1583" spans="13:21" x14ac:dyDescent="0.25">
      <c r="M1583" s="229"/>
      <c r="N1583" s="17"/>
      <c r="O1583" s="17"/>
      <c r="P1583" s="17"/>
      <c r="Q1583" s="17"/>
      <c r="R1583" s="17"/>
      <c r="S1583" s="17"/>
      <c r="T1583" s="4"/>
      <c r="U1583" s="4"/>
    </row>
    <row r="1584" spans="13:21" x14ac:dyDescent="0.25">
      <c r="M1584" s="229"/>
      <c r="N1584" s="17"/>
      <c r="O1584" s="17"/>
      <c r="P1584" s="17"/>
      <c r="Q1584" s="17"/>
      <c r="R1584" s="17"/>
      <c r="S1584" s="17"/>
      <c r="T1584" s="4"/>
      <c r="U1584" s="4"/>
    </row>
    <row r="1585" spans="13:21" x14ac:dyDescent="0.25">
      <c r="M1585" s="229"/>
      <c r="N1585" s="17"/>
      <c r="O1585" s="17"/>
      <c r="P1585" s="17"/>
      <c r="Q1585" s="17"/>
      <c r="R1585" s="17"/>
      <c r="S1585" s="17"/>
      <c r="T1585" s="4"/>
      <c r="U1585" s="4"/>
    </row>
    <row r="1586" spans="13:21" x14ac:dyDescent="0.25">
      <c r="M1586" s="229"/>
      <c r="N1586" s="17"/>
      <c r="O1586" s="17"/>
      <c r="P1586" s="17"/>
      <c r="Q1586" s="17"/>
      <c r="R1586" s="17"/>
      <c r="S1586" s="17"/>
      <c r="T1586" s="4"/>
      <c r="U1586" s="4"/>
    </row>
    <row r="1587" spans="13:21" x14ac:dyDescent="0.25">
      <c r="M1587" s="229"/>
      <c r="N1587" s="17"/>
      <c r="O1587" s="17"/>
      <c r="P1587" s="17"/>
      <c r="Q1587" s="17"/>
      <c r="R1587" s="17"/>
      <c r="S1587" s="17"/>
      <c r="T1587" s="4"/>
      <c r="U1587" s="4"/>
    </row>
    <row r="1588" spans="13:21" x14ac:dyDescent="0.25">
      <c r="M1588" s="229"/>
      <c r="N1588" s="17"/>
      <c r="O1588" s="17"/>
      <c r="P1588" s="17"/>
      <c r="Q1588" s="17"/>
      <c r="R1588" s="17"/>
      <c r="S1588" s="17"/>
      <c r="T1588" s="4"/>
      <c r="U1588" s="4"/>
    </row>
    <row r="1589" spans="13:21" x14ac:dyDescent="0.25">
      <c r="M1589" s="229"/>
      <c r="N1589" s="17"/>
      <c r="O1589" s="17"/>
      <c r="P1589" s="17"/>
      <c r="Q1589" s="17"/>
      <c r="R1589" s="17"/>
      <c r="S1589" s="17"/>
      <c r="T1589" s="4"/>
      <c r="U1589" s="4"/>
    </row>
    <row r="1590" spans="13:21" x14ac:dyDescent="0.25">
      <c r="M1590" s="229"/>
      <c r="N1590" s="17"/>
      <c r="O1590" s="17"/>
      <c r="P1590" s="17"/>
      <c r="Q1590" s="17"/>
      <c r="R1590" s="17"/>
      <c r="S1590" s="17"/>
      <c r="T1590" s="4"/>
      <c r="U1590" s="4"/>
    </row>
    <row r="1591" spans="13:21" x14ac:dyDescent="0.25">
      <c r="M1591" s="229"/>
      <c r="N1591" s="17"/>
      <c r="O1591" s="17"/>
      <c r="P1591" s="17"/>
      <c r="Q1591" s="17"/>
      <c r="R1591" s="17"/>
      <c r="S1591" s="17"/>
      <c r="T1591" s="4"/>
      <c r="U1591" s="4"/>
    </row>
    <row r="1592" spans="13:21" x14ac:dyDescent="0.25">
      <c r="M1592" s="229"/>
      <c r="N1592" s="17"/>
      <c r="O1592" s="17"/>
      <c r="P1592" s="17"/>
      <c r="Q1592" s="17"/>
      <c r="R1592" s="17"/>
      <c r="S1592" s="17"/>
      <c r="T1592" s="4"/>
      <c r="U1592" s="4"/>
    </row>
    <row r="1593" spans="13:21" x14ac:dyDescent="0.25">
      <c r="M1593" s="229"/>
      <c r="N1593" s="17"/>
      <c r="O1593" s="17"/>
      <c r="P1593" s="17"/>
      <c r="Q1593" s="17"/>
      <c r="R1593" s="17"/>
      <c r="S1593" s="17"/>
      <c r="T1593" s="4"/>
      <c r="U1593" s="4"/>
    </row>
    <row r="1594" spans="13:21" x14ac:dyDescent="0.25">
      <c r="M1594" s="229"/>
      <c r="N1594" s="17"/>
      <c r="O1594" s="17"/>
      <c r="P1594" s="17"/>
      <c r="Q1594" s="17"/>
      <c r="R1594" s="17"/>
      <c r="S1594" s="17"/>
      <c r="T1594" s="4"/>
      <c r="U1594" s="4"/>
    </row>
    <row r="1595" spans="13:21" x14ac:dyDescent="0.25">
      <c r="M1595" s="229"/>
      <c r="N1595" s="17"/>
      <c r="O1595" s="17"/>
      <c r="P1595" s="17"/>
      <c r="Q1595" s="17"/>
      <c r="R1595" s="17"/>
      <c r="S1595" s="17"/>
      <c r="T1595" s="4"/>
      <c r="U1595" s="4"/>
    </row>
    <row r="1596" spans="13:21" x14ac:dyDescent="0.25">
      <c r="M1596" s="229"/>
      <c r="N1596" s="17"/>
      <c r="O1596" s="17"/>
      <c r="P1596" s="17"/>
      <c r="Q1596" s="17"/>
      <c r="R1596" s="17"/>
      <c r="S1596" s="17"/>
      <c r="T1596" s="4"/>
      <c r="U1596" s="4"/>
    </row>
    <row r="1597" spans="13:21" x14ac:dyDescent="0.25">
      <c r="M1597" s="229"/>
      <c r="N1597" s="17"/>
      <c r="O1597" s="17"/>
      <c r="P1597" s="17"/>
      <c r="Q1597" s="17"/>
      <c r="R1597" s="17"/>
      <c r="S1597" s="17"/>
      <c r="T1597" s="4"/>
      <c r="U1597" s="4"/>
    </row>
    <row r="1598" spans="13:21" x14ac:dyDescent="0.25">
      <c r="M1598" s="229"/>
      <c r="N1598" s="17"/>
      <c r="O1598" s="17"/>
      <c r="P1598" s="17"/>
      <c r="Q1598" s="17"/>
      <c r="R1598" s="17"/>
      <c r="S1598" s="17"/>
      <c r="T1598" s="4"/>
      <c r="U1598" s="4"/>
    </row>
    <row r="1599" spans="13:21" x14ac:dyDescent="0.25">
      <c r="M1599" s="229"/>
      <c r="N1599" s="17"/>
      <c r="O1599" s="17"/>
      <c r="P1599" s="17"/>
      <c r="Q1599" s="17"/>
      <c r="R1599" s="17"/>
      <c r="S1599" s="17"/>
      <c r="T1599" s="4"/>
      <c r="U1599" s="4"/>
    </row>
    <row r="1600" spans="13:21" x14ac:dyDescent="0.25">
      <c r="M1600" s="229"/>
      <c r="N1600" s="17"/>
      <c r="O1600" s="17"/>
      <c r="P1600" s="17"/>
      <c r="Q1600" s="17"/>
      <c r="R1600" s="17"/>
      <c r="S1600" s="17"/>
      <c r="T1600" s="4"/>
      <c r="U1600" s="4"/>
    </row>
    <row r="1601" spans="13:21" x14ac:dyDescent="0.25">
      <c r="M1601" s="229"/>
      <c r="N1601" s="17"/>
      <c r="O1601" s="17"/>
      <c r="P1601" s="17"/>
      <c r="Q1601" s="17"/>
      <c r="R1601" s="17"/>
      <c r="S1601" s="17"/>
      <c r="T1601" s="4"/>
      <c r="U1601" s="4"/>
    </row>
    <row r="1602" spans="13:21" x14ac:dyDescent="0.25">
      <c r="M1602" s="229"/>
      <c r="N1602" s="17"/>
      <c r="O1602" s="17"/>
      <c r="P1602" s="17"/>
      <c r="Q1602" s="17"/>
      <c r="R1602" s="17"/>
      <c r="S1602" s="17"/>
      <c r="T1602" s="4"/>
      <c r="U1602" s="4"/>
    </row>
    <row r="1603" spans="13:21" x14ac:dyDescent="0.25">
      <c r="M1603" s="229"/>
      <c r="N1603" s="17"/>
      <c r="O1603" s="17"/>
      <c r="P1603" s="17"/>
      <c r="Q1603" s="17"/>
      <c r="R1603" s="17"/>
      <c r="S1603" s="17"/>
      <c r="T1603" s="4"/>
      <c r="U1603" s="4"/>
    </row>
    <row r="1604" spans="13:21" x14ac:dyDescent="0.25">
      <c r="M1604" s="229"/>
      <c r="N1604" s="17"/>
      <c r="O1604" s="17"/>
      <c r="P1604" s="17"/>
      <c r="Q1604" s="17"/>
      <c r="R1604" s="17"/>
      <c r="S1604" s="17"/>
      <c r="T1604" s="4"/>
      <c r="U1604" s="4"/>
    </row>
    <row r="1605" spans="13:21" x14ac:dyDescent="0.25">
      <c r="M1605" s="229"/>
      <c r="N1605" s="17"/>
      <c r="O1605" s="17"/>
      <c r="P1605" s="17"/>
      <c r="Q1605" s="17"/>
      <c r="R1605" s="17"/>
      <c r="S1605" s="17"/>
      <c r="T1605" s="4"/>
      <c r="U1605" s="4"/>
    </row>
    <row r="1606" spans="13:21" x14ac:dyDescent="0.25">
      <c r="M1606" s="229"/>
      <c r="N1606" s="17"/>
      <c r="O1606" s="17"/>
      <c r="P1606" s="17"/>
      <c r="Q1606" s="17"/>
      <c r="R1606" s="17"/>
      <c r="S1606" s="17"/>
      <c r="T1606" s="4"/>
      <c r="U1606" s="4"/>
    </row>
    <row r="1607" spans="13:21" x14ac:dyDescent="0.25">
      <c r="M1607" s="229"/>
      <c r="N1607" s="17"/>
      <c r="O1607" s="17"/>
      <c r="P1607" s="17"/>
      <c r="Q1607" s="17"/>
      <c r="R1607" s="17"/>
      <c r="S1607" s="17"/>
      <c r="T1607" s="4"/>
      <c r="U1607" s="4"/>
    </row>
    <row r="1608" spans="13:21" x14ac:dyDescent="0.25">
      <c r="M1608" s="229"/>
      <c r="N1608" s="17"/>
      <c r="O1608" s="17"/>
      <c r="P1608" s="17"/>
      <c r="Q1608" s="17"/>
      <c r="R1608" s="17"/>
      <c r="S1608" s="17"/>
      <c r="T1608" s="4"/>
      <c r="U1608" s="4"/>
    </row>
    <row r="1609" spans="13:21" x14ac:dyDescent="0.25">
      <c r="M1609" s="229"/>
      <c r="N1609" s="17"/>
      <c r="O1609" s="17"/>
      <c r="P1609" s="17"/>
      <c r="Q1609" s="17"/>
      <c r="R1609" s="17"/>
      <c r="S1609" s="17"/>
      <c r="T1609" s="4"/>
      <c r="U1609" s="4"/>
    </row>
    <row r="1610" spans="13:21" x14ac:dyDescent="0.25">
      <c r="M1610" s="229"/>
      <c r="N1610" s="17"/>
      <c r="O1610" s="17"/>
      <c r="P1610" s="17"/>
      <c r="Q1610" s="17"/>
      <c r="R1610" s="17"/>
      <c r="S1610" s="17"/>
      <c r="T1610" s="4"/>
      <c r="U1610" s="4"/>
    </row>
    <row r="1611" spans="13:21" x14ac:dyDescent="0.25">
      <c r="M1611" s="229"/>
      <c r="N1611" s="17"/>
      <c r="O1611" s="17"/>
      <c r="P1611" s="17"/>
      <c r="Q1611" s="17"/>
      <c r="R1611" s="17"/>
      <c r="S1611" s="17"/>
      <c r="T1611" s="4"/>
      <c r="U1611" s="4"/>
    </row>
    <row r="1612" spans="13:21" x14ac:dyDescent="0.25">
      <c r="M1612" s="229"/>
      <c r="N1612" s="17"/>
      <c r="O1612" s="17"/>
      <c r="P1612" s="17"/>
      <c r="Q1612" s="17"/>
      <c r="R1612" s="17"/>
      <c r="S1612" s="17"/>
      <c r="T1612" s="4"/>
      <c r="U1612" s="4"/>
    </row>
    <row r="1613" spans="13:21" x14ac:dyDescent="0.25">
      <c r="M1613" s="229"/>
      <c r="N1613" s="17"/>
      <c r="O1613" s="17"/>
      <c r="P1613" s="17"/>
      <c r="Q1613" s="17"/>
      <c r="R1613" s="17"/>
      <c r="S1613" s="17"/>
      <c r="T1613" s="4"/>
      <c r="U1613" s="4"/>
    </row>
    <row r="1614" spans="13:21" x14ac:dyDescent="0.25">
      <c r="M1614" s="229"/>
      <c r="N1614" s="17"/>
      <c r="O1614" s="17"/>
      <c r="P1614" s="17"/>
      <c r="Q1614" s="17"/>
      <c r="R1614" s="17"/>
      <c r="S1614" s="17"/>
      <c r="T1614" s="4"/>
      <c r="U1614" s="4"/>
    </row>
    <row r="1615" spans="13:21" x14ac:dyDescent="0.25">
      <c r="M1615" s="229"/>
      <c r="N1615" s="17"/>
      <c r="O1615" s="17"/>
      <c r="P1615" s="17"/>
      <c r="Q1615" s="17"/>
      <c r="R1615" s="17"/>
      <c r="S1615" s="17"/>
      <c r="T1615" s="4"/>
      <c r="U1615" s="4"/>
    </row>
    <row r="1616" spans="13:21" x14ac:dyDescent="0.25">
      <c r="M1616" s="229"/>
      <c r="N1616" s="17"/>
      <c r="O1616" s="17"/>
      <c r="P1616" s="17"/>
      <c r="Q1616" s="17"/>
      <c r="R1616" s="17"/>
      <c r="S1616" s="17"/>
      <c r="T1616" s="4"/>
      <c r="U1616" s="4"/>
    </row>
    <row r="1617" spans="13:21" x14ac:dyDescent="0.25">
      <c r="M1617" s="229"/>
      <c r="N1617" s="17"/>
      <c r="O1617" s="17"/>
      <c r="P1617" s="17"/>
      <c r="Q1617" s="17"/>
      <c r="R1617" s="17"/>
      <c r="S1617" s="17"/>
      <c r="T1617" s="4"/>
      <c r="U1617" s="4"/>
    </row>
    <row r="1618" spans="13:21" x14ac:dyDescent="0.25">
      <c r="M1618" s="229"/>
      <c r="N1618" s="17"/>
      <c r="O1618" s="17"/>
      <c r="P1618" s="17"/>
      <c r="Q1618" s="17"/>
      <c r="R1618" s="17"/>
      <c r="S1618" s="17"/>
      <c r="T1618" s="4"/>
      <c r="U1618" s="4"/>
    </row>
    <row r="1619" spans="13:21" x14ac:dyDescent="0.25">
      <c r="M1619" s="229"/>
      <c r="N1619" s="17"/>
      <c r="O1619" s="17"/>
      <c r="P1619" s="17"/>
      <c r="Q1619" s="17"/>
      <c r="R1619" s="17"/>
      <c r="S1619" s="17"/>
      <c r="T1619" s="4"/>
      <c r="U1619" s="4"/>
    </row>
    <row r="1620" spans="13:21" x14ac:dyDescent="0.25">
      <c r="M1620" s="229"/>
      <c r="N1620" s="17"/>
      <c r="O1620" s="17"/>
      <c r="P1620" s="17"/>
      <c r="Q1620" s="17"/>
      <c r="R1620" s="17"/>
      <c r="S1620" s="17"/>
      <c r="T1620" s="4"/>
      <c r="U1620" s="4"/>
    </row>
    <row r="1621" spans="13:21" x14ac:dyDescent="0.25">
      <c r="M1621" s="229"/>
      <c r="N1621" s="17"/>
      <c r="O1621" s="17"/>
      <c r="P1621" s="17"/>
      <c r="Q1621" s="17"/>
      <c r="R1621" s="17"/>
      <c r="S1621" s="17"/>
      <c r="T1621" s="4"/>
      <c r="U1621" s="4"/>
    </row>
    <row r="1622" spans="13:21" x14ac:dyDescent="0.25">
      <c r="M1622" s="229"/>
      <c r="N1622" s="17"/>
      <c r="O1622" s="17"/>
      <c r="P1622" s="17"/>
      <c r="Q1622" s="17"/>
      <c r="R1622" s="17"/>
      <c r="S1622" s="17"/>
      <c r="T1622" s="4"/>
      <c r="U1622" s="4"/>
    </row>
    <row r="1623" spans="13:21" x14ac:dyDescent="0.25">
      <c r="M1623" s="229"/>
      <c r="N1623" s="17"/>
      <c r="O1623" s="17"/>
      <c r="P1623" s="17"/>
      <c r="Q1623" s="17"/>
      <c r="R1623" s="17"/>
      <c r="S1623" s="17"/>
      <c r="T1623" s="4"/>
      <c r="U1623" s="4"/>
    </row>
    <row r="1624" spans="13:21" x14ac:dyDescent="0.25">
      <c r="M1624" s="229"/>
      <c r="N1624" s="17"/>
      <c r="O1624" s="17"/>
      <c r="P1624" s="17"/>
      <c r="Q1624" s="17"/>
      <c r="R1624" s="17"/>
      <c r="S1624" s="17"/>
      <c r="T1624" s="4"/>
      <c r="U1624" s="4"/>
    </row>
    <row r="1625" spans="13:21" x14ac:dyDescent="0.25">
      <c r="M1625" s="229"/>
      <c r="N1625" s="17"/>
      <c r="O1625" s="17"/>
      <c r="P1625" s="17"/>
      <c r="Q1625" s="17"/>
      <c r="R1625" s="17"/>
      <c r="S1625" s="17"/>
      <c r="T1625" s="4"/>
      <c r="U1625" s="4"/>
    </row>
    <row r="1626" spans="13:21" x14ac:dyDescent="0.25">
      <c r="M1626" s="229"/>
      <c r="N1626" s="17"/>
      <c r="O1626" s="17"/>
      <c r="P1626" s="17"/>
      <c r="Q1626" s="17"/>
      <c r="R1626" s="17"/>
      <c r="S1626" s="17"/>
      <c r="T1626" s="4"/>
      <c r="U1626" s="4"/>
    </row>
    <row r="1627" spans="13:21" x14ac:dyDescent="0.25">
      <c r="M1627" s="229"/>
      <c r="N1627" s="17"/>
      <c r="O1627" s="17"/>
      <c r="P1627" s="17"/>
      <c r="Q1627" s="17"/>
      <c r="R1627" s="17"/>
      <c r="S1627" s="17"/>
      <c r="T1627" s="4"/>
      <c r="U1627" s="4"/>
    </row>
    <row r="1628" spans="13:21" x14ac:dyDescent="0.25">
      <c r="M1628" s="229"/>
      <c r="N1628" s="17"/>
      <c r="O1628" s="17"/>
      <c r="P1628" s="17"/>
      <c r="Q1628" s="17"/>
      <c r="R1628" s="17"/>
      <c r="S1628" s="17"/>
      <c r="T1628" s="4"/>
      <c r="U1628" s="4"/>
    </row>
    <row r="1629" spans="13:21" x14ac:dyDescent="0.25">
      <c r="M1629" s="229"/>
      <c r="N1629" s="17"/>
      <c r="O1629" s="17"/>
      <c r="P1629" s="17"/>
      <c r="Q1629" s="17"/>
      <c r="R1629" s="17"/>
      <c r="S1629" s="17"/>
      <c r="T1629" s="4"/>
      <c r="U1629" s="4"/>
    </row>
    <row r="1630" spans="13:21" x14ac:dyDescent="0.25">
      <c r="M1630" s="229"/>
      <c r="N1630" s="17"/>
      <c r="O1630" s="17"/>
      <c r="P1630" s="17"/>
      <c r="Q1630" s="17"/>
      <c r="R1630" s="17"/>
      <c r="S1630" s="17"/>
      <c r="T1630" s="4"/>
      <c r="U1630" s="4"/>
    </row>
    <row r="1631" spans="13:21" x14ac:dyDescent="0.25">
      <c r="M1631" s="229"/>
      <c r="N1631" s="17"/>
      <c r="O1631" s="17"/>
      <c r="P1631" s="17"/>
      <c r="Q1631" s="17"/>
      <c r="R1631" s="17"/>
      <c r="S1631" s="17"/>
      <c r="T1631" s="4"/>
      <c r="U1631" s="4"/>
    </row>
    <row r="1632" spans="13:21" x14ac:dyDescent="0.25">
      <c r="M1632" s="229"/>
      <c r="N1632" s="17"/>
      <c r="O1632" s="17"/>
      <c r="P1632" s="17"/>
      <c r="Q1632" s="17"/>
      <c r="R1632" s="17"/>
      <c r="S1632" s="17"/>
      <c r="T1632" s="4"/>
      <c r="U1632" s="4"/>
    </row>
    <row r="1633" spans="13:21" x14ac:dyDescent="0.25">
      <c r="M1633" s="229"/>
      <c r="N1633" s="17"/>
      <c r="O1633" s="17"/>
      <c r="P1633" s="17"/>
      <c r="Q1633" s="17"/>
      <c r="R1633" s="17"/>
      <c r="S1633" s="17"/>
      <c r="T1633" s="4"/>
      <c r="U1633" s="4"/>
    </row>
    <row r="1634" spans="13:21" x14ac:dyDescent="0.25">
      <c r="M1634" s="229"/>
      <c r="N1634" s="17"/>
      <c r="O1634" s="17"/>
      <c r="P1634" s="17"/>
      <c r="Q1634" s="17"/>
      <c r="R1634" s="17"/>
      <c r="S1634" s="17"/>
      <c r="T1634" s="4"/>
      <c r="U1634" s="4"/>
    </row>
    <row r="1635" spans="13:21" x14ac:dyDescent="0.25">
      <c r="M1635" s="229"/>
      <c r="N1635" s="17"/>
      <c r="O1635" s="17"/>
      <c r="P1635" s="17"/>
      <c r="Q1635" s="17"/>
      <c r="R1635" s="17"/>
      <c r="S1635" s="17"/>
      <c r="T1635" s="4"/>
      <c r="U1635" s="4"/>
    </row>
    <row r="1636" spans="13:21" x14ac:dyDescent="0.25">
      <c r="M1636" s="229"/>
      <c r="N1636" s="17"/>
      <c r="O1636" s="17"/>
      <c r="P1636" s="17"/>
      <c r="Q1636" s="17"/>
      <c r="R1636" s="17"/>
      <c r="S1636" s="17"/>
      <c r="T1636" s="4"/>
      <c r="U1636" s="4"/>
    </row>
    <row r="1637" spans="13:21" x14ac:dyDescent="0.25">
      <c r="M1637" s="229"/>
      <c r="N1637" s="17"/>
      <c r="O1637" s="17"/>
      <c r="P1637" s="17"/>
      <c r="Q1637" s="17"/>
      <c r="R1637" s="17"/>
      <c r="S1637" s="17"/>
      <c r="T1637" s="4"/>
      <c r="U1637" s="4"/>
    </row>
    <row r="1638" spans="13:21" x14ac:dyDescent="0.25">
      <c r="M1638" s="229"/>
      <c r="N1638" s="17"/>
      <c r="O1638" s="17"/>
      <c r="P1638" s="17"/>
      <c r="Q1638" s="17"/>
      <c r="R1638" s="17"/>
      <c r="S1638" s="17"/>
      <c r="T1638" s="4"/>
      <c r="U1638" s="4"/>
    </row>
    <row r="1639" spans="13:21" x14ac:dyDescent="0.25">
      <c r="M1639" s="229"/>
      <c r="N1639" s="17"/>
      <c r="O1639" s="17"/>
      <c r="P1639" s="17"/>
      <c r="Q1639" s="17"/>
      <c r="R1639" s="17"/>
      <c r="S1639" s="17"/>
      <c r="T1639" s="4"/>
      <c r="U1639" s="4"/>
    </row>
    <row r="1640" spans="13:21" x14ac:dyDescent="0.25">
      <c r="M1640" s="229"/>
      <c r="N1640" s="17"/>
      <c r="O1640" s="17"/>
      <c r="P1640" s="17"/>
      <c r="Q1640" s="17"/>
      <c r="R1640" s="17"/>
      <c r="S1640" s="17"/>
      <c r="T1640" s="4"/>
      <c r="U1640" s="4"/>
    </row>
    <row r="1641" spans="13:21" x14ac:dyDescent="0.25">
      <c r="M1641" s="229"/>
      <c r="N1641" s="17"/>
      <c r="O1641" s="17"/>
      <c r="P1641" s="17"/>
      <c r="Q1641" s="17"/>
      <c r="R1641" s="17"/>
      <c r="S1641" s="17"/>
      <c r="T1641" s="4"/>
      <c r="U1641" s="4"/>
    </row>
    <row r="1642" spans="13:21" x14ac:dyDescent="0.25">
      <c r="M1642" s="229"/>
      <c r="N1642" s="17"/>
      <c r="O1642" s="17"/>
      <c r="P1642" s="17"/>
      <c r="Q1642" s="17"/>
      <c r="R1642" s="17"/>
      <c r="S1642" s="17"/>
      <c r="T1642" s="4"/>
      <c r="U1642" s="4"/>
    </row>
    <row r="1643" spans="13:21" x14ac:dyDescent="0.25">
      <c r="M1643" s="229"/>
      <c r="N1643" s="17"/>
      <c r="O1643" s="17"/>
      <c r="P1643" s="17"/>
      <c r="Q1643" s="17"/>
      <c r="R1643" s="17"/>
      <c r="S1643" s="17"/>
      <c r="T1643" s="4"/>
      <c r="U1643" s="4"/>
    </row>
    <row r="1644" spans="13:21" x14ac:dyDescent="0.25">
      <c r="M1644" s="229"/>
      <c r="N1644" s="17"/>
      <c r="O1644" s="17"/>
      <c r="P1644" s="17"/>
      <c r="Q1644" s="17"/>
      <c r="R1644" s="17"/>
      <c r="S1644" s="17"/>
      <c r="T1644" s="4"/>
      <c r="U1644" s="4"/>
    </row>
    <row r="1645" spans="13:21" x14ac:dyDescent="0.25">
      <c r="M1645" s="229"/>
      <c r="N1645" s="17"/>
      <c r="O1645" s="17"/>
      <c r="P1645" s="17"/>
      <c r="Q1645" s="17"/>
      <c r="R1645" s="17"/>
      <c r="S1645" s="17"/>
      <c r="T1645" s="4"/>
      <c r="U1645" s="4"/>
    </row>
    <row r="1646" spans="13:21" x14ac:dyDescent="0.25">
      <c r="M1646" s="229"/>
      <c r="N1646" s="17"/>
      <c r="O1646" s="17"/>
      <c r="P1646" s="17"/>
      <c r="Q1646" s="17"/>
      <c r="R1646" s="17"/>
      <c r="S1646" s="17"/>
      <c r="T1646" s="4"/>
      <c r="U1646" s="4"/>
    </row>
    <row r="1647" spans="13:21" x14ac:dyDescent="0.25">
      <c r="M1647" s="229"/>
      <c r="N1647" s="17"/>
      <c r="O1647" s="17"/>
      <c r="P1647" s="17"/>
      <c r="Q1647" s="17"/>
      <c r="R1647" s="17"/>
      <c r="S1647" s="17"/>
      <c r="T1647" s="4"/>
      <c r="U1647" s="4"/>
    </row>
    <row r="1648" spans="13:21" x14ac:dyDescent="0.25">
      <c r="M1648" s="229"/>
      <c r="N1648" s="17"/>
      <c r="O1648" s="17"/>
      <c r="P1648" s="17"/>
      <c r="Q1648" s="17"/>
      <c r="R1648" s="17"/>
      <c r="S1648" s="17"/>
      <c r="T1648" s="4"/>
      <c r="U1648" s="4"/>
    </row>
    <row r="1649" spans="13:21" x14ac:dyDescent="0.25">
      <c r="M1649" s="229"/>
      <c r="N1649" s="17"/>
      <c r="O1649" s="17"/>
      <c r="P1649" s="17"/>
      <c r="Q1649" s="17"/>
      <c r="R1649" s="17"/>
      <c r="S1649" s="17"/>
      <c r="T1649" s="4"/>
      <c r="U1649" s="4"/>
    </row>
    <row r="1650" spans="13:21" x14ac:dyDescent="0.25">
      <c r="M1650" s="229"/>
      <c r="N1650" s="17"/>
      <c r="O1650" s="17"/>
      <c r="P1650" s="17"/>
      <c r="Q1650" s="17"/>
      <c r="R1650" s="17"/>
      <c r="S1650" s="17"/>
      <c r="T1650" s="4"/>
      <c r="U1650" s="4"/>
    </row>
    <row r="1651" spans="13:21" x14ac:dyDescent="0.25">
      <c r="M1651" s="229"/>
      <c r="N1651" s="17"/>
      <c r="O1651" s="17"/>
      <c r="P1651" s="17"/>
      <c r="Q1651" s="17"/>
      <c r="R1651" s="17"/>
      <c r="S1651" s="17"/>
      <c r="T1651" s="4"/>
      <c r="U1651" s="4"/>
    </row>
    <row r="1652" spans="13:21" x14ac:dyDescent="0.25">
      <c r="M1652" s="229"/>
      <c r="N1652" s="17"/>
      <c r="O1652" s="17"/>
      <c r="P1652" s="17"/>
      <c r="Q1652" s="17"/>
      <c r="R1652" s="17"/>
      <c r="S1652" s="17"/>
      <c r="T1652" s="4"/>
      <c r="U1652" s="4"/>
    </row>
    <row r="1653" spans="13:21" x14ac:dyDescent="0.25">
      <c r="M1653" s="229"/>
      <c r="N1653" s="17"/>
      <c r="O1653" s="17"/>
      <c r="P1653" s="17"/>
      <c r="Q1653" s="17"/>
      <c r="R1653" s="17"/>
      <c r="S1653" s="17"/>
      <c r="T1653" s="4"/>
      <c r="U1653" s="4"/>
    </row>
    <row r="1654" spans="13:21" x14ac:dyDescent="0.25">
      <c r="M1654" s="229"/>
      <c r="N1654" s="17"/>
      <c r="O1654" s="17"/>
      <c r="P1654" s="17"/>
      <c r="Q1654" s="17"/>
      <c r="R1654" s="17"/>
      <c r="S1654" s="17"/>
      <c r="T1654" s="4"/>
      <c r="U1654" s="4"/>
    </row>
    <row r="1655" spans="13:21" x14ac:dyDescent="0.25">
      <c r="M1655" s="229"/>
      <c r="N1655" s="17"/>
      <c r="O1655" s="17"/>
      <c r="P1655" s="17"/>
      <c r="Q1655" s="17"/>
      <c r="R1655" s="17"/>
      <c r="S1655" s="17"/>
      <c r="T1655" s="4"/>
      <c r="U1655" s="4"/>
    </row>
    <row r="1656" spans="13:21" x14ac:dyDescent="0.25">
      <c r="M1656" s="229"/>
      <c r="N1656" s="17"/>
      <c r="O1656" s="17"/>
      <c r="P1656" s="17"/>
      <c r="Q1656" s="17"/>
      <c r="R1656" s="17"/>
      <c r="S1656" s="17"/>
      <c r="T1656" s="4"/>
      <c r="U1656" s="4"/>
    </row>
    <row r="1657" spans="13:21" x14ac:dyDescent="0.25">
      <c r="M1657" s="229"/>
      <c r="N1657" s="17"/>
      <c r="O1657" s="17"/>
      <c r="P1657" s="17"/>
      <c r="Q1657" s="17"/>
      <c r="R1657" s="17"/>
      <c r="S1657" s="17"/>
      <c r="T1657" s="4"/>
      <c r="U1657" s="4"/>
    </row>
    <row r="1658" spans="13:21" x14ac:dyDescent="0.25">
      <c r="M1658" s="229"/>
      <c r="N1658" s="17"/>
      <c r="O1658" s="17"/>
      <c r="P1658" s="17"/>
      <c r="Q1658" s="17"/>
      <c r="R1658" s="17"/>
      <c r="S1658" s="17"/>
      <c r="T1658" s="4"/>
      <c r="U1658" s="4"/>
    </row>
    <row r="1659" spans="13:21" x14ac:dyDescent="0.25">
      <c r="M1659" s="229"/>
      <c r="N1659" s="17"/>
      <c r="O1659" s="17"/>
      <c r="P1659" s="17"/>
      <c r="Q1659" s="17"/>
      <c r="R1659" s="17"/>
      <c r="S1659" s="17"/>
      <c r="T1659" s="4"/>
      <c r="U1659" s="4"/>
    </row>
    <row r="1660" spans="13:21" x14ac:dyDescent="0.25">
      <c r="M1660" s="229"/>
      <c r="N1660" s="17"/>
      <c r="O1660" s="17"/>
      <c r="P1660" s="17"/>
      <c r="Q1660" s="17"/>
      <c r="R1660" s="17"/>
      <c r="S1660" s="17"/>
      <c r="T1660" s="4"/>
      <c r="U1660" s="4"/>
    </row>
    <row r="1661" spans="13:21" x14ac:dyDescent="0.25">
      <c r="M1661" s="229"/>
      <c r="N1661" s="17"/>
      <c r="O1661" s="17"/>
      <c r="P1661" s="17"/>
      <c r="Q1661" s="17"/>
      <c r="R1661" s="17"/>
      <c r="S1661" s="17"/>
      <c r="T1661" s="4"/>
      <c r="U1661" s="4"/>
    </row>
    <row r="1662" spans="13:21" x14ac:dyDescent="0.25">
      <c r="M1662" s="229"/>
      <c r="N1662" s="17"/>
      <c r="O1662" s="17"/>
      <c r="P1662" s="17"/>
      <c r="Q1662" s="17"/>
      <c r="R1662" s="17"/>
      <c r="S1662" s="17"/>
      <c r="T1662" s="4"/>
      <c r="U1662" s="4"/>
    </row>
    <row r="1663" spans="13:21" x14ac:dyDescent="0.25">
      <c r="M1663" s="229"/>
      <c r="N1663" s="17"/>
      <c r="O1663" s="17"/>
      <c r="P1663" s="17"/>
      <c r="Q1663" s="17"/>
      <c r="R1663" s="17"/>
      <c r="S1663" s="17"/>
      <c r="T1663" s="4"/>
      <c r="U1663" s="4"/>
    </row>
    <row r="1664" spans="13:21" x14ac:dyDescent="0.25">
      <c r="M1664" s="229"/>
      <c r="N1664" s="17"/>
      <c r="O1664" s="17"/>
      <c r="P1664" s="17"/>
      <c r="Q1664" s="17"/>
      <c r="R1664" s="17"/>
      <c r="S1664" s="17"/>
      <c r="T1664" s="4"/>
      <c r="U1664" s="4"/>
    </row>
    <row r="1665" spans="13:21" x14ac:dyDescent="0.25">
      <c r="M1665" s="229"/>
      <c r="N1665" s="17"/>
      <c r="O1665" s="17"/>
      <c r="P1665" s="17"/>
      <c r="Q1665" s="17"/>
      <c r="R1665" s="17"/>
      <c r="S1665" s="17"/>
      <c r="T1665" s="4"/>
      <c r="U1665" s="4"/>
    </row>
    <row r="1666" spans="13:21" x14ac:dyDescent="0.25">
      <c r="M1666" s="229"/>
      <c r="N1666" s="17"/>
      <c r="O1666" s="17"/>
      <c r="P1666" s="17"/>
      <c r="Q1666" s="17"/>
      <c r="R1666" s="17"/>
      <c r="S1666" s="17"/>
      <c r="T1666" s="4"/>
      <c r="U1666" s="4"/>
    </row>
    <row r="1667" spans="13:21" x14ac:dyDescent="0.25">
      <c r="M1667" s="229"/>
      <c r="N1667" s="17"/>
      <c r="O1667" s="17"/>
      <c r="P1667" s="17"/>
      <c r="Q1667" s="17"/>
      <c r="R1667" s="17"/>
      <c r="S1667" s="17"/>
      <c r="T1667" s="4"/>
      <c r="U1667" s="4"/>
    </row>
    <row r="1668" spans="13:21" x14ac:dyDescent="0.25">
      <c r="M1668" s="229"/>
      <c r="N1668" s="17"/>
      <c r="O1668" s="17"/>
      <c r="P1668" s="17"/>
      <c r="Q1668" s="17"/>
      <c r="R1668" s="17"/>
      <c r="S1668" s="17"/>
      <c r="T1668" s="4"/>
      <c r="U1668" s="4"/>
    </row>
    <row r="1669" spans="13:21" x14ac:dyDescent="0.25">
      <c r="M1669" s="229"/>
      <c r="N1669" s="17"/>
      <c r="O1669" s="17"/>
      <c r="P1669" s="17"/>
      <c r="Q1669" s="17"/>
      <c r="R1669" s="17"/>
      <c r="S1669" s="17"/>
      <c r="T1669" s="4"/>
      <c r="U1669" s="4"/>
    </row>
    <row r="1670" spans="13:21" x14ac:dyDescent="0.25">
      <c r="M1670" s="229"/>
      <c r="N1670" s="17"/>
      <c r="O1670" s="17"/>
      <c r="P1670" s="17"/>
      <c r="Q1670" s="17"/>
      <c r="R1670" s="17"/>
      <c r="S1670" s="17"/>
      <c r="T1670" s="4"/>
      <c r="U1670" s="4"/>
    </row>
    <row r="1671" spans="13:21" x14ac:dyDescent="0.25">
      <c r="M1671" s="229"/>
      <c r="N1671" s="17"/>
      <c r="O1671" s="17"/>
      <c r="P1671" s="17"/>
      <c r="Q1671" s="17"/>
      <c r="R1671" s="17"/>
      <c r="S1671" s="17"/>
      <c r="T1671" s="4"/>
      <c r="U1671" s="4"/>
    </row>
    <row r="1672" spans="13:21" x14ac:dyDescent="0.25">
      <c r="M1672" s="229"/>
      <c r="N1672" s="17"/>
      <c r="O1672" s="17"/>
      <c r="P1672" s="17"/>
      <c r="Q1672" s="17"/>
      <c r="R1672" s="17"/>
      <c r="S1672" s="17"/>
      <c r="T1672" s="4"/>
      <c r="U1672" s="4"/>
    </row>
    <row r="1673" spans="13:21" x14ac:dyDescent="0.25">
      <c r="M1673" s="229"/>
      <c r="N1673" s="17"/>
      <c r="O1673" s="17"/>
      <c r="P1673" s="17"/>
      <c r="Q1673" s="17"/>
      <c r="R1673" s="17"/>
      <c r="S1673" s="17"/>
      <c r="T1673" s="4"/>
      <c r="U1673" s="4"/>
    </row>
    <row r="1674" spans="13:21" x14ac:dyDescent="0.25">
      <c r="M1674" s="229"/>
      <c r="N1674" s="17"/>
      <c r="O1674" s="17"/>
      <c r="P1674" s="17"/>
      <c r="Q1674" s="17"/>
      <c r="R1674" s="17"/>
      <c r="S1674" s="17"/>
      <c r="T1674" s="4"/>
      <c r="U1674" s="4"/>
    </row>
    <row r="1675" spans="13:21" x14ac:dyDescent="0.25">
      <c r="M1675" s="229"/>
      <c r="N1675" s="17"/>
      <c r="O1675" s="17"/>
      <c r="P1675" s="17"/>
      <c r="Q1675" s="17"/>
      <c r="R1675" s="17"/>
      <c r="S1675" s="17"/>
      <c r="T1675" s="4"/>
      <c r="U1675" s="4"/>
    </row>
    <row r="1676" spans="13:21" x14ac:dyDescent="0.25">
      <c r="M1676" s="229"/>
      <c r="N1676" s="17"/>
      <c r="O1676" s="17"/>
      <c r="P1676" s="17"/>
      <c r="Q1676" s="17"/>
      <c r="R1676" s="17"/>
      <c r="S1676" s="17"/>
      <c r="T1676" s="4"/>
      <c r="U1676" s="4"/>
    </row>
    <row r="1677" spans="13:21" x14ac:dyDescent="0.25">
      <c r="M1677" s="229"/>
      <c r="N1677" s="17"/>
      <c r="O1677" s="17"/>
      <c r="P1677" s="17"/>
      <c r="Q1677" s="17"/>
      <c r="R1677" s="17"/>
      <c r="S1677" s="17"/>
      <c r="T1677" s="4"/>
      <c r="U1677" s="4"/>
    </row>
    <row r="1678" spans="13:21" x14ac:dyDescent="0.25">
      <c r="M1678" s="229"/>
      <c r="N1678" s="17"/>
      <c r="O1678" s="17"/>
      <c r="P1678" s="17"/>
      <c r="Q1678" s="17"/>
      <c r="R1678" s="17"/>
      <c r="S1678" s="17"/>
      <c r="T1678" s="4"/>
      <c r="U1678" s="4"/>
    </row>
    <row r="1679" spans="13:21" x14ac:dyDescent="0.25">
      <c r="M1679" s="229"/>
      <c r="N1679" s="17"/>
      <c r="O1679" s="17"/>
      <c r="P1679" s="17"/>
      <c r="Q1679" s="17"/>
      <c r="R1679" s="17"/>
      <c r="S1679" s="17"/>
      <c r="T1679" s="4"/>
      <c r="U1679" s="4"/>
    </row>
    <row r="1680" spans="13:21" x14ac:dyDescent="0.25">
      <c r="M1680" s="229"/>
      <c r="N1680" s="17"/>
      <c r="O1680" s="17"/>
      <c r="P1680" s="17"/>
      <c r="Q1680" s="17"/>
      <c r="R1680" s="17"/>
      <c r="S1680" s="17"/>
      <c r="T1680" s="4"/>
      <c r="U1680" s="4"/>
    </row>
    <row r="1681" spans="13:21" x14ac:dyDescent="0.25">
      <c r="M1681" s="229"/>
      <c r="N1681" s="17"/>
      <c r="O1681" s="17"/>
      <c r="P1681" s="17"/>
      <c r="Q1681" s="17"/>
      <c r="R1681" s="17"/>
      <c r="S1681" s="17"/>
      <c r="T1681" s="4"/>
      <c r="U1681" s="4"/>
    </row>
    <row r="1682" spans="13:21" x14ac:dyDescent="0.25">
      <c r="M1682" s="229"/>
      <c r="N1682" s="17"/>
      <c r="O1682" s="17"/>
      <c r="P1682" s="17"/>
      <c r="Q1682" s="17"/>
      <c r="R1682" s="17"/>
      <c r="S1682" s="17"/>
      <c r="T1682" s="4"/>
      <c r="U1682" s="4"/>
    </row>
    <row r="1683" spans="13:21" x14ac:dyDescent="0.25">
      <c r="M1683" s="229"/>
      <c r="N1683" s="17"/>
      <c r="O1683" s="17"/>
      <c r="P1683" s="17"/>
      <c r="Q1683" s="17"/>
      <c r="R1683" s="17"/>
      <c r="S1683" s="17"/>
      <c r="T1683" s="4"/>
      <c r="U1683" s="4"/>
    </row>
    <row r="1684" spans="13:21" x14ac:dyDescent="0.25">
      <c r="M1684" s="229"/>
      <c r="N1684" s="17"/>
      <c r="O1684" s="17"/>
      <c r="P1684" s="17"/>
      <c r="Q1684" s="17"/>
      <c r="R1684" s="17"/>
      <c r="S1684" s="17"/>
      <c r="T1684" s="4"/>
      <c r="U1684" s="4"/>
    </row>
    <row r="1685" spans="13:21" x14ac:dyDescent="0.25">
      <c r="M1685" s="229"/>
      <c r="N1685" s="17"/>
      <c r="O1685" s="17"/>
      <c r="P1685" s="17"/>
      <c r="Q1685" s="17"/>
      <c r="R1685" s="17"/>
      <c r="S1685" s="17"/>
      <c r="T1685" s="4"/>
      <c r="U1685" s="4"/>
    </row>
    <row r="1686" spans="13:21" x14ac:dyDescent="0.25">
      <c r="M1686" s="229"/>
      <c r="N1686" s="17"/>
      <c r="O1686" s="17"/>
      <c r="P1686" s="17"/>
      <c r="Q1686" s="17"/>
      <c r="R1686" s="17"/>
      <c r="S1686" s="17"/>
      <c r="T1686" s="4"/>
      <c r="U1686" s="4"/>
    </row>
    <row r="1687" spans="13:21" x14ac:dyDescent="0.25">
      <c r="M1687" s="229"/>
      <c r="N1687" s="17"/>
      <c r="O1687" s="17"/>
      <c r="P1687" s="17"/>
      <c r="Q1687" s="17"/>
      <c r="R1687" s="17"/>
      <c r="S1687" s="17"/>
      <c r="T1687" s="4"/>
      <c r="U1687" s="4"/>
    </row>
    <row r="1688" spans="13:21" x14ac:dyDescent="0.25">
      <c r="M1688" s="229"/>
      <c r="N1688" s="17"/>
      <c r="O1688" s="17"/>
      <c r="P1688" s="17"/>
      <c r="Q1688" s="17"/>
      <c r="R1688" s="17"/>
      <c r="S1688" s="17"/>
      <c r="T1688" s="4"/>
      <c r="U1688" s="4"/>
    </row>
    <row r="1689" spans="13:21" x14ac:dyDescent="0.25">
      <c r="M1689" s="229"/>
      <c r="N1689" s="17"/>
      <c r="O1689" s="17"/>
      <c r="P1689" s="17"/>
      <c r="Q1689" s="17"/>
      <c r="R1689" s="17"/>
      <c r="S1689" s="17"/>
      <c r="T1689" s="4"/>
      <c r="U1689" s="4"/>
    </row>
    <row r="1690" spans="13:21" x14ac:dyDescent="0.25">
      <c r="M1690" s="229"/>
      <c r="N1690" s="17"/>
      <c r="O1690" s="17"/>
      <c r="P1690" s="17"/>
      <c r="Q1690" s="17"/>
      <c r="R1690" s="17"/>
      <c r="S1690" s="17"/>
      <c r="T1690" s="4"/>
      <c r="U1690" s="4"/>
    </row>
    <row r="1691" spans="13:21" x14ac:dyDescent="0.25">
      <c r="M1691" s="229"/>
      <c r="N1691" s="17"/>
      <c r="O1691" s="17"/>
      <c r="P1691" s="17"/>
      <c r="Q1691" s="17"/>
      <c r="R1691" s="17"/>
      <c r="S1691" s="17"/>
      <c r="T1691" s="4"/>
      <c r="U1691" s="4"/>
    </row>
    <row r="1692" spans="13:21" x14ac:dyDescent="0.25">
      <c r="M1692" s="229"/>
      <c r="N1692" s="17"/>
      <c r="O1692" s="17"/>
      <c r="P1692" s="17"/>
      <c r="Q1692" s="17"/>
      <c r="R1692" s="17"/>
      <c r="S1692" s="17"/>
      <c r="T1692" s="4"/>
      <c r="U1692" s="4"/>
    </row>
    <row r="1693" spans="13:21" x14ac:dyDescent="0.25">
      <c r="M1693" s="229"/>
      <c r="N1693" s="17"/>
      <c r="O1693" s="17"/>
      <c r="P1693" s="17"/>
      <c r="Q1693" s="17"/>
      <c r="R1693" s="17"/>
      <c r="S1693" s="17"/>
      <c r="T1693" s="4"/>
      <c r="U1693" s="4"/>
    </row>
    <row r="1694" spans="13:21" x14ac:dyDescent="0.25">
      <c r="M1694" s="229"/>
      <c r="N1694" s="17"/>
      <c r="O1694" s="17"/>
      <c r="P1694" s="17"/>
      <c r="Q1694" s="17"/>
      <c r="R1694" s="17"/>
      <c r="S1694" s="17"/>
      <c r="T1694" s="4"/>
      <c r="U1694" s="4"/>
    </row>
    <row r="1695" spans="13:21" x14ac:dyDescent="0.25">
      <c r="M1695" s="229"/>
      <c r="N1695" s="17"/>
      <c r="O1695" s="17"/>
      <c r="P1695" s="17"/>
      <c r="Q1695" s="17"/>
      <c r="R1695" s="17"/>
      <c r="S1695" s="17"/>
      <c r="T1695" s="4"/>
      <c r="U1695" s="4"/>
    </row>
    <row r="1696" spans="13:21" x14ac:dyDescent="0.25">
      <c r="M1696" s="229"/>
      <c r="N1696" s="17"/>
      <c r="O1696" s="17"/>
      <c r="P1696" s="17"/>
      <c r="Q1696" s="17"/>
      <c r="R1696" s="17"/>
      <c r="S1696" s="17"/>
      <c r="T1696" s="4"/>
      <c r="U1696" s="4"/>
    </row>
    <row r="1697" spans="13:21" x14ac:dyDescent="0.25">
      <c r="M1697" s="229"/>
      <c r="N1697" s="17"/>
      <c r="O1697" s="17"/>
      <c r="P1697" s="17"/>
      <c r="Q1697" s="17"/>
      <c r="R1697" s="17"/>
      <c r="S1697" s="17"/>
      <c r="T1697" s="4"/>
      <c r="U1697" s="4"/>
    </row>
    <row r="1698" spans="13:21" x14ac:dyDescent="0.25">
      <c r="M1698" s="229"/>
      <c r="N1698" s="17"/>
      <c r="O1698" s="17"/>
      <c r="P1698" s="17"/>
      <c r="Q1698" s="17"/>
      <c r="R1698" s="17"/>
      <c r="S1698" s="17"/>
      <c r="T1698" s="4"/>
      <c r="U1698" s="4"/>
    </row>
    <row r="1699" spans="13:21" x14ac:dyDescent="0.25">
      <c r="M1699" s="229"/>
      <c r="N1699" s="17"/>
      <c r="O1699" s="17"/>
      <c r="P1699" s="17"/>
      <c r="Q1699" s="17"/>
      <c r="R1699" s="17"/>
      <c r="S1699" s="17"/>
      <c r="T1699" s="4"/>
      <c r="U1699" s="4"/>
    </row>
    <row r="1700" spans="13:21" x14ac:dyDescent="0.25">
      <c r="M1700" s="229"/>
      <c r="N1700" s="17"/>
      <c r="O1700" s="17"/>
      <c r="P1700" s="17"/>
      <c r="Q1700" s="17"/>
      <c r="R1700" s="17"/>
      <c r="S1700" s="17"/>
      <c r="T1700" s="4"/>
      <c r="U1700" s="4"/>
    </row>
    <row r="1701" spans="13:21" x14ac:dyDescent="0.25">
      <c r="M1701" s="229"/>
      <c r="N1701" s="17"/>
      <c r="O1701" s="17"/>
      <c r="P1701" s="17"/>
      <c r="Q1701" s="17"/>
      <c r="R1701" s="17"/>
      <c r="S1701" s="17"/>
      <c r="T1701" s="4"/>
      <c r="U1701" s="4"/>
    </row>
    <row r="1702" spans="13:21" x14ac:dyDescent="0.25">
      <c r="M1702" s="229"/>
      <c r="N1702" s="17"/>
      <c r="O1702" s="17"/>
      <c r="P1702" s="17"/>
      <c r="Q1702" s="17"/>
      <c r="R1702" s="17"/>
      <c r="S1702" s="17"/>
      <c r="T1702" s="4"/>
      <c r="U1702" s="4"/>
    </row>
    <row r="1703" spans="13:21" x14ac:dyDescent="0.25">
      <c r="M1703" s="229"/>
      <c r="N1703" s="17"/>
      <c r="O1703" s="17"/>
      <c r="P1703" s="17"/>
      <c r="Q1703" s="17"/>
      <c r="R1703" s="17"/>
      <c r="S1703" s="17"/>
      <c r="T1703" s="4"/>
      <c r="U1703" s="4"/>
    </row>
    <row r="1704" spans="13:21" x14ac:dyDescent="0.25">
      <c r="M1704" s="229"/>
      <c r="N1704" s="17"/>
      <c r="O1704" s="17"/>
      <c r="P1704" s="17"/>
      <c r="Q1704" s="17"/>
      <c r="R1704" s="17"/>
      <c r="S1704" s="17"/>
      <c r="T1704" s="4"/>
      <c r="U1704" s="4"/>
    </row>
    <row r="1705" spans="13:21" x14ac:dyDescent="0.25">
      <c r="M1705" s="229"/>
      <c r="N1705" s="17"/>
      <c r="O1705" s="17"/>
      <c r="P1705" s="17"/>
      <c r="Q1705" s="17"/>
      <c r="R1705" s="17"/>
      <c r="S1705" s="17"/>
      <c r="T1705" s="4"/>
      <c r="U1705" s="4"/>
    </row>
    <row r="1706" spans="13:21" x14ac:dyDescent="0.25">
      <c r="M1706" s="229"/>
      <c r="N1706" s="17"/>
      <c r="O1706" s="17"/>
      <c r="P1706" s="17"/>
      <c r="Q1706" s="17"/>
      <c r="R1706" s="17"/>
      <c r="S1706" s="17"/>
      <c r="T1706" s="4"/>
      <c r="U1706" s="4"/>
    </row>
    <row r="1707" spans="13:21" x14ac:dyDescent="0.25">
      <c r="M1707" s="229"/>
      <c r="N1707" s="17"/>
      <c r="O1707" s="17"/>
      <c r="P1707" s="17"/>
      <c r="Q1707" s="17"/>
      <c r="R1707" s="17"/>
      <c r="S1707" s="17"/>
      <c r="T1707" s="4"/>
      <c r="U1707" s="4"/>
    </row>
    <row r="1708" spans="13:21" x14ac:dyDescent="0.25">
      <c r="M1708" s="229"/>
      <c r="N1708" s="17"/>
      <c r="O1708" s="17"/>
      <c r="P1708" s="17"/>
      <c r="Q1708" s="17"/>
      <c r="R1708" s="17"/>
      <c r="S1708" s="17"/>
      <c r="T1708" s="4"/>
      <c r="U1708" s="4"/>
    </row>
    <row r="1709" spans="13:21" x14ac:dyDescent="0.25">
      <c r="M1709" s="229"/>
      <c r="N1709" s="17"/>
      <c r="O1709" s="17"/>
      <c r="P1709" s="17"/>
      <c r="Q1709" s="17"/>
      <c r="R1709" s="17"/>
      <c r="S1709" s="17"/>
      <c r="T1709" s="4"/>
      <c r="U1709" s="4"/>
    </row>
    <row r="1710" spans="13:21" x14ac:dyDescent="0.25">
      <c r="M1710" s="229"/>
      <c r="N1710" s="17"/>
      <c r="O1710" s="17"/>
      <c r="P1710" s="17"/>
      <c r="Q1710" s="17"/>
      <c r="R1710" s="17"/>
      <c r="S1710" s="17"/>
      <c r="T1710" s="4"/>
      <c r="U1710" s="4"/>
    </row>
    <row r="1711" spans="13:21" x14ac:dyDescent="0.25">
      <c r="M1711" s="229"/>
      <c r="N1711" s="17"/>
      <c r="O1711" s="17"/>
      <c r="P1711" s="17"/>
      <c r="Q1711" s="17"/>
      <c r="R1711" s="17"/>
      <c r="S1711" s="17"/>
      <c r="T1711" s="4"/>
      <c r="U1711" s="4"/>
    </row>
    <row r="1712" spans="13:21" x14ac:dyDescent="0.25">
      <c r="M1712" s="229"/>
      <c r="N1712" s="17"/>
      <c r="O1712" s="17"/>
      <c r="P1712" s="17"/>
      <c r="Q1712" s="17"/>
      <c r="R1712" s="17"/>
      <c r="S1712" s="17"/>
      <c r="T1712" s="4"/>
      <c r="U1712" s="4"/>
    </row>
    <row r="1713" spans="13:21" x14ac:dyDescent="0.25">
      <c r="M1713" s="229"/>
      <c r="N1713" s="17"/>
      <c r="O1713" s="17"/>
      <c r="P1713" s="17"/>
      <c r="Q1713" s="17"/>
      <c r="R1713" s="17"/>
      <c r="S1713" s="17"/>
      <c r="T1713" s="4"/>
      <c r="U1713" s="4"/>
    </row>
    <row r="1714" spans="13:21" x14ac:dyDescent="0.25">
      <c r="M1714" s="229"/>
      <c r="N1714" s="17"/>
      <c r="O1714" s="17"/>
      <c r="P1714" s="17"/>
      <c r="Q1714" s="17"/>
      <c r="R1714" s="17"/>
      <c r="S1714" s="17"/>
      <c r="T1714" s="4"/>
      <c r="U1714" s="4"/>
    </row>
    <row r="1715" spans="13:21" x14ac:dyDescent="0.25">
      <c r="M1715" s="229"/>
      <c r="N1715" s="17"/>
      <c r="O1715" s="17"/>
      <c r="P1715" s="17"/>
      <c r="Q1715" s="17"/>
      <c r="R1715" s="17"/>
      <c r="S1715" s="17"/>
      <c r="T1715" s="4"/>
      <c r="U1715" s="4"/>
    </row>
    <row r="1716" spans="13:21" x14ac:dyDescent="0.25">
      <c r="M1716" s="229"/>
      <c r="N1716" s="17"/>
      <c r="O1716" s="17"/>
      <c r="P1716" s="17"/>
      <c r="Q1716" s="17"/>
      <c r="R1716" s="17"/>
      <c r="S1716" s="17"/>
      <c r="T1716" s="4"/>
      <c r="U1716" s="4"/>
    </row>
    <row r="1717" spans="13:21" x14ac:dyDescent="0.25">
      <c r="M1717" s="229"/>
      <c r="N1717" s="17"/>
      <c r="O1717" s="17"/>
      <c r="P1717" s="17"/>
      <c r="Q1717" s="17"/>
      <c r="R1717" s="17"/>
      <c r="S1717" s="17"/>
      <c r="T1717" s="4"/>
      <c r="U1717" s="4"/>
    </row>
    <row r="1718" spans="13:21" x14ac:dyDescent="0.25">
      <c r="M1718" s="229"/>
      <c r="N1718" s="17"/>
      <c r="O1718" s="17"/>
      <c r="P1718" s="17"/>
      <c r="Q1718" s="17"/>
      <c r="R1718" s="17"/>
      <c r="S1718" s="17"/>
      <c r="T1718" s="4"/>
      <c r="U1718" s="4"/>
    </row>
    <row r="1719" spans="13:21" x14ac:dyDescent="0.25">
      <c r="M1719" s="229"/>
      <c r="N1719" s="17"/>
      <c r="O1719" s="17"/>
      <c r="P1719" s="17"/>
      <c r="Q1719" s="17"/>
      <c r="R1719" s="17"/>
      <c r="S1719" s="17"/>
      <c r="T1719" s="4"/>
      <c r="U1719" s="4"/>
    </row>
    <row r="1720" spans="13:21" x14ac:dyDescent="0.25">
      <c r="M1720" s="229"/>
      <c r="N1720" s="17"/>
      <c r="O1720" s="17"/>
      <c r="P1720" s="17"/>
      <c r="Q1720" s="17"/>
      <c r="R1720" s="17"/>
      <c r="S1720" s="17"/>
      <c r="T1720" s="4"/>
      <c r="U1720" s="4"/>
    </row>
    <row r="1721" spans="13:21" x14ac:dyDescent="0.25">
      <c r="M1721" s="229"/>
      <c r="N1721" s="17"/>
      <c r="O1721" s="17"/>
      <c r="P1721" s="17"/>
      <c r="Q1721" s="17"/>
      <c r="R1721" s="17"/>
      <c r="S1721" s="17"/>
      <c r="T1721" s="4"/>
      <c r="U1721" s="4"/>
    </row>
    <row r="1722" spans="13:21" x14ac:dyDescent="0.25">
      <c r="M1722" s="229"/>
      <c r="N1722" s="17"/>
      <c r="O1722" s="17"/>
      <c r="P1722" s="17"/>
      <c r="Q1722" s="17"/>
      <c r="R1722" s="17"/>
      <c r="S1722" s="17"/>
      <c r="T1722" s="4"/>
      <c r="U1722" s="4"/>
    </row>
    <row r="1723" spans="13:21" x14ac:dyDescent="0.25">
      <c r="M1723" s="229"/>
      <c r="N1723" s="17"/>
      <c r="O1723" s="17"/>
      <c r="P1723" s="17"/>
      <c r="Q1723" s="17"/>
      <c r="R1723" s="17"/>
      <c r="S1723" s="17"/>
      <c r="T1723" s="4"/>
      <c r="U1723" s="4"/>
    </row>
    <row r="1724" spans="13:21" x14ac:dyDescent="0.25">
      <c r="M1724" s="229"/>
      <c r="N1724" s="17"/>
      <c r="O1724" s="17"/>
      <c r="P1724" s="17"/>
      <c r="Q1724" s="17"/>
      <c r="R1724" s="17"/>
      <c r="S1724" s="17"/>
      <c r="T1724" s="4"/>
      <c r="U1724" s="4"/>
    </row>
    <row r="1725" spans="13:21" x14ac:dyDescent="0.25">
      <c r="M1725" s="229"/>
      <c r="N1725" s="17"/>
      <c r="O1725" s="17"/>
      <c r="P1725" s="17"/>
      <c r="Q1725" s="17"/>
      <c r="R1725" s="17"/>
      <c r="S1725" s="17"/>
      <c r="T1725" s="4"/>
      <c r="U1725" s="4"/>
    </row>
    <row r="1726" spans="13:21" x14ac:dyDescent="0.25">
      <c r="M1726" s="229"/>
      <c r="N1726" s="17"/>
      <c r="O1726" s="17"/>
      <c r="P1726" s="17"/>
      <c r="Q1726" s="17"/>
      <c r="R1726" s="17"/>
      <c r="S1726" s="17"/>
      <c r="T1726" s="4"/>
      <c r="U1726" s="4"/>
    </row>
    <row r="1727" spans="13:21" x14ac:dyDescent="0.25">
      <c r="M1727" s="229"/>
      <c r="N1727" s="17"/>
      <c r="O1727" s="17"/>
      <c r="P1727" s="17"/>
      <c r="Q1727" s="17"/>
      <c r="R1727" s="17"/>
      <c r="S1727" s="17"/>
      <c r="T1727" s="4"/>
      <c r="U1727" s="4"/>
    </row>
    <row r="1728" spans="13:21" x14ac:dyDescent="0.25">
      <c r="M1728" s="229"/>
      <c r="N1728" s="17"/>
      <c r="O1728" s="17"/>
      <c r="P1728" s="17"/>
      <c r="Q1728" s="17"/>
      <c r="R1728" s="17"/>
      <c r="S1728" s="17"/>
      <c r="T1728" s="4"/>
      <c r="U1728" s="4"/>
    </row>
    <row r="1729" spans="13:21" x14ac:dyDescent="0.25">
      <c r="M1729" s="229"/>
      <c r="N1729" s="17"/>
      <c r="O1729" s="17"/>
      <c r="P1729" s="17"/>
      <c r="Q1729" s="17"/>
      <c r="R1729" s="17"/>
      <c r="S1729" s="17"/>
      <c r="T1729" s="4"/>
      <c r="U1729" s="4"/>
    </row>
    <row r="1730" spans="13:21" x14ac:dyDescent="0.25">
      <c r="M1730" s="229"/>
      <c r="N1730" s="17"/>
      <c r="O1730" s="17"/>
      <c r="P1730" s="17"/>
      <c r="Q1730" s="17"/>
      <c r="R1730" s="17"/>
      <c r="S1730" s="17"/>
      <c r="T1730" s="4"/>
      <c r="U1730" s="4"/>
    </row>
    <row r="1731" spans="13:21" x14ac:dyDescent="0.25">
      <c r="M1731" s="229"/>
      <c r="N1731" s="17"/>
      <c r="O1731" s="17"/>
      <c r="P1731" s="17"/>
      <c r="Q1731" s="17"/>
      <c r="R1731" s="17"/>
      <c r="S1731" s="17"/>
      <c r="T1731" s="4"/>
      <c r="U1731" s="4"/>
    </row>
    <row r="1732" spans="13:21" x14ac:dyDescent="0.25">
      <c r="M1732" s="229"/>
      <c r="N1732" s="17"/>
      <c r="O1732" s="17"/>
      <c r="P1732" s="17"/>
      <c r="Q1732" s="17"/>
      <c r="R1732" s="17"/>
      <c r="S1732" s="17"/>
      <c r="T1732" s="4"/>
      <c r="U1732" s="4"/>
    </row>
    <row r="1733" spans="13:21" x14ac:dyDescent="0.25">
      <c r="M1733" s="229"/>
      <c r="N1733" s="17"/>
      <c r="O1733" s="17"/>
      <c r="P1733" s="17"/>
      <c r="Q1733" s="17"/>
      <c r="R1733" s="17"/>
      <c r="S1733" s="17"/>
      <c r="T1733" s="4"/>
      <c r="U1733" s="4"/>
    </row>
    <row r="1734" spans="13:21" x14ac:dyDescent="0.25">
      <c r="M1734" s="229"/>
      <c r="N1734" s="17"/>
      <c r="O1734" s="17"/>
      <c r="P1734" s="17"/>
      <c r="Q1734" s="17"/>
      <c r="R1734" s="17"/>
      <c r="S1734" s="17"/>
      <c r="T1734" s="4"/>
      <c r="U1734" s="4"/>
    </row>
    <row r="1735" spans="13:21" x14ac:dyDescent="0.25">
      <c r="M1735" s="229"/>
      <c r="N1735" s="17"/>
      <c r="O1735" s="17"/>
      <c r="P1735" s="17"/>
      <c r="Q1735" s="17"/>
      <c r="R1735" s="17"/>
      <c r="S1735" s="17"/>
      <c r="T1735" s="4"/>
      <c r="U1735" s="4"/>
    </row>
    <row r="1736" spans="13:21" x14ac:dyDescent="0.25">
      <c r="M1736" s="229"/>
      <c r="N1736" s="17"/>
      <c r="O1736" s="17"/>
      <c r="P1736" s="17"/>
      <c r="Q1736" s="17"/>
      <c r="R1736" s="17"/>
      <c r="S1736" s="17"/>
      <c r="T1736" s="4"/>
      <c r="U1736" s="4"/>
    </row>
    <row r="1737" spans="13:21" x14ac:dyDescent="0.25">
      <c r="M1737" s="229"/>
      <c r="N1737" s="17"/>
      <c r="O1737" s="17"/>
      <c r="P1737" s="17"/>
      <c r="Q1737" s="17"/>
      <c r="R1737" s="17"/>
      <c r="S1737" s="17"/>
      <c r="T1737" s="4"/>
      <c r="U1737" s="4"/>
    </row>
    <row r="1738" spans="13:21" x14ac:dyDescent="0.25">
      <c r="M1738" s="229"/>
      <c r="N1738" s="17"/>
      <c r="O1738" s="17"/>
      <c r="P1738" s="17"/>
      <c r="Q1738" s="17"/>
      <c r="R1738" s="17"/>
      <c r="S1738" s="17"/>
      <c r="T1738" s="4"/>
      <c r="U1738" s="4"/>
    </row>
    <row r="1739" spans="13:21" x14ac:dyDescent="0.25">
      <c r="M1739" s="229"/>
      <c r="N1739" s="17"/>
      <c r="O1739" s="17"/>
      <c r="P1739" s="17"/>
      <c r="Q1739" s="17"/>
      <c r="R1739" s="17"/>
      <c r="S1739" s="17"/>
      <c r="T1739" s="4"/>
      <c r="U1739" s="4"/>
    </row>
    <row r="1740" spans="13:21" x14ac:dyDescent="0.25">
      <c r="M1740" s="229"/>
      <c r="N1740" s="17"/>
      <c r="O1740" s="17"/>
      <c r="P1740" s="17"/>
      <c r="Q1740" s="17"/>
      <c r="R1740" s="17"/>
      <c r="S1740" s="17"/>
      <c r="T1740" s="4"/>
      <c r="U1740" s="4"/>
    </row>
    <row r="1741" spans="13:21" x14ac:dyDescent="0.25">
      <c r="M1741" s="229"/>
      <c r="N1741" s="17"/>
      <c r="O1741" s="17"/>
      <c r="P1741" s="17"/>
      <c r="Q1741" s="17"/>
      <c r="R1741" s="17"/>
      <c r="S1741" s="17"/>
      <c r="T1741" s="4"/>
      <c r="U1741" s="4"/>
    </row>
    <row r="1742" spans="13:21" x14ac:dyDescent="0.25">
      <c r="M1742" s="229"/>
      <c r="N1742" s="17"/>
      <c r="O1742" s="17"/>
      <c r="P1742" s="17"/>
      <c r="Q1742" s="17"/>
      <c r="R1742" s="17"/>
      <c r="S1742" s="17"/>
      <c r="T1742" s="4"/>
      <c r="U1742" s="4"/>
    </row>
    <row r="1743" spans="13:21" x14ac:dyDescent="0.25">
      <c r="M1743" s="229"/>
      <c r="N1743" s="17"/>
      <c r="O1743" s="17"/>
      <c r="P1743" s="17"/>
      <c r="Q1743" s="17"/>
      <c r="R1743" s="17"/>
      <c r="S1743" s="17"/>
      <c r="T1743" s="4"/>
      <c r="U1743" s="4"/>
    </row>
    <row r="1744" spans="13:21" x14ac:dyDescent="0.25">
      <c r="M1744" s="229"/>
      <c r="N1744" s="17"/>
      <c r="O1744" s="17"/>
      <c r="P1744" s="17"/>
      <c r="Q1744" s="17"/>
      <c r="R1744" s="17"/>
      <c r="S1744" s="17"/>
      <c r="T1744" s="4"/>
      <c r="U1744" s="4"/>
    </row>
    <row r="1745" spans="13:21" x14ac:dyDescent="0.25">
      <c r="M1745" s="229"/>
      <c r="N1745" s="17"/>
      <c r="O1745" s="17"/>
      <c r="P1745" s="17"/>
      <c r="Q1745" s="17"/>
      <c r="R1745" s="17"/>
      <c r="S1745" s="17"/>
      <c r="T1745" s="4"/>
      <c r="U1745" s="4"/>
    </row>
    <row r="1746" spans="13:21" x14ac:dyDescent="0.25">
      <c r="M1746" s="229"/>
      <c r="N1746" s="17"/>
      <c r="O1746" s="17"/>
      <c r="P1746" s="17"/>
      <c r="Q1746" s="17"/>
      <c r="R1746" s="17"/>
      <c r="S1746" s="17"/>
      <c r="T1746" s="4"/>
      <c r="U1746" s="4"/>
    </row>
    <row r="1747" spans="13:21" x14ac:dyDescent="0.25">
      <c r="M1747" s="229"/>
      <c r="N1747" s="17"/>
      <c r="O1747" s="17"/>
      <c r="P1747" s="17"/>
      <c r="Q1747" s="17"/>
      <c r="R1747" s="17"/>
      <c r="S1747" s="17"/>
      <c r="T1747" s="4"/>
      <c r="U1747" s="4"/>
    </row>
    <row r="1748" spans="13:21" x14ac:dyDescent="0.25">
      <c r="M1748" s="229"/>
      <c r="N1748" s="17"/>
      <c r="O1748" s="17"/>
      <c r="P1748" s="17"/>
      <c r="Q1748" s="17"/>
      <c r="R1748" s="17"/>
      <c r="S1748" s="17"/>
      <c r="T1748" s="4"/>
      <c r="U1748" s="4"/>
    </row>
    <row r="1749" spans="13:21" x14ac:dyDescent="0.25">
      <c r="M1749" s="229"/>
      <c r="N1749" s="17"/>
      <c r="O1749" s="17"/>
      <c r="P1749" s="17"/>
      <c r="Q1749" s="17"/>
      <c r="R1749" s="17"/>
      <c r="S1749" s="17"/>
      <c r="T1749" s="4"/>
      <c r="U1749" s="4"/>
    </row>
    <row r="1750" spans="13:21" x14ac:dyDescent="0.25">
      <c r="M1750" s="229"/>
      <c r="N1750" s="17"/>
      <c r="O1750" s="17"/>
      <c r="P1750" s="17"/>
      <c r="Q1750" s="17"/>
      <c r="R1750" s="17"/>
      <c r="S1750" s="17"/>
      <c r="T1750" s="4"/>
      <c r="U1750" s="4"/>
    </row>
    <row r="1751" spans="13:21" x14ac:dyDescent="0.25">
      <c r="M1751" s="229"/>
      <c r="N1751" s="17"/>
      <c r="O1751" s="17"/>
      <c r="P1751" s="17"/>
      <c r="Q1751" s="17"/>
      <c r="R1751" s="17"/>
      <c r="S1751" s="17"/>
      <c r="T1751" s="4"/>
      <c r="U1751" s="4"/>
    </row>
    <row r="1752" spans="13:21" x14ac:dyDescent="0.25">
      <c r="M1752" s="229"/>
      <c r="N1752" s="17"/>
      <c r="O1752" s="17"/>
      <c r="P1752" s="17"/>
      <c r="Q1752" s="17"/>
      <c r="R1752" s="17"/>
      <c r="S1752" s="17"/>
      <c r="T1752" s="4"/>
      <c r="U1752" s="4"/>
    </row>
    <row r="1753" spans="13:21" x14ac:dyDescent="0.25">
      <c r="M1753" s="229"/>
      <c r="N1753" s="17"/>
      <c r="O1753" s="17"/>
      <c r="P1753" s="17"/>
      <c r="Q1753" s="17"/>
      <c r="R1753" s="17"/>
      <c r="S1753" s="17"/>
      <c r="T1753" s="4"/>
      <c r="U1753" s="4"/>
    </row>
    <row r="1754" spans="13:21" x14ac:dyDescent="0.25">
      <c r="M1754" s="229"/>
      <c r="N1754" s="17"/>
      <c r="O1754" s="17"/>
      <c r="P1754" s="17"/>
      <c r="Q1754" s="17"/>
      <c r="R1754" s="17"/>
      <c r="S1754" s="17"/>
      <c r="T1754" s="4"/>
      <c r="U1754" s="4"/>
    </row>
    <row r="1755" spans="13:21" x14ac:dyDescent="0.25">
      <c r="M1755" s="229"/>
      <c r="N1755" s="17"/>
      <c r="O1755" s="17"/>
      <c r="P1755" s="17"/>
      <c r="Q1755" s="17"/>
      <c r="R1755" s="17"/>
      <c r="S1755" s="17"/>
      <c r="T1755" s="4"/>
      <c r="U1755" s="4"/>
    </row>
    <row r="1756" spans="13:21" x14ac:dyDescent="0.25">
      <c r="M1756" s="229"/>
      <c r="N1756" s="17"/>
      <c r="O1756" s="17"/>
      <c r="P1756" s="17"/>
      <c r="Q1756" s="17"/>
      <c r="R1756" s="17"/>
      <c r="S1756" s="17"/>
      <c r="T1756" s="4"/>
      <c r="U1756" s="4"/>
    </row>
    <row r="1757" spans="13:21" x14ac:dyDescent="0.25">
      <c r="M1757" s="229"/>
      <c r="N1757" s="17"/>
      <c r="O1757" s="17"/>
      <c r="P1757" s="17"/>
      <c r="Q1757" s="17"/>
      <c r="R1757" s="17"/>
      <c r="S1757" s="17"/>
      <c r="T1757" s="4"/>
      <c r="U1757" s="4"/>
    </row>
    <row r="1758" spans="13:21" x14ac:dyDescent="0.25">
      <c r="M1758" s="229"/>
      <c r="N1758" s="17"/>
      <c r="O1758" s="17"/>
      <c r="P1758" s="17"/>
      <c r="Q1758" s="17"/>
      <c r="R1758" s="17"/>
      <c r="S1758" s="17"/>
      <c r="T1758" s="4"/>
      <c r="U1758" s="4"/>
    </row>
    <row r="1759" spans="13:21" x14ac:dyDescent="0.25">
      <c r="M1759" s="229"/>
      <c r="N1759" s="17"/>
      <c r="O1759" s="17"/>
      <c r="P1759" s="17"/>
      <c r="Q1759" s="17"/>
      <c r="R1759" s="17"/>
      <c r="S1759" s="17"/>
      <c r="T1759" s="4"/>
      <c r="U1759" s="4"/>
    </row>
    <row r="1760" spans="13:21" x14ac:dyDescent="0.25">
      <c r="M1760" s="229"/>
      <c r="N1760" s="17"/>
      <c r="O1760" s="17"/>
      <c r="P1760" s="17"/>
      <c r="Q1760" s="17"/>
      <c r="R1760" s="17"/>
      <c r="S1760" s="17"/>
      <c r="T1760" s="4"/>
      <c r="U1760" s="4"/>
    </row>
    <row r="1761" spans="13:21" x14ac:dyDescent="0.25">
      <c r="M1761" s="229"/>
      <c r="N1761" s="17"/>
      <c r="O1761" s="17"/>
      <c r="P1761" s="17"/>
      <c r="Q1761" s="17"/>
      <c r="R1761" s="17"/>
      <c r="S1761" s="17"/>
      <c r="T1761" s="4"/>
      <c r="U1761" s="4"/>
    </row>
    <row r="1762" spans="13:21" x14ac:dyDescent="0.25">
      <c r="M1762" s="229"/>
      <c r="N1762" s="17"/>
      <c r="O1762" s="17"/>
      <c r="P1762" s="17"/>
      <c r="Q1762" s="17"/>
      <c r="R1762" s="17"/>
      <c r="S1762" s="17"/>
      <c r="T1762" s="4"/>
      <c r="U1762" s="4"/>
    </row>
    <row r="1763" spans="13:21" x14ac:dyDescent="0.25">
      <c r="M1763" s="229"/>
      <c r="N1763" s="17"/>
      <c r="O1763" s="17"/>
      <c r="P1763" s="17"/>
      <c r="Q1763" s="17"/>
      <c r="R1763" s="17"/>
      <c r="S1763" s="17"/>
      <c r="T1763" s="4"/>
      <c r="U1763" s="4"/>
    </row>
    <row r="1764" spans="13:21" x14ac:dyDescent="0.25">
      <c r="M1764" s="229"/>
      <c r="N1764" s="17"/>
      <c r="O1764" s="17"/>
      <c r="P1764" s="17"/>
      <c r="Q1764" s="17"/>
      <c r="R1764" s="17"/>
      <c r="S1764" s="17"/>
      <c r="T1764" s="4"/>
      <c r="U1764" s="4"/>
    </row>
    <row r="1765" spans="13:21" x14ac:dyDescent="0.25">
      <c r="M1765" s="229"/>
      <c r="N1765" s="17"/>
      <c r="O1765" s="17"/>
      <c r="P1765" s="17"/>
      <c r="Q1765" s="17"/>
      <c r="R1765" s="17"/>
      <c r="S1765" s="17"/>
      <c r="T1765" s="4"/>
      <c r="U1765" s="4"/>
    </row>
    <row r="1766" spans="13:21" x14ac:dyDescent="0.25">
      <c r="M1766" s="229"/>
      <c r="N1766" s="17"/>
      <c r="O1766" s="17"/>
      <c r="P1766" s="17"/>
      <c r="Q1766" s="17"/>
      <c r="R1766" s="17"/>
      <c r="S1766" s="17"/>
      <c r="T1766" s="4"/>
      <c r="U1766" s="4"/>
    </row>
    <row r="1767" spans="13:21" x14ac:dyDescent="0.25">
      <c r="M1767" s="229"/>
      <c r="N1767" s="17"/>
      <c r="O1767" s="17"/>
      <c r="P1767" s="17"/>
      <c r="Q1767" s="17"/>
      <c r="R1767" s="17"/>
      <c r="S1767" s="17"/>
      <c r="T1767" s="4"/>
      <c r="U1767" s="4"/>
    </row>
    <row r="1768" spans="13:21" x14ac:dyDescent="0.25">
      <c r="M1768" s="229"/>
      <c r="N1768" s="17"/>
      <c r="O1768" s="17"/>
      <c r="P1768" s="17"/>
      <c r="Q1768" s="17"/>
      <c r="R1768" s="17"/>
      <c r="S1768" s="17"/>
      <c r="T1768" s="4"/>
      <c r="U1768" s="4"/>
    </row>
    <row r="1769" spans="13:21" x14ac:dyDescent="0.25">
      <c r="M1769" s="229"/>
      <c r="N1769" s="17"/>
      <c r="O1769" s="17"/>
      <c r="P1769" s="17"/>
      <c r="Q1769" s="17"/>
      <c r="R1769" s="17"/>
      <c r="S1769" s="17"/>
      <c r="T1769" s="4"/>
      <c r="U1769" s="4"/>
    </row>
    <row r="1770" spans="13:21" x14ac:dyDescent="0.25">
      <c r="M1770" s="229"/>
      <c r="N1770" s="17"/>
      <c r="O1770" s="17"/>
      <c r="P1770" s="17"/>
      <c r="Q1770" s="17"/>
      <c r="R1770" s="17"/>
      <c r="S1770" s="17"/>
      <c r="T1770" s="4"/>
      <c r="U1770" s="4"/>
    </row>
    <row r="1771" spans="13:21" x14ac:dyDescent="0.25">
      <c r="M1771" s="229"/>
      <c r="N1771" s="17"/>
      <c r="O1771" s="17"/>
      <c r="P1771" s="17"/>
      <c r="Q1771" s="17"/>
      <c r="R1771" s="17"/>
      <c r="S1771" s="17"/>
      <c r="T1771" s="4"/>
      <c r="U1771" s="4"/>
    </row>
    <row r="1772" spans="13:21" x14ac:dyDescent="0.25">
      <c r="M1772" s="229"/>
      <c r="N1772" s="17"/>
      <c r="O1772" s="17"/>
      <c r="P1772" s="17"/>
      <c r="Q1772" s="17"/>
      <c r="R1772" s="17"/>
      <c r="S1772" s="17"/>
      <c r="T1772" s="4"/>
      <c r="U1772" s="4"/>
    </row>
    <row r="1773" spans="13:21" x14ac:dyDescent="0.25">
      <c r="M1773" s="229"/>
      <c r="N1773" s="17"/>
      <c r="O1773" s="17"/>
      <c r="P1773" s="17"/>
      <c r="Q1773" s="17"/>
      <c r="R1773" s="17"/>
      <c r="S1773" s="17"/>
      <c r="T1773" s="4"/>
      <c r="U1773" s="4"/>
    </row>
    <row r="1774" spans="13:21" x14ac:dyDescent="0.25">
      <c r="M1774" s="229"/>
      <c r="N1774" s="17"/>
      <c r="O1774" s="17"/>
      <c r="P1774" s="17"/>
      <c r="Q1774" s="17"/>
      <c r="R1774" s="17"/>
      <c r="S1774" s="17"/>
      <c r="T1774" s="4"/>
      <c r="U1774" s="4"/>
    </row>
    <row r="1775" spans="13:21" x14ac:dyDescent="0.25">
      <c r="M1775" s="229"/>
      <c r="N1775" s="17"/>
      <c r="O1775" s="17"/>
      <c r="P1775" s="17"/>
      <c r="Q1775" s="17"/>
      <c r="R1775" s="17"/>
      <c r="S1775" s="17"/>
      <c r="T1775" s="4"/>
      <c r="U1775" s="4"/>
    </row>
    <row r="1776" spans="13:21" x14ac:dyDescent="0.25">
      <c r="M1776" s="229"/>
      <c r="N1776" s="17"/>
      <c r="O1776" s="17"/>
      <c r="P1776" s="17"/>
      <c r="Q1776" s="17"/>
      <c r="R1776" s="17"/>
      <c r="S1776" s="17"/>
      <c r="T1776" s="4"/>
      <c r="U1776" s="4"/>
    </row>
    <row r="1777" spans="13:21" x14ac:dyDescent="0.25">
      <c r="M1777" s="229"/>
      <c r="N1777" s="17"/>
      <c r="O1777" s="17"/>
      <c r="P1777" s="17"/>
      <c r="Q1777" s="17"/>
      <c r="R1777" s="17"/>
      <c r="S1777" s="17"/>
      <c r="T1777" s="4"/>
      <c r="U1777" s="4"/>
    </row>
    <row r="1778" spans="13:21" x14ac:dyDescent="0.25">
      <c r="M1778" s="229"/>
      <c r="N1778" s="17"/>
      <c r="O1778" s="17"/>
      <c r="P1778" s="17"/>
      <c r="Q1778" s="17"/>
      <c r="R1778" s="17"/>
      <c r="S1778" s="17"/>
      <c r="T1778" s="4"/>
      <c r="U1778" s="4"/>
    </row>
    <row r="1779" spans="13:21" x14ac:dyDescent="0.25">
      <c r="M1779" s="229"/>
      <c r="N1779" s="17"/>
      <c r="O1779" s="17"/>
      <c r="P1779" s="17"/>
      <c r="Q1779" s="17"/>
      <c r="R1779" s="17"/>
      <c r="S1779" s="17"/>
      <c r="T1779" s="4"/>
      <c r="U1779" s="4"/>
    </row>
    <row r="1780" spans="13:21" x14ac:dyDescent="0.25">
      <c r="M1780" s="229"/>
      <c r="N1780" s="17"/>
      <c r="O1780" s="17"/>
      <c r="P1780" s="17"/>
      <c r="Q1780" s="17"/>
      <c r="R1780" s="17"/>
      <c r="S1780" s="17"/>
      <c r="T1780" s="4"/>
      <c r="U1780" s="4"/>
    </row>
    <row r="1781" spans="13:21" x14ac:dyDescent="0.25">
      <c r="M1781" s="229"/>
      <c r="N1781" s="17"/>
      <c r="O1781" s="17"/>
      <c r="P1781" s="17"/>
      <c r="Q1781" s="17"/>
      <c r="R1781" s="17"/>
      <c r="S1781" s="17"/>
      <c r="T1781" s="4"/>
      <c r="U1781" s="4"/>
    </row>
    <row r="1782" spans="13:21" x14ac:dyDescent="0.25">
      <c r="M1782" s="229"/>
      <c r="N1782" s="17"/>
      <c r="O1782" s="17"/>
      <c r="P1782" s="17"/>
      <c r="Q1782" s="17"/>
      <c r="R1782" s="17"/>
      <c r="S1782" s="17"/>
      <c r="T1782" s="4"/>
      <c r="U1782" s="4"/>
    </row>
    <row r="1783" spans="13:21" x14ac:dyDescent="0.25">
      <c r="M1783" s="229"/>
      <c r="N1783" s="17"/>
      <c r="O1783" s="17"/>
      <c r="P1783" s="17"/>
      <c r="Q1783" s="17"/>
      <c r="R1783" s="17"/>
      <c r="S1783" s="17"/>
      <c r="T1783" s="4"/>
      <c r="U1783" s="4"/>
    </row>
    <row r="1784" spans="13:21" x14ac:dyDescent="0.25">
      <c r="M1784" s="229"/>
      <c r="N1784" s="17"/>
      <c r="O1784" s="17"/>
      <c r="P1784" s="17"/>
      <c r="Q1784" s="17"/>
      <c r="R1784" s="17"/>
      <c r="S1784" s="17"/>
      <c r="T1784" s="4"/>
      <c r="U1784" s="4"/>
    </row>
    <row r="1785" spans="13:21" x14ac:dyDescent="0.25">
      <c r="M1785" s="229"/>
      <c r="N1785" s="17"/>
      <c r="O1785" s="17"/>
      <c r="P1785" s="17"/>
      <c r="Q1785" s="17"/>
      <c r="R1785" s="17"/>
      <c r="S1785" s="17"/>
      <c r="T1785" s="4"/>
      <c r="U1785" s="4"/>
    </row>
    <row r="1786" spans="13:21" x14ac:dyDescent="0.25">
      <c r="M1786" s="229"/>
      <c r="N1786" s="17"/>
      <c r="O1786" s="17"/>
      <c r="P1786" s="17"/>
      <c r="Q1786" s="17"/>
      <c r="R1786" s="17"/>
      <c r="S1786" s="17"/>
      <c r="T1786" s="4"/>
      <c r="U1786" s="4"/>
    </row>
    <row r="1787" spans="13:21" x14ac:dyDescent="0.25">
      <c r="M1787" s="229"/>
      <c r="N1787" s="17"/>
      <c r="O1787" s="17"/>
      <c r="P1787" s="17"/>
      <c r="Q1787" s="17"/>
      <c r="R1787" s="17"/>
      <c r="S1787" s="17"/>
      <c r="T1787" s="4"/>
      <c r="U1787" s="4"/>
    </row>
    <row r="1788" spans="13:21" x14ac:dyDescent="0.25">
      <c r="M1788" s="229"/>
      <c r="N1788" s="17"/>
      <c r="O1788" s="17"/>
      <c r="P1788" s="17"/>
      <c r="Q1788" s="17"/>
      <c r="R1788" s="17"/>
      <c r="S1788" s="17"/>
      <c r="T1788" s="4"/>
      <c r="U1788" s="4"/>
    </row>
    <row r="1789" spans="13:21" x14ac:dyDescent="0.25">
      <c r="M1789" s="229"/>
      <c r="N1789" s="17"/>
      <c r="O1789" s="17"/>
      <c r="P1789" s="17"/>
      <c r="Q1789" s="17"/>
      <c r="R1789" s="17"/>
      <c r="S1789" s="17"/>
      <c r="T1789" s="4"/>
      <c r="U1789" s="4"/>
    </row>
    <row r="1790" spans="13:21" x14ac:dyDescent="0.25">
      <c r="M1790" s="229"/>
      <c r="N1790" s="17"/>
      <c r="O1790" s="17"/>
      <c r="P1790" s="17"/>
      <c r="Q1790" s="17"/>
      <c r="R1790" s="17"/>
      <c r="S1790" s="17"/>
      <c r="T1790" s="4"/>
      <c r="U1790" s="4"/>
    </row>
    <row r="1791" spans="13:21" x14ac:dyDescent="0.25">
      <c r="M1791" s="229"/>
      <c r="N1791" s="17"/>
      <c r="O1791" s="17"/>
      <c r="P1791" s="17"/>
      <c r="Q1791" s="17"/>
      <c r="R1791" s="17"/>
      <c r="S1791" s="17"/>
      <c r="T1791" s="4"/>
      <c r="U1791" s="4"/>
    </row>
    <row r="1792" spans="13:21" x14ac:dyDescent="0.25">
      <c r="M1792" s="229"/>
      <c r="N1792" s="17"/>
      <c r="O1792" s="17"/>
      <c r="P1792" s="17"/>
      <c r="Q1792" s="17"/>
      <c r="R1792" s="17"/>
      <c r="S1792" s="17"/>
      <c r="T1792" s="4"/>
      <c r="U1792" s="4"/>
    </row>
    <row r="1793" spans="13:21" x14ac:dyDescent="0.25">
      <c r="M1793" s="229"/>
      <c r="N1793" s="17"/>
      <c r="O1793" s="17"/>
      <c r="P1793" s="17"/>
      <c r="Q1793" s="17"/>
      <c r="R1793" s="17"/>
      <c r="S1793" s="17"/>
      <c r="T1793" s="4"/>
      <c r="U1793" s="4"/>
    </row>
    <row r="1794" spans="13:21" x14ac:dyDescent="0.25">
      <c r="M1794" s="229"/>
      <c r="N1794" s="17"/>
      <c r="O1794" s="17"/>
      <c r="P1794" s="17"/>
      <c r="Q1794" s="17"/>
      <c r="R1794" s="17"/>
      <c r="S1794" s="17"/>
      <c r="T1794" s="4"/>
      <c r="U1794" s="4"/>
    </row>
    <row r="1795" spans="13:21" x14ac:dyDescent="0.25">
      <c r="M1795" s="229"/>
      <c r="N1795" s="17"/>
      <c r="O1795" s="17"/>
      <c r="P1795" s="17"/>
      <c r="Q1795" s="17"/>
      <c r="R1795" s="17"/>
      <c r="S1795" s="17"/>
      <c r="T1795" s="4"/>
      <c r="U1795" s="4"/>
    </row>
    <row r="1796" spans="13:21" x14ac:dyDescent="0.25">
      <c r="M1796" s="229"/>
      <c r="N1796" s="17"/>
      <c r="O1796" s="17"/>
      <c r="P1796" s="17"/>
      <c r="Q1796" s="17"/>
      <c r="R1796" s="17"/>
      <c r="S1796" s="17"/>
      <c r="T1796" s="4"/>
      <c r="U1796" s="4"/>
    </row>
    <row r="1797" spans="13:21" x14ac:dyDescent="0.25">
      <c r="M1797" s="229"/>
      <c r="N1797" s="17"/>
      <c r="O1797" s="17"/>
      <c r="P1797" s="17"/>
      <c r="Q1797" s="17"/>
      <c r="R1797" s="17"/>
      <c r="S1797" s="17"/>
      <c r="T1797" s="4"/>
      <c r="U1797" s="4"/>
    </row>
    <row r="1798" spans="13:21" x14ac:dyDescent="0.25">
      <c r="M1798" s="229"/>
      <c r="N1798" s="17"/>
      <c r="O1798" s="17"/>
      <c r="P1798" s="17"/>
      <c r="Q1798" s="17"/>
      <c r="R1798" s="17"/>
      <c r="S1798" s="17"/>
      <c r="T1798" s="4"/>
      <c r="U1798" s="4"/>
    </row>
    <row r="1799" spans="13:21" x14ac:dyDescent="0.25">
      <c r="M1799" s="229"/>
      <c r="N1799" s="17"/>
      <c r="O1799" s="17"/>
      <c r="P1799" s="17"/>
      <c r="Q1799" s="17"/>
      <c r="R1799" s="17"/>
      <c r="S1799" s="17"/>
      <c r="T1799" s="4"/>
      <c r="U1799" s="4"/>
    </row>
    <row r="1800" spans="13:21" x14ac:dyDescent="0.25">
      <c r="M1800" s="229"/>
      <c r="N1800" s="17"/>
      <c r="O1800" s="17"/>
      <c r="P1800" s="17"/>
      <c r="Q1800" s="17"/>
      <c r="R1800" s="17"/>
      <c r="S1800" s="17"/>
      <c r="T1800" s="4"/>
      <c r="U1800" s="4"/>
    </row>
    <row r="1801" spans="13:21" x14ac:dyDescent="0.25">
      <c r="M1801" s="229"/>
      <c r="N1801" s="17"/>
      <c r="O1801" s="17"/>
      <c r="P1801" s="17"/>
      <c r="Q1801" s="17"/>
      <c r="R1801" s="17"/>
      <c r="S1801" s="17"/>
      <c r="T1801" s="4"/>
      <c r="U1801" s="4"/>
    </row>
    <row r="1802" spans="13:21" x14ac:dyDescent="0.25">
      <c r="M1802" s="229"/>
      <c r="N1802" s="17"/>
      <c r="O1802" s="17"/>
      <c r="P1802" s="17"/>
      <c r="Q1802" s="17"/>
      <c r="R1802" s="17"/>
      <c r="S1802" s="17"/>
      <c r="T1802" s="4"/>
      <c r="U1802" s="4"/>
    </row>
    <row r="1803" spans="13:21" x14ac:dyDescent="0.25">
      <c r="M1803" s="229"/>
      <c r="N1803" s="17"/>
      <c r="O1803" s="17"/>
      <c r="P1803" s="17"/>
      <c r="Q1803" s="17"/>
      <c r="R1803" s="17"/>
      <c r="S1803" s="17"/>
      <c r="T1803" s="4"/>
      <c r="U1803" s="4"/>
    </row>
    <row r="1804" spans="13:21" x14ac:dyDescent="0.25">
      <c r="M1804" s="229"/>
      <c r="N1804" s="17"/>
      <c r="O1804" s="17"/>
      <c r="P1804" s="17"/>
      <c r="Q1804" s="17"/>
      <c r="R1804" s="17"/>
      <c r="S1804" s="17"/>
      <c r="T1804" s="4"/>
      <c r="U1804" s="4"/>
    </row>
    <row r="1805" spans="13:21" x14ac:dyDescent="0.25">
      <c r="M1805" s="229"/>
      <c r="N1805" s="17"/>
      <c r="O1805" s="17"/>
      <c r="P1805" s="17"/>
      <c r="Q1805" s="17"/>
      <c r="R1805" s="17"/>
      <c r="S1805" s="17"/>
      <c r="T1805" s="4"/>
      <c r="U1805" s="4"/>
    </row>
    <row r="1806" spans="13:21" x14ac:dyDescent="0.25">
      <c r="M1806" s="229"/>
      <c r="N1806" s="17"/>
      <c r="O1806" s="17"/>
      <c r="P1806" s="17"/>
      <c r="Q1806" s="17"/>
      <c r="R1806" s="17"/>
      <c r="S1806" s="17"/>
      <c r="T1806" s="4"/>
      <c r="U1806" s="4"/>
    </row>
    <row r="1807" spans="13:21" x14ac:dyDescent="0.25">
      <c r="M1807" s="229"/>
      <c r="N1807" s="17"/>
      <c r="O1807" s="17"/>
      <c r="P1807" s="17"/>
      <c r="Q1807" s="17"/>
      <c r="R1807" s="17"/>
      <c r="S1807" s="17"/>
      <c r="T1807" s="4"/>
      <c r="U1807" s="4"/>
    </row>
    <row r="1808" spans="13:21" x14ac:dyDescent="0.25">
      <c r="M1808" s="229"/>
      <c r="N1808" s="17"/>
      <c r="O1808" s="17"/>
      <c r="P1808" s="17"/>
      <c r="Q1808" s="17"/>
      <c r="R1808" s="17"/>
      <c r="S1808" s="17"/>
      <c r="T1808" s="4"/>
      <c r="U1808" s="4"/>
    </row>
    <row r="1809" spans="13:21" x14ac:dyDescent="0.25">
      <c r="M1809" s="229"/>
      <c r="N1809" s="17"/>
      <c r="O1809" s="17"/>
      <c r="P1809" s="17"/>
      <c r="Q1809" s="17"/>
      <c r="R1809" s="17"/>
      <c r="S1809" s="17"/>
      <c r="T1809" s="4"/>
      <c r="U1809" s="4"/>
    </row>
    <row r="1810" spans="13:21" x14ac:dyDescent="0.25">
      <c r="M1810" s="229"/>
      <c r="N1810" s="17"/>
      <c r="O1810" s="17"/>
      <c r="P1810" s="17"/>
      <c r="Q1810" s="17"/>
      <c r="R1810" s="17"/>
      <c r="S1810" s="17"/>
      <c r="T1810" s="4"/>
      <c r="U1810" s="4"/>
    </row>
    <row r="1811" spans="13:21" x14ac:dyDescent="0.25">
      <c r="M1811" s="229"/>
      <c r="N1811" s="17"/>
      <c r="O1811" s="17"/>
      <c r="P1811" s="17"/>
      <c r="Q1811" s="17"/>
      <c r="R1811" s="17"/>
      <c r="S1811" s="17"/>
      <c r="T1811" s="4"/>
      <c r="U1811" s="4"/>
    </row>
    <row r="1812" spans="13:21" x14ac:dyDescent="0.25">
      <c r="M1812" s="229"/>
      <c r="N1812" s="17"/>
      <c r="O1812" s="17"/>
      <c r="P1812" s="17"/>
      <c r="Q1812" s="17"/>
      <c r="R1812" s="17"/>
      <c r="S1812" s="17"/>
      <c r="T1812" s="4"/>
      <c r="U1812" s="4"/>
    </row>
    <row r="1813" spans="13:21" x14ac:dyDescent="0.25">
      <c r="M1813" s="229"/>
      <c r="N1813" s="17"/>
      <c r="O1813" s="17"/>
      <c r="P1813" s="17"/>
      <c r="Q1813" s="17"/>
      <c r="R1813" s="17"/>
      <c r="S1813" s="17"/>
      <c r="T1813" s="4"/>
      <c r="U1813" s="4"/>
    </row>
    <row r="1814" spans="13:21" x14ac:dyDescent="0.25">
      <c r="M1814" s="229"/>
      <c r="N1814" s="17"/>
      <c r="O1814" s="17"/>
      <c r="P1814" s="17"/>
      <c r="Q1814" s="17"/>
      <c r="R1814" s="17"/>
      <c r="S1814" s="17"/>
      <c r="T1814" s="4"/>
      <c r="U1814" s="4"/>
    </row>
    <row r="1815" spans="13:21" x14ac:dyDescent="0.25">
      <c r="M1815" s="229"/>
      <c r="N1815" s="17"/>
      <c r="O1815" s="17"/>
      <c r="P1815" s="17"/>
      <c r="Q1815" s="17"/>
      <c r="R1815" s="17"/>
      <c r="S1815" s="17"/>
      <c r="T1815" s="4"/>
      <c r="U1815" s="4"/>
    </row>
    <row r="1816" spans="13:21" x14ac:dyDescent="0.25">
      <c r="M1816" s="229"/>
      <c r="N1816" s="17"/>
      <c r="O1816" s="17"/>
      <c r="P1816" s="17"/>
      <c r="Q1816" s="17"/>
      <c r="R1816" s="17"/>
      <c r="S1816" s="17"/>
      <c r="T1816" s="4"/>
      <c r="U1816" s="4"/>
    </row>
    <row r="1817" spans="13:21" x14ac:dyDescent="0.25">
      <c r="M1817" s="229"/>
      <c r="N1817" s="17"/>
      <c r="O1817" s="17"/>
      <c r="P1817" s="17"/>
      <c r="Q1817" s="17"/>
      <c r="R1817" s="17"/>
      <c r="S1817" s="17"/>
      <c r="T1817" s="4"/>
      <c r="U1817" s="4"/>
    </row>
    <row r="1818" spans="13:21" x14ac:dyDescent="0.25">
      <c r="M1818" s="229"/>
      <c r="N1818" s="17"/>
      <c r="O1818" s="17"/>
      <c r="P1818" s="17"/>
      <c r="Q1818" s="17"/>
      <c r="R1818" s="17"/>
      <c r="S1818" s="17"/>
      <c r="T1818" s="4"/>
      <c r="U1818" s="4"/>
    </row>
    <row r="1819" spans="13:21" x14ac:dyDescent="0.25">
      <c r="M1819" s="229"/>
      <c r="N1819" s="17"/>
      <c r="O1819" s="17"/>
      <c r="P1819" s="17"/>
      <c r="Q1819" s="17"/>
      <c r="R1819" s="17"/>
      <c r="S1819" s="17"/>
      <c r="T1819" s="4"/>
      <c r="U1819" s="4"/>
    </row>
    <row r="1820" spans="13:21" x14ac:dyDescent="0.25">
      <c r="M1820" s="229"/>
      <c r="N1820" s="17"/>
      <c r="O1820" s="17"/>
      <c r="P1820" s="17"/>
      <c r="Q1820" s="17"/>
      <c r="R1820" s="17"/>
      <c r="S1820" s="17"/>
      <c r="T1820" s="4"/>
      <c r="U1820" s="4"/>
    </row>
    <row r="1821" spans="13:21" x14ac:dyDescent="0.25">
      <c r="M1821" s="229"/>
      <c r="N1821" s="17"/>
      <c r="O1821" s="17"/>
      <c r="P1821" s="17"/>
      <c r="Q1821" s="17"/>
      <c r="R1821" s="17"/>
      <c r="S1821" s="17"/>
      <c r="T1821" s="4"/>
      <c r="U1821" s="4"/>
    </row>
    <row r="1822" spans="13:21" x14ac:dyDescent="0.25">
      <c r="M1822" s="229"/>
      <c r="N1822" s="17"/>
      <c r="O1822" s="17"/>
      <c r="P1822" s="17"/>
      <c r="Q1822" s="17"/>
      <c r="R1822" s="17"/>
      <c r="S1822" s="17"/>
      <c r="T1822" s="4"/>
      <c r="U1822" s="4"/>
    </row>
    <row r="1823" spans="13:21" x14ac:dyDescent="0.25">
      <c r="M1823" s="229"/>
      <c r="N1823" s="17"/>
      <c r="O1823" s="17"/>
      <c r="P1823" s="17"/>
      <c r="Q1823" s="17"/>
      <c r="R1823" s="17"/>
      <c r="S1823" s="17"/>
      <c r="T1823" s="4"/>
      <c r="U1823" s="4"/>
    </row>
    <row r="1824" spans="13:21" x14ac:dyDescent="0.25">
      <c r="M1824" s="229"/>
      <c r="N1824" s="17"/>
      <c r="O1824" s="17"/>
      <c r="P1824" s="17"/>
      <c r="Q1824" s="17"/>
      <c r="R1824" s="17"/>
      <c r="S1824" s="17"/>
      <c r="T1824" s="4"/>
      <c r="U1824" s="4"/>
    </row>
    <row r="1825" spans="13:21" x14ac:dyDescent="0.25">
      <c r="M1825" s="229"/>
      <c r="N1825" s="17"/>
      <c r="O1825" s="17"/>
      <c r="P1825" s="17"/>
      <c r="Q1825" s="17"/>
      <c r="R1825" s="17"/>
      <c r="S1825" s="17"/>
      <c r="T1825" s="4"/>
      <c r="U1825" s="4"/>
    </row>
    <row r="1826" spans="13:21" x14ac:dyDescent="0.25">
      <c r="M1826" s="229"/>
      <c r="N1826" s="17"/>
      <c r="O1826" s="17"/>
      <c r="P1826" s="17"/>
      <c r="Q1826" s="17"/>
      <c r="R1826" s="17"/>
      <c r="S1826" s="17"/>
      <c r="T1826" s="4"/>
      <c r="U1826" s="4"/>
    </row>
    <row r="1827" spans="13:21" x14ac:dyDescent="0.25">
      <c r="M1827" s="229"/>
      <c r="N1827" s="17"/>
      <c r="O1827" s="17"/>
      <c r="P1827" s="17"/>
      <c r="Q1827" s="17"/>
      <c r="R1827" s="17"/>
      <c r="S1827" s="17"/>
      <c r="T1827" s="4"/>
      <c r="U1827" s="4"/>
    </row>
    <row r="1828" spans="13:21" x14ac:dyDescent="0.25">
      <c r="M1828" s="229"/>
      <c r="N1828" s="17"/>
      <c r="O1828" s="17"/>
      <c r="P1828" s="17"/>
      <c r="Q1828" s="17"/>
      <c r="R1828" s="17"/>
      <c r="S1828" s="17"/>
      <c r="T1828" s="4"/>
      <c r="U1828" s="4"/>
    </row>
    <row r="1829" spans="13:21" x14ac:dyDescent="0.25">
      <c r="M1829" s="229"/>
      <c r="N1829" s="17"/>
      <c r="O1829" s="17"/>
      <c r="P1829" s="17"/>
      <c r="Q1829" s="17"/>
      <c r="R1829" s="17"/>
      <c r="S1829" s="17"/>
      <c r="T1829" s="4"/>
      <c r="U1829" s="4"/>
    </row>
    <row r="1830" spans="13:21" x14ac:dyDescent="0.25">
      <c r="M1830" s="229"/>
      <c r="N1830" s="17"/>
      <c r="O1830" s="17"/>
      <c r="P1830" s="17"/>
      <c r="Q1830" s="17"/>
      <c r="R1830" s="17"/>
      <c r="S1830" s="17"/>
      <c r="T1830" s="4"/>
      <c r="U1830" s="4"/>
    </row>
    <row r="1831" spans="13:21" x14ac:dyDescent="0.25">
      <c r="M1831" s="229"/>
      <c r="N1831" s="17"/>
      <c r="O1831" s="17"/>
      <c r="P1831" s="17"/>
      <c r="Q1831" s="17"/>
      <c r="R1831" s="17"/>
      <c r="S1831" s="17"/>
      <c r="T1831" s="4"/>
      <c r="U1831" s="4"/>
    </row>
    <row r="1832" spans="13:21" x14ac:dyDescent="0.25">
      <c r="M1832" s="229"/>
      <c r="N1832" s="17"/>
      <c r="O1832" s="17"/>
      <c r="P1832" s="17"/>
      <c r="Q1832" s="17"/>
      <c r="R1832" s="17"/>
      <c r="S1832" s="17"/>
      <c r="T1832" s="4"/>
      <c r="U1832" s="4"/>
    </row>
    <row r="1833" spans="13:21" x14ac:dyDescent="0.25">
      <c r="M1833" s="229"/>
      <c r="N1833" s="17"/>
      <c r="O1833" s="17"/>
      <c r="P1833" s="17"/>
      <c r="Q1833" s="17"/>
      <c r="R1833" s="17"/>
      <c r="S1833" s="17"/>
      <c r="T1833" s="4"/>
      <c r="U1833" s="4"/>
    </row>
    <row r="1834" spans="13:21" x14ac:dyDescent="0.25">
      <c r="M1834" s="229"/>
      <c r="N1834" s="17"/>
      <c r="O1834" s="17"/>
      <c r="P1834" s="17"/>
      <c r="Q1834" s="17"/>
      <c r="R1834" s="17"/>
      <c r="S1834" s="17"/>
      <c r="T1834" s="4"/>
      <c r="U1834" s="4"/>
    </row>
    <row r="1835" spans="13:21" x14ac:dyDescent="0.25">
      <c r="M1835" s="229"/>
      <c r="N1835" s="17"/>
      <c r="O1835" s="17"/>
      <c r="P1835" s="17"/>
      <c r="Q1835" s="17"/>
      <c r="R1835" s="17"/>
      <c r="S1835" s="17"/>
      <c r="T1835" s="4"/>
      <c r="U1835" s="4"/>
    </row>
    <row r="1836" spans="13:21" x14ac:dyDescent="0.25">
      <c r="M1836" s="229"/>
      <c r="N1836" s="17"/>
      <c r="O1836" s="17"/>
      <c r="P1836" s="17"/>
      <c r="Q1836" s="17"/>
      <c r="R1836" s="17"/>
      <c r="S1836" s="17"/>
      <c r="T1836" s="4"/>
      <c r="U1836" s="4"/>
    </row>
    <row r="1837" spans="13:21" x14ac:dyDescent="0.25">
      <c r="M1837" s="229"/>
      <c r="N1837" s="17"/>
      <c r="O1837" s="17"/>
      <c r="P1837" s="17"/>
      <c r="Q1837" s="17"/>
      <c r="R1837" s="17"/>
      <c r="S1837" s="17"/>
      <c r="T1837" s="4"/>
      <c r="U1837" s="4"/>
    </row>
    <row r="1838" spans="13:21" x14ac:dyDescent="0.25">
      <c r="M1838" s="229"/>
      <c r="N1838" s="17"/>
      <c r="O1838" s="17"/>
      <c r="P1838" s="17"/>
      <c r="Q1838" s="17"/>
      <c r="R1838" s="17"/>
      <c r="S1838" s="17"/>
      <c r="T1838" s="4"/>
      <c r="U1838" s="4"/>
    </row>
    <row r="1839" spans="13:21" x14ac:dyDescent="0.25">
      <c r="M1839" s="229"/>
      <c r="N1839" s="17"/>
      <c r="O1839" s="17"/>
      <c r="P1839" s="17"/>
      <c r="Q1839" s="17"/>
      <c r="R1839" s="17"/>
      <c r="S1839" s="17"/>
      <c r="T1839" s="4"/>
      <c r="U1839" s="4"/>
    </row>
    <row r="1840" spans="13:21" x14ac:dyDescent="0.25">
      <c r="M1840" s="229"/>
      <c r="N1840" s="17"/>
      <c r="O1840" s="17"/>
      <c r="P1840" s="17"/>
      <c r="Q1840" s="17"/>
      <c r="R1840" s="17"/>
      <c r="S1840" s="17"/>
      <c r="T1840" s="4"/>
      <c r="U1840" s="4"/>
    </row>
    <row r="1841" spans="13:21" x14ac:dyDescent="0.25">
      <c r="M1841" s="229"/>
      <c r="N1841" s="17"/>
      <c r="O1841" s="17"/>
      <c r="P1841" s="17"/>
      <c r="Q1841" s="17"/>
      <c r="R1841" s="17"/>
      <c r="S1841" s="17"/>
      <c r="T1841" s="4"/>
      <c r="U1841" s="4"/>
    </row>
    <row r="1842" spans="13:21" x14ac:dyDescent="0.25">
      <c r="M1842" s="229"/>
      <c r="N1842" s="17"/>
      <c r="O1842" s="17"/>
      <c r="P1842" s="17"/>
      <c r="Q1842" s="17"/>
      <c r="R1842" s="17"/>
      <c r="S1842" s="17"/>
      <c r="T1842" s="4"/>
      <c r="U1842" s="4"/>
    </row>
    <row r="1843" spans="13:21" x14ac:dyDescent="0.25">
      <c r="M1843" s="229"/>
      <c r="N1843" s="17"/>
      <c r="O1843" s="17"/>
      <c r="P1843" s="17"/>
      <c r="Q1843" s="17"/>
      <c r="R1843" s="17"/>
      <c r="S1843" s="17"/>
      <c r="T1843" s="4"/>
      <c r="U1843" s="4"/>
    </row>
    <row r="1844" spans="13:21" x14ac:dyDescent="0.25">
      <c r="M1844" s="229"/>
      <c r="N1844" s="17"/>
      <c r="O1844" s="17"/>
      <c r="P1844" s="17"/>
      <c r="Q1844" s="17"/>
      <c r="R1844" s="17"/>
      <c r="S1844" s="17"/>
      <c r="T1844" s="4"/>
      <c r="U1844" s="4"/>
    </row>
    <row r="1845" spans="13:21" x14ac:dyDescent="0.25">
      <c r="M1845" s="229"/>
      <c r="N1845" s="17"/>
      <c r="O1845" s="17"/>
      <c r="P1845" s="17"/>
      <c r="Q1845" s="17"/>
      <c r="R1845" s="17"/>
      <c r="S1845" s="17"/>
      <c r="T1845" s="4"/>
      <c r="U1845" s="4"/>
    </row>
    <row r="1846" spans="13:21" x14ac:dyDescent="0.25">
      <c r="M1846" s="229"/>
      <c r="N1846" s="17"/>
      <c r="O1846" s="17"/>
      <c r="P1846" s="17"/>
      <c r="Q1846" s="17"/>
      <c r="R1846" s="17"/>
      <c r="S1846" s="17"/>
      <c r="T1846" s="4"/>
      <c r="U1846" s="4"/>
    </row>
    <row r="1847" spans="13:21" x14ac:dyDescent="0.25">
      <c r="M1847" s="229"/>
      <c r="N1847" s="17"/>
      <c r="O1847" s="17"/>
      <c r="P1847" s="17"/>
      <c r="Q1847" s="17"/>
      <c r="R1847" s="17"/>
      <c r="S1847" s="17"/>
      <c r="T1847" s="4"/>
      <c r="U1847" s="4"/>
    </row>
    <row r="1848" spans="13:21" x14ac:dyDescent="0.25">
      <c r="M1848" s="229"/>
      <c r="N1848" s="17"/>
      <c r="O1848" s="17"/>
      <c r="P1848" s="17"/>
      <c r="Q1848" s="17"/>
      <c r="R1848" s="17"/>
      <c r="S1848" s="17"/>
      <c r="T1848" s="4"/>
      <c r="U1848" s="4"/>
    </row>
    <row r="1849" spans="13:21" x14ac:dyDescent="0.25">
      <c r="M1849" s="229"/>
      <c r="N1849" s="17"/>
      <c r="O1849" s="17"/>
      <c r="P1849" s="17"/>
      <c r="Q1849" s="17"/>
      <c r="R1849" s="17"/>
      <c r="S1849" s="17"/>
      <c r="T1849" s="4"/>
      <c r="U1849" s="4"/>
    </row>
    <row r="1850" spans="13:21" x14ac:dyDescent="0.25">
      <c r="M1850" s="229"/>
      <c r="N1850" s="17"/>
      <c r="O1850" s="17"/>
      <c r="P1850" s="17"/>
      <c r="Q1850" s="17"/>
      <c r="R1850" s="17"/>
      <c r="S1850" s="17"/>
      <c r="T1850" s="4"/>
      <c r="U1850" s="4"/>
    </row>
    <row r="1851" spans="13:21" x14ac:dyDescent="0.25">
      <c r="M1851" s="229"/>
      <c r="N1851" s="17"/>
      <c r="O1851" s="17"/>
      <c r="P1851" s="17"/>
      <c r="Q1851" s="17"/>
      <c r="R1851" s="17"/>
      <c r="S1851" s="17"/>
      <c r="T1851" s="4"/>
      <c r="U1851" s="4"/>
    </row>
    <row r="1852" spans="13:21" x14ac:dyDescent="0.25">
      <c r="M1852" s="229"/>
      <c r="N1852" s="17"/>
      <c r="O1852" s="17"/>
      <c r="P1852" s="17"/>
      <c r="Q1852" s="17"/>
      <c r="R1852" s="17"/>
      <c r="S1852" s="17"/>
      <c r="T1852" s="4"/>
      <c r="U1852" s="4"/>
    </row>
    <row r="1853" spans="13:21" x14ac:dyDescent="0.25">
      <c r="M1853" s="229"/>
      <c r="N1853" s="17"/>
      <c r="O1853" s="17"/>
      <c r="P1853" s="17"/>
      <c r="Q1853" s="17"/>
      <c r="R1853" s="17"/>
      <c r="S1853" s="17"/>
      <c r="T1853" s="4"/>
      <c r="U1853" s="4"/>
    </row>
    <row r="1854" spans="13:21" x14ac:dyDescent="0.25">
      <c r="M1854" s="229"/>
      <c r="N1854" s="17"/>
      <c r="O1854" s="17"/>
      <c r="P1854" s="17"/>
      <c r="Q1854" s="17"/>
      <c r="R1854" s="17"/>
      <c r="S1854" s="17"/>
      <c r="T1854" s="4"/>
      <c r="U1854" s="4"/>
    </row>
    <row r="1855" spans="13:21" x14ac:dyDescent="0.25">
      <c r="M1855" s="229"/>
      <c r="N1855" s="17"/>
      <c r="O1855" s="17"/>
      <c r="P1855" s="17"/>
      <c r="Q1855" s="17"/>
      <c r="R1855" s="17"/>
      <c r="S1855" s="17"/>
      <c r="T1855" s="4"/>
      <c r="U1855" s="4"/>
    </row>
    <row r="1856" spans="13:21" x14ac:dyDescent="0.25">
      <c r="M1856" s="229"/>
      <c r="N1856" s="17"/>
      <c r="O1856" s="17"/>
      <c r="P1856" s="17"/>
      <c r="Q1856" s="17"/>
      <c r="R1856" s="17"/>
      <c r="S1856" s="17"/>
      <c r="T1856" s="4"/>
      <c r="U1856" s="4"/>
    </row>
    <row r="1857" spans="13:21" x14ac:dyDescent="0.25">
      <c r="M1857" s="229"/>
      <c r="N1857" s="17"/>
      <c r="O1857" s="17"/>
      <c r="P1857" s="17"/>
      <c r="Q1857" s="17"/>
      <c r="R1857" s="17"/>
      <c r="S1857" s="17"/>
      <c r="T1857" s="4"/>
      <c r="U1857" s="4"/>
    </row>
    <row r="1858" spans="13:21" x14ac:dyDescent="0.25">
      <c r="M1858" s="229"/>
      <c r="N1858" s="17"/>
      <c r="O1858" s="17"/>
      <c r="P1858" s="17"/>
      <c r="Q1858" s="17"/>
      <c r="R1858" s="17"/>
      <c r="S1858" s="17"/>
      <c r="T1858" s="4"/>
      <c r="U1858" s="4"/>
    </row>
    <row r="1859" spans="13:21" x14ac:dyDescent="0.25">
      <c r="M1859" s="229"/>
      <c r="N1859" s="17"/>
      <c r="O1859" s="17"/>
      <c r="P1859" s="17"/>
      <c r="Q1859" s="17"/>
      <c r="R1859" s="17"/>
      <c r="S1859" s="17"/>
      <c r="T1859" s="4"/>
      <c r="U1859" s="4"/>
    </row>
    <row r="1860" spans="13:21" x14ac:dyDescent="0.25">
      <c r="M1860" s="229"/>
      <c r="N1860" s="17"/>
      <c r="O1860" s="17"/>
      <c r="P1860" s="17"/>
      <c r="Q1860" s="17"/>
      <c r="R1860" s="17"/>
      <c r="S1860" s="17"/>
      <c r="T1860" s="4"/>
      <c r="U1860" s="4"/>
    </row>
    <row r="1861" spans="13:21" x14ac:dyDescent="0.25">
      <c r="M1861" s="229"/>
      <c r="N1861" s="17"/>
      <c r="O1861" s="17"/>
      <c r="P1861" s="17"/>
      <c r="Q1861" s="17"/>
      <c r="R1861" s="17"/>
      <c r="S1861" s="17"/>
      <c r="T1861" s="4"/>
      <c r="U1861" s="4"/>
    </row>
    <row r="1862" spans="13:21" x14ac:dyDescent="0.25">
      <c r="M1862" s="229"/>
      <c r="N1862" s="17"/>
      <c r="O1862" s="17"/>
      <c r="P1862" s="17"/>
      <c r="Q1862" s="17"/>
      <c r="R1862" s="17"/>
      <c r="S1862" s="17"/>
      <c r="T1862" s="4"/>
      <c r="U1862" s="4"/>
    </row>
    <row r="1863" spans="13:21" x14ac:dyDescent="0.25">
      <c r="M1863" s="229"/>
      <c r="N1863" s="17"/>
      <c r="O1863" s="17"/>
      <c r="P1863" s="17"/>
      <c r="Q1863" s="17"/>
      <c r="R1863" s="17"/>
      <c r="S1863" s="17"/>
      <c r="T1863" s="4"/>
      <c r="U1863" s="4"/>
    </row>
    <row r="1864" spans="13:21" x14ac:dyDescent="0.25">
      <c r="M1864" s="229"/>
      <c r="N1864" s="17"/>
      <c r="O1864" s="17"/>
      <c r="P1864" s="17"/>
      <c r="Q1864" s="17"/>
      <c r="R1864" s="17"/>
      <c r="S1864" s="17"/>
      <c r="T1864" s="4"/>
      <c r="U1864" s="4"/>
    </row>
    <row r="1865" spans="13:21" x14ac:dyDescent="0.25">
      <c r="M1865" s="229"/>
      <c r="N1865" s="17"/>
      <c r="O1865" s="17"/>
      <c r="P1865" s="17"/>
      <c r="Q1865" s="17"/>
      <c r="R1865" s="17"/>
      <c r="S1865" s="17"/>
      <c r="T1865" s="4"/>
      <c r="U1865" s="4"/>
    </row>
    <row r="1866" spans="13:21" x14ac:dyDescent="0.25">
      <c r="M1866" s="229"/>
      <c r="N1866" s="17"/>
      <c r="O1866" s="17"/>
      <c r="P1866" s="17"/>
      <c r="Q1866" s="17"/>
      <c r="R1866" s="17"/>
      <c r="S1866" s="17"/>
      <c r="T1866" s="4"/>
      <c r="U1866" s="4"/>
    </row>
    <row r="1867" spans="13:21" x14ac:dyDescent="0.25">
      <c r="M1867" s="229"/>
      <c r="N1867" s="17"/>
      <c r="O1867" s="17"/>
      <c r="P1867" s="17"/>
      <c r="Q1867" s="17"/>
      <c r="R1867" s="17"/>
      <c r="S1867" s="17"/>
      <c r="T1867" s="4"/>
      <c r="U1867" s="4"/>
    </row>
    <row r="1868" spans="13:21" x14ac:dyDescent="0.25">
      <c r="M1868" s="229"/>
      <c r="N1868" s="17"/>
      <c r="O1868" s="17"/>
      <c r="P1868" s="17"/>
      <c r="Q1868" s="17"/>
      <c r="R1868" s="17"/>
      <c r="S1868" s="17"/>
      <c r="T1868" s="4"/>
      <c r="U1868" s="4"/>
    </row>
    <row r="1869" spans="13:21" x14ac:dyDescent="0.25">
      <c r="M1869" s="229"/>
      <c r="N1869" s="17"/>
      <c r="O1869" s="17"/>
      <c r="P1869" s="17"/>
      <c r="Q1869" s="17"/>
      <c r="R1869" s="17"/>
      <c r="S1869" s="17"/>
      <c r="T1869" s="4"/>
      <c r="U1869" s="4"/>
    </row>
    <row r="1870" spans="13:21" x14ac:dyDescent="0.25">
      <c r="M1870" s="229"/>
      <c r="N1870" s="17"/>
      <c r="O1870" s="17"/>
      <c r="P1870" s="17"/>
      <c r="Q1870" s="17"/>
      <c r="R1870" s="17"/>
      <c r="S1870" s="17"/>
      <c r="T1870" s="4"/>
      <c r="U1870" s="4"/>
    </row>
    <row r="1871" spans="13:21" x14ac:dyDescent="0.25">
      <c r="M1871" s="229"/>
      <c r="N1871" s="17"/>
      <c r="O1871" s="17"/>
      <c r="P1871" s="17"/>
      <c r="Q1871" s="17"/>
      <c r="R1871" s="17"/>
      <c r="S1871" s="17"/>
      <c r="T1871" s="4"/>
      <c r="U1871" s="4"/>
    </row>
    <row r="1872" spans="13:21" x14ac:dyDescent="0.25">
      <c r="M1872" s="229"/>
      <c r="N1872" s="17"/>
      <c r="O1872" s="17"/>
      <c r="P1872" s="17"/>
      <c r="Q1872" s="17"/>
      <c r="R1872" s="17"/>
      <c r="S1872" s="17"/>
      <c r="T1872" s="4"/>
      <c r="U1872" s="4"/>
    </row>
    <row r="1873" spans="13:21" x14ac:dyDescent="0.25">
      <c r="M1873" s="229"/>
      <c r="N1873" s="17"/>
      <c r="O1873" s="17"/>
      <c r="P1873" s="17"/>
      <c r="Q1873" s="17"/>
      <c r="R1873" s="17"/>
      <c r="S1873" s="17"/>
      <c r="T1873" s="4"/>
      <c r="U1873" s="4"/>
    </row>
    <row r="1874" spans="13:21" x14ac:dyDescent="0.25">
      <c r="M1874" s="229"/>
      <c r="N1874" s="17"/>
      <c r="O1874" s="17"/>
      <c r="P1874" s="17"/>
      <c r="Q1874" s="17"/>
      <c r="R1874" s="17"/>
      <c r="S1874" s="17"/>
      <c r="T1874" s="4"/>
      <c r="U1874" s="4"/>
    </row>
    <row r="1875" spans="13:21" x14ac:dyDescent="0.25">
      <c r="M1875" s="229"/>
      <c r="N1875" s="17"/>
      <c r="O1875" s="17"/>
      <c r="P1875" s="17"/>
      <c r="Q1875" s="17"/>
      <c r="R1875" s="17"/>
      <c r="S1875" s="17"/>
      <c r="T1875" s="4"/>
      <c r="U1875" s="4"/>
    </row>
    <row r="1876" spans="13:21" x14ac:dyDescent="0.25">
      <c r="M1876" s="229"/>
      <c r="N1876" s="17"/>
      <c r="O1876" s="17"/>
      <c r="P1876" s="17"/>
      <c r="Q1876" s="17"/>
      <c r="R1876" s="17"/>
      <c r="S1876" s="17"/>
      <c r="T1876" s="4"/>
      <c r="U1876" s="4"/>
    </row>
    <row r="1877" spans="13:21" x14ac:dyDescent="0.25">
      <c r="M1877" s="229"/>
      <c r="N1877" s="17"/>
      <c r="O1877" s="17"/>
      <c r="P1877" s="17"/>
      <c r="Q1877" s="17"/>
      <c r="R1877" s="17"/>
      <c r="S1877" s="17"/>
      <c r="T1877" s="4"/>
      <c r="U1877" s="4"/>
    </row>
    <row r="1878" spans="13:21" x14ac:dyDescent="0.25">
      <c r="M1878" s="229"/>
      <c r="N1878" s="17"/>
      <c r="O1878" s="17"/>
      <c r="P1878" s="17"/>
      <c r="Q1878" s="17"/>
      <c r="R1878" s="17"/>
      <c r="S1878" s="17"/>
      <c r="T1878" s="4"/>
      <c r="U1878" s="4"/>
    </row>
    <row r="1879" spans="13:21" x14ac:dyDescent="0.25">
      <c r="M1879" s="229"/>
      <c r="N1879" s="17"/>
      <c r="O1879" s="17"/>
      <c r="P1879" s="17"/>
      <c r="Q1879" s="17"/>
      <c r="R1879" s="17"/>
      <c r="S1879" s="17"/>
      <c r="T1879" s="4"/>
      <c r="U1879" s="4"/>
    </row>
    <row r="1880" spans="13:21" x14ac:dyDescent="0.25">
      <c r="M1880" s="229"/>
      <c r="N1880" s="17"/>
      <c r="O1880" s="17"/>
      <c r="P1880" s="17"/>
      <c r="Q1880" s="17"/>
      <c r="R1880" s="17"/>
      <c r="S1880" s="17"/>
      <c r="T1880" s="4"/>
      <c r="U1880" s="4"/>
    </row>
    <row r="1881" spans="13:21" x14ac:dyDescent="0.25">
      <c r="M1881" s="229"/>
      <c r="N1881" s="17"/>
      <c r="O1881" s="17"/>
      <c r="P1881" s="17"/>
      <c r="Q1881" s="17"/>
      <c r="R1881" s="17"/>
      <c r="S1881" s="17"/>
      <c r="T1881" s="4"/>
      <c r="U1881" s="4"/>
    </row>
    <row r="1882" spans="13:21" x14ac:dyDescent="0.25">
      <c r="M1882" s="229"/>
      <c r="N1882" s="17"/>
      <c r="O1882" s="17"/>
      <c r="P1882" s="17"/>
      <c r="Q1882" s="17"/>
      <c r="R1882" s="17"/>
      <c r="S1882" s="17"/>
      <c r="T1882" s="4"/>
      <c r="U1882" s="4"/>
    </row>
    <row r="1883" spans="13:21" x14ac:dyDescent="0.25">
      <c r="M1883" s="229"/>
      <c r="N1883" s="17"/>
      <c r="O1883" s="17"/>
      <c r="P1883" s="17"/>
      <c r="Q1883" s="17"/>
      <c r="R1883" s="17"/>
      <c r="S1883" s="17"/>
      <c r="T1883" s="4"/>
      <c r="U1883" s="4"/>
    </row>
    <row r="1884" spans="13:21" x14ac:dyDescent="0.25">
      <c r="M1884" s="229"/>
      <c r="N1884" s="17"/>
      <c r="O1884" s="17"/>
      <c r="P1884" s="17"/>
      <c r="Q1884" s="17"/>
      <c r="R1884" s="17"/>
      <c r="S1884" s="17"/>
      <c r="T1884" s="4"/>
      <c r="U1884" s="4"/>
    </row>
    <row r="1885" spans="13:21" x14ac:dyDescent="0.25">
      <c r="M1885" s="229"/>
      <c r="N1885" s="17"/>
      <c r="O1885" s="17"/>
      <c r="P1885" s="17"/>
      <c r="Q1885" s="17"/>
      <c r="R1885" s="17"/>
      <c r="S1885" s="17"/>
      <c r="T1885" s="4"/>
      <c r="U1885" s="4"/>
    </row>
    <row r="1886" spans="13:21" x14ac:dyDescent="0.25">
      <c r="M1886" s="229"/>
      <c r="N1886" s="17"/>
      <c r="O1886" s="17"/>
      <c r="P1886" s="17"/>
      <c r="Q1886" s="17"/>
      <c r="R1886" s="17"/>
      <c r="S1886" s="17"/>
      <c r="T1886" s="4"/>
      <c r="U1886" s="4"/>
    </row>
    <row r="1887" spans="13:21" x14ac:dyDescent="0.25">
      <c r="M1887" s="229"/>
      <c r="N1887" s="17"/>
      <c r="O1887" s="17"/>
      <c r="P1887" s="17"/>
      <c r="Q1887" s="17"/>
      <c r="R1887" s="17"/>
      <c r="S1887" s="17"/>
      <c r="T1887" s="4"/>
      <c r="U1887" s="4"/>
    </row>
    <row r="1888" spans="13:21" x14ac:dyDescent="0.25">
      <c r="M1888" s="229"/>
      <c r="N1888" s="17"/>
      <c r="O1888" s="17"/>
      <c r="P1888" s="17"/>
      <c r="Q1888" s="17"/>
      <c r="R1888" s="17"/>
      <c r="S1888" s="17"/>
      <c r="T1888" s="4"/>
      <c r="U1888" s="4"/>
    </row>
    <row r="1889" spans="13:21" x14ac:dyDescent="0.25">
      <c r="M1889" s="229"/>
      <c r="N1889" s="17"/>
      <c r="O1889" s="17"/>
      <c r="P1889" s="17"/>
      <c r="Q1889" s="17"/>
      <c r="R1889" s="17"/>
      <c r="S1889" s="17"/>
      <c r="T1889" s="4"/>
      <c r="U1889" s="4"/>
    </row>
    <row r="1890" spans="13:21" x14ac:dyDescent="0.25">
      <c r="M1890" s="229"/>
      <c r="N1890" s="17"/>
      <c r="O1890" s="17"/>
      <c r="P1890" s="17"/>
      <c r="Q1890" s="17"/>
      <c r="R1890" s="17"/>
      <c r="S1890" s="17"/>
      <c r="T1890" s="4"/>
      <c r="U1890" s="4"/>
    </row>
    <row r="1891" spans="13:21" x14ac:dyDescent="0.25">
      <c r="M1891" s="229"/>
      <c r="N1891" s="17"/>
      <c r="O1891" s="17"/>
      <c r="P1891" s="17"/>
      <c r="Q1891" s="17"/>
      <c r="R1891" s="17"/>
      <c r="S1891" s="17"/>
      <c r="T1891" s="4"/>
      <c r="U1891" s="4"/>
    </row>
    <row r="1892" spans="13:21" x14ac:dyDescent="0.25">
      <c r="M1892" s="229"/>
      <c r="N1892" s="17"/>
      <c r="O1892" s="17"/>
      <c r="P1892" s="17"/>
      <c r="Q1892" s="17"/>
      <c r="R1892" s="17"/>
      <c r="S1892" s="17"/>
      <c r="T1892" s="4"/>
      <c r="U1892" s="4"/>
    </row>
    <row r="1893" spans="13:21" x14ac:dyDescent="0.25">
      <c r="M1893" s="229"/>
      <c r="N1893" s="17"/>
      <c r="O1893" s="17"/>
      <c r="P1893" s="17"/>
      <c r="Q1893" s="17"/>
      <c r="R1893" s="17"/>
      <c r="S1893" s="17"/>
      <c r="T1893" s="4"/>
      <c r="U1893" s="4"/>
    </row>
    <row r="1894" spans="13:21" x14ac:dyDescent="0.25">
      <c r="M1894" s="229"/>
      <c r="N1894" s="17"/>
      <c r="O1894" s="17"/>
      <c r="P1894" s="17"/>
      <c r="Q1894" s="17"/>
      <c r="R1894" s="17"/>
      <c r="S1894" s="17"/>
      <c r="T1894" s="4"/>
      <c r="U1894" s="4"/>
    </row>
    <row r="1895" spans="13:21" x14ac:dyDescent="0.25">
      <c r="M1895" s="229"/>
      <c r="N1895" s="17"/>
      <c r="O1895" s="17"/>
      <c r="P1895" s="17"/>
      <c r="Q1895" s="17"/>
      <c r="R1895" s="17"/>
      <c r="S1895" s="17"/>
      <c r="T1895" s="4"/>
      <c r="U1895" s="4"/>
    </row>
    <row r="1896" spans="13:21" x14ac:dyDescent="0.25">
      <c r="M1896" s="229"/>
      <c r="N1896" s="17"/>
      <c r="O1896" s="17"/>
      <c r="P1896" s="17"/>
      <c r="Q1896" s="17"/>
      <c r="R1896" s="17"/>
      <c r="S1896" s="17"/>
      <c r="T1896" s="4"/>
      <c r="U1896" s="4"/>
    </row>
    <row r="1897" spans="13:21" x14ac:dyDescent="0.25">
      <c r="M1897" s="229"/>
      <c r="N1897" s="17"/>
      <c r="O1897" s="17"/>
      <c r="P1897" s="17"/>
      <c r="Q1897" s="17"/>
      <c r="R1897" s="17"/>
      <c r="S1897" s="17"/>
      <c r="T1897" s="4"/>
      <c r="U1897" s="4"/>
    </row>
    <row r="1898" spans="13:21" x14ac:dyDescent="0.25">
      <c r="M1898" s="229"/>
      <c r="N1898" s="17"/>
      <c r="O1898" s="17"/>
      <c r="P1898" s="17"/>
      <c r="Q1898" s="17"/>
      <c r="R1898" s="17"/>
      <c r="S1898" s="17"/>
      <c r="T1898" s="4"/>
      <c r="U1898" s="4"/>
    </row>
    <row r="1899" spans="13:21" x14ac:dyDescent="0.25">
      <c r="M1899" s="229"/>
      <c r="N1899" s="17"/>
      <c r="O1899" s="17"/>
      <c r="P1899" s="17"/>
      <c r="Q1899" s="17"/>
      <c r="R1899" s="17"/>
      <c r="S1899" s="17"/>
      <c r="T1899" s="4"/>
      <c r="U1899" s="4"/>
    </row>
    <row r="1900" spans="13:21" x14ac:dyDescent="0.25">
      <c r="M1900" s="229"/>
      <c r="N1900" s="17"/>
      <c r="O1900" s="17"/>
      <c r="P1900" s="17"/>
      <c r="Q1900" s="17"/>
      <c r="R1900" s="17"/>
      <c r="S1900" s="17"/>
      <c r="T1900" s="4"/>
      <c r="U1900" s="4"/>
    </row>
    <row r="1901" spans="13:21" x14ac:dyDescent="0.25">
      <c r="M1901" s="229"/>
      <c r="N1901" s="17"/>
      <c r="O1901" s="17"/>
      <c r="P1901" s="17"/>
      <c r="Q1901" s="17"/>
      <c r="R1901" s="17"/>
      <c r="S1901" s="17"/>
      <c r="T1901" s="4"/>
      <c r="U1901" s="4"/>
    </row>
    <row r="1902" spans="13:21" x14ac:dyDescent="0.25">
      <c r="M1902" s="229"/>
      <c r="N1902" s="17"/>
      <c r="O1902" s="17"/>
      <c r="P1902" s="17"/>
      <c r="Q1902" s="17"/>
      <c r="R1902" s="17"/>
      <c r="S1902" s="17"/>
      <c r="T1902" s="4"/>
      <c r="U1902" s="4"/>
    </row>
    <row r="1903" spans="13:21" x14ac:dyDescent="0.25">
      <c r="M1903" s="229"/>
      <c r="N1903" s="17"/>
      <c r="O1903" s="17"/>
      <c r="P1903" s="17"/>
      <c r="Q1903" s="17"/>
      <c r="R1903" s="17"/>
      <c r="S1903" s="17"/>
      <c r="T1903" s="4"/>
      <c r="U1903" s="4"/>
    </row>
    <row r="1904" spans="13:21" x14ac:dyDescent="0.25">
      <c r="M1904" s="229"/>
      <c r="N1904" s="17"/>
      <c r="O1904" s="17"/>
      <c r="P1904" s="17"/>
      <c r="Q1904" s="17"/>
      <c r="R1904" s="17"/>
      <c r="S1904" s="17"/>
      <c r="T1904" s="4"/>
      <c r="U1904" s="4"/>
    </row>
    <row r="1905" spans="13:21" x14ac:dyDescent="0.25">
      <c r="M1905" s="229"/>
      <c r="N1905" s="17"/>
      <c r="O1905" s="17"/>
      <c r="P1905" s="17"/>
      <c r="Q1905" s="17"/>
      <c r="R1905" s="17"/>
      <c r="S1905" s="17"/>
      <c r="T1905" s="4"/>
      <c r="U1905" s="4"/>
    </row>
    <row r="1906" spans="13:21" x14ac:dyDescent="0.25">
      <c r="M1906" s="229"/>
      <c r="N1906" s="17"/>
      <c r="O1906" s="17"/>
      <c r="P1906" s="17"/>
      <c r="Q1906" s="17"/>
      <c r="R1906" s="17"/>
      <c r="S1906" s="17"/>
      <c r="T1906" s="4"/>
      <c r="U1906" s="4"/>
    </row>
    <row r="1907" spans="13:21" x14ac:dyDescent="0.25">
      <c r="M1907" s="229"/>
      <c r="N1907" s="17"/>
      <c r="O1907" s="17"/>
      <c r="P1907" s="17"/>
      <c r="Q1907" s="17"/>
      <c r="R1907" s="17"/>
      <c r="S1907" s="17"/>
      <c r="T1907" s="4"/>
      <c r="U1907" s="4"/>
    </row>
    <row r="1908" spans="13:21" x14ac:dyDescent="0.25">
      <c r="M1908" s="229"/>
      <c r="N1908" s="17"/>
      <c r="O1908" s="17"/>
      <c r="P1908" s="17"/>
      <c r="Q1908" s="17"/>
      <c r="R1908" s="17"/>
      <c r="S1908" s="17"/>
      <c r="T1908" s="4"/>
      <c r="U1908" s="4"/>
    </row>
    <row r="1909" spans="13:21" x14ac:dyDescent="0.25">
      <c r="M1909" s="229"/>
      <c r="N1909" s="17"/>
      <c r="O1909" s="17"/>
      <c r="P1909" s="17"/>
      <c r="Q1909" s="17"/>
      <c r="R1909" s="17"/>
      <c r="S1909" s="17"/>
      <c r="T1909" s="4"/>
      <c r="U1909" s="4"/>
    </row>
    <row r="1910" spans="13:21" x14ac:dyDescent="0.25">
      <c r="M1910" s="229"/>
      <c r="N1910" s="17"/>
      <c r="O1910" s="17"/>
      <c r="P1910" s="17"/>
      <c r="Q1910" s="17"/>
      <c r="R1910" s="17"/>
      <c r="S1910" s="17"/>
      <c r="T1910" s="4"/>
      <c r="U1910" s="4"/>
    </row>
    <row r="1911" spans="13:21" x14ac:dyDescent="0.25">
      <c r="M1911" s="229"/>
      <c r="N1911" s="17"/>
      <c r="O1911" s="17"/>
      <c r="P1911" s="17"/>
      <c r="Q1911" s="17"/>
      <c r="R1911" s="17"/>
      <c r="S1911" s="17"/>
      <c r="T1911" s="4"/>
      <c r="U1911" s="4"/>
    </row>
    <row r="1912" spans="13:21" x14ac:dyDescent="0.25">
      <c r="M1912" s="229"/>
      <c r="N1912" s="17"/>
      <c r="O1912" s="17"/>
      <c r="P1912" s="17"/>
      <c r="Q1912" s="17"/>
      <c r="R1912" s="17"/>
      <c r="S1912" s="17"/>
      <c r="T1912" s="4"/>
      <c r="U1912" s="4"/>
    </row>
    <row r="1913" spans="13:21" x14ac:dyDescent="0.25">
      <c r="M1913" s="229"/>
      <c r="N1913" s="17"/>
      <c r="O1913" s="17"/>
      <c r="P1913" s="17"/>
      <c r="Q1913" s="17"/>
      <c r="R1913" s="17"/>
      <c r="S1913" s="17"/>
      <c r="T1913" s="4"/>
      <c r="U1913" s="4"/>
    </row>
    <row r="1914" spans="13:21" x14ac:dyDescent="0.25">
      <c r="M1914" s="229"/>
      <c r="N1914" s="17"/>
      <c r="O1914" s="17"/>
      <c r="P1914" s="17"/>
      <c r="Q1914" s="17"/>
      <c r="R1914" s="17"/>
      <c r="S1914" s="17"/>
      <c r="T1914" s="4"/>
      <c r="U1914" s="4"/>
    </row>
    <row r="1915" spans="13:21" x14ac:dyDescent="0.25">
      <c r="M1915" s="229"/>
      <c r="N1915" s="17"/>
      <c r="O1915" s="17"/>
      <c r="P1915" s="17"/>
      <c r="Q1915" s="17"/>
      <c r="R1915" s="17"/>
      <c r="S1915" s="17"/>
      <c r="T1915" s="4"/>
      <c r="U1915" s="4"/>
    </row>
    <row r="1916" spans="13:21" x14ac:dyDescent="0.25">
      <c r="M1916" s="229"/>
      <c r="N1916" s="17"/>
      <c r="O1916" s="17"/>
      <c r="P1916" s="17"/>
      <c r="Q1916" s="17"/>
      <c r="R1916" s="17"/>
      <c r="S1916" s="17"/>
      <c r="T1916" s="4"/>
      <c r="U1916" s="4"/>
    </row>
    <row r="1917" spans="13:21" x14ac:dyDescent="0.25">
      <c r="M1917" s="229"/>
      <c r="N1917" s="17"/>
      <c r="O1917" s="17"/>
      <c r="P1917" s="17"/>
      <c r="Q1917" s="17"/>
      <c r="R1917" s="17"/>
      <c r="S1917" s="17"/>
      <c r="T1917" s="4"/>
      <c r="U1917" s="4"/>
    </row>
    <row r="1918" spans="13:21" x14ac:dyDescent="0.25">
      <c r="M1918" s="229"/>
      <c r="N1918" s="17"/>
      <c r="O1918" s="17"/>
      <c r="P1918" s="17"/>
      <c r="Q1918" s="17"/>
      <c r="R1918" s="17"/>
      <c r="S1918" s="17"/>
      <c r="T1918" s="4"/>
      <c r="U1918" s="4"/>
    </row>
    <row r="1919" spans="13:21" x14ac:dyDescent="0.25">
      <c r="M1919" s="229"/>
      <c r="N1919" s="17"/>
      <c r="O1919" s="17"/>
      <c r="P1919" s="17"/>
      <c r="Q1919" s="17"/>
      <c r="R1919" s="17"/>
      <c r="S1919" s="17"/>
      <c r="T1919" s="4"/>
      <c r="U1919" s="4"/>
    </row>
    <row r="1920" spans="13:21" x14ac:dyDescent="0.25">
      <c r="M1920" s="229"/>
      <c r="N1920" s="17"/>
      <c r="O1920" s="17"/>
      <c r="P1920" s="17"/>
      <c r="Q1920" s="17"/>
      <c r="R1920" s="17"/>
      <c r="S1920" s="17"/>
      <c r="T1920" s="4"/>
      <c r="U1920" s="4"/>
    </row>
    <row r="1921" spans="13:21" x14ac:dyDescent="0.25">
      <c r="M1921" s="229"/>
      <c r="N1921" s="17"/>
      <c r="O1921" s="17"/>
      <c r="P1921" s="17"/>
      <c r="Q1921" s="17"/>
      <c r="R1921" s="17"/>
      <c r="S1921" s="17"/>
      <c r="T1921" s="4"/>
      <c r="U1921" s="4"/>
    </row>
    <row r="1922" spans="13:21" x14ac:dyDescent="0.25">
      <c r="M1922" s="229"/>
      <c r="N1922" s="17"/>
      <c r="O1922" s="17"/>
      <c r="P1922" s="17"/>
      <c r="Q1922" s="17"/>
      <c r="R1922" s="17"/>
      <c r="S1922" s="17"/>
      <c r="T1922" s="4"/>
      <c r="U1922" s="4"/>
    </row>
    <row r="1923" spans="13:21" x14ac:dyDescent="0.25">
      <c r="M1923" s="229"/>
      <c r="N1923" s="17"/>
      <c r="O1923" s="17"/>
      <c r="P1923" s="17"/>
      <c r="Q1923" s="17"/>
      <c r="R1923" s="17"/>
      <c r="S1923" s="17"/>
      <c r="T1923" s="4"/>
      <c r="U1923" s="4"/>
    </row>
    <row r="1924" spans="13:21" x14ac:dyDescent="0.25">
      <c r="M1924" s="229"/>
      <c r="N1924" s="17"/>
      <c r="O1924" s="17"/>
      <c r="P1924" s="17"/>
      <c r="Q1924" s="17"/>
      <c r="R1924" s="17"/>
      <c r="S1924" s="17"/>
      <c r="T1924" s="4"/>
      <c r="U1924" s="4"/>
    </row>
    <row r="1925" spans="13:21" x14ac:dyDescent="0.25">
      <c r="M1925" s="229"/>
      <c r="N1925" s="17"/>
      <c r="O1925" s="17"/>
      <c r="P1925" s="17"/>
      <c r="Q1925" s="17"/>
      <c r="R1925" s="17"/>
      <c r="S1925" s="17"/>
      <c r="T1925" s="4"/>
      <c r="U1925" s="4"/>
    </row>
    <row r="1926" spans="13:21" x14ac:dyDescent="0.25">
      <c r="M1926" s="229"/>
      <c r="N1926" s="17"/>
      <c r="O1926" s="17"/>
      <c r="P1926" s="17"/>
      <c r="Q1926" s="17"/>
      <c r="R1926" s="17"/>
      <c r="S1926" s="17"/>
      <c r="T1926" s="4"/>
      <c r="U1926" s="4"/>
    </row>
    <row r="1927" spans="13:21" x14ac:dyDescent="0.25">
      <c r="M1927" s="229"/>
      <c r="N1927" s="17"/>
      <c r="O1927" s="17"/>
      <c r="P1927" s="17"/>
      <c r="Q1927" s="17"/>
      <c r="R1927" s="17"/>
      <c r="S1927" s="17"/>
      <c r="T1927" s="4"/>
      <c r="U1927" s="4"/>
    </row>
    <row r="1928" spans="13:21" x14ac:dyDescent="0.25">
      <c r="M1928" s="229"/>
      <c r="N1928" s="17"/>
      <c r="O1928" s="17"/>
      <c r="P1928" s="17"/>
      <c r="Q1928" s="17"/>
      <c r="R1928" s="17"/>
      <c r="S1928" s="17"/>
      <c r="T1928" s="4"/>
      <c r="U1928" s="4"/>
    </row>
    <row r="1929" spans="13:21" x14ac:dyDescent="0.25">
      <c r="M1929" s="229"/>
      <c r="N1929" s="17"/>
      <c r="O1929" s="17"/>
      <c r="P1929" s="17"/>
      <c r="Q1929" s="17"/>
      <c r="R1929" s="17"/>
      <c r="S1929" s="17"/>
      <c r="T1929" s="4"/>
      <c r="U1929" s="4"/>
    </row>
    <row r="1930" spans="13:21" x14ac:dyDescent="0.25">
      <c r="M1930" s="229"/>
      <c r="N1930" s="17"/>
      <c r="O1930" s="17"/>
      <c r="P1930" s="17"/>
      <c r="Q1930" s="17"/>
      <c r="R1930" s="17"/>
      <c r="S1930" s="17"/>
      <c r="T1930" s="4"/>
      <c r="U1930" s="4"/>
    </row>
    <row r="1931" spans="13:21" x14ac:dyDescent="0.25">
      <c r="M1931" s="229"/>
      <c r="N1931" s="17"/>
      <c r="O1931" s="17"/>
      <c r="P1931" s="17"/>
      <c r="Q1931" s="17"/>
      <c r="R1931" s="17"/>
      <c r="S1931" s="17"/>
      <c r="T1931" s="4"/>
      <c r="U1931" s="4"/>
    </row>
    <row r="1932" spans="13:21" x14ac:dyDescent="0.25">
      <c r="M1932" s="229"/>
      <c r="N1932" s="17"/>
      <c r="O1932" s="17"/>
      <c r="P1932" s="17"/>
      <c r="Q1932" s="17"/>
      <c r="R1932" s="17"/>
      <c r="S1932" s="17"/>
      <c r="T1932" s="4"/>
      <c r="U1932" s="4"/>
    </row>
    <row r="1933" spans="13:21" x14ac:dyDescent="0.25">
      <c r="M1933" s="229"/>
      <c r="N1933" s="17"/>
      <c r="O1933" s="17"/>
      <c r="P1933" s="17"/>
      <c r="Q1933" s="17"/>
      <c r="R1933" s="17"/>
      <c r="S1933" s="17"/>
      <c r="T1933" s="4"/>
      <c r="U1933" s="4"/>
    </row>
    <row r="1934" spans="13:21" x14ac:dyDescent="0.25">
      <c r="M1934" s="229"/>
      <c r="N1934" s="17"/>
      <c r="O1934" s="17"/>
      <c r="P1934" s="17"/>
      <c r="Q1934" s="17"/>
      <c r="R1934" s="17"/>
      <c r="S1934" s="17"/>
      <c r="T1934" s="4"/>
      <c r="U1934" s="4"/>
    </row>
    <row r="1935" spans="13:21" x14ac:dyDescent="0.25">
      <c r="M1935" s="229"/>
      <c r="N1935" s="17"/>
      <c r="O1935" s="17"/>
      <c r="P1935" s="17"/>
      <c r="Q1935" s="17"/>
      <c r="R1935" s="17"/>
      <c r="S1935" s="17"/>
      <c r="T1935" s="4"/>
      <c r="U1935" s="4"/>
    </row>
    <row r="1936" spans="13:21" x14ac:dyDescent="0.25">
      <c r="M1936" s="229"/>
      <c r="N1936" s="17"/>
      <c r="O1936" s="17"/>
      <c r="P1936" s="17"/>
      <c r="Q1936" s="17"/>
      <c r="R1936" s="17"/>
      <c r="S1936" s="17"/>
      <c r="T1936" s="4"/>
      <c r="U1936" s="4"/>
    </row>
    <row r="1937" spans="13:21" x14ac:dyDescent="0.25">
      <c r="M1937" s="229"/>
      <c r="N1937" s="17"/>
      <c r="O1937" s="17"/>
      <c r="P1937" s="17"/>
      <c r="Q1937" s="17"/>
      <c r="R1937" s="17"/>
      <c r="S1937" s="17"/>
      <c r="T1937" s="4"/>
      <c r="U1937" s="4"/>
    </row>
    <row r="1938" spans="13:21" x14ac:dyDescent="0.25">
      <c r="M1938" s="229"/>
      <c r="N1938" s="17"/>
      <c r="O1938" s="17"/>
      <c r="P1938" s="17"/>
      <c r="Q1938" s="17"/>
      <c r="R1938" s="17"/>
      <c r="S1938" s="17"/>
      <c r="T1938" s="4"/>
      <c r="U1938" s="4"/>
    </row>
    <row r="1939" spans="13:21" x14ac:dyDescent="0.25">
      <c r="M1939" s="229"/>
      <c r="N1939" s="17"/>
      <c r="O1939" s="17"/>
      <c r="P1939" s="17"/>
      <c r="Q1939" s="17"/>
      <c r="R1939" s="17"/>
      <c r="S1939" s="17"/>
      <c r="T1939" s="4"/>
      <c r="U1939" s="4"/>
    </row>
    <row r="1940" spans="13:21" x14ac:dyDescent="0.25">
      <c r="M1940" s="229"/>
      <c r="N1940" s="17"/>
      <c r="O1940" s="17"/>
      <c r="P1940" s="17"/>
      <c r="Q1940" s="17"/>
      <c r="R1940" s="17"/>
      <c r="S1940" s="17"/>
      <c r="T1940" s="4"/>
      <c r="U1940" s="4"/>
    </row>
    <row r="1941" spans="13:21" x14ac:dyDescent="0.25">
      <c r="M1941" s="229"/>
      <c r="N1941" s="17"/>
      <c r="O1941" s="17"/>
      <c r="P1941" s="17"/>
      <c r="Q1941" s="17"/>
      <c r="R1941" s="17"/>
      <c r="S1941" s="17"/>
      <c r="T1941" s="4"/>
      <c r="U1941" s="4"/>
    </row>
    <row r="1942" spans="13:21" x14ac:dyDescent="0.25">
      <c r="M1942" s="229"/>
      <c r="N1942" s="17"/>
      <c r="O1942" s="17"/>
      <c r="P1942" s="17"/>
      <c r="Q1942" s="17"/>
      <c r="R1942" s="17"/>
      <c r="S1942" s="17"/>
      <c r="T1942" s="4"/>
      <c r="U1942" s="4"/>
    </row>
    <row r="1943" spans="13:21" x14ac:dyDescent="0.25">
      <c r="M1943" s="229"/>
      <c r="N1943" s="17"/>
      <c r="O1943" s="17"/>
      <c r="P1943" s="17"/>
      <c r="Q1943" s="17"/>
      <c r="R1943" s="17"/>
      <c r="S1943" s="17"/>
      <c r="T1943" s="4"/>
      <c r="U1943" s="4"/>
    </row>
    <row r="1944" spans="13:21" x14ac:dyDescent="0.25">
      <c r="M1944" s="229"/>
      <c r="N1944" s="17"/>
      <c r="O1944" s="17"/>
      <c r="P1944" s="17"/>
      <c r="Q1944" s="17"/>
      <c r="R1944" s="17"/>
      <c r="S1944" s="17"/>
      <c r="T1944" s="4"/>
      <c r="U1944" s="4"/>
    </row>
    <row r="1945" spans="13:21" x14ac:dyDescent="0.25">
      <c r="M1945" s="229"/>
      <c r="N1945" s="17"/>
      <c r="O1945" s="17"/>
      <c r="P1945" s="17"/>
      <c r="Q1945" s="17"/>
      <c r="R1945" s="17"/>
      <c r="S1945" s="17"/>
      <c r="T1945" s="4"/>
      <c r="U1945" s="4"/>
    </row>
    <row r="1946" spans="13:21" x14ac:dyDescent="0.25">
      <c r="M1946" s="229"/>
      <c r="N1946" s="17"/>
      <c r="O1946" s="17"/>
      <c r="P1946" s="17"/>
      <c r="Q1946" s="17"/>
      <c r="R1946" s="17"/>
      <c r="S1946" s="17"/>
      <c r="T1946" s="4"/>
      <c r="U1946" s="4"/>
    </row>
    <row r="1947" spans="13:21" x14ac:dyDescent="0.25">
      <c r="M1947" s="229"/>
      <c r="N1947" s="17"/>
      <c r="O1947" s="17"/>
      <c r="P1947" s="17"/>
      <c r="Q1947" s="17"/>
      <c r="R1947" s="17"/>
      <c r="S1947" s="17"/>
      <c r="T1947" s="4"/>
      <c r="U1947" s="4"/>
    </row>
    <row r="1948" spans="13:21" x14ac:dyDescent="0.25">
      <c r="M1948" s="229"/>
      <c r="N1948" s="17"/>
      <c r="O1948" s="17"/>
      <c r="P1948" s="17"/>
      <c r="Q1948" s="17"/>
      <c r="R1948" s="17"/>
      <c r="S1948" s="17"/>
      <c r="T1948" s="4"/>
      <c r="U1948" s="4"/>
    </row>
    <row r="1949" spans="13:21" x14ac:dyDescent="0.25">
      <c r="M1949" s="229"/>
      <c r="N1949" s="17"/>
      <c r="O1949" s="17"/>
      <c r="P1949" s="17"/>
      <c r="Q1949" s="17"/>
      <c r="R1949" s="17"/>
      <c r="S1949" s="17"/>
      <c r="T1949" s="4"/>
      <c r="U1949" s="4"/>
    </row>
    <row r="1950" spans="13:21" x14ac:dyDescent="0.25">
      <c r="M1950" s="229"/>
      <c r="N1950" s="17"/>
      <c r="O1950" s="17"/>
      <c r="P1950" s="17"/>
      <c r="Q1950" s="17"/>
      <c r="R1950" s="17"/>
      <c r="S1950" s="17"/>
      <c r="T1950" s="4"/>
      <c r="U1950" s="4"/>
    </row>
    <row r="1951" spans="13:21" x14ac:dyDescent="0.25">
      <c r="M1951" s="229"/>
      <c r="N1951" s="17"/>
      <c r="O1951" s="17"/>
      <c r="P1951" s="17"/>
      <c r="Q1951" s="17"/>
      <c r="R1951" s="17"/>
      <c r="S1951" s="17"/>
      <c r="T1951" s="4"/>
      <c r="U1951" s="4"/>
    </row>
    <row r="1952" spans="13:21" x14ac:dyDescent="0.25">
      <c r="M1952" s="229"/>
      <c r="N1952" s="17"/>
      <c r="O1952" s="17"/>
      <c r="P1952" s="17"/>
      <c r="Q1952" s="17"/>
      <c r="R1952" s="17"/>
      <c r="S1952" s="17"/>
      <c r="T1952" s="4"/>
      <c r="U1952" s="4"/>
    </row>
    <row r="1953" spans="13:21" x14ac:dyDescent="0.25">
      <c r="M1953" s="229"/>
      <c r="N1953" s="17"/>
      <c r="O1953" s="17"/>
      <c r="P1953" s="17"/>
      <c r="Q1953" s="17"/>
      <c r="R1953" s="17"/>
      <c r="S1953" s="17"/>
      <c r="T1953" s="4"/>
      <c r="U1953" s="4"/>
    </row>
    <row r="1954" spans="13:21" x14ac:dyDescent="0.25">
      <c r="M1954" s="229"/>
      <c r="N1954" s="17"/>
      <c r="O1954" s="17"/>
      <c r="P1954" s="17"/>
      <c r="Q1954" s="17"/>
      <c r="R1954" s="17"/>
      <c r="S1954" s="17"/>
      <c r="T1954" s="4"/>
      <c r="U1954" s="4"/>
    </row>
    <row r="1955" spans="13:21" x14ac:dyDescent="0.25">
      <c r="M1955" s="229"/>
      <c r="N1955" s="17"/>
      <c r="O1955" s="17"/>
      <c r="P1955" s="17"/>
      <c r="Q1955" s="17"/>
      <c r="R1955" s="17"/>
      <c r="S1955" s="17"/>
      <c r="T1955" s="4"/>
      <c r="U1955" s="4"/>
    </row>
    <row r="1956" spans="13:21" x14ac:dyDescent="0.25">
      <c r="M1956" s="229"/>
      <c r="N1956" s="17"/>
      <c r="O1956" s="17"/>
      <c r="P1956" s="17"/>
      <c r="Q1956" s="17"/>
      <c r="R1956" s="17"/>
      <c r="S1956" s="17"/>
      <c r="T1956" s="4"/>
      <c r="U1956" s="4"/>
    </row>
    <row r="1957" spans="13:21" x14ac:dyDescent="0.25">
      <c r="M1957" s="229"/>
      <c r="N1957" s="17"/>
      <c r="O1957" s="17"/>
      <c r="P1957" s="17"/>
      <c r="Q1957" s="17"/>
      <c r="R1957" s="17"/>
      <c r="S1957" s="17"/>
      <c r="T1957" s="4"/>
      <c r="U1957" s="4"/>
    </row>
    <row r="1958" spans="13:21" x14ac:dyDescent="0.25">
      <c r="M1958" s="229"/>
      <c r="N1958" s="17"/>
      <c r="O1958" s="17"/>
      <c r="P1958" s="17"/>
      <c r="Q1958" s="17"/>
      <c r="R1958" s="17"/>
      <c r="S1958" s="17"/>
      <c r="T1958" s="4"/>
      <c r="U1958" s="4"/>
    </row>
    <row r="1959" spans="13:21" x14ac:dyDescent="0.25">
      <c r="M1959" s="229"/>
      <c r="N1959" s="17"/>
      <c r="O1959" s="17"/>
      <c r="P1959" s="17"/>
      <c r="Q1959" s="17"/>
      <c r="R1959" s="17"/>
      <c r="S1959" s="17"/>
      <c r="T1959" s="4"/>
      <c r="U1959" s="4"/>
    </row>
    <row r="1960" spans="13:21" x14ac:dyDescent="0.25">
      <c r="M1960" s="229"/>
      <c r="N1960" s="17"/>
      <c r="O1960" s="17"/>
      <c r="P1960" s="17"/>
      <c r="Q1960" s="17"/>
      <c r="R1960" s="17"/>
      <c r="S1960" s="17"/>
      <c r="T1960" s="4"/>
      <c r="U1960" s="4"/>
    </row>
    <row r="1961" spans="13:21" x14ac:dyDescent="0.25">
      <c r="M1961" s="229"/>
      <c r="N1961" s="17"/>
      <c r="O1961" s="17"/>
      <c r="P1961" s="17"/>
      <c r="Q1961" s="17"/>
      <c r="R1961" s="17"/>
      <c r="S1961" s="17"/>
      <c r="T1961" s="4"/>
      <c r="U1961" s="4"/>
    </row>
    <row r="1962" spans="13:21" x14ac:dyDescent="0.25">
      <c r="M1962" s="229"/>
      <c r="N1962" s="17"/>
      <c r="O1962" s="17"/>
      <c r="P1962" s="17"/>
      <c r="Q1962" s="17"/>
      <c r="R1962" s="17"/>
      <c r="S1962" s="17"/>
      <c r="T1962" s="4"/>
      <c r="U1962" s="4"/>
    </row>
    <row r="1963" spans="13:21" x14ac:dyDescent="0.25">
      <c r="M1963" s="229"/>
      <c r="N1963" s="17"/>
      <c r="O1963" s="17"/>
      <c r="P1963" s="17"/>
      <c r="Q1963" s="17"/>
      <c r="R1963" s="17"/>
      <c r="S1963" s="17"/>
      <c r="T1963" s="4"/>
      <c r="U1963" s="4"/>
    </row>
    <row r="1964" spans="13:21" x14ac:dyDescent="0.25">
      <c r="M1964" s="229"/>
      <c r="N1964" s="17"/>
      <c r="O1964" s="17"/>
      <c r="P1964" s="17"/>
      <c r="Q1964" s="17"/>
      <c r="R1964" s="17"/>
      <c r="S1964" s="17"/>
      <c r="T1964" s="4"/>
      <c r="U1964" s="4"/>
    </row>
    <row r="1965" spans="13:21" x14ac:dyDescent="0.25">
      <c r="M1965" s="229"/>
      <c r="N1965" s="17"/>
      <c r="O1965" s="17"/>
      <c r="P1965" s="17"/>
      <c r="Q1965" s="17"/>
      <c r="R1965" s="17"/>
      <c r="S1965" s="17"/>
      <c r="T1965" s="4"/>
      <c r="U1965" s="4"/>
    </row>
    <row r="1966" spans="13:21" x14ac:dyDescent="0.25">
      <c r="M1966" s="229"/>
      <c r="N1966" s="17"/>
      <c r="O1966" s="17"/>
      <c r="P1966" s="17"/>
      <c r="Q1966" s="17"/>
      <c r="R1966" s="17"/>
      <c r="S1966" s="17"/>
      <c r="T1966" s="4"/>
      <c r="U1966" s="4"/>
    </row>
    <row r="1967" spans="13:21" x14ac:dyDescent="0.25">
      <c r="M1967" s="229"/>
      <c r="N1967" s="17"/>
      <c r="O1967" s="17"/>
      <c r="P1967" s="17"/>
      <c r="Q1967" s="17"/>
      <c r="R1967" s="17"/>
      <c r="S1967" s="17"/>
      <c r="T1967" s="4"/>
      <c r="U1967" s="4"/>
    </row>
    <row r="1968" spans="13:21" x14ac:dyDescent="0.25">
      <c r="M1968" s="229"/>
      <c r="N1968" s="17"/>
      <c r="O1968" s="17"/>
      <c r="P1968" s="17"/>
      <c r="Q1968" s="17"/>
      <c r="R1968" s="17"/>
      <c r="S1968" s="17"/>
      <c r="T1968" s="4"/>
      <c r="U1968" s="4"/>
    </row>
    <row r="1969" spans="13:21" x14ac:dyDescent="0.25">
      <c r="M1969" s="229"/>
      <c r="N1969" s="17"/>
      <c r="O1969" s="17"/>
      <c r="P1969" s="17"/>
      <c r="Q1969" s="17"/>
      <c r="R1969" s="17"/>
      <c r="S1969" s="17"/>
      <c r="T1969" s="4"/>
      <c r="U1969" s="4"/>
    </row>
    <row r="1970" spans="13:21" x14ac:dyDescent="0.25">
      <c r="M1970" s="229"/>
      <c r="N1970" s="17"/>
      <c r="O1970" s="17"/>
      <c r="P1970" s="17"/>
      <c r="Q1970" s="17"/>
      <c r="R1970" s="17"/>
      <c r="S1970" s="17"/>
      <c r="T1970" s="4"/>
      <c r="U1970" s="4"/>
    </row>
    <row r="1971" spans="13:21" x14ac:dyDescent="0.25">
      <c r="M1971" s="229"/>
      <c r="N1971" s="17"/>
      <c r="O1971" s="17"/>
      <c r="P1971" s="17"/>
      <c r="Q1971" s="17"/>
      <c r="R1971" s="17"/>
      <c r="S1971" s="17"/>
      <c r="T1971" s="4"/>
      <c r="U1971" s="4"/>
    </row>
    <row r="1972" spans="13:21" x14ac:dyDescent="0.25">
      <c r="M1972" s="229"/>
      <c r="N1972" s="17"/>
      <c r="O1972" s="17"/>
      <c r="P1972" s="17"/>
      <c r="Q1972" s="17"/>
      <c r="R1972" s="17"/>
      <c r="S1972" s="17"/>
      <c r="T1972" s="4"/>
      <c r="U1972" s="4"/>
    </row>
    <row r="1973" spans="13:21" x14ac:dyDescent="0.25">
      <c r="M1973" s="229"/>
      <c r="N1973" s="17"/>
      <c r="O1973" s="17"/>
      <c r="P1973" s="17"/>
      <c r="Q1973" s="17"/>
      <c r="R1973" s="17"/>
      <c r="S1973" s="17"/>
      <c r="T1973" s="4"/>
      <c r="U1973" s="4"/>
    </row>
    <row r="1974" spans="13:21" x14ac:dyDescent="0.25">
      <c r="M1974" s="229"/>
      <c r="N1974" s="17"/>
      <c r="O1974" s="17"/>
      <c r="P1974" s="17"/>
      <c r="Q1974" s="17"/>
      <c r="R1974" s="17"/>
      <c r="S1974" s="17"/>
      <c r="T1974" s="4"/>
      <c r="U1974" s="4"/>
    </row>
    <row r="1975" spans="13:21" x14ac:dyDescent="0.25">
      <c r="M1975" s="229"/>
      <c r="N1975" s="17"/>
      <c r="O1975" s="17"/>
      <c r="P1975" s="17"/>
      <c r="Q1975" s="17"/>
      <c r="R1975" s="17"/>
      <c r="S1975" s="17"/>
      <c r="T1975" s="4"/>
      <c r="U1975" s="4"/>
    </row>
    <row r="1976" spans="13:21" x14ac:dyDescent="0.25">
      <c r="M1976" s="229"/>
      <c r="N1976" s="17"/>
      <c r="O1976" s="17"/>
      <c r="P1976" s="17"/>
      <c r="Q1976" s="17"/>
      <c r="R1976" s="17"/>
      <c r="S1976" s="17"/>
      <c r="T1976" s="4"/>
      <c r="U1976" s="4"/>
    </row>
    <row r="1977" spans="13:21" x14ac:dyDescent="0.25">
      <c r="M1977" s="229"/>
      <c r="N1977" s="17"/>
      <c r="O1977" s="17"/>
      <c r="P1977" s="17"/>
      <c r="Q1977" s="17"/>
      <c r="R1977" s="17"/>
      <c r="S1977" s="17"/>
      <c r="T1977" s="4"/>
      <c r="U1977" s="4"/>
    </row>
    <row r="1978" spans="13:21" x14ac:dyDescent="0.25">
      <c r="M1978" s="229"/>
      <c r="N1978" s="17"/>
      <c r="O1978" s="17"/>
      <c r="P1978" s="17"/>
      <c r="Q1978" s="17"/>
      <c r="R1978" s="17"/>
      <c r="S1978" s="17"/>
      <c r="T1978" s="4"/>
      <c r="U1978" s="4"/>
    </row>
    <row r="1979" spans="13:21" x14ac:dyDescent="0.25">
      <c r="M1979" s="229"/>
      <c r="N1979" s="17"/>
      <c r="O1979" s="17"/>
      <c r="P1979" s="17"/>
      <c r="Q1979" s="17"/>
      <c r="R1979" s="17"/>
      <c r="S1979" s="17"/>
      <c r="T1979" s="4"/>
      <c r="U1979" s="4"/>
    </row>
    <row r="1980" spans="13:21" x14ac:dyDescent="0.25">
      <c r="M1980" s="229"/>
      <c r="N1980" s="17"/>
      <c r="O1980" s="17"/>
      <c r="P1980" s="17"/>
      <c r="Q1980" s="17"/>
      <c r="R1980" s="17"/>
      <c r="S1980" s="17"/>
      <c r="T1980" s="4"/>
      <c r="U1980" s="4"/>
    </row>
    <row r="1981" spans="13:21" x14ac:dyDescent="0.25">
      <c r="M1981" s="229"/>
      <c r="N1981" s="17"/>
      <c r="O1981" s="17"/>
      <c r="P1981" s="17"/>
      <c r="Q1981" s="17"/>
      <c r="R1981" s="17"/>
      <c r="S1981" s="17"/>
      <c r="T1981" s="4"/>
      <c r="U1981" s="4"/>
    </row>
    <row r="1982" spans="13:21" x14ac:dyDescent="0.25">
      <c r="M1982" s="229"/>
      <c r="N1982" s="17"/>
      <c r="O1982" s="17"/>
      <c r="P1982" s="17"/>
      <c r="Q1982" s="17"/>
      <c r="R1982" s="17"/>
      <c r="S1982" s="17"/>
      <c r="T1982" s="4"/>
      <c r="U1982" s="4"/>
    </row>
    <row r="1983" spans="13:21" x14ac:dyDescent="0.25">
      <c r="M1983" s="229"/>
      <c r="N1983" s="17"/>
      <c r="O1983" s="17"/>
      <c r="P1983" s="17"/>
      <c r="Q1983" s="17"/>
      <c r="R1983" s="17"/>
      <c r="S1983" s="17"/>
      <c r="T1983" s="4"/>
      <c r="U1983" s="4"/>
    </row>
    <row r="1984" spans="13:21" x14ac:dyDescent="0.25">
      <c r="M1984" s="229"/>
      <c r="N1984" s="17"/>
      <c r="O1984" s="17"/>
      <c r="P1984" s="17"/>
      <c r="Q1984" s="17"/>
      <c r="R1984" s="17"/>
      <c r="S1984" s="17"/>
      <c r="T1984" s="4"/>
      <c r="U1984" s="4"/>
    </row>
    <row r="1985" spans="13:21" x14ac:dyDescent="0.25">
      <c r="M1985" s="229"/>
      <c r="N1985" s="17"/>
      <c r="O1985" s="17"/>
      <c r="P1985" s="17"/>
      <c r="Q1985" s="17"/>
      <c r="R1985" s="17"/>
      <c r="S1985" s="17"/>
      <c r="T1985" s="4"/>
      <c r="U1985" s="4"/>
    </row>
    <row r="1986" spans="13:21" x14ac:dyDescent="0.25">
      <c r="M1986" s="229"/>
      <c r="N1986" s="17"/>
      <c r="O1986" s="17"/>
      <c r="P1986" s="17"/>
      <c r="Q1986" s="17"/>
      <c r="R1986" s="17"/>
      <c r="S1986" s="17"/>
      <c r="T1986" s="4"/>
      <c r="U1986" s="4"/>
    </row>
    <row r="1987" spans="13:21" x14ac:dyDescent="0.25">
      <c r="M1987" s="229"/>
      <c r="N1987" s="17"/>
      <c r="O1987" s="17"/>
      <c r="P1987" s="17"/>
      <c r="Q1987" s="17"/>
      <c r="R1987" s="17"/>
      <c r="S1987" s="17"/>
      <c r="T1987" s="4"/>
      <c r="U1987" s="4"/>
    </row>
    <row r="1988" spans="13:21" x14ac:dyDescent="0.25">
      <c r="M1988" s="229"/>
      <c r="N1988" s="17"/>
      <c r="O1988" s="17"/>
      <c r="P1988" s="17"/>
      <c r="Q1988" s="17"/>
      <c r="R1988" s="17"/>
      <c r="S1988" s="17"/>
      <c r="T1988" s="4"/>
      <c r="U1988" s="4"/>
    </row>
    <row r="1989" spans="13:21" x14ac:dyDescent="0.25">
      <c r="M1989" s="229"/>
      <c r="N1989" s="17"/>
      <c r="O1989" s="17"/>
      <c r="P1989" s="17"/>
      <c r="Q1989" s="17"/>
      <c r="R1989" s="17"/>
      <c r="S1989" s="17"/>
      <c r="T1989" s="4"/>
      <c r="U1989" s="4"/>
    </row>
    <row r="1990" spans="13:21" x14ac:dyDescent="0.25">
      <c r="M1990" s="229"/>
      <c r="N1990" s="17"/>
      <c r="O1990" s="17"/>
      <c r="P1990" s="17"/>
      <c r="Q1990" s="17"/>
      <c r="R1990" s="17"/>
      <c r="S1990" s="17"/>
      <c r="T1990" s="4"/>
      <c r="U1990" s="4"/>
    </row>
    <row r="1991" spans="13:21" x14ac:dyDescent="0.25">
      <c r="M1991" s="229"/>
      <c r="N1991" s="17"/>
      <c r="O1991" s="17"/>
      <c r="P1991" s="17"/>
      <c r="Q1991" s="17"/>
      <c r="R1991" s="17"/>
      <c r="S1991" s="17"/>
      <c r="T1991" s="4"/>
      <c r="U1991" s="4"/>
    </row>
    <row r="1992" spans="13:21" x14ac:dyDescent="0.25">
      <c r="M1992" s="229"/>
      <c r="N1992" s="17"/>
      <c r="O1992" s="17"/>
      <c r="P1992" s="17"/>
      <c r="Q1992" s="17"/>
      <c r="R1992" s="17"/>
      <c r="S1992" s="17"/>
      <c r="T1992" s="4"/>
      <c r="U1992" s="4"/>
    </row>
    <row r="1993" spans="13:21" x14ac:dyDescent="0.25">
      <c r="M1993" s="229"/>
      <c r="N1993" s="17"/>
      <c r="O1993" s="17"/>
      <c r="P1993" s="17"/>
      <c r="Q1993" s="17"/>
      <c r="R1993" s="17"/>
      <c r="S1993" s="17"/>
      <c r="T1993" s="4"/>
      <c r="U1993" s="4"/>
    </row>
    <row r="1994" spans="13:21" x14ac:dyDescent="0.25">
      <c r="M1994" s="229"/>
      <c r="N1994" s="17"/>
      <c r="O1994" s="17"/>
      <c r="P1994" s="17"/>
      <c r="Q1994" s="17"/>
      <c r="R1994" s="17"/>
      <c r="S1994" s="17"/>
      <c r="T1994" s="4"/>
      <c r="U1994" s="4"/>
    </row>
    <row r="1995" spans="13:21" x14ac:dyDescent="0.25">
      <c r="M1995" s="229"/>
      <c r="N1995" s="17"/>
      <c r="O1995" s="17"/>
      <c r="P1995" s="17"/>
      <c r="Q1995" s="17"/>
      <c r="R1995" s="17"/>
      <c r="S1995" s="17"/>
      <c r="T1995" s="4"/>
      <c r="U1995" s="4"/>
    </row>
    <row r="1996" spans="13:21" x14ac:dyDescent="0.25">
      <c r="M1996" s="229"/>
      <c r="N1996" s="17"/>
      <c r="O1996" s="17"/>
      <c r="P1996" s="17"/>
      <c r="Q1996" s="17"/>
      <c r="R1996" s="17"/>
      <c r="S1996" s="17"/>
      <c r="T1996" s="4"/>
      <c r="U1996" s="4"/>
    </row>
    <row r="1997" spans="13:21" x14ac:dyDescent="0.25">
      <c r="M1997" s="229"/>
      <c r="N1997" s="17"/>
      <c r="O1997" s="17"/>
      <c r="P1997" s="17"/>
      <c r="Q1997" s="17"/>
      <c r="R1997" s="17"/>
      <c r="S1997" s="17"/>
      <c r="T1997" s="4"/>
      <c r="U1997" s="4"/>
    </row>
    <row r="1998" spans="13:21" x14ac:dyDescent="0.25">
      <c r="M1998" s="229"/>
      <c r="N1998" s="17"/>
      <c r="O1998" s="17"/>
      <c r="P1998" s="17"/>
      <c r="Q1998" s="17"/>
      <c r="R1998" s="17"/>
      <c r="S1998" s="17"/>
      <c r="T1998" s="4"/>
      <c r="U1998" s="4"/>
    </row>
    <row r="1999" spans="13:21" x14ac:dyDescent="0.25">
      <c r="M1999" s="229"/>
      <c r="N1999" s="17"/>
      <c r="O1999" s="17"/>
      <c r="P1999" s="17"/>
      <c r="Q1999" s="17"/>
      <c r="R1999" s="17"/>
      <c r="S1999" s="17"/>
      <c r="T1999" s="4"/>
      <c r="U1999" s="4"/>
    </row>
    <row r="2000" spans="13:21" x14ac:dyDescent="0.25">
      <c r="M2000" s="229"/>
      <c r="N2000" s="17"/>
      <c r="O2000" s="17"/>
      <c r="P2000" s="17"/>
      <c r="Q2000" s="17"/>
      <c r="R2000" s="17"/>
      <c r="S2000" s="17"/>
      <c r="T2000" s="4"/>
      <c r="U2000" s="4"/>
    </row>
    <row r="2001" spans="13:21" x14ac:dyDescent="0.25">
      <c r="M2001" s="229"/>
      <c r="N2001" s="17"/>
      <c r="O2001" s="17"/>
      <c r="P2001" s="17"/>
      <c r="Q2001" s="17"/>
      <c r="R2001" s="17"/>
      <c r="S2001" s="17"/>
      <c r="T2001" s="4"/>
      <c r="U2001" s="4"/>
    </row>
    <row r="2002" spans="13:21" x14ac:dyDescent="0.25">
      <c r="M2002" s="229"/>
      <c r="N2002" s="17"/>
      <c r="O2002" s="17"/>
      <c r="P2002" s="17"/>
      <c r="Q2002" s="17"/>
      <c r="R2002" s="17"/>
      <c r="S2002" s="17"/>
      <c r="T2002" s="4"/>
      <c r="U2002" s="4"/>
    </row>
    <row r="2003" spans="13:21" x14ac:dyDescent="0.25">
      <c r="M2003" s="229"/>
      <c r="N2003" s="17"/>
      <c r="O2003" s="17"/>
      <c r="P2003" s="17"/>
      <c r="Q2003" s="17"/>
      <c r="R2003" s="17"/>
      <c r="S2003" s="17"/>
      <c r="T2003" s="4"/>
      <c r="U2003" s="4"/>
    </row>
    <row r="2004" spans="13:21" x14ac:dyDescent="0.25">
      <c r="M2004" s="229"/>
      <c r="N2004" s="17"/>
      <c r="O2004" s="17"/>
      <c r="P2004" s="17"/>
      <c r="Q2004" s="17"/>
      <c r="R2004" s="17"/>
      <c r="S2004" s="17"/>
      <c r="T2004" s="4"/>
      <c r="U2004" s="4"/>
    </row>
    <row r="2005" spans="13:21" x14ac:dyDescent="0.25">
      <c r="M2005" s="229"/>
      <c r="N2005" s="17"/>
      <c r="O2005" s="17"/>
      <c r="P2005" s="17"/>
      <c r="Q2005" s="17"/>
      <c r="R2005" s="17"/>
      <c r="S2005" s="17"/>
      <c r="T2005" s="4"/>
      <c r="U2005" s="4"/>
    </row>
    <row r="2006" spans="13:21" x14ac:dyDescent="0.25">
      <c r="M2006" s="229"/>
      <c r="N2006" s="17"/>
      <c r="O2006" s="17"/>
      <c r="P2006" s="17"/>
      <c r="Q2006" s="17"/>
      <c r="R2006" s="17"/>
      <c r="S2006" s="17"/>
      <c r="T2006" s="4"/>
      <c r="U2006" s="4"/>
    </row>
    <row r="2007" spans="13:21" x14ac:dyDescent="0.25">
      <c r="M2007" s="229"/>
      <c r="N2007" s="17"/>
      <c r="O2007" s="17"/>
      <c r="P2007" s="17"/>
      <c r="Q2007" s="17"/>
      <c r="R2007" s="17"/>
      <c r="S2007" s="17"/>
      <c r="T2007" s="4"/>
      <c r="U2007" s="4"/>
    </row>
    <row r="2008" spans="13:21" x14ac:dyDescent="0.25">
      <c r="M2008" s="229"/>
      <c r="N2008" s="17"/>
      <c r="O2008" s="17"/>
      <c r="P2008" s="17"/>
      <c r="Q2008" s="17"/>
      <c r="R2008" s="17"/>
      <c r="S2008" s="17"/>
      <c r="T2008" s="4"/>
      <c r="U2008" s="4"/>
    </row>
    <row r="2009" spans="13:21" x14ac:dyDescent="0.25">
      <c r="M2009" s="229"/>
      <c r="N2009" s="17"/>
      <c r="O2009" s="17"/>
      <c r="P2009" s="17"/>
      <c r="Q2009" s="17"/>
      <c r="R2009" s="17"/>
      <c r="S2009" s="17"/>
      <c r="T2009" s="4"/>
      <c r="U2009" s="4"/>
    </row>
    <row r="2010" spans="13:21" x14ac:dyDescent="0.25">
      <c r="M2010" s="229"/>
      <c r="N2010" s="17"/>
      <c r="O2010" s="17"/>
      <c r="P2010" s="17"/>
      <c r="Q2010" s="17"/>
      <c r="R2010" s="17"/>
      <c r="S2010" s="17"/>
      <c r="T2010" s="4"/>
      <c r="U2010" s="4"/>
    </row>
    <row r="2011" spans="13:21" x14ac:dyDescent="0.25">
      <c r="M2011" s="229"/>
      <c r="N2011" s="17"/>
      <c r="O2011" s="17"/>
      <c r="P2011" s="17"/>
      <c r="Q2011" s="17"/>
      <c r="R2011" s="17"/>
      <c r="S2011" s="17"/>
      <c r="T2011" s="4"/>
      <c r="U2011" s="4"/>
    </row>
    <row r="2012" spans="13:21" x14ac:dyDescent="0.25">
      <c r="M2012" s="229"/>
      <c r="N2012" s="17"/>
      <c r="O2012" s="17"/>
      <c r="P2012" s="17"/>
      <c r="Q2012" s="17"/>
      <c r="R2012" s="17"/>
      <c r="S2012" s="17"/>
      <c r="T2012" s="4"/>
      <c r="U2012" s="4"/>
    </row>
    <row r="2013" spans="13:21" x14ac:dyDescent="0.25">
      <c r="M2013" s="229"/>
      <c r="N2013" s="17"/>
      <c r="O2013" s="17"/>
      <c r="P2013" s="17"/>
      <c r="Q2013" s="17"/>
      <c r="R2013" s="17"/>
      <c r="S2013" s="17"/>
      <c r="T2013" s="4"/>
      <c r="U2013" s="4"/>
    </row>
    <row r="2014" spans="13:21" x14ac:dyDescent="0.25">
      <c r="M2014" s="229"/>
      <c r="N2014" s="17"/>
      <c r="O2014" s="17"/>
      <c r="P2014" s="17"/>
      <c r="Q2014" s="17"/>
      <c r="R2014" s="17"/>
      <c r="S2014" s="17"/>
      <c r="T2014" s="4"/>
      <c r="U2014" s="4"/>
    </row>
    <row r="2015" spans="13:21" x14ac:dyDescent="0.25">
      <c r="M2015" s="229"/>
      <c r="N2015" s="17"/>
      <c r="O2015" s="17"/>
      <c r="P2015" s="17"/>
      <c r="Q2015" s="17"/>
      <c r="R2015" s="17"/>
      <c r="S2015" s="17"/>
      <c r="T2015" s="4"/>
      <c r="U2015" s="4"/>
    </row>
    <row r="2016" spans="13:21" x14ac:dyDescent="0.25">
      <c r="M2016" s="229"/>
      <c r="N2016" s="17"/>
      <c r="O2016" s="17"/>
      <c r="P2016" s="17"/>
      <c r="Q2016" s="17"/>
      <c r="R2016" s="17"/>
      <c r="S2016" s="17"/>
      <c r="T2016" s="4"/>
      <c r="U2016" s="4"/>
    </row>
    <row r="2017" spans="13:21" x14ac:dyDescent="0.25">
      <c r="M2017" s="229"/>
      <c r="N2017" s="17"/>
      <c r="O2017" s="17"/>
      <c r="P2017" s="17"/>
      <c r="Q2017" s="17"/>
      <c r="R2017" s="17"/>
      <c r="S2017" s="17"/>
      <c r="T2017" s="4"/>
      <c r="U2017" s="4"/>
    </row>
    <row r="2018" spans="13:21" x14ac:dyDescent="0.25">
      <c r="M2018" s="229"/>
      <c r="N2018" s="17"/>
      <c r="O2018" s="17"/>
      <c r="P2018" s="17"/>
      <c r="Q2018" s="17"/>
      <c r="R2018" s="17"/>
      <c r="S2018" s="17"/>
      <c r="T2018" s="4"/>
      <c r="U2018" s="4"/>
    </row>
    <row r="2019" spans="13:21" x14ac:dyDescent="0.25">
      <c r="M2019" s="229"/>
      <c r="N2019" s="17"/>
      <c r="O2019" s="17"/>
      <c r="P2019" s="17"/>
      <c r="Q2019" s="17"/>
      <c r="R2019" s="17"/>
      <c r="S2019" s="17"/>
      <c r="T2019" s="4"/>
      <c r="U2019" s="4"/>
    </row>
    <row r="2020" spans="13:21" x14ac:dyDescent="0.25">
      <c r="M2020" s="229"/>
      <c r="N2020" s="17"/>
      <c r="O2020" s="17"/>
      <c r="P2020" s="17"/>
      <c r="Q2020" s="17"/>
      <c r="R2020" s="17"/>
      <c r="S2020" s="17"/>
      <c r="T2020" s="4"/>
      <c r="U2020" s="4"/>
    </row>
    <row r="2021" spans="13:21" x14ac:dyDescent="0.25">
      <c r="M2021" s="229"/>
      <c r="N2021" s="17"/>
      <c r="O2021" s="17"/>
      <c r="P2021" s="17"/>
      <c r="Q2021" s="17"/>
      <c r="R2021" s="17"/>
      <c r="S2021" s="17"/>
      <c r="T2021" s="4"/>
      <c r="U2021" s="4"/>
    </row>
    <row r="2022" spans="13:21" x14ac:dyDescent="0.25">
      <c r="M2022" s="229"/>
      <c r="N2022" s="17"/>
      <c r="O2022" s="17"/>
      <c r="P2022" s="17"/>
      <c r="Q2022" s="17"/>
      <c r="R2022" s="17"/>
      <c r="S2022" s="17"/>
      <c r="T2022" s="4"/>
      <c r="U2022" s="4"/>
    </row>
    <row r="2023" spans="13:21" x14ac:dyDescent="0.25">
      <c r="M2023" s="229"/>
      <c r="N2023" s="17"/>
      <c r="O2023" s="17"/>
      <c r="P2023" s="17"/>
      <c r="Q2023" s="17"/>
      <c r="R2023" s="17"/>
      <c r="S2023" s="17"/>
      <c r="T2023" s="4"/>
      <c r="U2023" s="4"/>
    </row>
    <row r="2024" spans="13:21" x14ac:dyDescent="0.25">
      <c r="M2024" s="229"/>
      <c r="N2024" s="17"/>
      <c r="O2024" s="17"/>
      <c r="P2024" s="17"/>
      <c r="Q2024" s="17"/>
      <c r="R2024" s="17"/>
      <c r="S2024" s="17"/>
      <c r="T2024" s="4"/>
      <c r="U2024" s="4"/>
    </row>
    <row r="2025" spans="13:21" x14ac:dyDescent="0.25">
      <c r="M2025" s="229"/>
      <c r="N2025" s="17"/>
      <c r="O2025" s="17"/>
      <c r="P2025" s="17"/>
      <c r="Q2025" s="17"/>
      <c r="R2025" s="17"/>
      <c r="S2025" s="17"/>
      <c r="T2025" s="4"/>
      <c r="U2025" s="4"/>
    </row>
    <row r="2026" spans="13:21" x14ac:dyDescent="0.25">
      <c r="M2026" s="229"/>
      <c r="N2026" s="17"/>
      <c r="O2026" s="17"/>
      <c r="P2026" s="17"/>
      <c r="Q2026" s="17"/>
      <c r="R2026" s="17"/>
      <c r="S2026" s="17"/>
      <c r="T2026" s="4"/>
      <c r="U2026" s="4"/>
    </row>
    <row r="2027" spans="13:21" x14ac:dyDescent="0.25">
      <c r="M2027" s="229"/>
      <c r="N2027" s="17"/>
      <c r="O2027" s="17"/>
      <c r="P2027" s="17"/>
      <c r="Q2027" s="17"/>
      <c r="R2027" s="17"/>
      <c r="S2027" s="17"/>
      <c r="T2027" s="4"/>
      <c r="U2027" s="4"/>
    </row>
    <row r="2028" spans="13:21" x14ac:dyDescent="0.25">
      <c r="M2028" s="229"/>
      <c r="N2028" s="17"/>
      <c r="O2028" s="17"/>
      <c r="P2028" s="17"/>
      <c r="Q2028" s="17"/>
      <c r="R2028" s="17"/>
      <c r="S2028" s="17"/>
      <c r="T2028" s="4"/>
      <c r="U2028" s="4"/>
    </row>
    <row r="2029" spans="13:21" x14ac:dyDescent="0.25">
      <c r="M2029" s="229"/>
      <c r="N2029" s="17"/>
      <c r="O2029" s="17"/>
      <c r="P2029" s="17"/>
      <c r="Q2029" s="17"/>
      <c r="R2029" s="17"/>
      <c r="S2029" s="17"/>
      <c r="T2029" s="4"/>
      <c r="U2029" s="4"/>
    </row>
    <row r="2030" spans="13:21" x14ac:dyDescent="0.25">
      <c r="M2030" s="229"/>
      <c r="N2030" s="17"/>
      <c r="O2030" s="17"/>
      <c r="P2030" s="17"/>
      <c r="Q2030" s="17"/>
      <c r="R2030" s="17"/>
      <c r="S2030" s="17"/>
      <c r="T2030" s="4"/>
      <c r="U2030" s="4"/>
    </row>
    <row r="2031" spans="13:21" x14ac:dyDescent="0.25">
      <c r="M2031" s="229"/>
      <c r="N2031" s="17"/>
      <c r="O2031" s="17"/>
      <c r="P2031" s="17"/>
      <c r="Q2031" s="17"/>
      <c r="R2031" s="17"/>
      <c r="S2031" s="17"/>
      <c r="T2031" s="4"/>
      <c r="U2031" s="4"/>
    </row>
    <row r="2032" spans="13:21" x14ac:dyDescent="0.25">
      <c r="M2032" s="229"/>
      <c r="N2032" s="17"/>
      <c r="O2032" s="17"/>
      <c r="P2032" s="17"/>
      <c r="Q2032" s="17"/>
      <c r="R2032" s="17"/>
      <c r="S2032" s="17"/>
      <c r="T2032" s="4"/>
      <c r="U2032" s="4"/>
    </row>
    <row r="2033" spans="13:21" x14ac:dyDescent="0.25">
      <c r="M2033" s="229"/>
      <c r="N2033" s="17"/>
      <c r="O2033" s="17"/>
      <c r="P2033" s="17"/>
      <c r="Q2033" s="17"/>
      <c r="R2033" s="17"/>
      <c r="S2033" s="17"/>
      <c r="T2033" s="4"/>
      <c r="U2033" s="4"/>
    </row>
    <row r="2034" spans="13:21" x14ac:dyDescent="0.25">
      <c r="M2034" s="229"/>
      <c r="N2034" s="17"/>
      <c r="O2034" s="17"/>
      <c r="P2034" s="17"/>
      <c r="Q2034" s="17"/>
      <c r="R2034" s="17"/>
      <c r="S2034" s="17"/>
      <c r="T2034" s="4"/>
      <c r="U2034" s="4"/>
    </row>
    <row r="2035" spans="13:21" x14ac:dyDescent="0.25">
      <c r="M2035" s="229"/>
      <c r="N2035" s="17"/>
      <c r="O2035" s="17"/>
      <c r="P2035" s="17"/>
      <c r="Q2035" s="17"/>
      <c r="R2035" s="17"/>
      <c r="S2035" s="17"/>
      <c r="T2035" s="4"/>
      <c r="U2035" s="4"/>
    </row>
    <row r="2036" spans="13:21" x14ac:dyDescent="0.25">
      <c r="M2036" s="229"/>
      <c r="N2036" s="17"/>
      <c r="O2036" s="17"/>
      <c r="P2036" s="17"/>
      <c r="Q2036" s="17"/>
      <c r="R2036" s="17"/>
      <c r="S2036" s="17"/>
      <c r="T2036" s="4"/>
      <c r="U2036" s="4"/>
    </row>
    <row r="2037" spans="13:21" x14ac:dyDescent="0.25">
      <c r="M2037" s="229"/>
      <c r="N2037" s="17"/>
      <c r="O2037" s="17"/>
      <c r="P2037" s="17"/>
      <c r="Q2037" s="17"/>
      <c r="R2037" s="17"/>
      <c r="S2037" s="17"/>
      <c r="T2037" s="4"/>
      <c r="U2037" s="4"/>
    </row>
    <row r="2038" spans="13:21" x14ac:dyDescent="0.25">
      <c r="M2038" s="229"/>
      <c r="N2038" s="17"/>
      <c r="O2038" s="17"/>
      <c r="P2038" s="17"/>
      <c r="Q2038" s="17"/>
      <c r="R2038" s="17"/>
      <c r="S2038" s="17"/>
      <c r="T2038" s="4"/>
      <c r="U2038" s="4"/>
    </row>
    <row r="2039" spans="13:21" x14ac:dyDescent="0.25">
      <c r="M2039" s="229"/>
      <c r="N2039" s="17"/>
      <c r="O2039" s="17"/>
      <c r="P2039" s="17"/>
      <c r="Q2039" s="17"/>
      <c r="R2039" s="17"/>
      <c r="S2039" s="17"/>
      <c r="T2039" s="4"/>
      <c r="U2039" s="4"/>
    </row>
    <row r="2040" spans="13:21" x14ac:dyDescent="0.25">
      <c r="M2040" s="229"/>
      <c r="N2040" s="17"/>
      <c r="O2040" s="17"/>
      <c r="P2040" s="17"/>
      <c r="Q2040" s="17"/>
      <c r="R2040" s="17"/>
      <c r="S2040" s="17"/>
      <c r="T2040" s="4"/>
      <c r="U2040" s="4"/>
    </row>
    <row r="2041" spans="13:21" x14ac:dyDescent="0.25">
      <c r="M2041" s="229"/>
      <c r="N2041" s="17"/>
      <c r="O2041" s="17"/>
      <c r="P2041" s="17"/>
      <c r="Q2041" s="17"/>
      <c r="R2041" s="17"/>
      <c r="S2041" s="17"/>
      <c r="T2041" s="4"/>
      <c r="U2041" s="4"/>
    </row>
    <row r="2042" spans="13:21" x14ac:dyDescent="0.25">
      <c r="M2042" s="229"/>
      <c r="N2042" s="17"/>
      <c r="O2042" s="17"/>
      <c r="P2042" s="17"/>
      <c r="Q2042" s="17"/>
      <c r="R2042" s="17"/>
      <c r="S2042" s="17"/>
      <c r="T2042" s="4"/>
      <c r="U2042" s="4"/>
    </row>
    <row r="2043" spans="13:21" x14ac:dyDescent="0.25">
      <c r="M2043" s="229"/>
      <c r="N2043" s="17"/>
      <c r="O2043" s="17"/>
      <c r="P2043" s="17"/>
      <c r="Q2043" s="17"/>
      <c r="R2043" s="17"/>
      <c r="S2043" s="17"/>
      <c r="T2043" s="4"/>
      <c r="U2043" s="4"/>
    </row>
    <row r="2044" spans="13:21" x14ac:dyDescent="0.25">
      <c r="M2044" s="229"/>
      <c r="N2044" s="17"/>
      <c r="O2044" s="17"/>
      <c r="P2044" s="17"/>
      <c r="Q2044" s="17"/>
      <c r="R2044" s="17"/>
      <c r="S2044" s="17"/>
      <c r="T2044" s="4"/>
      <c r="U2044" s="4"/>
    </row>
    <row r="2045" spans="13:21" x14ac:dyDescent="0.25">
      <c r="M2045" s="229"/>
      <c r="N2045" s="17"/>
      <c r="O2045" s="17"/>
      <c r="P2045" s="17"/>
      <c r="Q2045" s="17"/>
      <c r="R2045" s="17"/>
      <c r="S2045" s="17"/>
      <c r="T2045" s="4"/>
      <c r="U2045" s="4"/>
    </row>
    <row r="2046" spans="13:21" x14ac:dyDescent="0.25">
      <c r="M2046" s="229"/>
      <c r="N2046" s="17"/>
      <c r="O2046" s="17"/>
      <c r="P2046" s="17"/>
      <c r="Q2046" s="17"/>
      <c r="R2046" s="17"/>
      <c r="S2046" s="17"/>
      <c r="T2046" s="4"/>
      <c r="U2046" s="4"/>
    </row>
    <row r="2047" spans="13:21" x14ac:dyDescent="0.25">
      <c r="M2047" s="229"/>
      <c r="N2047" s="17"/>
      <c r="O2047" s="17"/>
      <c r="P2047" s="17"/>
      <c r="Q2047" s="17"/>
      <c r="R2047" s="17"/>
      <c r="S2047" s="17"/>
      <c r="T2047" s="4"/>
      <c r="U2047" s="4"/>
    </row>
    <row r="2048" spans="13:21" x14ac:dyDescent="0.25">
      <c r="M2048" s="229"/>
      <c r="N2048" s="17"/>
      <c r="O2048" s="17"/>
      <c r="P2048" s="17"/>
      <c r="Q2048" s="17"/>
      <c r="R2048" s="17"/>
      <c r="S2048" s="17"/>
      <c r="T2048" s="4"/>
      <c r="U2048" s="4"/>
    </row>
    <row r="2049" spans="13:21" x14ac:dyDescent="0.25">
      <c r="M2049" s="229"/>
      <c r="N2049" s="17"/>
      <c r="O2049" s="17"/>
      <c r="P2049" s="17"/>
      <c r="Q2049" s="17"/>
      <c r="R2049" s="17"/>
      <c r="S2049" s="17"/>
      <c r="T2049" s="4"/>
      <c r="U2049" s="4"/>
    </row>
    <row r="2050" spans="13:21" x14ac:dyDescent="0.25">
      <c r="M2050" s="229"/>
      <c r="N2050" s="17"/>
      <c r="O2050" s="17"/>
      <c r="P2050" s="17"/>
      <c r="Q2050" s="17"/>
      <c r="R2050" s="17"/>
      <c r="S2050" s="17"/>
      <c r="T2050" s="4"/>
      <c r="U2050" s="4"/>
    </row>
    <row r="2051" spans="13:21" x14ac:dyDescent="0.25">
      <c r="M2051" s="229"/>
      <c r="N2051" s="17"/>
      <c r="O2051" s="17"/>
      <c r="P2051" s="17"/>
      <c r="Q2051" s="17"/>
      <c r="R2051" s="17"/>
      <c r="S2051" s="17"/>
      <c r="T2051" s="4"/>
      <c r="U2051" s="4"/>
    </row>
    <row r="2052" spans="13:21" x14ac:dyDescent="0.25">
      <c r="M2052" s="229"/>
      <c r="N2052" s="17"/>
      <c r="O2052" s="17"/>
      <c r="P2052" s="17"/>
      <c r="Q2052" s="17"/>
      <c r="R2052" s="17"/>
      <c r="S2052" s="17"/>
      <c r="T2052" s="4"/>
      <c r="U2052" s="4"/>
    </row>
    <row r="2053" spans="13:21" x14ac:dyDescent="0.25">
      <c r="M2053" s="229"/>
      <c r="N2053" s="17"/>
      <c r="O2053" s="17"/>
      <c r="P2053" s="17"/>
      <c r="Q2053" s="17"/>
      <c r="R2053" s="17"/>
      <c r="S2053" s="17"/>
      <c r="T2053" s="4"/>
      <c r="U2053" s="4"/>
    </row>
    <row r="2054" spans="13:21" x14ac:dyDescent="0.25">
      <c r="M2054" s="229"/>
      <c r="N2054" s="17"/>
      <c r="O2054" s="17"/>
      <c r="P2054" s="17"/>
      <c r="Q2054" s="17"/>
      <c r="R2054" s="17"/>
      <c r="S2054" s="17"/>
      <c r="T2054" s="4"/>
      <c r="U2054" s="4"/>
    </row>
    <row r="2055" spans="13:21" x14ac:dyDescent="0.25">
      <c r="M2055" s="229"/>
      <c r="N2055" s="17"/>
      <c r="O2055" s="17"/>
      <c r="P2055" s="17"/>
      <c r="Q2055" s="17"/>
      <c r="R2055" s="17"/>
      <c r="S2055" s="17"/>
      <c r="T2055" s="4"/>
      <c r="U2055" s="4"/>
    </row>
    <row r="2056" spans="13:21" x14ac:dyDescent="0.25">
      <c r="M2056" s="229"/>
      <c r="N2056" s="17"/>
      <c r="O2056" s="17"/>
      <c r="P2056" s="17"/>
      <c r="Q2056" s="17"/>
      <c r="R2056" s="17"/>
      <c r="S2056" s="17"/>
      <c r="T2056" s="4"/>
      <c r="U2056" s="4"/>
    </row>
    <row r="2057" spans="13:21" x14ac:dyDescent="0.25">
      <c r="M2057" s="229"/>
      <c r="N2057" s="17"/>
      <c r="O2057" s="17"/>
      <c r="P2057" s="17"/>
      <c r="Q2057" s="17"/>
      <c r="R2057" s="17"/>
      <c r="S2057" s="17"/>
      <c r="T2057" s="4"/>
      <c r="U2057" s="4"/>
    </row>
    <row r="2058" spans="13:21" x14ac:dyDescent="0.25">
      <c r="M2058" s="229"/>
      <c r="N2058" s="17"/>
      <c r="O2058" s="17"/>
      <c r="P2058" s="17"/>
      <c r="Q2058" s="17"/>
      <c r="R2058" s="17"/>
      <c r="S2058" s="17"/>
      <c r="T2058" s="4"/>
      <c r="U2058" s="4"/>
    </row>
    <row r="2059" spans="13:21" x14ac:dyDescent="0.25">
      <c r="M2059" s="229"/>
      <c r="N2059" s="17"/>
      <c r="O2059" s="17"/>
      <c r="P2059" s="17"/>
      <c r="Q2059" s="17"/>
      <c r="R2059" s="17"/>
      <c r="S2059" s="17"/>
      <c r="T2059" s="4"/>
      <c r="U2059" s="4"/>
    </row>
    <row r="2060" spans="13:21" x14ac:dyDescent="0.25">
      <c r="M2060" s="229"/>
      <c r="N2060" s="17"/>
      <c r="O2060" s="17"/>
      <c r="P2060" s="17"/>
      <c r="Q2060" s="17"/>
      <c r="R2060" s="17"/>
      <c r="S2060" s="17"/>
      <c r="T2060" s="4"/>
      <c r="U2060" s="4"/>
    </row>
    <row r="2061" spans="13:21" x14ac:dyDescent="0.25">
      <c r="M2061" s="229"/>
      <c r="N2061" s="17"/>
      <c r="O2061" s="17"/>
      <c r="P2061" s="17"/>
      <c r="Q2061" s="17"/>
      <c r="R2061" s="17"/>
      <c r="S2061" s="17"/>
      <c r="T2061" s="4"/>
      <c r="U2061" s="4"/>
    </row>
    <row r="2062" spans="13:21" x14ac:dyDescent="0.25">
      <c r="M2062" s="229"/>
      <c r="N2062" s="17"/>
      <c r="O2062" s="17"/>
      <c r="P2062" s="17"/>
      <c r="Q2062" s="17"/>
      <c r="R2062" s="17"/>
      <c r="S2062" s="17"/>
      <c r="T2062" s="4"/>
      <c r="U2062" s="4"/>
    </row>
    <row r="2063" spans="13:21" x14ac:dyDescent="0.25">
      <c r="M2063" s="229"/>
      <c r="N2063" s="17"/>
      <c r="O2063" s="17"/>
      <c r="P2063" s="17"/>
      <c r="Q2063" s="17"/>
      <c r="R2063" s="17"/>
      <c r="S2063" s="17"/>
      <c r="T2063" s="4"/>
      <c r="U2063" s="4"/>
    </row>
    <row r="2064" spans="13:21" x14ac:dyDescent="0.25">
      <c r="M2064" s="229"/>
      <c r="N2064" s="17"/>
      <c r="O2064" s="17"/>
      <c r="P2064" s="17"/>
      <c r="Q2064" s="17"/>
      <c r="R2064" s="17"/>
      <c r="S2064" s="17"/>
      <c r="T2064" s="4"/>
      <c r="U2064" s="4"/>
    </row>
    <row r="2065" spans="13:21" x14ac:dyDescent="0.25">
      <c r="M2065" s="229"/>
      <c r="N2065" s="17"/>
      <c r="O2065" s="17"/>
      <c r="P2065" s="17"/>
      <c r="Q2065" s="17"/>
      <c r="R2065" s="17"/>
      <c r="S2065" s="17"/>
      <c r="T2065" s="4"/>
      <c r="U2065" s="4"/>
    </row>
    <row r="2066" spans="13:21" x14ac:dyDescent="0.25">
      <c r="M2066" s="229"/>
      <c r="N2066" s="17"/>
      <c r="O2066" s="17"/>
      <c r="P2066" s="17"/>
      <c r="Q2066" s="17"/>
      <c r="R2066" s="17"/>
      <c r="S2066" s="17"/>
      <c r="T2066" s="4"/>
      <c r="U2066" s="4"/>
    </row>
    <row r="2067" spans="13:21" x14ac:dyDescent="0.25">
      <c r="M2067" s="229"/>
      <c r="N2067" s="17"/>
      <c r="O2067" s="17"/>
      <c r="P2067" s="17"/>
      <c r="Q2067" s="17"/>
      <c r="R2067" s="17"/>
      <c r="S2067" s="17"/>
      <c r="T2067" s="4"/>
      <c r="U2067" s="4"/>
    </row>
    <row r="2068" spans="13:21" x14ac:dyDescent="0.25">
      <c r="M2068" s="229"/>
      <c r="N2068" s="17"/>
      <c r="O2068" s="17"/>
      <c r="P2068" s="17"/>
      <c r="Q2068" s="17"/>
      <c r="R2068" s="17"/>
      <c r="S2068" s="17"/>
      <c r="T2068" s="4"/>
      <c r="U2068" s="4"/>
    </row>
    <row r="2069" spans="13:21" x14ac:dyDescent="0.25">
      <c r="M2069" s="229"/>
      <c r="N2069" s="17"/>
      <c r="O2069" s="17"/>
      <c r="P2069" s="17"/>
      <c r="Q2069" s="17"/>
      <c r="R2069" s="17"/>
      <c r="S2069" s="17"/>
      <c r="T2069" s="4"/>
      <c r="U2069" s="4"/>
    </row>
    <row r="2070" spans="13:21" x14ac:dyDescent="0.25">
      <c r="M2070" s="229"/>
      <c r="N2070" s="17"/>
      <c r="O2070" s="17"/>
      <c r="P2070" s="17"/>
      <c r="Q2070" s="17"/>
      <c r="R2070" s="17"/>
      <c r="S2070" s="17"/>
      <c r="T2070" s="4"/>
      <c r="U2070" s="4"/>
    </row>
    <row r="2071" spans="13:21" x14ac:dyDescent="0.25">
      <c r="M2071" s="229"/>
      <c r="N2071" s="17"/>
      <c r="O2071" s="17"/>
      <c r="P2071" s="17"/>
      <c r="Q2071" s="17"/>
      <c r="R2071" s="17"/>
      <c r="S2071" s="17"/>
      <c r="T2071" s="4"/>
      <c r="U2071" s="4"/>
    </row>
    <row r="2072" spans="13:21" x14ac:dyDescent="0.25">
      <c r="M2072" s="229"/>
      <c r="N2072" s="17"/>
      <c r="O2072" s="17"/>
      <c r="P2072" s="17"/>
      <c r="Q2072" s="17"/>
      <c r="R2072" s="17"/>
      <c r="S2072" s="17"/>
      <c r="T2072" s="4"/>
      <c r="U2072" s="4"/>
    </row>
    <row r="2073" spans="13:21" x14ac:dyDescent="0.25">
      <c r="M2073" s="229"/>
      <c r="N2073" s="17"/>
      <c r="O2073" s="17"/>
      <c r="P2073" s="17"/>
      <c r="Q2073" s="17"/>
      <c r="R2073" s="17"/>
      <c r="S2073" s="17"/>
      <c r="T2073" s="4"/>
      <c r="U2073" s="4"/>
    </row>
    <row r="2074" spans="13:21" x14ac:dyDescent="0.25">
      <c r="M2074" s="229"/>
      <c r="N2074" s="17"/>
      <c r="O2074" s="17"/>
      <c r="P2074" s="17"/>
      <c r="Q2074" s="17"/>
      <c r="R2074" s="17"/>
      <c r="S2074" s="17"/>
      <c r="T2074" s="4"/>
      <c r="U2074" s="4"/>
    </row>
    <row r="2075" spans="13:21" x14ac:dyDescent="0.25">
      <c r="M2075" s="229"/>
      <c r="N2075" s="17"/>
      <c r="O2075" s="17"/>
      <c r="P2075" s="17"/>
      <c r="Q2075" s="17"/>
      <c r="R2075" s="17"/>
      <c r="S2075" s="17"/>
      <c r="T2075" s="4"/>
      <c r="U2075" s="4"/>
    </row>
    <row r="2076" spans="13:21" x14ac:dyDescent="0.25">
      <c r="M2076" s="229"/>
      <c r="N2076" s="17"/>
      <c r="O2076" s="17"/>
      <c r="P2076" s="17"/>
      <c r="Q2076" s="17"/>
      <c r="R2076" s="17"/>
      <c r="S2076" s="17"/>
      <c r="T2076" s="4"/>
      <c r="U2076" s="4"/>
    </row>
    <row r="2077" spans="13:21" x14ac:dyDescent="0.25">
      <c r="M2077" s="229"/>
      <c r="N2077" s="17"/>
      <c r="O2077" s="17"/>
      <c r="P2077" s="17"/>
      <c r="Q2077" s="17"/>
      <c r="R2077" s="17"/>
      <c r="S2077" s="17"/>
      <c r="T2077" s="4"/>
      <c r="U2077" s="4"/>
    </row>
    <row r="2078" spans="13:21" x14ac:dyDescent="0.25">
      <c r="M2078" s="229"/>
      <c r="N2078" s="17"/>
      <c r="O2078" s="17"/>
      <c r="P2078" s="17"/>
      <c r="Q2078" s="17"/>
      <c r="R2078" s="17"/>
      <c r="S2078" s="17"/>
      <c r="T2078" s="4"/>
      <c r="U2078" s="4"/>
    </row>
    <row r="2079" spans="13:21" x14ac:dyDescent="0.25">
      <c r="M2079" s="229"/>
      <c r="N2079" s="17"/>
      <c r="O2079" s="17"/>
      <c r="P2079" s="17"/>
      <c r="Q2079" s="17"/>
      <c r="R2079" s="17"/>
      <c r="S2079" s="17"/>
      <c r="T2079" s="4"/>
      <c r="U2079" s="4"/>
    </row>
    <row r="2080" spans="13:21" x14ac:dyDescent="0.25">
      <c r="M2080" s="229"/>
      <c r="N2080" s="17"/>
      <c r="O2080" s="17"/>
      <c r="P2080" s="17"/>
      <c r="Q2080" s="17"/>
      <c r="R2080" s="17"/>
      <c r="S2080" s="17"/>
      <c r="T2080" s="4"/>
      <c r="U2080" s="4"/>
    </row>
    <row r="2081" spans="13:21" x14ac:dyDescent="0.25">
      <c r="M2081" s="229"/>
      <c r="N2081" s="17"/>
      <c r="O2081" s="17"/>
      <c r="P2081" s="17"/>
      <c r="Q2081" s="17"/>
      <c r="R2081" s="17"/>
      <c r="S2081" s="17"/>
      <c r="T2081" s="4"/>
      <c r="U2081" s="4"/>
    </row>
    <row r="2082" spans="13:21" x14ac:dyDescent="0.25">
      <c r="M2082" s="229"/>
      <c r="N2082" s="17"/>
      <c r="O2082" s="17"/>
      <c r="P2082" s="17"/>
      <c r="Q2082" s="17"/>
      <c r="R2082" s="17"/>
      <c r="S2082" s="17"/>
      <c r="T2082" s="4"/>
      <c r="U2082" s="4"/>
    </row>
    <row r="2083" spans="13:21" x14ac:dyDescent="0.25">
      <c r="M2083" s="229"/>
      <c r="N2083" s="17"/>
      <c r="O2083" s="17"/>
      <c r="P2083" s="17"/>
      <c r="Q2083" s="17"/>
      <c r="R2083" s="17"/>
      <c r="S2083" s="17"/>
      <c r="T2083" s="4"/>
      <c r="U2083" s="4"/>
    </row>
    <row r="2084" spans="13:21" x14ac:dyDescent="0.25">
      <c r="M2084" s="229"/>
      <c r="N2084" s="17"/>
      <c r="O2084" s="17"/>
      <c r="P2084" s="17"/>
      <c r="Q2084" s="17"/>
      <c r="R2084" s="17"/>
      <c r="S2084" s="17"/>
      <c r="T2084" s="4"/>
      <c r="U2084" s="4"/>
    </row>
    <row r="2085" spans="13:21" x14ac:dyDescent="0.25">
      <c r="M2085" s="229"/>
      <c r="N2085" s="17"/>
      <c r="O2085" s="17"/>
      <c r="P2085" s="17"/>
      <c r="Q2085" s="17"/>
      <c r="R2085" s="17"/>
      <c r="S2085" s="17"/>
      <c r="T2085" s="4"/>
      <c r="U2085" s="4"/>
    </row>
    <row r="2086" spans="13:21" x14ac:dyDescent="0.25">
      <c r="M2086" s="229"/>
      <c r="N2086" s="17"/>
      <c r="O2086" s="17"/>
      <c r="P2086" s="17"/>
      <c r="Q2086" s="17"/>
      <c r="R2086" s="17"/>
      <c r="S2086" s="17"/>
      <c r="T2086" s="4"/>
      <c r="U2086" s="4"/>
    </row>
    <row r="2087" spans="13:21" x14ac:dyDescent="0.25">
      <c r="M2087" s="229"/>
      <c r="N2087" s="17"/>
      <c r="O2087" s="17"/>
      <c r="P2087" s="17"/>
      <c r="Q2087" s="17"/>
      <c r="R2087" s="17"/>
      <c r="S2087" s="17"/>
      <c r="T2087" s="4"/>
      <c r="U2087" s="4"/>
    </row>
    <row r="2088" spans="13:21" x14ac:dyDescent="0.25">
      <c r="M2088" s="229"/>
      <c r="N2088" s="17"/>
      <c r="O2088" s="17"/>
      <c r="P2088" s="17"/>
      <c r="Q2088" s="17"/>
      <c r="R2088" s="17"/>
      <c r="S2088" s="17"/>
      <c r="T2088" s="4"/>
      <c r="U2088" s="4"/>
    </row>
    <row r="2089" spans="13:21" x14ac:dyDescent="0.25">
      <c r="M2089" s="229"/>
      <c r="N2089" s="17"/>
      <c r="O2089" s="17"/>
      <c r="P2089" s="17"/>
      <c r="Q2089" s="17"/>
      <c r="R2089" s="17"/>
      <c r="S2089" s="17"/>
      <c r="T2089" s="4"/>
      <c r="U2089" s="4"/>
    </row>
    <row r="2090" spans="13:21" x14ac:dyDescent="0.25">
      <c r="M2090" s="229"/>
      <c r="N2090" s="17"/>
      <c r="O2090" s="17"/>
      <c r="P2090" s="17"/>
      <c r="Q2090" s="17"/>
      <c r="R2090" s="17"/>
      <c r="S2090" s="17"/>
      <c r="T2090" s="4"/>
      <c r="U2090" s="4"/>
    </row>
    <row r="2091" spans="13:21" x14ac:dyDescent="0.25">
      <c r="M2091" s="229"/>
      <c r="N2091" s="17"/>
      <c r="O2091" s="17"/>
      <c r="P2091" s="17"/>
      <c r="Q2091" s="17"/>
      <c r="R2091" s="17"/>
      <c r="S2091" s="17"/>
      <c r="T2091" s="4"/>
      <c r="U2091" s="4"/>
    </row>
    <row r="2092" spans="13:21" x14ac:dyDescent="0.25">
      <c r="M2092" s="229"/>
      <c r="N2092" s="17"/>
      <c r="O2092" s="17"/>
      <c r="P2092" s="17"/>
      <c r="Q2092" s="17"/>
      <c r="R2092" s="17"/>
      <c r="S2092" s="17"/>
      <c r="T2092" s="4"/>
      <c r="U2092" s="4"/>
    </row>
    <row r="2093" spans="13:21" x14ac:dyDescent="0.25">
      <c r="M2093" s="229"/>
      <c r="N2093" s="17"/>
      <c r="O2093" s="17"/>
      <c r="P2093" s="17"/>
      <c r="Q2093" s="17"/>
      <c r="R2093" s="17"/>
      <c r="S2093" s="17"/>
      <c r="T2093" s="4"/>
      <c r="U2093" s="4"/>
    </row>
    <row r="2094" spans="13:21" x14ac:dyDescent="0.25">
      <c r="M2094" s="229"/>
      <c r="N2094" s="17"/>
      <c r="O2094" s="17"/>
      <c r="P2094" s="17"/>
      <c r="Q2094" s="17"/>
      <c r="R2094" s="17"/>
      <c r="S2094" s="17"/>
      <c r="T2094" s="4"/>
      <c r="U2094" s="4"/>
    </row>
    <row r="2095" spans="13:21" x14ac:dyDescent="0.25">
      <c r="M2095" s="229"/>
      <c r="N2095" s="17"/>
      <c r="O2095" s="17"/>
      <c r="P2095" s="17"/>
      <c r="Q2095" s="17"/>
      <c r="R2095" s="17"/>
      <c r="S2095" s="17"/>
      <c r="T2095" s="4"/>
      <c r="U2095" s="4"/>
    </row>
    <row r="2096" spans="13:21" x14ac:dyDescent="0.25">
      <c r="M2096" s="229"/>
      <c r="N2096" s="17"/>
      <c r="O2096" s="17"/>
      <c r="P2096" s="17"/>
      <c r="Q2096" s="17"/>
      <c r="R2096" s="17"/>
      <c r="S2096" s="17"/>
      <c r="T2096" s="4"/>
      <c r="U2096" s="4"/>
    </row>
    <row r="2097" spans="13:21" x14ac:dyDescent="0.25">
      <c r="M2097" s="229"/>
      <c r="N2097" s="17"/>
      <c r="O2097" s="17"/>
      <c r="P2097" s="17"/>
      <c r="Q2097" s="17"/>
      <c r="R2097" s="17"/>
      <c r="S2097" s="17"/>
      <c r="T2097" s="4"/>
      <c r="U2097" s="4"/>
    </row>
    <row r="2098" spans="13:21" x14ac:dyDescent="0.25">
      <c r="M2098" s="229"/>
      <c r="N2098" s="17"/>
      <c r="O2098" s="17"/>
      <c r="P2098" s="17"/>
      <c r="Q2098" s="17"/>
      <c r="R2098" s="17"/>
      <c r="S2098" s="17"/>
      <c r="T2098" s="4"/>
      <c r="U2098" s="4"/>
    </row>
    <row r="2099" spans="13:21" x14ac:dyDescent="0.25">
      <c r="M2099" s="229"/>
      <c r="N2099" s="17"/>
      <c r="O2099" s="17"/>
      <c r="P2099" s="17"/>
      <c r="Q2099" s="17"/>
      <c r="R2099" s="17"/>
      <c r="S2099" s="17"/>
      <c r="T2099" s="4"/>
      <c r="U2099" s="4"/>
    </row>
    <row r="2100" spans="13:21" x14ac:dyDescent="0.25">
      <c r="M2100" s="229"/>
      <c r="N2100" s="17"/>
      <c r="O2100" s="17"/>
      <c r="P2100" s="17"/>
      <c r="Q2100" s="17"/>
      <c r="R2100" s="17"/>
      <c r="S2100" s="17"/>
      <c r="T2100" s="4"/>
      <c r="U2100" s="4"/>
    </row>
    <row r="2101" spans="13:21" x14ac:dyDescent="0.25">
      <c r="M2101" s="229"/>
      <c r="N2101" s="17"/>
      <c r="O2101" s="17"/>
      <c r="P2101" s="17"/>
      <c r="Q2101" s="17"/>
      <c r="R2101" s="17"/>
      <c r="S2101" s="17"/>
      <c r="T2101" s="4"/>
      <c r="U2101" s="4"/>
    </row>
    <row r="2102" spans="13:21" x14ac:dyDescent="0.25">
      <c r="M2102" s="229"/>
      <c r="N2102" s="17"/>
      <c r="O2102" s="17"/>
      <c r="P2102" s="17"/>
      <c r="Q2102" s="17"/>
      <c r="R2102" s="17"/>
      <c r="S2102" s="17"/>
      <c r="T2102" s="4"/>
      <c r="U2102" s="4"/>
    </row>
    <row r="2103" spans="13:21" x14ac:dyDescent="0.25">
      <c r="M2103" s="229"/>
      <c r="N2103" s="17"/>
      <c r="O2103" s="17"/>
      <c r="P2103" s="17"/>
      <c r="Q2103" s="17"/>
      <c r="R2103" s="17"/>
      <c r="S2103" s="17"/>
      <c r="T2103" s="4"/>
      <c r="U2103" s="4"/>
    </row>
    <row r="2104" spans="13:21" x14ac:dyDescent="0.25">
      <c r="M2104" s="229"/>
      <c r="N2104" s="17"/>
      <c r="O2104" s="17"/>
      <c r="P2104" s="17"/>
      <c r="Q2104" s="17"/>
      <c r="R2104" s="17"/>
      <c r="S2104" s="17"/>
      <c r="T2104" s="4"/>
      <c r="U2104" s="4"/>
    </row>
    <row r="2105" spans="13:21" x14ac:dyDescent="0.25">
      <c r="M2105" s="229"/>
      <c r="N2105" s="17"/>
      <c r="O2105" s="17"/>
      <c r="P2105" s="17"/>
      <c r="Q2105" s="17"/>
      <c r="R2105" s="17"/>
      <c r="S2105" s="17"/>
      <c r="T2105" s="4"/>
      <c r="U2105" s="4"/>
    </row>
    <row r="2106" spans="13:21" x14ac:dyDescent="0.25">
      <c r="M2106" s="229"/>
      <c r="N2106" s="17"/>
      <c r="O2106" s="17"/>
      <c r="P2106" s="17"/>
      <c r="Q2106" s="17"/>
      <c r="R2106" s="17"/>
      <c r="S2106" s="17"/>
      <c r="T2106" s="4"/>
      <c r="U2106" s="4"/>
    </row>
    <row r="2107" spans="13:21" x14ac:dyDescent="0.25">
      <c r="M2107" s="229"/>
      <c r="N2107" s="17"/>
      <c r="O2107" s="17"/>
      <c r="P2107" s="17"/>
      <c r="Q2107" s="17"/>
      <c r="R2107" s="17"/>
      <c r="S2107" s="17"/>
      <c r="T2107" s="4"/>
      <c r="U2107" s="4"/>
    </row>
    <row r="2108" spans="13:21" x14ac:dyDescent="0.25">
      <c r="M2108" s="229"/>
      <c r="N2108" s="17"/>
      <c r="O2108" s="17"/>
      <c r="P2108" s="17"/>
      <c r="Q2108" s="17"/>
      <c r="R2108" s="17"/>
      <c r="S2108" s="17"/>
      <c r="T2108" s="4"/>
      <c r="U2108" s="4"/>
    </row>
    <row r="2109" spans="13:21" x14ac:dyDescent="0.25">
      <c r="M2109" s="229"/>
      <c r="N2109" s="17"/>
      <c r="O2109" s="17"/>
      <c r="P2109" s="17"/>
      <c r="Q2109" s="17"/>
      <c r="R2109" s="17"/>
      <c r="S2109" s="17"/>
      <c r="T2109" s="4"/>
      <c r="U2109" s="4"/>
    </row>
    <row r="2110" spans="13:21" x14ac:dyDescent="0.25">
      <c r="M2110" s="229"/>
      <c r="N2110" s="17"/>
      <c r="O2110" s="17"/>
      <c r="P2110" s="17"/>
      <c r="Q2110" s="17"/>
      <c r="R2110" s="17"/>
      <c r="S2110" s="17"/>
      <c r="T2110" s="4"/>
      <c r="U2110" s="4"/>
    </row>
    <row r="2111" spans="13:21" x14ac:dyDescent="0.25">
      <c r="M2111" s="229"/>
      <c r="N2111" s="17"/>
      <c r="O2111" s="17"/>
      <c r="P2111" s="17"/>
      <c r="Q2111" s="17"/>
      <c r="R2111" s="17"/>
      <c r="S2111" s="17"/>
      <c r="T2111" s="4"/>
      <c r="U2111" s="4"/>
    </row>
    <row r="2112" spans="13:21" x14ac:dyDescent="0.25">
      <c r="M2112" s="229"/>
      <c r="N2112" s="17"/>
      <c r="O2112" s="17"/>
      <c r="P2112" s="17"/>
      <c r="Q2112" s="17"/>
      <c r="R2112" s="17"/>
      <c r="S2112" s="17"/>
      <c r="T2112" s="4"/>
      <c r="U2112" s="4"/>
    </row>
    <row r="2113" spans="13:21" x14ac:dyDescent="0.25">
      <c r="M2113" s="229"/>
      <c r="N2113" s="17"/>
      <c r="O2113" s="17"/>
      <c r="P2113" s="17"/>
      <c r="Q2113" s="17"/>
      <c r="R2113" s="17"/>
      <c r="S2113" s="17"/>
      <c r="T2113" s="4"/>
      <c r="U2113" s="4"/>
    </row>
    <row r="2114" spans="13:21" x14ac:dyDescent="0.25">
      <c r="M2114" s="229"/>
      <c r="N2114" s="17"/>
      <c r="O2114" s="17"/>
      <c r="P2114" s="17"/>
      <c r="Q2114" s="17"/>
      <c r="R2114" s="17"/>
      <c r="S2114" s="17"/>
      <c r="T2114" s="4"/>
      <c r="U2114" s="4"/>
    </row>
    <row r="2115" spans="13:21" x14ac:dyDescent="0.25">
      <c r="M2115" s="229"/>
      <c r="N2115" s="17"/>
      <c r="O2115" s="17"/>
      <c r="P2115" s="17"/>
      <c r="Q2115" s="17"/>
      <c r="R2115" s="17"/>
      <c r="S2115" s="17"/>
      <c r="T2115" s="4"/>
      <c r="U2115" s="4"/>
    </row>
    <row r="2116" spans="13:21" x14ac:dyDescent="0.25">
      <c r="M2116" s="229"/>
      <c r="N2116" s="17"/>
      <c r="O2116" s="17"/>
      <c r="P2116" s="17"/>
      <c r="Q2116" s="17"/>
      <c r="R2116" s="17"/>
      <c r="S2116" s="17"/>
      <c r="T2116" s="4"/>
      <c r="U2116" s="4"/>
    </row>
    <row r="2117" spans="13:21" x14ac:dyDescent="0.25">
      <c r="M2117" s="229"/>
      <c r="N2117" s="17"/>
      <c r="O2117" s="17"/>
      <c r="P2117" s="17"/>
      <c r="Q2117" s="17"/>
      <c r="R2117" s="17"/>
      <c r="S2117" s="17"/>
      <c r="T2117" s="4"/>
      <c r="U2117" s="4"/>
    </row>
    <row r="2118" spans="13:21" x14ac:dyDescent="0.25">
      <c r="M2118" s="229"/>
      <c r="N2118" s="17"/>
      <c r="O2118" s="17"/>
      <c r="P2118" s="17"/>
      <c r="Q2118" s="17"/>
      <c r="R2118" s="17"/>
      <c r="S2118" s="17"/>
      <c r="T2118" s="4"/>
      <c r="U2118" s="4"/>
    </row>
    <row r="2119" spans="13:21" x14ac:dyDescent="0.25">
      <c r="M2119" s="229"/>
      <c r="N2119" s="17"/>
      <c r="O2119" s="17"/>
      <c r="P2119" s="17"/>
      <c r="Q2119" s="17"/>
      <c r="R2119" s="17"/>
      <c r="S2119" s="17"/>
      <c r="T2119" s="4"/>
      <c r="U2119" s="4"/>
    </row>
    <row r="2120" spans="13:21" x14ac:dyDescent="0.25">
      <c r="M2120" s="229"/>
      <c r="N2120" s="17"/>
      <c r="O2120" s="17"/>
      <c r="P2120" s="17"/>
      <c r="Q2120" s="17"/>
      <c r="R2120" s="17"/>
      <c r="S2120" s="17"/>
      <c r="T2120" s="4"/>
      <c r="U2120" s="4"/>
    </row>
    <row r="2121" spans="13:21" x14ac:dyDescent="0.25">
      <c r="M2121" s="229"/>
      <c r="N2121" s="17"/>
      <c r="O2121" s="17"/>
      <c r="P2121" s="17"/>
      <c r="Q2121" s="17"/>
      <c r="R2121" s="17"/>
      <c r="S2121" s="17"/>
      <c r="T2121" s="4"/>
      <c r="U2121" s="4"/>
    </row>
    <row r="2122" spans="13:21" x14ac:dyDescent="0.25">
      <c r="M2122" s="229"/>
      <c r="N2122" s="17"/>
      <c r="O2122" s="17"/>
      <c r="P2122" s="17"/>
      <c r="Q2122" s="17"/>
      <c r="R2122" s="17"/>
      <c r="S2122" s="17"/>
      <c r="T2122" s="4"/>
      <c r="U2122" s="4"/>
    </row>
    <row r="2123" spans="13:21" x14ac:dyDescent="0.25">
      <c r="M2123" s="229"/>
      <c r="N2123" s="17"/>
      <c r="O2123" s="17"/>
      <c r="P2123" s="17"/>
      <c r="Q2123" s="17"/>
      <c r="R2123" s="17"/>
      <c r="S2123" s="17"/>
      <c r="T2123" s="4"/>
      <c r="U2123" s="4"/>
    </row>
    <row r="2124" spans="13:21" x14ac:dyDescent="0.25">
      <c r="M2124" s="229"/>
      <c r="N2124" s="17"/>
      <c r="O2124" s="17"/>
      <c r="P2124" s="17"/>
      <c r="Q2124" s="17"/>
      <c r="R2124" s="17"/>
      <c r="S2124" s="17"/>
      <c r="T2124" s="4"/>
      <c r="U2124" s="4"/>
    </row>
    <row r="2125" spans="13:21" x14ac:dyDescent="0.25">
      <c r="M2125" s="229"/>
      <c r="N2125" s="17"/>
      <c r="O2125" s="17"/>
      <c r="P2125" s="17"/>
      <c r="Q2125" s="17"/>
      <c r="R2125" s="17"/>
      <c r="S2125" s="17"/>
      <c r="T2125" s="4"/>
      <c r="U2125" s="4"/>
    </row>
    <row r="2126" spans="13:21" x14ac:dyDescent="0.25">
      <c r="M2126" s="229"/>
      <c r="N2126" s="17"/>
      <c r="O2126" s="17"/>
      <c r="P2126" s="17"/>
      <c r="Q2126" s="17"/>
      <c r="R2126" s="17"/>
      <c r="S2126" s="17"/>
      <c r="T2126" s="4"/>
      <c r="U2126" s="4"/>
    </row>
    <row r="2127" spans="13:21" x14ac:dyDescent="0.25">
      <c r="M2127" s="229"/>
      <c r="N2127" s="17"/>
      <c r="O2127" s="17"/>
      <c r="P2127" s="17"/>
      <c r="Q2127" s="17"/>
      <c r="R2127" s="17"/>
      <c r="S2127" s="17"/>
      <c r="T2127" s="4"/>
      <c r="U2127" s="4"/>
    </row>
    <row r="2128" spans="13:21" x14ac:dyDescent="0.25">
      <c r="M2128" s="229"/>
      <c r="N2128" s="17"/>
      <c r="O2128" s="17"/>
      <c r="P2128" s="17"/>
      <c r="Q2128" s="17"/>
      <c r="R2128" s="17"/>
      <c r="S2128" s="17"/>
      <c r="T2128" s="4"/>
      <c r="U2128" s="4"/>
    </row>
    <row r="2129" spans="13:21" x14ac:dyDescent="0.25">
      <c r="M2129" s="229"/>
      <c r="N2129" s="17"/>
      <c r="O2129" s="17"/>
      <c r="P2129" s="17"/>
      <c r="Q2129" s="17"/>
      <c r="R2129" s="17"/>
      <c r="S2129" s="17"/>
      <c r="T2129" s="4"/>
      <c r="U2129" s="4"/>
    </row>
    <row r="2130" spans="13:21" x14ac:dyDescent="0.25">
      <c r="M2130" s="229"/>
      <c r="N2130" s="17"/>
      <c r="O2130" s="17"/>
      <c r="P2130" s="17"/>
      <c r="Q2130" s="17"/>
      <c r="R2130" s="17"/>
      <c r="S2130" s="17"/>
      <c r="T2130" s="4"/>
      <c r="U2130" s="4"/>
    </row>
    <row r="2131" spans="13:21" x14ac:dyDescent="0.25">
      <c r="M2131" s="229"/>
      <c r="N2131" s="17"/>
      <c r="O2131" s="17"/>
      <c r="P2131" s="17"/>
      <c r="Q2131" s="17"/>
      <c r="R2131" s="17"/>
      <c r="S2131" s="17"/>
      <c r="T2131" s="4"/>
      <c r="U2131" s="4"/>
    </row>
    <row r="2132" spans="13:21" x14ac:dyDescent="0.25">
      <c r="M2132" s="229"/>
      <c r="N2132" s="17"/>
      <c r="O2132" s="17"/>
      <c r="P2132" s="17"/>
      <c r="Q2132" s="17"/>
      <c r="R2132" s="17"/>
      <c r="S2132" s="17"/>
      <c r="T2132" s="4"/>
      <c r="U2132" s="4"/>
    </row>
    <row r="2133" spans="13:21" x14ac:dyDescent="0.25">
      <c r="M2133" s="229"/>
      <c r="N2133" s="17"/>
      <c r="O2133" s="17"/>
      <c r="P2133" s="17"/>
      <c r="Q2133" s="17"/>
      <c r="R2133" s="17"/>
      <c r="S2133" s="17"/>
      <c r="T2133" s="4"/>
      <c r="U2133" s="4"/>
    </row>
    <row r="2134" spans="13:21" x14ac:dyDescent="0.25">
      <c r="M2134" s="229"/>
      <c r="N2134" s="17"/>
      <c r="O2134" s="17"/>
      <c r="P2134" s="17"/>
      <c r="Q2134" s="17"/>
      <c r="R2134" s="17"/>
      <c r="S2134" s="17"/>
      <c r="T2134" s="4"/>
      <c r="U2134" s="4"/>
    </row>
    <row r="2135" spans="13:21" x14ac:dyDescent="0.25">
      <c r="M2135" s="229"/>
      <c r="N2135" s="17"/>
      <c r="O2135" s="17"/>
      <c r="P2135" s="17"/>
      <c r="Q2135" s="17"/>
      <c r="R2135" s="17"/>
      <c r="S2135" s="17"/>
      <c r="T2135" s="4"/>
      <c r="U2135" s="4"/>
    </row>
    <row r="2136" spans="13:21" x14ac:dyDescent="0.25">
      <c r="M2136" s="229"/>
      <c r="N2136" s="17"/>
      <c r="O2136" s="17"/>
      <c r="P2136" s="17"/>
      <c r="Q2136" s="17"/>
      <c r="R2136" s="17"/>
      <c r="S2136" s="17"/>
      <c r="T2136" s="4"/>
      <c r="U2136" s="4"/>
    </row>
    <row r="2137" spans="13:21" x14ac:dyDescent="0.25">
      <c r="M2137" s="229"/>
      <c r="N2137" s="17"/>
      <c r="O2137" s="17"/>
      <c r="P2137" s="17"/>
      <c r="Q2137" s="17"/>
      <c r="R2137" s="17"/>
      <c r="S2137" s="17"/>
      <c r="T2137" s="4"/>
      <c r="U2137" s="4"/>
    </row>
    <row r="2138" spans="13:21" x14ac:dyDescent="0.25">
      <c r="M2138" s="229"/>
      <c r="N2138" s="17"/>
      <c r="O2138" s="17"/>
      <c r="P2138" s="17"/>
      <c r="Q2138" s="17"/>
      <c r="R2138" s="17"/>
      <c r="S2138" s="17"/>
      <c r="T2138" s="4"/>
      <c r="U2138" s="4"/>
    </row>
    <row r="2139" spans="13:21" x14ac:dyDescent="0.25">
      <c r="M2139" s="229"/>
      <c r="N2139" s="17"/>
      <c r="O2139" s="17"/>
      <c r="P2139" s="17"/>
      <c r="Q2139" s="17"/>
      <c r="R2139" s="17"/>
      <c r="S2139" s="17"/>
      <c r="T2139" s="4"/>
      <c r="U2139" s="4"/>
    </row>
    <row r="2140" spans="13:21" x14ac:dyDescent="0.25">
      <c r="M2140" s="229"/>
      <c r="N2140" s="17"/>
      <c r="O2140" s="17"/>
      <c r="P2140" s="17"/>
      <c r="Q2140" s="17"/>
      <c r="R2140" s="17"/>
      <c r="S2140" s="17"/>
      <c r="T2140" s="4"/>
      <c r="U2140" s="4"/>
    </row>
    <row r="2141" spans="13:21" x14ac:dyDescent="0.25">
      <c r="M2141" s="229"/>
      <c r="N2141" s="17"/>
      <c r="O2141" s="17"/>
      <c r="P2141" s="17"/>
      <c r="Q2141" s="17"/>
      <c r="R2141" s="17"/>
      <c r="S2141" s="17"/>
      <c r="T2141" s="4"/>
      <c r="U2141" s="4"/>
    </row>
    <row r="2142" spans="13:21" x14ac:dyDescent="0.25">
      <c r="M2142" s="229"/>
      <c r="N2142" s="17"/>
      <c r="O2142" s="17"/>
      <c r="P2142" s="17"/>
      <c r="Q2142" s="17"/>
      <c r="R2142" s="17"/>
      <c r="S2142" s="17"/>
      <c r="T2142" s="4"/>
      <c r="U2142" s="4"/>
    </row>
    <row r="2143" spans="13:21" x14ac:dyDescent="0.25">
      <c r="M2143" s="229"/>
      <c r="N2143" s="17"/>
      <c r="O2143" s="17"/>
      <c r="P2143" s="17"/>
      <c r="Q2143" s="17"/>
      <c r="R2143" s="17"/>
      <c r="S2143" s="17"/>
      <c r="T2143" s="4"/>
      <c r="U2143" s="4"/>
    </row>
    <row r="2144" spans="13:21" x14ac:dyDescent="0.25">
      <c r="M2144" s="229"/>
      <c r="N2144" s="17"/>
      <c r="O2144" s="17"/>
      <c r="P2144" s="17"/>
      <c r="Q2144" s="17"/>
      <c r="R2144" s="17"/>
      <c r="S2144" s="17"/>
      <c r="T2144" s="4"/>
      <c r="U2144" s="4"/>
    </row>
    <row r="2145" spans="13:21" x14ac:dyDescent="0.25">
      <c r="M2145" s="229"/>
      <c r="N2145" s="17"/>
      <c r="O2145" s="17"/>
      <c r="P2145" s="17"/>
      <c r="Q2145" s="17"/>
      <c r="R2145" s="17"/>
      <c r="S2145" s="17"/>
      <c r="T2145" s="4"/>
      <c r="U2145" s="4"/>
    </row>
    <row r="2146" spans="13:21" x14ac:dyDescent="0.25">
      <c r="M2146" s="229"/>
      <c r="N2146" s="17"/>
      <c r="O2146" s="17"/>
      <c r="P2146" s="17"/>
      <c r="Q2146" s="17"/>
      <c r="R2146" s="17"/>
      <c r="S2146" s="17"/>
      <c r="T2146" s="4"/>
      <c r="U2146" s="4"/>
    </row>
    <row r="2147" spans="13:21" x14ac:dyDescent="0.25">
      <c r="M2147" s="229"/>
      <c r="N2147" s="17"/>
      <c r="O2147" s="17"/>
      <c r="P2147" s="17"/>
      <c r="Q2147" s="17"/>
      <c r="R2147" s="17"/>
      <c r="S2147" s="17"/>
      <c r="T2147" s="4"/>
      <c r="U2147" s="4"/>
    </row>
    <row r="2148" spans="13:21" x14ac:dyDescent="0.25">
      <c r="M2148" s="229"/>
      <c r="N2148" s="17"/>
      <c r="O2148" s="17"/>
      <c r="P2148" s="17"/>
      <c r="Q2148" s="17"/>
      <c r="R2148" s="17"/>
      <c r="S2148" s="17"/>
      <c r="T2148" s="4"/>
      <c r="U2148" s="4"/>
    </row>
    <row r="2149" spans="13:21" x14ac:dyDescent="0.25">
      <c r="M2149" s="229"/>
      <c r="N2149" s="17"/>
      <c r="O2149" s="17"/>
      <c r="P2149" s="17"/>
      <c r="Q2149" s="17"/>
      <c r="R2149" s="17"/>
      <c r="S2149" s="17"/>
      <c r="T2149" s="4"/>
      <c r="U2149" s="4"/>
    </row>
    <row r="2150" spans="13:21" x14ac:dyDescent="0.25">
      <c r="M2150" s="229"/>
      <c r="N2150" s="17"/>
      <c r="O2150" s="17"/>
      <c r="P2150" s="17"/>
      <c r="Q2150" s="17"/>
      <c r="R2150" s="17"/>
      <c r="S2150" s="17"/>
      <c r="T2150" s="4"/>
      <c r="U2150" s="4"/>
    </row>
    <row r="2151" spans="13:21" x14ac:dyDescent="0.25">
      <c r="M2151" s="229"/>
      <c r="N2151" s="17"/>
      <c r="O2151" s="17"/>
      <c r="P2151" s="17"/>
      <c r="Q2151" s="17"/>
      <c r="R2151" s="17"/>
      <c r="S2151" s="17"/>
      <c r="T2151" s="4"/>
      <c r="U2151" s="4"/>
    </row>
    <row r="2152" spans="13:21" x14ac:dyDescent="0.25">
      <c r="M2152" s="229"/>
      <c r="N2152" s="17"/>
      <c r="O2152" s="17"/>
      <c r="P2152" s="17"/>
      <c r="Q2152" s="17"/>
      <c r="R2152" s="17"/>
      <c r="S2152" s="17"/>
      <c r="T2152" s="4"/>
      <c r="U2152" s="4"/>
    </row>
    <row r="2153" spans="13:21" x14ac:dyDescent="0.25">
      <c r="M2153" s="229"/>
      <c r="N2153" s="17"/>
      <c r="O2153" s="17"/>
      <c r="P2153" s="17"/>
      <c r="Q2153" s="17"/>
      <c r="R2153" s="17"/>
      <c r="S2153" s="17"/>
      <c r="T2153" s="4"/>
      <c r="U2153" s="4"/>
    </row>
    <row r="2154" spans="13:21" x14ac:dyDescent="0.25">
      <c r="M2154" s="229"/>
      <c r="N2154" s="17"/>
      <c r="O2154" s="17"/>
      <c r="P2154" s="17"/>
      <c r="Q2154" s="17"/>
      <c r="R2154" s="17"/>
      <c r="S2154" s="17"/>
      <c r="T2154" s="4"/>
      <c r="U2154" s="4"/>
    </row>
    <row r="2155" spans="13:21" x14ac:dyDescent="0.25">
      <c r="M2155" s="229"/>
      <c r="N2155" s="17"/>
      <c r="O2155" s="17"/>
      <c r="P2155" s="17"/>
      <c r="Q2155" s="17"/>
      <c r="R2155" s="17"/>
      <c r="S2155" s="17"/>
      <c r="T2155" s="4"/>
      <c r="U2155" s="4"/>
    </row>
    <row r="2156" spans="13:21" x14ac:dyDescent="0.25">
      <c r="M2156" s="229"/>
      <c r="N2156" s="17"/>
      <c r="O2156" s="17"/>
      <c r="P2156" s="17"/>
      <c r="Q2156" s="17"/>
      <c r="R2156" s="17"/>
      <c r="S2156" s="17"/>
      <c r="T2156" s="4"/>
      <c r="U2156" s="4"/>
    </row>
    <row r="2157" spans="13:21" x14ac:dyDescent="0.25">
      <c r="M2157" s="229"/>
      <c r="N2157" s="17"/>
      <c r="O2157" s="17"/>
      <c r="P2157" s="17"/>
      <c r="Q2157" s="17"/>
      <c r="R2157" s="17"/>
      <c r="S2157" s="17"/>
      <c r="T2157" s="4"/>
      <c r="U2157" s="4"/>
    </row>
    <row r="2158" spans="13:21" x14ac:dyDescent="0.25">
      <c r="M2158" s="229"/>
      <c r="N2158" s="17"/>
      <c r="O2158" s="17"/>
      <c r="P2158" s="17"/>
      <c r="Q2158" s="17"/>
      <c r="R2158" s="17"/>
      <c r="S2158" s="17"/>
      <c r="T2158" s="4"/>
      <c r="U2158" s="4"/>
    </row>
    <row r="2159" spans="13:21" x14ac:dyDescent="0.25">
      <c r="M2159" s="229"/>
      <c r="N2159" s="17"/>
      <c r="O2159" s="17"/>
      <c r="P2159" s="17"/>
      <c r="Q2159" s="17"/>
      <c r="R2159" s="17"/>
      <c r="S2159" s="17"/>
      <c r="T2159" s="4"/>
      <c r="U2159" s="4"/>
    </row>
    <row r="2160" spans="13:21" x14ac:dyDescent="0.25">
      <c r="M2160" s="229"/>
      <c r="N2160" s="17"/>
      <c r="O2160" s="17"/>
      <c r="P2160" s="17"/>
      <c r="Q2160" s="17"/>
      <c r="R2160" s="17"/>
      <c r="S2160" s="17"/>
      <c r="T2160" s="4"/>
      <c r="U2160" s="4"/>
    </row>
    <row r="2161" spans="13:21" x14ac:dyDescent="0.25">
      <c r="M2161" s="229"/>
      <c r="N2161" s="17"/>
      <c r="O2161" s="17"/>
      <c r="P2161" s="17"/>
      <c r="Q2161" s="17"/>
      <c r="R2161" s="17"/>
      <c r="S2161" s="17"/>
      <c r="T2161" s="4"/>
      <c r="U2161" s="4"/>
    </row>
    <row r="2162" spans="13:21" x14ac:dyDescent="0.25">
      <c r="M2162" s="229"/>
      <c r="N2162" s="17"/>
      <c r="O2162" s="17"/>
      <c r="P2162" s="17"/>
      <c r="Q2162" s="17"/>
      <c r="R2162" s="17"/>
      <c r="S2162" s="17"/>
      <c r="T2162" s="4"/>
      <c r="U2162" s="4"/>
    </row>
    <row r="2163" spans="13:21" x14ac:dyDescent="0.25">
      <c r="M2163" s="229"/>
      <c r="N2163" s="17"/>
      <c r="O2163" s="17"/>
      <c r="P2163" s="17"/>
      <c r="Q2163" s="17"/>
      <c r="R2163" s="17"/>
      <c r="S2163" s="17"/>
      <c r="T2163" s="4"/>
      <c r="U2163" s="4"/>
    </row>
    <row r="2164" spans="13:21" x14ac:dyDescent="0.25">
      <c r="M2164" s="229"/>
      <c r="N2164" s="17"/>
      <c r="O2164" s="17"/>
      <c r="P2164" s="17"/>
      <c r="Q2164" s="17"/>
      <c r="R2164" s="17"/>
      <c r="S2164" s="17"/>
      <c r="T2164" s="4"/>
      <c r="U2164" s="4"/>
    </row>
    <row r="2165" spans="13:21" x14ac:dyDescent="0.25">
      <c r="M2165" s="229"/>
      <c r="N2165" s="17"/>
      <c r="O2165" s="17"/>
      <c r="P2165" s="17"/>
      <c r="Q2165" s="17"/>
      <c r="R2165" s="17"/>
      <c r="S2165" s="17"/>
      <c r="T2165" s="4"/>
      <c r="U2165" s="4"/>
    </row>
    <row r="2166" spans="13:21" x14ac:dyDescent="0.25">
      <c r="M2166" s="229"/>
      <c r="N2166" s="17"/>
      <c r="O2166" s="17"/>
      <c r="P2166" s="17"/>
      <c r="Q2166" s="17"/>
      <c r="R2166" s="17"/>
      <c r="S2166" s="17"/>
      <c r="T2166" s="4"/>
      <c r="U2166" s="4"/>
    </row>
    <row r="2167" spans="13:21" x14ac:dyDescent="0.25">
      <c r="M2167" s="229"/>
      <c r="N2167" s="17"/>
      <c r="O2167" s="17"/>
      <c r="P2167" s="17"/>
      <c r="Q2167" s="17"/>
      <c r="R2167" s="17"/>
      <c r="S2167" s="17"/>
      <c r="T2167" s="4"/>
      <c r="U2167" s="4"/>
    </row>
    <row r="2168" spans="13:21" x14ac:dyDescent="0.25">
      <c r="M2168" s="229"/>
      <c r="N2168" s="17"/>
      <c r="O2168" s="17"/>
      <c r="P2168" s="17"/>
      <c r="Q2168" s="17"/>
      <c r="R2168" s="17"/>
      <c r="S2168" s="17"/>
      <c r="T2168" s="4"/>
      <c r="U2168" s="4"/>
    </row>
    <row r="2169" spans="13:21" x14ac:dyDescent="0.25">
      <c r="M2169" s="229"/>
      <c r="N2169" s="17"/>
      <c r="O2169" s="17"/>
      <c r="P2169" s="17"/>
      <c r="Q2169" s="17"/>
      <c r="R2169" s="17"/>
      <c r="S2169" s="17"/>
      <c r="T2169" s="4"/>
      <c r="U2169" s="4"/>
    </row>
    <row r="2170" spans="13:21" x14ac:dyDescent="0.25">
      <c r="M2170" s="229"/>
      <c r="N2170" s="17"/>
      <c r="O2170" s="17"/>
      <c r="P2170" s="17"/>
      <c r="Q2170" s="17"/>
      <c r="R2170" s="17"/>
      <c r="S2170" s="17"/>
      <c r="T2170" s="4"/>
      <c r="U2170" s="4"/>
    </row>
    <row r="2171" spans="13:21" x14ac:dyDescent="0.25">
      <c r="M2171" s="229"/>
      <c r="N2171" s="17"/>
      <c r="O2171" s="17"/>
      <c r="P2171" s="17"/>
      <c r="Q2171" s="17"/>
      <c r="R2171" s="17"/>
      <c r="S2171" s="17"/>
      <c r="T2171" s="4"/>
      <c r="U2171" s="4"/>
    </row>
    <row r="2172" spans="13:21" x14ac:dyDescent="0.25">
      <c r="M2172" s="229"/>
      <c r="N2172" s="17"/>
      <c r="O2172" s="17"/>
      <c r="P2172" s="17"/>
      <c r="Q2172" s="17"/>
      <c r="R2172" s="17"/>
      <c r="S2172" s="17"/>
      <c r="T2172" s="4"/>
      <c r="U2172" s="4"/>
    </row>
    <row r="2173" spans="13:21" x14ac:dyDescent="0.25">
      <c r="M2173" s="229"/>
      <c r="N2173" s="17"/>
      <c r="O2173" s="17"/>
      <c r="P2173" s="17"/>
      <c r="Q2173" s="17"/>
      <c r="R2173" s="17"/>
      <c r="S2173" s="17"/>
      <c r="T2173" s="4"/>
      <c r="U2173" s="4"/>
    </row>
    <row r="2174" spans="13:21" x14ac:dyDescent="0.25">
      <c r="N2174" s="4"/>
      <c r="O2174" s="4"/>
      <c r="P2174" s="4"/>
      <c r="Q2174" s="4"/>
      <c r="R2174" s="4"/>
      <c r="S2174" s="4"/>
      <c r="T2174" s="4"/>
      <c r="U2174" s="4"/>
    </row>
    <row r="2175" spans="13:21" x14ac:dyDescent="0.25">
      <c r="N2175" s="4"/>
      <c r="O2175" s="4"/>
      <c r="P2175" s="4"/>
      <c r="Q2175" s="4"/>
      <c r="R2175" s="4"/>
      <c r="S2175" s="4"/>
      <c r="T2175" s="4"/>
      <c r="U2175" s="4"/>
    </row>
    <row r="2176" spans="13:21" x14ac:dyDescent="0.25">
      <c r="N2176" s="4"/>
      <c r="O2176" s="4"/>
      <c r="P2176" s="4"/>
      <c r="Q2176" s="4"/>
      <c r="R2176" s="4"/>
      <c r="S2176" s="4"/>
      <c r="T2176" s="4"/>
      <c r="U2176" s="4"/>
    </row>
    <row r="2177" spans="14:21" x14ac:dyDescent="0.25">
      <c r="N2177" s="4"/>
      <c r="O2177" s="4"/>
      <c r="P2177" s="4"/>
      <c r="Q2177" s="4"/>
      <c r="R2177" s="4"/>
      <c r="S2177" s="4"/>
      <c r="T2177" s="4"/>
      <c r="U2177" s="4"/>
    </row>
    <row r="2178" spans="14:21" x14ac:dyDescent="0.25">
      <c r="N2178" s="4"/>
      <c r="O2178" s="4"/>
      <c r="P2178" s="4"/>
      <c r="Q2178" s="4"/>
      <c r="R2178" s="4"/>
      <c r="S2178" s="4"/>
      <c r="T2178" s="4"/>
      <c r="U2178" s="4"/>
    </row>
    <row r="2179" spans="14:21" x14ac:dyDescent="0.25">
      <c r="N2179" s="4"/>
      <c r="O2179" s="4"/>
      <c r="P2179" s="4"/>
      <c r="Q2179" s="4"/>
      <c r="R2179" s="4"/>
      <c r="S2179" s="4"/>
      <c r="T2179" s="4"/>
      <c r="U2179" s="4"/>
    </row>
    <row r="2180" spans="14:21" x14ac:dyDescent="0.25">
      <c r="N2180" s="4"/>
      <c r="O2180" s="4"/>
      <c r="P2180" s="4"/>
      <c r="Q2180" s="4"/>
      <c r="R2180" s="4"/>
      <c r="S2180" s="4"/>
      <c r="T2180" s="4"/>
      <c r="U2180" s="4"/>
    </row>
    <row r="2181" spans="14:21" x14ac:dyDescent="0.25">
      <c r="N2181" s="4"/>
      <c r="O2181" s="4"/>
      <c r="P2181" s="4"/>
      <c r="Q2181" s="4"/>
      <c r="R2181" s="4"/>
      <c r="S2181" s="4"/>
      <c r="T2181" s="4"/>
      <c r="U2181" s="4"/>
    </row>
    <row r="2182" spans="14:21" x14ac:dyDescent="0.25">
      <c r="N2182" s="4"/>
      <c r="O2182" s="4"/>
      <c r="P2182" s="4"/>
      <c r="Q2182" s="4"/>
      <c r="R2182" s="4"/>
      <c r="S2182" s="4"/>
      <c r="T2182" s="4"/>
      <c r="U2182" s="4"/>
    </row>
    <row r="2183" spans="14:21" x14ac:dyDescent="0.25">
      <c r="N2183" s="4"/>
      <c r="O2183" s="4"/>
      <c r="P2183" s="4"/>
      <c r="Q2183" s="4"/>
      <c r="R2183" s="4"/>
      <c r="S2183" s="4"/>
      <c r="T2183" s="4"/>
      <c r="U2183" s="4"/>
    </row>
    <row r="2184" spans="14:21" x14ac:dyDescent="0.25">
      <c r="N2184" s="4"/>
      <c r="O2184" s="4"/>
      <c r="P2184" s="4"/>
      <c r="Q2184" s="4"/>
      <c r="R2184" s="4"/>
      <c r="S2184" s="4"/>
      <c r="T2184" s="4"/>
      <c r="U2184" s="4"/>
    </row>
    <row r="2185" spans="14:21" x14ac:dyDescent="0.25">
      <c r="N2185" s="4"/>
      <c r="O2185" s="4"/>
      <c r="P2185" s="4"/>
      <c r="Q2185" s="4"/>
      <c r="R2185" s="4"/>
      <c r="S2185" s="4"/>
      <c r="T2185" s="4"/>
      <c r="U2185" s="4"/>
    </row>
    <row r="2186" spans="14:21" x14ac:dyDescent="0.25">
      <c r="N2186" s="4"/>
      <c r="O2186" s="4"/>
      <c r="P2186" s="4"/>
      <c r="Q2186" s="4"/>
      <c r="R2186" s="4"/>
      <c r="S2186" s="4"/>
      <c r="T2186" s="4"/>
      <c r="U2186" s="4"/>
    </row>
    <row r="2187" spans="14:21" x14ac:dyDescent="0.25">
      <c r="N2187" s="4"/>
      <c r="O2187" s="4"/>
      <c r="P2187" s="4"/>
      <c r="Q2187" s="4"/>
      <c r="R2187" s="4"/>
      <c r="S2187" s="4"/>
      <c r="T2187" s="4"/>
      <c r="U2187" s="4"/>
    </row>
    <row r="2188" spans="14:21" x14ac:dyDescent="0.25">
      <c r="N2188" s="4"/>
      <c r="O2188" s="4"/>
      <c r="P2188" s="4"/>
      <c r="Q2188" s="4"/>
      <c r="R2188" s="4"/>
      <c r="S2188" s="4"/>
      <c r="T2188" s="4"/>
      <c r="U2188" s="4"/>
    </row>
    <row r="2189" spans="14:21" x14ac:dyDescent="0.25">
      <c r="N2189" s="4"/>
      <c r="O2189" s="4"/>
      <c r="P2189" s="4"/>
      <c r="Q2189" s="4"/>
      <c r="R2189" s="4"/>
      <c r="S2189" s="4"/>
      <c r="T2189" s="4"/>
      <c r="U2189" s="4"/>
    </row>
    <row r="2190" spans="14:21" x14ac:dyDescent="0.25">
      <c r="N2190" s="4"/>
      <c r="O2190" s="4"/>
      <c r="P2190" s="4"/>
      <c r="Q2190" s="4"/>
      <c r="R2190" s="4"/>
      <c r="S2190" s="4"/>
      <c r="T2190" s="4"/>
      <c r="U2190" s="4"/>
    </row>
    <row r="2191" spans="14:21" x14ac:dyDescent="0.25">
      <c r="N2191" s="4"/>
      <c r="O2191" s="4"/>
      <c r="P2191" s="4"/>
      <c r="Q2191" s="4"/>
      <c r="R2191" s="4"/>
      <c r="S2191" s="4"/>
      <c r="T2191" s="4"/>
      <c r="U2191" s="4"/>
    </row>
    <row r="2192" spans="14:21" x14ac:dyDescent="0.25">
      <c r="N2192" s="4"/>
      <c r="O2192" s="4"/>
      <c r="P2192" s="4"/>
      <c r="Q2192" s="4"/>
      <c r="R2192" s="4"/>
      <c r="S2192" s="4"/>
      <c r="T2192" s="4"/>
      <c r="U2192" s="4"/>
    </row>
    <row r="2193" spans="14:21" x14ac:dyDescent="0.25">
      <c r="N2193" s="4"/>
      <c r="O2193" s="4"/>
      <c r="P2193" s="4"/>
      <c r="Q2193" s="4"/>
      <c r="R2193" s="4"/>
      <c r="S2193" s="4"/>
      <c r="T2193" s="4"/>
      <c r="U2193" s="4"/>
    </row>
    <row r="2194" spans="14:21" x14ac:dyDescent="0.25">
      <c r="N2194" s="4"/>
      <c r="O2194" s="4"/>
      <c r="P2194" s="4"/>
      <c r="Q2194" s="4"/>
      <c r="R2194" s="4"/>
      <c r="S2194" s="4"/>
      <c r="T2194" s="4"/>
      <c r="U2194" s="4"/>
    </row>
    <row r="2195" spans="14:21" x14ac:dyDescent="0.25">
      <c r="N2195" s="4"/>
      <c r="O2195" s="4"/>
      <c r="P2195" s="4"/>
      <c r="Q2195" s="4"/>
      <c r="R2195" s="4"/>
      <c r="S2195" s="4"/>
      <c r="T2195" s="4"/>
      <c r="U2195" s="4"/>
    </row>
    <row r="2196" spans="14:21" x14ac:dyDescent="0.25">
      <c r="N2196" s="4"/>
      <c r="O2196" s="4"/>
      <c r="P2196" s="4"/>
      <c r="Q2196" s="4"/>
      <c r="R2196" s="4"/>
      <c r="S2196" s="4"/>
      <c r="T2196" s="4"/>
      <c r="U2196" s="4"/>
    </row>
    <row r="2197" spans="14:21" x14ac:dyDescent="0.25">
      <c r="N2197" s="4"/>
      <c r="O2197" s="4"/>
      <c r="P2197" s="4"/>
      <c r="Q2197" s="4"/>
      <c r="R2197" s="4"/>
      <c r="S2197" s="4"/>
      <c r="T2197" s="4"/>
      <c r="U2197" s="4"/>
    </row>
    <row r="2198" spans="14:21" x14ac:dyDescent="0.25">
      <c r="N2198" s="4"/>
      <c r="O2198" s="4"/>
      <c r="P2198" s="4"/>
      <c r="Q2198" s="4"/>
      <c r="R2198" s="4"/>
      <c r="S2198" s="4"/>
      <c r="T2198" s="4"/>
      <c r="U2198" s="4"/>
    </row>
    <row r="2199" spans="14:21" x14ac:dyDescent="0.25">
      <c r="N2199" s="4"/>
      <c r="O2199" s="4"/>
      <c r="P2199" s="4"/>
      <c r="Q2199" s="4"/>
      <c r="R2199" s="4"/>
      <c r="S2199" s="4"/>
      <c r="T2199" s="4"/>
      <c r="U2199" s="4"/>
    </row>
    <row r="2200" spans="14:21" x14ac:dyDescent="0.25">
      <c r="N2200" s="4"/>
      <c r="O2200" s="4"/>
      <c r="P2200" s="4"/>
      <c r="Q2200" s="4"/>
      <c r="R2200" s="4"/>
      <c r="S2200" s="4"/>
      <c r="T2200" s="4"/>
      <c r="U2200" s="4"/>
    </row>
    <row r="2201" spans="14:21" x14ac:dyDescent="0.25">
      <c r="N2201" s="4"/>
      <c r="O2201" s="4"/>
      <c r="P2201" s="4"/>
      <c r="Q2201" s="4"/>
      <c r="R2201" s="4"/>
      <c r="S2201" s="4"/>
      <c r="T2201" s="4"/>
      <c r="U2201" s="4"/>
    </row>
    <row r="2202" spans="14:21" x14ac:dyDescent="0.25">
      <c r="N2202" s="4"/>
      <c r="O2202" s="4"/>
      <c r="P2202" s="4"/>
      <c r="Q2202" s="4"/>
      <c r="R2202" s="4"/>
      <c r="S2202" s="4"/>
      <c r="T2202" s="4"/>
      <c r="U2202" s="4"/>
    </row>
    <row r="2203" spans="14:21" x14ac:dyDescent="0.25">
      <c r="N2203" s="4"/>
      <c r="O2203" s="4"/>
      <c r="P2203" s="4"/>
      <c r="Q2203" s="4"/>
      <c r="R2203" s="4"/>
      <c r="S2203" s="4"/>
      <c r="T2203" s="4"/>
      <c r="U2203" s="4"/>
    </row>
    <row r="2204" spans="14:21" x14ac:dyDescent="0.25">
      <c r="N2204" s="4"/>
      <c r="O2204" s="4"/>
      <c r="P2204" s="4"/>
      <c r="Q2204" s="4"/>
      <c r="R2204" s="4"/>
      <c r="S2204" s="4"/>
      <c r="T2204" s="4"/>
      <c r="U2204" s="4"/>
    </row>
    <row r="2205" spans="14:21" x14ac:dyDescent="0.25">
      <c r="N2205" s="4"/>
      <c r="O2205" s="4"/>
      <c r="P2205" s="4"/>
      <c r="Q2205" s="4"/>
      <c r="R2205" s="4"/>
      <c r="S2205" s="4"/>
      <c r="T2205" s="4"/>
      <c r="U2205" s="4"/>
    </row>
    <row r="2206" spans="14:21" x14ac:dyDescent="0.25">
      <c r="N2206" s="4"/>
      <c r="O2206" s="4"/>
      <c r="P2206" s="4"/>
      <c r="Q2206" s="4"/>
      <c r="R2206" s="4"/>
      <c r="S2206" s="4"/>
      <c r="T2206" s="4"/>
      <c r="U2206" s="4"/>
    </row>
    <row r="2207" spans="14:21" x14ac:dyDescent="0.25">
      <c r="N2207" s="4"/>
      <c r="O2207" s="4"/>
      <c r="P2207" s="4"/>
      <c r="Q2207" s="4"/>
      <c r="R2207" s="4"/>
      <c r="S2207" s="4"/>
      <c r="T2207" s="4"/>
      <c r="U2207" s="4"/>
    </row>
    <row r="2208" spans="14:21" x14ac:dyDescent="0.25">
      <c r="N2208" s="4"/>
      <c r="O2208" s="4"/>
      <c r="P2208" s="4"/>
      <c r="Q2208" s="4"/>
      <c r="R2208" s="4"/>
      <c r="S2208" s="4"/>
      <c r="T2208" s="4"/>
      <c r="U2208" s="4"/>
    </row>
    <row r="2209" spans="14:21" x14ac:dyDescent="0.25">
      <c r="N2209" s="4"/>
      <c r="O2209" s="4"/>
      <c r="P2209" s="4"/>
      <c r="Q2209" s="4"/>
      <c r="R2209" s="4"/>
      <c r="S2209" s="4"/>
      <c r="T2209" s="4"/>
      <c r="U2209" s="4"/>
    </row>
    <row r="2210" spans="14:21" x14ac:dyDescent="0.25">
      <c r="N2210" s="4"/>
      <c r="O2210" s="4"/>
      <c r="P2210" s="4"/>
      <c r="Q2210" s="4"/>
      <c r="R2210" s="4"/>
      <c r="S2210" s="4"/>
      <c r="T2210" s="4"/>
      <c r="U2210" s="4"/>
    </row>
    <row r="2211" spans="14:21" x14ac:dyDescent="0.25">
      <c r="N2211" s="4"/>
      <c r="O2211" s="4"/>
      <c r="P2211" s="4"/>
      <c r="Q2211" s="4"/>
      <c r="R2211" s="4"/>
      <c r="S2211" s="4"/>
      <c r="T2211" s="4"/>
      <c r="U2211" s="4"/>
    </row>
    <row r="2212" spans="14:21" x14ac:dyDescent="0.25">
      <c r="N2212" s="4"/>
      <c r="O2212" s="4"/>
      <c r="P2212" s="4"/>
      <c r="Q2212" s="4"/>
      <c r="R2212" s="4"/>
      <c r="S2212" s="4"/>
      <c r="T2212" s="4"/>
      <c r="U2212" s="4"/>
    </row>
    <row r="2213" spans="14:21" x14ac:dyDescent="0.25">
      <c r="N2213" s="4"/>
      <c r="O2213" s="4"/>
      <c r="P2213" s="4"/>
      <c r="Q2213" s="4"/>
      <c r="R2213" s="4"/>
      <c r="S2213" s="4"/>
      <c r="T2213" s="4"/>
      <c r="U2213" s="4"/>
    </row>
    <row r="2214" spans="14:21" x14ac:dyDescent="0.25">
      <c r="N2214" s="4"/>
      <c r="O2214" s="4"/>
      <c r="P2214" s="4"/>
      <c r="Q2214" s="4"/>
      <c r="R2214" s="4"/>
      <c r="S2214" s="4"/>
      <c r="T2214" s="4"/>
      <c r="U2214" s="4"/>
    </row>
    <row r="2215" spans="14:21" x14ac:dyDescent="0.25">
      <c r="N2215" s="4"/>
      <c r="O2215" s="4"/>
      <c r="P2215" s="4"/>
      <c r="Q2215" s="4"/>
      <c r="R2215" s="4"/>
      <c r="S2215" s="4"/>
      <c r="T2215" s="4"/>
      <c r="U2215" s="4"/>
    </row>
    <row r="2216" spans="14:21" x14ac:dyDescent="0.25">
      <c r="N2216" s="4"/>
      <c r="O2216" s="4"/>
      <c r="P2216" s="4"/>
      <c r="Q2216" s="4"/>
      <c r="R2216" s="4"/>
      <c r="S2216" s="4"/>
      <c r="T2216" s="4"/>
      <c r="U2216" s="4"/>
    </row>
    <row r="2217" spans="14:21" x14ac:dyDescent="0.25">
      <c r="N2217" s="4"/>
      <c r="O2217" s="4"/>
      <c r="P2217" s="4"/>
      <c r="Q2217" s="4"/>
      <c r="R2217" s="4"/>
      <c r="S2217" s="4"/>
      <c r="T2217" s="4"/>
      <c r="U2217" s="4"/>
    </row>
    <row r="2218" spans="14:21" x14ac:dyDescent="0.25">
      <c r="N2218" s="4"/>
      <c r="O2218" s="4"/>
      <c r="P2218" s="4"/>
      <c r="Q2218" s="4"/>
      <c r="R2218" s="4"/>
      <c r="S2218" s="4"/>
      <c r="T2218" s="4"/>
      <c r="U2218" s="4"/>
    </row>
    <row r="2219" spans="14:21" x14ac:dyDescent="0.25">
      <c r="N2219" s="4"/>
      <c r="O2219" s="4"/>
      <c r="P2219" s="4"/>
      <c r="Q2219" s="4"/>
      <c r="R2219" s="4"/>
      <c r="S2219" s="4"/>
      <c r="T2219" s="4"/>
      <c r="U2219" s="4"/>
    </row>
    <row r="2220" spans="14:21" x14ac:dyDescent="0.25">
      <c r="N2220" s="4"/>
      <c r="O2220" s="4"/>
      <c r="P2220" s="4"/>
      <c r="Q2220" s="4"/>
      <c r="R2220" s="4"/>
      <c r="S2220" s="4"/>
      <c r="T2220" s="4"/>
      <c r="U2220" s="4"/>
    </row>
    <row r="2221" spans="14:21" x14ac:dyDescent="0.25">
      <c r="N2221" s="4"/>
      <c r="O2221" s="4"/>
      <c r="P2221" s="4"/>
      <c r="Q2221" s="4"/>
      <c r="R2221" s="4"/>
      <c r="S2221" s="4"/>
      <c r="T2221" s="4"/>
      <c r="U2221" s="4"/>
    </row>
    <row r="2222" spans="14:21" x14ac:dyDescent="0.25">
      <c r="N2222" s="4"/>
      <c r="O2222" s="4"/>
      <c r="P2222" s="4"/>
      <c r="Q2222" s="4"/>
      <c r="R2222" s="4"/>
      <c r="S2222" s="4"/>
      <c r="T2222" s="4"/>
      <c r="U2222" s="4"/>
    </row>
    <row r="2223" spans="14:21" x14ac:dyDescent="0.25">
      <c r="N2223" s="4"/>
      <c r="O2223" s="4"/>
      <c r="P2223" s="4"/>
      <c r="Q2223" s="4"/>
      <c r="R2223" s="4"/>
      <c r="S2223" s="4"/>
      <c r="T2223" s="4"/>
      <c r="U2223" s="4"/>
    </row>
    <row r="2224" spans="14:21" x14ac:dyDescent="0.25">
      <c r="N2224" s="4"/>
      <c r="O2224" s="4"/>
      <c r="P2224" s="4"/>
      <c r="Q2224" s="4"/>
      <c r="R2224" s="4"/>
      <c r="S2224" s="4"/>
      <c r="T2224" s="4"/>
      <c r="U2224" s="4"/>
    </row>
    <row r="2225" spans="14:21" x14ac:dyDescent="0.25">
      <c r="N2225" s="4"/>
      <c r="O2225" s="4"/>
      <c r="P2225" s="4"/>
      <c r="Q2225" s="4"/>
      <c r="R2225" s="4"/>
      <c r="S2225" s="4"/>
      <c r="T2225" s="4"/>
      <c r="U2225" s="4"/>
    </row>
    <row r="2226" spans="14:21" x14ac:dyDescent="0.25">
      <c r="N2226" s="4"/>
      <c r="O2226" s="4"/>
      <c r="P2226" s="4"/>
      <c r="Q2226" s="4"/>
      <c r="R2226" s="4"/>
      <c r="S2226" s="4"/>
      <c r="T2226" s="4"/>
      <c r="U2226" s="4"/>
    </row>
  </sheetData>
  <sheetProtection algorithmName="SHA-512" hashValue="lNTksVfHK6+9F7MREOBGCfxSL78PCMwCqF+SO0VDrd1/E5Y5UPV75lPHsh7eqZhPAKrAM4N1Lnp3+nj4If9ZjQ==" saltValue="htY58mN+04y8Lo4T3NAYaQ==" spinCount="100000" sheet="1" objects="1" scenarios="1"/>
  <phoneticPr fontId="6" type="noConversion"/>
  <hyperlinks>
    <hyperlink ref="I1:J1" location="Instructions!A1" display="Return to Menu"/>
  </hyperlinks>
  <pageMargins left="0.75" right="0.75" top="1" bottom="1" header="0.5" footer="0.5"/>
  <pageSetup paperSize="9" orientation="portrait" horizontalDpi="4294967292"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17"/>
  </sheetPr>
  <dimension ref="A1:AG759"/>
  <sheetViews>
    <sheetView zoomScale="85" workbookViewId="0">
      <selection activeCell="C5" sqref="C5"/>
    </sheetView>
  </sheetViews>
  <sheetFormatPr defaultRowHeight="13.2" x14ac:dyDescent="0.25"/>
  <cols>
    <col min="1" max="1" width="11.109375" customWidth="1"/>
    <col min="2" max="2" width="13" customWidth="1"/>
    <col min="4" max="4" width="10.6640625" bestFit="1" customWidth="1"/>
    <col min="6" max="6" width="10.6640625" bestFit="1" customWidth="1"/>
    <col min="16" max="16" width="9.6640625" customWidth="1"/>
    <col min="19" max="21" width="10.44140625" customWidth="1"/>
    <col min="26" max="26" width="9.6640625" customWidth="1"/>
    <col min="34" max="41" width="9.6640625" customWidth="1"/>
  </cols>
  <sheetData>
    <row r="1" spans="1:33" ht="16.8" x14ac:dyDescent="0.3">
      <c r="A1" s="56" t="s">
        <v>37</v>
      </c>
      <c r="K1" s="170" t="s">
        <v>202</v>
      </c>
      <c r="L1" s="169"/>
    </row>
    <row r="2" spans="1:33" ht="15.6" x14ac:dyDescent="0.3">
      <c r="A2" s="80" t="s">
        <v>94</v>
      </c>
      <c r="B2" s="81" t="str">
        <f>Weather_Site!D2</f>
        <v>Nicholson Street Melbourne</v>
      </c>
      <c r="C2" s="81"/>
      <c r="D2" s="81"/>
      <c r="E2" s="81"/>
    </row>
    <row r="4" spans="1:33" x14ac:dyDescent="0.25">
      <c r="A4" s="5" t="s">
        <v>38</v>
      </c>
      <c r="B4" s="5"/>
      <c r="C4" s="178">
        <v>24</v>
      </c>
      <c r="D4" s="173"/>
      <c r="E4" s="174"/>
      <c r="G4" s="199" t="s">
        <v>228</v>
      </c>
      <c r="H4" s="200"/>
      <c r="I4" s="201"/>
      <c r="J4" s="178">
        <v>3</v>
      </c>
    </row>
    <row r="5" spans="1:33" x14ac:dyDescent="0.25">
      <c r="A5" s="35" t="s">
        <v>35</v>
      </c>
      <c r="B5" s="35"/>
      <c r="C5" s="35">
        <f>Weather_Site!D6</f>
        <v>0</v>
      </c>
      <c r="G5" s="199" t="s">
        <v>673</v>
      </c>
      <c r="H5" s="200"/>
      <c r="I5" s="201"/>
      <c r="J5" s="178" t="b">
        <v>0</v>
      </c>
    </row>
    <row r="6" spans="1:33" ht="15.6" x14ac:dyDescent="0.3">
      <c r="A6" s="38"/>
      <c r="B6" s="38"/>
      <c r="C6" s="38"/>
      <c r="Y6" s="319" t="s">
        <v>658</v>
      </c>
    </row>
    <row r="7" spans="1:33" x14ac:dyDescent="0.25">
      <c r="M7" s="1" t="s">
        <v>47</v>
      </c>
      <c r="N7" s="1"/>
      <c r="O7" s="1"/>
      <c r="P7" s="1"/>
      <c r="Q7" s="1"/>
      <c r="R7" s="1"/>
      <c r="S7" s="1"/>
      <c r="T7" s="1"/>
      <c r="U7" s="1"/>
      <c r="V7" s="1"/>
      <c r="W7" s="1"/>
      <c r="X7" s="43"/>
      <c r="Y7" s="39" t="s">
        <v>51</v>
      </c>
      <c r="Z7" s="39"/>
      <c r="AA7" s="39"/>
      <c r="AB7" s="39"/>
      <c r="AC7" s="39"/>
      <c r="AD7" s="39"/>
      <c r="AE7" s="39"/>
      <c r="AF7" s="39"/>
    </row>
    <row r="8" spans="1:33" ht="79.2" x14ac:dyDescent="0.25">
      <c r="A8" s="26" t="s">
        <v>28</v>
      </c>
      <c r="B8" s="26" t="s">
        <v>32</v>
      </c>
      <c r="C8" s="26" t="s">
        <v>27</v>
      </c>
      <c r="D8" s="26" t="s">
        <v>18</v>
      </c>
      <c r="E8" s="26" t="s">
        <v>19</v>
      </c>
      <c r="F8" s="26" t="s">
        <v>24</v>
      </c>
      <c r="G8" s="26" t="s">
        <v>20</v>
      </c>
      <c r="H8" s="57" t="s">
        <v>113</v>
      </c>
      <c r="I8" s="171" t="s">
        <v>35</v>
      </c>
      <c r="J8" s="171" t="s">
        <v>229</v>
      </c>
      <c r="K8" s="57" t="s">
        <v>230</v>
      </c>
      <c r="L8" s="171" t="s">
        <v>203</v>
      </c>
      <c r="M8" s="10" t="s">
        <v>41</v>
      </c>
      <c r="N8" s="10" t="s">
        <v>42</v>
      </c>
      <c r="O8" s="10" t="s">
        <v>59</v>
      </c>
      <c r="P8" s="44" t="s">
        <v>50</v>
      </c>
      <c r="Q8" s="10" t="s">
        <v>43</v>
      </c>
      <c r="R8" s="10" t="s">
        <v>44</v>
      </c>
      <c r="S8" s="10" t="s">
        <v>45</v>
      </c>
      <c r="T8" s="10" t="s">
        <v>662</v>
      </c>
      <c r="U8" s="10" t="s">
        <v>46</v>
      </c>
      <c r="V8" s="10" t="s">
        <v>231</v>
      </c>
      <c r="W8" s="10" t="s">
        <v>232</v>
      </c>
      <c r="X8" s="44" t="s">
        <v>49</v>
      </c>
      <c r="Y8" s="40" t="s">
        <v>52</v>
      </c>
      <c r="Z8" s="40" t="s">
        <v>53</v>
      </c>
      <c r="AA8" s="40" t="s">
        <v>54</v>
      </c>
      <c r="AB8" s="40" t="s">
        <v>55</v>
      </c>
      <c r="AC8" s="40" t="s">
        <v>668</v>
      </c>
      <c r="AD8" s="40" t="s">
        <v>56</v>
      </c>
      <c r="AE8" s="40" t="s">
        <v>57</v>
      </c>
      <c r="AF8" s="40" t="s">
        <v>58</v>
      </c>
      <c r="AG8" s="320" t="s">
        <v>659</v>
      </c>
    </row>
    <row r="9" spans="1:33" x14ac:dyDescent="0.25">
      <c r="A9" s="45" t="str">
        <f>Weather_Site!A12</f>
        <v>Sun</v>
      </c>
      <c r="B9" s="46">
        <f>Weather_Site!B12</f>
        <v>44549</v>
      </c>
      <c r="C9" s="47">
        <f>Weather_Site!C12</f>
        <v>0.16666666666666666</v>
      </c>
      <c r="D9" s="48">
        <f>Weather_Site!D12</f>
        <v>23.9</v>
      </c>
      <c r="E9" s="48">
        <f>Weather_Site!E12</f>
        <v>24.2</v>
      </c>
      <c r="F9" s="49">
        <f>Weather_Site!F12</f>
        <v>36</v>
      </c>
      <c r="G9" s="48">
        <f>Weather_Site!G12</f>
        <v>16</v>
      </c>
      <c r="H9" s="48">
        <f>IF(Weather_Site!M12&lt;180,Weather_Site!M12+180,Weather_Site!M12-180)</f>
        <v>216</v>
      </c>
      <c r="I9" s="172">
        <f>C$5</f>
        <v>0</v>
      </c>
      <c r="J9" s="214">
        <f>J$4</f>
        <v>3</v>
      </c>
      <c r="K9" s="48">
        <f>G9/J9</f>
        <v>5.333333333333333</v>
      </c>
      <c r="L9" s="172">
        <f>C$4</f>
        <v>24</v>
      </c>
      <c r="M9" s="51">
        <f>IF(Use_BOM_DF,Weather_Site!H12,IF(0.191*(Weather_Site!K12+104)*(Weather_Site!J12+1)^1.5/(3.52*(Weather_Site!J12+1)^1.5+Weather_Site!I12-1)&gt;10, 10,0.191*(Weather_Site!K12+104)*(Weather_Site!J12+1)^1.5/(3.52*(Weather_Site!J12+1)^1.5+Weather_Site!I12-1)))</f>
        <v>10</v>
      </c>
      <c r="N9" s="51">
        <f>2*EXP(-0.45+0.987*LN(M9)-0.0345*E9+0.0338*D9+0.0234*G9*3/J9)</f>
        <v>17.516068634932498</v>
      </c>
      <c r="O9" s="52">
        <f>0.0012*N9*L9*EXP(0.069*I9)*1000</f>
        <v>504.46277668605586</v>
      </c>
      <c r="P9" s="52">
        <f>0.0012*X9*L9*EXP(0.069*0)*1000</f>
        <v>346.9199475008478</v>
      </c>
      <c r="Q9" s="51">
        <f>(13*O9/EXP(0.069*I9)/1000+0.24*L9-2)</f>
        <v>10.318016096918726</v>
      </c>
      <c r="R9" s="53">
        <f>IF((O9/1000*(4.17-0.033*L9)-0.36)*1000&lt;0,0,(O9/1000*(4.17-0.033*L9)-0.36)*1000)</f>
        <v>1344.0752596454968</v>
      </c>
      <c r="S9" s="53">
        <f>516.7*L9*M9/10*O9/1000</f>
        <v>6255.7420011284421</v>
      </c>
      <c r="T9" s="53">
        <f>1860*L9*M9/10</f>
        <v>44640</v>
      </c>
      <c r="U9" s="51">
        <f>3.033808*EXP(E9*(-0.00033169*D9+0.02638614))</f>
        <v>4.7422908561024055</v>
      </c>
      <c r="V9" s="52">
        <f>G9/3</f>
        <v>5.333333333333333</v>
      </c>
      <c r="W9" s="52">
        <f>G9/1.2</f>
        <v>13.333333333333334</v>
      </c>
      <c r="X9" s="51">
        <f>2*EXP(-0.45+0.987*LN(M9)-0.0345*E9+0.0338*D9+0.0234*0)</f>
        <v>12.045831510446106</v>
      </c>
      <c r="Y9" s="51">
        <f>IF(HOUR(C9)&lt;12,12.519-(0.282*D9)+(0.112*E9),6.783-(0.17*D9)+(0.133*E9))</f>
        <v>8.4896000000000011</v>
      </c>
      <c r="Z9" s="51">
        <f>IF(Use_BOM_DF,M9/10,MIN(0.972+(0.342*LN(Weather_Site!J12))-(0.245*LN(Weather_Site!I12)),1))</f>
        <v>1</v>
      </c>
      <c r="AA9" s="52">
        <f>(0.22*L9*EXP(0.158*(1.674+0.179*G9)-0.227*Y9))*Z9*60</f>
        <v>94.456126791723477</v>
      </c>
      <c r="AB9" s="52">
        <f>AA9*EXP(0.0662*I9)</f>
        <v>94.456126791723477</v>
      </c>
      <c r="AC9" s="52">
        <f>(0.22*L9*EXP(0.158*0-0.227*Y9))*Z9*60</f>
        <v>46.114685646764542</v>
      </c>
      <c r="AD9" s="51">
        <f>0.3048*31.7537*(1-EXP(-0.31772*AB9/18.3))*(1-EXP(-(0.03644*1.1289^(AB9/18.3))*(Z9*L9/2.2417)))</f>
        <v>4.0395286999550422</v>
      </c>
      <c r="AE9" s="51">
        <f>IF(D9&lt;20,-2.19+(2.23*SQRT(AA9)),-0.296+(2.23*SQRT(AA9)))</f>
        <v>21.377044846596007</v>
      </c>
      <c r="AF9" s="53">
        <f>18000*(L9*Z9)*AB9/36000</f>
        <v>1133.4735215006817</v>
      </c>
      <c r="AG9" s="323">
        <f>34.8 * M9 * EXP(0.0234 * G9) * U9 ^ -2.1</f>
        <v>19.257677333096588</v>
      </c>
    </row>
    <row r="10" spans="1:33" x14ac:dyDescent="0.25">
      <c r="A10" s="23" t="str">
        <f>Weather_Site!A13</f>
        <v>Sun</v>
      </c>
      <c r="B10" s="24">
        <f>Weather_Site!B13</f>
        <v>44549</v>
      </c>
      <c r="C10" s="25">
        <f>Weather_Site!C13</f>
        <v>0.20833333333333334</v>
      </c>
      <c r="D10" s="27">
        <f>Weather_Site!D13</f>
        <v>23.6</v>
      </c>
      <c r="E10" s="27">
        <f>Weather_Site!E13</f>
        <v>24.4</v>
      </c>
      <c r="F10" s="28">
        <f>Weather_Site!F13</f>
        <v>312</v>
      </c>
      <c r="G10" s="27">
        <f>Weather_Site!G13</f>
        <v>13</v>
      </c>
      <c r="H10" s="27">
        <f>IF(Weather_Site!M13&lt;180,Weather_Site!M13+180,Weather_Site!M13-180)</f>
        <v>132</v>
      </c>
      <c r="I10" s="172">
        <f t="shared" ref="I10:I14" si="0">C$5</f>
        <v>0</v>
      </c>
      <c r="J10" s="214">
        <f t="shared" ref="J10:J13" si="1">J$4</f>
        <v>3</v>
      </c>
      <c r="K10" s="27">
        <f t="shared" ref="K10:K25" si="2">G10/J10</f>
        <v>4.333333333333333</v>
      </c>
      <c r="L10" s="172">
        <f t="shared" ref="L10:L11" si="3">C$4</f>
        <v>24</v>
      </c>
      <c r="M10" s="32">
        <f>IF(Use_BOM_DF,Weather_Site!H13,IF(0.191*(Weather_Site!K13+104)*(Weather_Site!J13+1)^1.5/(3.52*(Weather_Site!J13+1)^1.5+Weather_Site!I13-1)&gt;10, 10,0.191*(Weather_Site!K13+104)*(Weather_Site!J13+1)^1.5/(3.52*(Weather_Site!J13+1)^1.5+Weather_Site!I13-1)))</f>
        <v>10</v>
      </c>
      <c r="N10" s="32">
        <f t="shared" ref="N10:N25" si="4">2*EXP(-0.45+0.987*LN(M10)-0.0345*E10+0.0338*D10+0.0234*G10*3/J10)</f>
        <v>16.052725806631802</v>
      </c>
      <c r="O10" s="33">
        <f t="shared" ref="O10:O25" si="5">0.0012*N10*L10*EXP(0.069*I10)*1000</f>
        <v>462.31850323099587</v>
      </c>
      <c r="P10" s="33">
        <f t="shared" ref="P10:P25" si="6">0.0012*X10*L10*EXP(0.069*0)*1000</f>
        <v>341.05851284596872</v>
      </c>
      <c r="Q10" s="266">
        <f t="shared" ref="Q10:Q25" si="7">(13*O10/EXP(0.069*I10)/1000+0.24*L10-2)</f>
        <v>9.7701405420029452</v>
      </c>
      <c r="R10" s="268">
        <f t="shared" ref="R10:R25" si="8">IF((O10/1000*(4.17-0.033*L10)-0.36)*1000&lt;0,0,(O10/1000*(4.17-0.033*L10)-0.36)*1000)</f>
        <v>1201.7119039143042</v>
      </c>
      <c r="S10" s="42">
        <f t="shared" ref="S10:S25" si="9">516.7*L10*M10/10*O10/1000</f>
        <v>5733.1192948669341</v>
      </c>
      <c r="T10" s="42">
        <f t="shared" ref="T10:T25" si="10">1860*L10*M10/10</f>
        <v>44640</v>
      </c>
      <c r="U10" s="32">
        <f t="shared" ref="U10:U25" si="11">3.033808*EXP(E10*(-0.00033169*D10+0.02638614))</f>
        <v>4.771401334290938</v>
      </c>
      <c r="V10" s="33">
        <f t="shared" ref="V10:V25" si="12">G10/3</f>
        <v>4.333333333333333</v>
      </c>
      <c r="W10" s="33">
        <f t="shared" ref="W10:W25" si="13">G10/1.2</f>
        <v>10.833333333333334</v>
      </c>
      <c r="X10" s="32">
        <f t="shared" ref="X10:X25" si="14">2*EXP(-0.45+0.987*LN(M10)-0.0345*E10+0.0338*D10+0.0234*0)</f>
        <v>11.842309473818359</v>
      </c>
      <c r="Y10" s="266">
        <f t="shared" ref="Y10:Y25" si="15">IF(HOUR(C10)&lt;12,12.519-(0.282*D10)+(0.112*E10),6.783-(0.17*D10)+(0.133*E10))</f>
        <v>8.5966000000000005</v>
      </c>
      <c r="Z10" s="266">
        <f>IF(Use_BOM_DF,M10/10,MIN(0.972+(0.342*LN(Weather_Site!J13))-(0.245*LN(Weather_Site!I13)),1))</f>
        <v>1</v>
      </c>
      <c r="AA10" s="265">
        <f t="shared" ref="AA10:AA25" si="16">(0.22*L10*EXP(0.158*(1.674+0.179*G10)-0.227*Y10))*Z10*60</f>
        <v>84.69024805794605</v>
      </c>
      <c r="AB10" s="265">
        <f t="shared" ref="AB10:AB25" si="17">AA10*EXP(0.0662*I10)</f>
        <v>84.69024805794605</v>
      </c>
      <c r="AC10" s="265">
        <f t="shared" ref="AC10:AC25" si="18">(0.22*L10*EXP(0.158*0-0.227*Y10))*Z10*60</f>
        <v>45.008099386449906</v>
      </c>
      <c r="AD10" s="266">
        <f t="shared" ref="AD10:AD25" si="19">0.3048*31.7537*(1-EXP(-0.31772*AB10/18.3))*(1-EXP(-(0.03644*1.1289^(AB10/18.3))*(Z10*L10/2.2417)))</f>
        <v>3.6918066982323401</v>
      </c>
      <c r="AE10" s="32">
        <f t="shared" ref="AE10:AE25" si="20">IF(D10&lt;20,-2.19+(2.23*SQRT(AA10)),-0.296+(2.23*SQRT(AA10)))</f>
        <v>20.226088942584767</v>
      </c>
      <c r="AF10" s="42">
        <f t="shared" ref="AF10:AF25" si="21">18000*(L10*Z10)*AB10/36000</f>
        <v>1016.2829766953525</v>
      </c>
      <c r="AG10" s="83">
        <f t="shared" ref="AG10:AG25" si="22">34.8 * M10 * EXP(0.0234 * G10) * U10 ^ -2.1</f>
        <v>17.722914210090096</v>
      </c>
    </row>
    <row r="11" spans="1:33" x14ac:dyDescent="0.25">
      <c r="A11" s="23" t="str">
        <f>Weather_Site!A14</f>
        <v>Sun</v>
      </c>
      <c r="B11" s="24">
        <f>Weather_Site!B14</f>
        <v>44549</v>
      </c>
      <c r="C11" s="25">
        <f>Weather_Site!C14</f>
        <v>0.25</v>
      </c>
      <c r="D11" s="27">
        <f>Weather_Site!D14</f>
        <v>22.7</v>
      </c>
      <c r="E11" s="27">
        <f>Weather_Site!E14</f>
        <v>27.3</v>
      </c>
      <c r="F11" s="28">
        <f>Weather_Site!F14</f>
        <v>336</v>
      </c>
      <c r="G11" s="27">
        <f>Weather_Site!G14</f>
        <v>16</v>
      </c>
      <c r="H11" s="27">
        <f>IF(Weather_Site!M14&lt;180,Weather_Site!M14+180,Weather_Site!M14-180)</f>
        <v>156</v>
      </c>
      <c r="I11" s="172">
        <f t="shared" si="0"/>
        <v>0</v>
      </c>
      <c r="J11" s="214">
        <f t="shared" si="1"/>
        <v>3</v>
      </c>
      <c r="K11" s="27">
        <f t="shared" si="2"/>
        <v>5.333333333333333</v>
      </c>
      <c r="L11" s="172">
        <f t="shared" si="3"/>
        <v>24</v>
      </c>
      <c r="M11" s="32">
        <f>IF(Use_BOM_DF,Weather_Site!H14,IF(0.191*(Weather_Site!K14+104)*(Weather_Site!J14+1)^1.5/(3.52*(Weather_Site!J14+1)^1.5+Weather_Site!I14-1)&gt;10, 10,0.191*(Weather_Site!K14+104)*(Weather_Site!J14+1)^1.5/(3.52*(Weather_Site!J14+1)^1.5+Weather_Site!I14-1)))</f>
        <v>10</v>
      </c>
      <c r="N11" s="32">
        <f t="shared" si="4"/>
        <v>15.113806553321199</v>
      </c>
      <c r="O11" s="33">
        <f t="shared" si="5"/>
        <v>435.27762873565052</v>
      </c>
      <c r="P11" s="33">
        <f t="shared" si="6"/>
        <v>299.34119837595432</v>
      </c>
      <c r="Q11" s="266">
        <f t="shared" si="7"/>
        <v>9.4186091735634569</v>
      </c>
      <c r="R11" s="268">
        <f t="shared" si="8"/>
        <v>1110.3678298690274</v>
      </c>
      <c r="S11" s="42">
        <f t="shared" si="9"/>
        <v>5397.7908184250555</v>
      </c>
      <c r="T11" s="42">
        <f t="shared" si="10"/>
        <v>44640</v>
      </c>
      <c r="U11" s="32">
        <f t="shared" si="11"/>
        <v>5.0764317746832441</v>
      </c>
      <c r="V11" s="33">
        <f t="shared" si="12"/>
        <v>5.333333333333333</v>
      </c>
      <c r="W11" s="33">
        <f t="shared" si="13"/>
        <v>13.333333333333334</v>
      </c>
      <c r="X11" s="32">
        <f t="shared" si="14"/>
        <v>10.393791610276192</v>
      </c>
      <c r="Y11" s="266">
        <f t="shared" si="15"/>
        <v>9.175200000000002</v>
      </c>
      <c r="Z11" s="266">
        <f>IF(Use_BOM_DF,M11/10,MIN(0.972+(0.342*LN(Weather_Site!J14))-(0.245*LN(Weather_Site!I14)),1))</f>
        <v>1</v>
      </c>
      <c r="AA11" s="265">
        <f t="shared" si="16"/>
        <v>80.842616623354502</v>
      </c>
      <c r="AB11" s="265">
        <f t="shared" si="17"/>
        <v>80.842616623354502</v>
      </c>
      <c r="AC11" s="265">
        <f t="shared" si="18"/>
        <v>39.468396376957458</v>
      </c>
      <c r="AD11" s="266">
        <f t="shared" si="19"/>
        <v>3.5517335332918085</v>
      </c>
      <c r="AE11" s="32">
        <f t="shared" si="20"/>
        <v>19.754492467924067</v>
      </c>
      <c r="AF11" s="42">
        <f t="shared" si="21"/>
        <v>970.11139948025414</v>
      </c>
      <c r="AG11" s="83">
        <f t="shared" si="22"/>
        <v>16.691913865570559</v>
      </c>
    </row>
    <row r="12" spans="1:33" x14ac:dyDescent="0.25">
      <c r="A12" s="23" t="str">
        <f>Weather_Site!A15</f>
        <v>Sun</v>
      </c>
      <c r="B12" s="24">
        <f>Weather_Site!B15</f>
        <v>44549</v>
      </c>
      <c r="C12" s="25">
        <f>Weather_Site!C15</f>
        <v>0.29166666666666669</v>
      </c>
      <c r="D12" s="27">
        <f>Weather_Site!D15</f>
        <v>23</v>
      </c>
      <c r="E12" s="27">
        <f>Weather_Site!E15</f>
        <v>28.2</v>
      </c>
      <c r="F12" s="28">
        <f>Weather_Site!F15</f>
        <v>2</v>
      </c>
      <c r="G12" s="27">
        <f>Weather_Site!G15</f>
        <v>25</v>
      </c>
      <c r="H12" s="27">
        <f>IF(Weather_Site!M15&lt;180,Weather_Site!M15+180,Weather_Site!M15-180)</f>
        <v>182</v>
      </c>
      <c r="I12" s="172">
        <f t="shared" si="0"/>
        <v>0</v>
      </c>
      <c r="J12" s="214">
        <f t="shared" si="1"/>
        <v>3</v>
      </c>
      <c r="K12" s="27">
        <f t="shared" si="2"/>
        <v>8.3333333333333339</v>
      </c>
      <c r="L12" s="172">
        <f t="shared" ref="L12:L13" si="23">C$4</f>
        <v>24</v>
      </c>
      <c r="M12" s="32">
        <f>IF(Use_BOM_DF,Weather_Site!H15,IF(0.191*(Weather_Site!K15+104)*(Weather_Site!J15+1)^1.5/(3.52*(Weather_Site!J15+1)^1.5+Weather_Site!I15-1)&gt;10, 10,0.191*(Weather_Site!K15+104)*(Weather_Site!J15+1)^1.5/(3.52*(Weather_Site!J15+1)^1.5+Weather_Site!I15-1)))</f>
        <v>6.3278138802666488</v>
      </c>
      <c r="N12" s="32">
        <f t="shared" si="4"/>
        <v>11.630344477962781</v>
      </c>
      <c r="O12" s="33">
        <f t="shared" si="5"/>
        <v>334.95392096532805</v>
      </c>
      <c r="P12" s="33">
        <f t="shared" si="6"/>
        <v>186.60479280675588</v>
      </c>
      <c r="Q12" s="266">
        <f t="shared" si="7"/>
        <v>8.1144009725492658</v>
      </c>
      <c r="R12" s="268">
        <f t="shared" si="8"/>
        <v>771.47434502087822</v>
      </c>
      <c r="S12" s="42">
        <f t="shared" si="9"/>
        <v>2628.3818892999611</v>
      </c>
      <c r="T12" s="42">
        <f t="shared" si="10"/>
        <v>28247.361161510322</v>
      </c>
      <c r="U12" s="32">
        <f t="shared" si="11"/>
        <v>5.1488511397470536</v>
      </c>
      <c r="V12" s="33">
        <f t="shared" si="12"/>
        <v>8.3333333333333339</v>
      </c>
      <c r="W12" s="33">
        <f t="shared" si="13"/>
        <v>20.833333333333336</v>
      </c>
      <c r="X12" s="32">
        <f t="shared" si="14"/>
        <v>6.479333083567913</v>
      </c>
      <c r="Y12" s="266">
        <f t="shared" si="15"/>
        <v>9.1913999999999998</v>
      </c>
      <c r="Z12" s="266">
        <f>IF(Use_BOM_DF,M12/10,MIN(0.972+(0.342*LN(Weather_Site!J15))-(0.245*LN(Weather_Site!I15)),1))</f>
        <v>0.64492298796795999</v>
      </c>
      <c r="AA12" s="265">
        <f t="shared" si="16"/>
        <v>67.003207550027156</v>
      </c>
      <c r="AB12" s="265">
        <f t="shared" si="17"/>
        <v>67.003207550027156</v>
      </c>
      <c r="AC12" s="265">
        <f t="shared" si="18"/>
        <v>25.360643202602773</v>
      </c>
      <c r="AD12" s="266">
        <f t="shared" si="19"/>
        <v>2.158915411190018</v>
      </c>
      <c r="AE12" s="32">
        <f t="shared" si="20"/>
        <v>17.957773605080405</v>
      </c>
      <c r="AF12" s="42">
        <f t="shared" si="21"/>
        <v>518.54290579921064</v>
      </c>
      <c r="AG12" s="83">
        <f t="shared" si="22"/>
        <v>12.656205186086616</v>
      </c>
    </row>
    <row r="13" spans="1:33" x14ac:dyDescent="0.25">
      <c r="A13" s="23" t="str">
        <f>Weather_Site!A16</f>
        <v>Sun</v>
      </c>
      <c r="B13" s="24">
        <f>Weather_Site!B16</f>
        <v>44549</v>
      </c>
      <c r="C13" s="25">
        <f>Weather_Site!C16</f>
        <v>0.33333333333333331</v>
      </c>
      <c r="D13" s="27">
        <f>Weather_Site!D16</f>
        <v>25.3</v>
      </c>
      <c r="E13" s="27">
        <f>Weather_Site!E16</f>
        <v>26</v>
      </c>
      <c r="F13" s="28">
        <f>Weather_Site!F16</f>
        <v>0</v>
      </c>
      <c r="G13" s="27">
        <f>Weather_Site!G16</f>
        <v>32</v>
      </c>
      <c r="H13" s="27">
        <f>IF(Weather_Site!M16&lt;180,Weather_Site!M16+180,Weather_Site!M16-180)</f>
        <v>180</v>
      </c>
      <c r="I13" s="172">
        <f t="shared" si="0"/>
        <v>0</v>
      </c>
      <c r="J13" s="214">
        <f t="shared" si="1"/>
        <v>3</v>
      </c>
      <c r="K13" s="27">
        <f t="shared" si="2"/>
        <v>10.666666666666666</v>
      </c>
      <c r="L13" s="172">
        <f t="shared" si="23"/>
        <v>24</v>
      </c>
      <c r="M13" s="32">
        <f>IF(Use_BOM_DF,Weather_Site!H16,IF(0.191*(Weather_Site!K16+104)*(Weather_Site!J16+1)^1.5/(3.52*(Weather_Site!J16+1)^1.5+Weather_Site!I16-1)&gt;10, 10,0.191*(Weather_Site!K16+104)*(Weather_Site!J16+1)^1.5/(3.52*(Weather_Site!J16+1)^1.5+Weather_Site!I16-1)))</f>
        <v>4.1167249825052483</v>
      </c>
      <c r="N13" s="32">
        <f t="shared" si="4"/>
        <v>10.451540328813513</v>
      </c>
      <c r="O13" s="33">
        <f t="shared" si="5"/>
        <v>301.00436146982918</v>
      </c>
      <c r="P13" s="33">
        <f t="shared" si="6"/>
        <v>142.35511627234257</v>
      </c>
      <c r="Q13" s="266">
        <f t="shared" si="7"/>
        <v>7.6730566991077787</v>
      </c>
      <c r="R13" s="268">
        <f t="shared" si="8"/>
        <v>656.79273304508297</v>
      </c>
      <c r="S13" s="42">
        <f t="shared" si="9"/>
        <v>1536.6478288092753</v>
      </c>
      <c r="T13" s="42">
        <f t="shared" si="10"/>
        <v>18377.060321903431</v>
      </c>
      <c r="U13" s="32">
        <f t="shared" si="11"/>
        <v>4.8436693038426819</v>
      </c>
      <c r="V13" s="33">
        <f t="shared" si="12"/>
        <v>10.666666666666666</v>
      </c>
      <c r="W13" s="33">
        <f t="shared" si="13"/>
        <v>26.666666666666668</v>
      </c>
      <c r="X13" s="32">
        <f t="shared" si="14"/>
        <v>4.942885981678562</v>
      </c>
      <c r="Y13" s="266">
        <f t="shared" si="15"/>
        <v>8.2964000000000002</v>
      </c>
      <c r="Z13" s="266">
        <f>IF(Use_BOM_DF,M13/10,MIN(0.972+(0.342*LN(Weather_Site!J16))-(0.245*LN(Weather_Site!I16)),1))</f>
        <v>0.51443204421726552</v>
      </c>
      <c r="AA13" s="265">
        <f t="shared" si="16"/>
        <v>79.82302896129039</v>
      </c>
      <c r="AB13" s="265">
        <f t="shared" si="17"/>
        <v>79.82302896129039</v>
      </c>
      <c r="AC13" s="265">
        <f t="shared" si="18"/>
        <v>24.786423067310665</v>
      </c>
      <c r="AD13" s="266">
        <f t="shared" si="19"/>
        <v>2.09492527039622</v>
      </c>
      <c r="AE13" s="32">
        <f t="shared" si="20"/>
        <v>19.627652795649723</v>
      </c>
      <c r="AF13" s="42">
        <f t="shared" si="21"/>
        <v>492.76228757004719</v>
      </c>
      <c r="AG13" s="83">
        <f t="shared" si="22"/>
        <v>11.027178114278223</v>
      </c>
    </row>
    <row r="14" spans="1:33" x14ac:dyDescent="0.25">
      <c r="A14" s="23" t="str">
        <f>Weather_Site!A17</f>
        <v>Sun</v>
      </c>
      <c r="B14" s="24">
        <f>Weather_Site!B17</f>
        <v>44549</v>
      </c>
      <c r="C14" s="25">
        <f>Weather_Site!C17</f>
        <v>0.375</v>
      </c>
      <c r="D14" s="27">
        <f>Weather_Site!D17</f>
        <v>27.7</v>
      </c>
      <c r="E14" s="27">
        <f>Weather_Site!E17</f>
        <v>28</v>
      </c>
      <c r="F14" s="28">
        <f>Weather_Site!F17</f>
        <v>328</v>
      </c>
      <c r="G14" s="27">
        <f>Weather_Site!G17</f>
        <v>27</v>
      </c>
      <c r="H14" s="27">
        <f>IF(Weather_Site!M17&lt;180,Weather_Site!M17+180,Weather_Site!M17-180)</f>
        <v>148</v>
      </c>
      <c r="I14" s="172">
        <f t="shared" si="0"/>
        <v>0</v>
      </c>
      <c r="J14" s="214">
        <f t="shared" ref="J14:J25" si="24">J$4</f>
        <v>3</v>
      </c>
      <c r="K14" s="27">
        <f t="shared" si="2"/>
        <v>9</v>
      </c>
      <c r="L14" s="172">
        <f t="shared" ref="L14:L25" si="25">C$4</f>
        <v>24</v>
      </c>
      <c r="M14" s="32">
        <f>IF(Use_BOM_DF,Weather_Site!H17,IF(0.191*(Weather_Site!K17+104)*(Weather_Site!J17+1)^1.5/(3.52*(Weather_Site!J17+1)^1.5+Weather_Site!I17-1)&gt;10, 10,0.191*(Weather_Site!K17+104)*(Weather_Site!J17+1)^1.5/(3.52*(Weather_Site!J17+1)^1.5+Weather_Site!I17-1)))</f>
        <v>7.882539682539683</v>
      </c>
      <c r="N14" s="32">
        <f t="shared" si="4"/>
        <v>17.868097771207069</v>
      </c>
      <c r="O14" s="33">
        <f t="shared" si="5"/>
        <v>514.60121581076362</v>
      </c>
      <c r="P14" s="33">
        <f t="shared" si="6"/>
        <v>273.57950176099183</v>
      </c>
      <c r="Q14" s="266">
        <f t="shared" si="7"/>
        <v>10.449815805539927</v>
      </c>
      <c r="R14" s="42">
        <f t="shared" si="8"/>
        <v>1378.3229070087596</v>
      </c>
      <c r="S14" s="42">
        <f t="shared" si="9"/>
        <v>5030.2164945066197</v>
      </c>
      <c r="T14" s="42">
        <f t="shared" si="10"/>
        <v>35187.657142857141</v>
      </c>
      <c r="U14" s="32">
        <f t="shared" si="11"/>
        <v>4.9104802721707843</v>
      </c>
      <c r="V14" s="33">
        <f t="shared" si="12"/>
        <v>9</v>
      </c>
      <c r="W14" s="33">
        <f t="shared" si="13"/>
        <v>22.5</v>
      </c>
      <c r="X14" s="32">
        <f t="shared" si="14"/>
        <v>9.4992882555899953</v>
      </c>
      <c r="Y14" s="266">
        <f t="shared" si="15"/>
        <v>7.8436000000000012</v>
      </c>
      <c r="Z14" s="266" t="e">
        <f>IF(Use_BOM_DF,M14/10,MIN(0.972+(0.342*LN(Weather_Site!J17))-(0.245*LN(Weather_Site!I17)),1))</f>
        <v>#NUM!</v>
      </c>
      <c r="AA14" s="265" t="e">
        <f t="shared" si="16"/>
        <v>#NUM!</v>
      </c>
      <c r="AB14" s="265" t="e">
        <f t="shared" si="17"/>
        <v>#NUM!</v>
      </c>
      <c r="AC14" s="265" t="e">
        <f t="shared" si="18"/>
        <v>#NUM!</v>
      </c>
      <c r="AD14" s="32" t="e">
        <f t="shared" si="19"/>
        <v>#NUM!</v>
      </c>
      <c r="AE14" s="32" t="e">
        <f t="shared" si="20"/>
        <v>#NUM!</v>
      </c>
      <c r="AF14" s="42" t="e">
        <f t="shared" si="21"/>
        <v>#NUM!</v>
      </c>
      <c r="AG14" s="83">
        <f t="shared" si="22"/>
        <v>18.250397379164699</v>
      </c>
    </row>
    <row r="15" spans="1:33" x14ac:dyDescent="0.25">
      <c r="A15" s="45" t="str">
        <f>Weather_Site!A18</f>
        <v>Sun</v>
      </c>
      <c r="B15" s="46">
        <f>Weather_Site!B18</f>
        <v>44549</v>
      </c>
      <c r="C15" s="47">
        <f>Weather_Site!C18</f>
        <v>0.41666666666666669</v>
      </c>
      <c r="D15" s="48">
        <f>Weather_Site!D18</f>
        <v>28.9</v>
      </c>
      <c r="E15" s="48">
        <f>Weather_Site!E18</f>
        <v>31.9</v>
      </c>
      <c r="F15" s="49">
        <f>Weather_Site!F18</f>
        <v>328</v>
      </c>
      <c r="G15" s="48">
        <f>Weather_Site!G18</f>
        <v>42</v>
      </c>
      <c r="H15" s="48">
        <f>IF(Weather_Site!M18&lt;180,Weather_Site!M18+180,Weather_Site!M18-180)</f>
        <v>148</v>
      </c>
      <c r="I15" s="172">
        <f t="shared" ref="I15:I25" si="26">C$5</f>
        <v>0</v>
      </c>
      <c r="J15" s="214">
        <f t="shared" si="24"/>
        <v>3</v>
      </c>
      <c r="K15" s="48">
        <f t="shared" si="2"/>
        <v>14</v>
      </c>
      <c r="L15" s="172">
        <f t="shared" si="25"/>
        <v>24</v>
      </c>
      <c r="M15" s="51">
        <f>IF(Use_BOM_DF,Weather_Site!H18,IF(0.191*(Weather_Site!K18+104)*(Weather_Site!J18+1)^1.5/(3.52*(Weather_Site!J18+1)^1.5+Weather_Site!I18-1)&gt;10, 10,0.191*(Weather_Site!K18+104)*(Weather_Site!J18+1)^1.5/(3.52*(Weather_Site!J18+1)^1.5+Weather_Site!I18-1)))</f>
        <v>7.882539682539683</v>
      </c>
      <c r="N15" s="51">
        <f t="shared" si="4"/>
        <v>23.104487791241652</v>
      </c>
      <c r="O15" s="52">
        <f t="shared" si="5"/>
        <v>665.40924838775948</v>
      </c>
      <c r="P15" s="52">
        <f t="shared" si="6"/>
        <v>249.03719491494567</v>
      </c>
      <c r="Q15" s="51">
        <f t="shared" si="7"/>
        <v>12.410320229040874</v>
      </c>
      <c r="R15" s="53">
        <f t="shared" si="8"/>
        <v>1887.752441053852</v>
      </c>
      <c r="S15" s="53">
        <f t="shared" si="9"/>
        <v>6504.3619680607635</v>
      </c>
      <c r="T15" s="53">
        <f t="shared" si="10"/>
        <v>35187.657142857141</v>
      </c>
      <c r="U15" s="51">
        <f t="shared" si="11"/>
        <v>5.18488744807998</v>
      </c>
      <c r="V15" s="52">
        <f t="shared" si="12"/>
        <v>14</v>
      </c>
      <c r="W15" s="52">
        <f t="shared" si="13"/>
        <v>35</v>
      </c>
      <c r="X15" s="51">
        <f t="shared" si="14"/>
        <v>8.6471248234356146</v>
      </c>
      <c r="Y15" s="51">
        <f t="shared" si="15"/>
        <v>7.9420000000000011</v>
      </c>
      <c r="Z15" s="51" t="e">
        <f>IF(Use_BOM_DF,M15/10,MIN(0.972+(0.342*LN(Weather_Site!J18))-(0.245*LN(Weather_Site!I18)),1))</f>
        <v>#NUM!</v>
      </c>
      <c r="AA15" s="52" t="e">
        <f t="shared" si="16"/>
        <v>#NUM!</v>
      </c>
      <c r="AB15" s="52" t="e">
        <f t="shared" si="17"/>
        <v>#NUM!</v>
      </c>
      <c r="AC15" s="52" t="e">
        <f t="shared" si="18"/>
        <v>#NUM!</v>
      </c>
      <c r="AD15" s="51" t="e">
        <f t="shared" si="19"/>
        <v>#NUM!</v>
      </c>
      <c r="AE15" s="51" t="e">
        <f t="shared" si="20"/>
        <v>#NUM!</v>
      </c>
      <c r="AF15" s="53" t="e">
        <f t="shared" si="21"/>
        <v>#NUM!</v>
      </c>
      <c r="AG15" s="323">
        <f t="shared" si="22"/>
        <v>23.126900217317136</v>
      </c>
    </row>
    <row r="16" spans="1:33" x14ac:dyDescent="0.25">
      <c r="A16" s="45" t="str">
        <f>Weather_Site!A19</f>
        <v>Sun</v>
      </c>
      <c r="B16" s="46">
        <f>Weather_Site!B19</f>
        <v>44549</v>
      </c>
      <c r="C16" s="47">
        <f>Weather_Site!C19</f>
        <v>0.45833333333333331</v>
      </c>
      <c r="D16" s="48">
        <f>Weather_Site!D19</f>
        <v>29.1</v>
      </c>
      <c r="E16" s="48">
        <f>Weather_Site!E19</f>
        <v>35.1</v>
      </c>
      <c r="F16" s="49">
        <f>Weather_Site!F19</f>
        <v>326</v>
      </c>
      <c r="G16" s="48">
        <f>Weather_Site!G19</f>
        <v>43</v>
      </c>
      <c r="H16" s="48">
        <f>IF(Weather_Site!M19&lt;180,Weather_Site!M19+180,Weather_Site!M19-180)</f>
        <v>146</v>
      </c>
      <c r="I16" s="172">
        <f t="shared" si="26"/>
        <v>0</v>
      </c>
      <c r="J16" s="214">
        <f t="shared" si="24"/>
        <v>3</v>
      </c>
      <c r="K16" s="48">
        <f t="shared" si="2"/>
        <v>14.333333333333334</v>
      </c>
      <c r="L16" s="172">
        <f t="shared" si="25"/>
        <v>24</v>
      </c>
      <c r="M16" s="51">
        <f>IF(Use_BOM_DF,Weather_Site!H19,IF(0.191*(Weather_Site!K19+104)*(Weather_Site!J19+1)^1.5/(3.52*(Weather_Site!J19+1)^1.5+Weather_Site!I19-1)&gt;10, 10,0.191*(Weather_Site!K19+104)*(Weather_Site!J19+1)^1.5/(3.52*(Weather_Site!J19+1)^1.5+Weather_Site!I19-1)))</f>
        <v>7.882539682539683</v>
      </c>
      <c r="N16" s="51">
        <f t="shared" si="4"/>
        <v>21.323012217901439</v>
      </c>
      <c r="O16" s="52">
        <f t="shared" si="5"/>
        <v>614.10275187556135</v>
      </c>
      <c r="P16" s="52">
        <f t="shared" si="6"/>
        <v>224.51943250475267</v>
      </c>
      <c r="Q16" s="51">
        <f t="shared" si="7"/>
        <v>11.743335774382299</v>
      </c>
      <c r="R16" s="53">
        <f t="shared" si="8"/>
        <v>1714.4390958356466</v>
      </c>
      <c r="S16" s="53">
        <f t="shared" si="9"/>
        <v>6002.8420005566222</v>
      </c>
      <c r="T16" s="53">
        <f t="shared" si="10"/>
        <v>35187.657142857141</v>
      </c>
      <c r="U16" s="51">
        <f t="shared" si="11"/>
        <v>5.4585360288975133</v>
      </c>
      <c r="V16" s="52">
        <f t="shared" si="12"/>
        <v>14.333333333333334</v>
      </c>
      <c r="W16" s="52">
        <f t="shared" si="13"/>
        <v>35.833333333333336</v>
      </c>
      <c r="X16" s="51">
        <f t="shared" si="14"/>
        <v>7.795813628637247</v>
      </c>
      <c r="Y16" s="51">
        <f t="shared" si="15"/>
        <v>8.2440000000000015</v>
      </c>
      <c r="Z16" s="51" t="e">
        <f>IF(Use_BOM_DF,M16/10,MIN(0.972+(0.342*LN(Weather_Site!J19))-(0.245*LN(Weather_Site!I19)),1))</f>
        <v>#NUM!</v>
      </c>
      <c r="AA16" s="52" t="e">
        <f t="shared" si="16"/>
        <v>#NUM!</v>
      </c>
      <c r="AB16" s="52" t="e">
        <f t="shared" si="17"/>
        <v>#NUM!</v>
      </c>
      <c r="AC16" s="52" t="e">
        <f t="shared" si="18"/>
        <v>#NUM!</v>
      </c>
      <c r="AD16" s="51" t="e">
        <f t="shared" si="19"/>
        <v>#NUM!</v>
      </c>
      <c r="AE16" s="51" t="e">
        <f t="shared" si="20"/>
        <v>#NUM!</v>
      </c>
      <c r="AF16" s="53" t="e">
        <f t="shared" si="21"/>
        <v>#NUM!</v>
      </c>
      <c r="AG16" s="323">
        <f t="shared" si="22"/>
        <v>21.250665579799524</v>
      </c>
    </row>
    <row r="17" spans="1:33" x14ac:dyDescent="0.25">
      <c r="A17" s="45" t="str">
        <f>Weather_Site!A20</f>
        <v>Sun</v>
      </c>
      <c r="B17" s="46">
        <f>Weather_Site!B20</f>
        <v>44549</v>
      </c>
      <c r="C17" s="47">
        <f>Weather_Site!C20</f>
        <v>0.5</v>
      </c>
      <c r="D17" s="48">
        <f>Weather_Site!D20</f>
        <v>29.1</v>
      </c>
      <c r="E17" s="48">
        <f>Weather_Site!E20</f>
        <v>39</v>
      </c>
      <c r="F17" s="49">
        <f>Weather_Site!F20</f>
        <v>292</v>
      </c>
      <c r="G17" s="48">
        <f>Weather_Site!G20</f>
        <v>45</v>
      </c>
      <c r="H17" s="48">
        <f>IF(Weather_Site!M20&lt;180,Weather_Site!M20+180,Weather_Site!M20-180)</f>
        <v>112</v>
      </c>
      <c r="I17" s="172">
        <f t="shared" si="26"/>
        <v>0</v>
      </c>
      <c r="J17" s="214">
        <f t="shared" si="24"/>
        <v>3</v>
      </c>
      <c r="K17" s="48">
        <f t="shared" si="2"/>
        <v>15</v>
      </c>
      <c r="L17" s="172">
        <f t="shared" si="25"/>
        <v>24</v>
      </c>
      <c r="M17" s="51">
        <f>IF(Use_BOM_DF,Weather_Site!H20,IF(0.191*(Weather_Site!K20+104)*(Weather_Site!J20+1)^1.5/(3.52*(Weather_Site!J20+1)^1.5+Weather_Site!I20-1)&gt;10, 10,0.191*(Weather_Site!K20+104)*(Weather_Site!J20+1)^1.5/(3.52*(Weather_Site!J20+1)^1.5+Weather_Site!I20-1)))</f>
        <v>7.882539682539683</v>
      </c>
      <c r="N17" s="51">
        <f t="shared" si="4"/>
        <v>19.531662668401115</v>
      </c>
      <c r="O17" s="52">
        <f t="shared" si="5"/>
        <v>562.51188484995191</v>
      </c>
      <c r="P17" s="52">
        <f t="shared" si="6"/>
        <v>196.25449531767572</v>
      </c>
      <c r="Q17" s="51">
        <f t="shared" si="7"/>
        <v>11.072654503049375</v>
      </c>
      <c r="R17" s="53">
        <f t="shared" si="8"/>
        <v>1540.1651470231377</v>
      </c>
      <c r="S17" s="53">
        <f t="shared" si="9"/>
        <v>5498.5423170254635</v>
      </c>
      <c r="T17" s="53">
        <f t="shared" si="10"/>
        <v>35187.657142857141</v>
      </c>
      <c r="U17" s="51">
        <f t="shared" si="11"/>
        <v>5.8266549758774397</v>
      </c>
      <c r="V17" s="52">
        <f t="shared" si="12"/>
        <v>15</v>
      </c>
      <c r="W17" s="52">
        <f t="shared" si="13"/>
        <v>37.5</v>
      </c>
      <c r="X17" s="51">
        <f t="shared" si="14"/>
        <v>6.814392198530407</v>
      </c>
      <c r="Y17" s="51">
        <f t="shared" si="15"/>
        <v>7.0229999999999997</v>
      </c>
      <c r="Z17" s="51" t="e">
        <f>IF(Use_BOM_DF,M17/10,MIN(0.972+(0.342*LN(Weather_Site!J20))-(0.245*LN(Weather_Site!I20)),1))</f>
        <v>#NUM!</v>
      </c>
      <c r="AA17" s="52" t="e">
        <f t="shared" si="16"/>
        <v>#NUM!</v>
      </c>
      <c r="AB17" s="52" t="e">
        <f t="shared" si="17"/>
        <v>#NUM!</v>
      </c>
      <c r="AC17" s="52" t="e">
        <f t="shared" si="18"/>
        <v>#NUM!</v>
      </c>
      <c r="AD17" s="51" t="e">
        <f t="shared" si="19"/>
        <v>#NUM!</v>
      </c>
      <c r="AE17" s="51" t="e">
        <f t="shared" si="20"/>
        <v>#NUM!</v>
      </c>
      <c r="AF17" s="53" t="e">
        <f t="shared" si="21"/>
        <v>#NUM!</v>
      </c>
      <c r="AG17" s="323">
        <f t="shared" si="22"/>
        <v>19.416769029944028</v>
      </c>
    </row>
    <row r="18" spans="1:33" x14ac:dyDescent="0.25">
      <c r="A18" s="45" t="str">
        <f>Weather_Site!A21</f>
        <v>Sun</v>
      </c>
      <c r="B18" s="46">
        <f>Weather_Site!B21</f>
        <v>44549</v>
      </c>
      <c r="C18" s="47">
        <f>Weather_Site!C21</f>
        <v>0.54166666666666663</v>
      </c>
      <c r="D18" s="48">
        <f>Weather_Site!D21</f>
        <v>29.1</v>
      </c>
      <c r="E18" s="48">
        <f>Weather_Site!E21</f>
        <v>38.200000000000003</v>
      </c>
      <c r="F18" s="49">
        <f>Weather_Site!F21</f>
        <v>285</v>
      </c>
      <c r="G18" s="48">
        <f>Weather_Site!G21</f>
        <v>40</v>
      </c>
      <c r="H18" s="48">
        <f>IF(Weather_Site!M21&lt;180,Weather_Site!M21+180,Weather_Site!M21-180)</f>
        <v>105</v>
      </c>
      <c r="I18" s="172">
        <f t="shared" si="26"/>
        <v>0</v>
      </c>
      <c r="J18" s="214">
        <f t="shared" si="24"/>
        <v>3</v>
      </c>
      <c r="K18" s="48">
        <f t="shared" si="2"/>
        <v>13.333333333333334</v>
      </c>
      <c r="L18" s="172">
        <f t="shared" si="25"/>
        <v>24</v>
      </c>
      <c r="M18" s="51">
        <f>IF(Use_BOM_DF,Weather_Site!H21,IF(0.191*(Weather_Site!K21+104)*(Weather_Site!J21+1)^1.5/(3.52*(Weather_Site!J21+1)^1.5+Weather_Site!I21-1)&gt;10, 10,0.191*(Weather_Site!K21+104)*(Weather_Site!J21+1)^1.5/(3.52*(Weather_Site!J21+1)^1.5+Weather_Site!I21-1)))</f>
        <v>7.882539682539683</v>
      </c>
      <c r="N18" s="51">
        <f t="shared" si="4"/>
        <v>17.861309183967268</v>
      </c>
      <c r="O18" s="52">
        <f t="shared" si="5"/>
        <v>514.40570449825725</v>
      </c>
      <c r="P18" s="52">
        <f t="shared" si="6"/>
        <v>201.74656126661873</v>
      </c>
      <c r="Q18" s="51">
        <f t="shared" si="7"/>
        <v>10.447274158477343</v>
      </c>
      <c r="R18" s="53">
        <f t="shared" si="8"/>
        <v>1377.6624697951129</v>
      </c>
      <c r="S18" s="53">
        <f t="shared" si="9"/>
        <v>5028.305375374337</v>
      </c>
      <c r="T18" s="53">
        <f t="shared" si="10"/>
        <v>35187.657142857141</v>
      </c>
      <c r="U18" s="51">
        <f t="shared" si="11"/>
        <v>5.7491723558084828</v>
      </c>
      <c r="V18" s="52">
        <f t="shared" si="12"/>
        <v>13.333333333333334</v>
      </c>
      <c r="W18" s="52">
        <f t="shared" si="13"/>
        <v>33.333333333333336</v>
      </c>
      <c r="X18" s="51">
        <f t="shared" si="14"/>
        <v>7.0050889328687056</v>
      </c>
      <c r="Y18" s="51">
        <f t="shared" si="15"/>
        <v>6.9165999999999999</v>
      </c>
      <c r="Z18" s="51" t="e">
        <f>IF(Use_BOM_DF,M18/10,MIN(0.972+(0.342*LN(Weather_Site!J21))-(0.245*LN(Weather_Site!I21)),1))</f>
        <v>#NUM!</v>
      </c>
      <c r="AA18" s="52" t="e">
        <f t="shared" si="16"/>
        <v>#NUM!</v>
      </c>
      <c r="AB18" s="52" t="e">
        <f t="shared" si="17"/>
        <v>#NUM!</v>
      </c>
      <c r="AC18" s="52" t="e">
        <f t="shared" si="18"/>
        <v>#NUM!</v>
      </c>
      <c r="AD18" s="51" t="e">
        <f t="shared" si="19"/>
        <v>#NUM!</v>
      </c>
      <c r="AE18" s="51" t="e">
        <f t="shared" si="20"/>
        <v>#NUM!</v>
      </c>
      <c r="AF18" s="53" t="e">
        <f t="shared" si="21"/>
        <v>#NUM!</v>
      </c>
      <c r="AG18" s="323">
        <f t="shared" si="22"/>
        <v>17.765353539440198</v>
      </c>
    </row>
    <row r="19" spans="1:33" x14ac:dyDescent="0.25">
      <c r="A19" s="45" t="str">
        <f>Weather_Site!A22</f>
        <v>Sun</v>
      </c>
      <c r="B19" s="46">
        <f>Weather_Site!B22</f>
        <v>44549</v>
      </c>
      <c r="C19" s="47">
        <f>Weather_Site!C22</f>
        <v>0.58333333333333337</v>
      </c>
      <c r="D19" s="48">
        <f>Weather_Site!D22</f>
        <v>30.8</v>
      </c>
      <c r="E19" s="48">
        <f>Weather_Site!E22</f>
        <v>35.799999999999997</v>
      </c>
      <c r="F19" s="49">
        <f>Weather_Site!F22</f>
        <v>277</v>
      </c>
      <c r="G19" s="48">
        <f>Weather_Site!G22</f>
        <v>42</v>
      </c>
      <c r="H19" s="48">
        <f>IF(Weather_Site!M22&lt;180,Weather_Site!M22+180,Weather_Site!M22-180)</f>
        <v>97</v>
      </c>
      <c r="I19" s="172">
        <f t="shared" si="26"/>
        <v>0</v>
      </c>
      <c r="J19" s="214">
        <f t="shared" si="24"/>
        <v>3</v>
      </c>
      <c r="K19" s="48">
        <f t="shared" si="2"/>
        <v>14</v>
      </c>
      <c r="L19" s="172">
        <f t="shared" si="25"/>
        <v>24</v>
      </c>
      <c r="M19" s="51">
        <f>IF(Use_BOM_DF,Weather_Site!H22,IF(0.191*(Weather_Site!K22+104)*(Weather_Site!J22+1)^1.5/(3.52*(Weather_Site!J22+1)^1.5+Weather_Site!I22-1)&gt;10, 10,0.191*(Weather_Site!K22+104)*(Weather_Site!J22+1)^1.5/(3.52*(Weather_Site!J22+1)^1.5+Weather_Site!I22-1)))</f>
        <v>7.882539682539683</v>
      </c>
      <c r="N19" s="51">
        <f t="shared" si="4"/>
        <v>21.535373782567806</v>
      </c>
      <c r="O19" s="52">
        <f t="shared" si="5"/>
        <v>620.21876493795264</v>
      </c>
      <c r="P19" s="52">
        <f t="shared" si="6"/>
        <v>232.12412786266461</v>
      </c>
      <c r="Q19" s="51">
        <f t="shared" si="7"/>
        <v>11.822843944193384</v>
      </c>
      <c r="R19" s="53">
        <f t="shared" si="8"/>
        <v>1735.0989879604044</v>
      </c>
      <c r="S19" s="53">
        <f t="shared" si="9"/>
        <v>6062.6259047562817</v>
      </c>
      <c r="T19" s="53">
        <f t="shared" si="10"/>
        <v>35187.657142857141</v>
      </c>
      <c r="U19" s="51">
        <f t="shared" si="11"/>
        <v>5.4124818854769448</v>
      </c>
      <c r="V19" s="52">
        <f t="shared" si="12"/>
        <v>14</v>
      </c>
      <c r="W19" s="52">
        <f t="shared" si="13"/>
        <v>35</v>
      </c>
      <c r="X19" s="51">
        <f t="shared" si="14"/>
        <v>8.0598655507869665</v>
      </c>
      <c r="Y19" s="51">
        <f t="shared" si="15"/>
        <v>6.3083999999999998</v>
      </c>
      <c r="Z19" s="51" t="e">
        <f>IF(Use_BOM_DF,M19/10,MIN(0.972+(0.342*LN(Weather_Site!J22))-(0.245*LN(Weather_Site!I22)),1))</f>
        <v>#NUM!</v>
      </c>
      <c r="AA19" s="52" t="e">
        <f t="shared" si="16"/>
        <v>#NUM!</v>
      </c>
      <c r="AB19" s="52" t="e">
        <f t="shared" si="17"/>
        <v>#NUM!</v>
      </c>
      <c r="AC19" s="52" t="e">
        <f t="shared" si="18"/>
        <v>#NUM!</v>
      </c>
      <c r="AD19" s="51" t="e">
        <f t="shared" si="19"/>
        <v>#NUM!</v>
      </c>
      <c r="AE19" s="51" t="e">
        <f t="shared" si="20"/>
        <v>#NUM!</v>
      </c>
      <c r="AF19" s="53" t="e">
        <f t="shared" si="21"/>
        <v>#NUM!</v>
      </c>
      <c r="AG19" s="323">
        <f t="shared" si="22"/>
        <v>21.131847563815047</v>
      </c>
    </row>
    <row r="20" spans="1:33" x14ac:dyDescent="0.25">
      <c r="A20" s="23" t="str">
        <f>Weather_Site!A23</f>
        <v>Sun</v>
      </c>
      <c r="B20" s="24">
        <f>Weather_Site!B23</f>
        <v>44549</v>
      </c>
      <c r="C20" s="25">
        <f>Weather_Site!C23</f>
        <v>0.625</v>
      </c>
      <c r="D20" s="27">
        <f>Weather_Site!D23</f>
        <v>31.1</v>
      </c>
      <c r="E20" s="27">
        <f>Weather_Site!E23</f>
        <v>29.9</v>
      </c>
      <c r="F20" s="28">
        <f>Weather_Site!F23</f>
        <v>258</v>
      </c>
      <c r="G20" s="27">
        <f>Weather_Site!G23</f>
        <v>37</v>
      </c>
      <c r="H20" s="27">
        <f>IF(Weather_Site!M23&lt;180,Weather_Site!M23+180,Weather_Site!M23-180)</f>
        <v>78</v>
      </c>
      <c r="I20" s="172">
        <f t="shared" si="26"/>
        <v>0</v>
      </c>
      <c r="J20" s="214">
        <f t="shared" si="24"/>
        <v>3</v>
      </c>
      <c r="K20" s="27">
        <f t="shared" si="2"/>
        <v>12.333333333333334</v>
      </c>
      <c r="L20" s="172">
        <f t="shared" si="25"/>
        <v>24</v>
      </c>
      <c r="M20" s="32">
        <f>IF(Use_BOM_DF,Weather_Site!H23,IF(0.191*(Weather_Site!K23+104)*(Weather_Site!J23+1)^1.5/(3.52*(Weather_Site!J23+1)^1.5+Weather_Site!I23-1)&gt;10, 10,0.191*(Weather_Site!K23+104)*(Weather_Site!J23+1)^1.5/(3.52*(Weather_Site!J23+1)^1.5+Weather_Site!I23-1)))</f>
        <v>7.882539682539683</v>
      </c>
      <c r="N20" s="32">
        <f t="shared" si="4"/>
        <v>23.721620159937064</v>
      </c>
      <c r="O20" s="33">
        <f t="shared" si="5"/>
        <v>683.18266060618737</v>
      </c>
      <c r="P20" s="33">
        <f t="shared" si="6"/>
        <v>287.42508790541507</v>
      </c>
      <c r="Q20" s="32">
        <f t="shared" si="7"/>
        <v>12.641374587880437</v>
      </c>
      <c r="R20" s="42">
        <f t="shared" si="8"/>
        <v>1947.7910275277011</v>
      </c>
      <c r="S20" s="42">
        <f t="shared" si="9"/>
        <v>6678.0967136422396</v>
      </c>
      <c r="T20" s="42">
        <f t="shared" si="10"/>
        <v>35187.657142857141</v>
      </c>
      <c r="U20" s="32">
        <f t="shared" si="11"/>
        <v>4.9053623703167082</v>
      </c>
      <c r="V20" s="33">
        <f t="shared" si="12"/>
        <v>12.333333333333334</v>
      </c>
      <c r="W20" s="33">
        <f t="shared" si="13"/>
        <v>30.833333333333336</v>
      </c>
      <c r="X20" s="32">
        <f t="shared" si="14"/>
        <v>9.9800377744935798</v>
      </c>
      <c r="Y20" s="32">
        <f t="shared" si="15"/>
        <v>5.4726999999999997</v>
      </c>
      <c r="Z20" s="266" t="e">
        <f>IF(Use_BOM_DF,M20/10,MIN(0.972+(0.342*LN(Weather_Site!J23))-(0.245*LN(Weather_Site!I23)),1))</f>
        <v>#NUM!</v>
      </c>
      <c r="AA20" s="33" t="e">
        <f t="shared" si="16"/>
        <v>#NUM!</v>
      </c>
      <c r="AB20" s="33" t="e">
        <f t="shared" si="17"/>
        <v>#NUM!</v>
      </c>
      <c r="AC20" s="265" t="e">
        <f t="shared" si="18"/>
        <v>#NUM!</v>
      </c>
      <c r="AD20" s="32" t="e">
        <f t="shared" si="19"/>
        <v>#NUM!</v>
      </c>
      <c r="AE20" s="32" t="e">
        <f t="shared" si="20"/>
        <v>#NUM!</v>
      </c>
      <c r="AF20" s="42" t="e">
        <f t="shared" si="21"/>
        <v>#NUM!</v>
      </c>
      <c r="AG20" s="83">
        <f t="shared" si="22"/>
        <v>23.112571738746031</v>
      </c>
    </row>
    <row r="21" spans="1:33" x14ac:dyDescent="0.25">
      <c r="A21" s="23" t="str">
        <f>Weather_Site!A24</f>
        <v>Sun</v>
      </c>
      <c r="B21" s="24">
        <f>Weather_Site!B24</f>
        <v>44549</v>
      </c>
      <c r="C21" s="25">
        <f>Weather_Site!C24</f>
        <v>0.66666666666666663</v>
      </c>
      <c r="D21" s="27">
        <f>Weather_Site!D24</f>
        <v>32.4</v>
      </c>
      <c r="E21" s="27">
        <f>Weather_Site!E24</f>
        <v>25.1</v>
      </c>
      <c r="F21" s="28">
        <f>Weather_Site!F24</f>
        <v>261</v>
      </c>
      <c r="G21" s="27">
        <f>Weather_Site!G24</f>
        <v>37</v>
      </c>
      <c r="H21" s="27">
        <f>IF(Weather_Site!M24&lt;180,Weather_Site!M24+180,Weather_Site!M24-180)</f>
        <v>81</v>
      </c>
      <c r="I21" s="172">
        <f t="shared" si="26"/>
        <v>0</v>
      </c>
      <c r="J21" s="214">
        <f t="shared" si="24"/>
        <v>3</v>
      </c>
      <c r="K21" s="27">
        <f t="shared" si="2"/>
        <v>12.333333333333334</v>
      </c>
      <c r="L21" s="172">
        <f t="shared" si="25"/>
        <v>24</v>
      </c>
      <c r="M21" s="32">
        <f>IF(Use_BOM_DF,Weather_Site!H24,IF(0.191*(Weather_Site!K24+104)*(Weather_Site!J24+1)^1.5/(3.52*(Weather_Site!J24+1)^1.5+Weather_Site!I24-1)&gt;10, 10,0.191*(Weather_Site!K24+104)*(Weather_Site!J24+1)^1.5/(3.52*(Weather_Site!J24+1)^1.5+Weather_Site!I24-1)))</f>
        <v>7.882539682539683</v>
      </c>
      <c r="N21" s="32">
        <f t="shared" si="4"/>
        <v>29.251383606212084</v>
      </c>
      <c r="O21" s="33">
        <f t="shared" si="5"/>
        <v>842.43984785890802</v>
      </c>
      <c r="P21" s="33">
        <f t="shared" si="6"/>
        <v>354.42695092849976</v>
      </c>
      <c r="Q21" s="32">
        <f t="shared" si="7"/>
        <v>14.711718022165805</v>
      </c>
      <c r="R21" s="42">
        <f t="shared" si="8"/>
        <v>2485.7618060673917</v>
      </c>
      <c r="S21" s="42">
        <f t="shared" si="9"/>
        <v>8234.832503559137</v>
      </c>
      <c r="T21" s="42">
        <f t="shared" si="10"/>
        <v>35187.657142857141</v>
      </c>
      <c r="U21" s="32">
        <f t="shared" si="11"/>
        <v>4.4923103973797289</v>
      </c>
      <c r="V21" s="33">
        <f t="shared" si="12"/>
        <v>12.333333333333334</v>
      </c>
      <c r="W21" s="33">
        <f t="shared" si="13"/>
        <v>30.833333333333336</v>
      </c>
      <c r="X21" s="32">
        <f t="shared" si="14"/>
        <v>12.30649135168402</v>
      </c>
      <c r="Y21" s="32">
        <f t="shared" si="15"/>
        <v>4.6133000000000006</v>
      </c>
      <c r="Z21" s="266" t="e">
        <f>IF(Use_BOM_DF,M21/10,MIN(0.972+(0.342*LN(Weather_Site!J24))-(0.245*LN(Weather_Site!I24)),1))</f>
        <v>#NUM!</v>
      </c>
      <c r="AA21" s="33" t="e">
        <f t="shared" si="16"/>
        <v>#NUM!</v>
      </c>
      <c r="AB21" s="33" t="e">
        <f t="shared" si="17"/>
        <v>#NUM!</v>
      </c>
      <c r="AC21" s="265" t="e">
        <f t="shared" si="18"/>
        <v>#NUM!</v>
      </c>
      <c r="AD21" s="32" t="e">
        <f t="shared" si="19"/>
        <v>#NUM!</v>
      </c>
      <c r="AE21" s="32" t="e">
        <f t="shared" si="20"/>
        <v>#NUM!</v>
      </c>
      <c r="AF21" s="42" t="e">
        <f t="shared" si="21"/>
        <v>#NUM!</v>
      </c>
      <c r="AG21" s="83">
        <f t="shared" si="22"/>
        <v>27.801682792036758</v>
      </c>
    </row>
    <row r="22" spans="1:33" x14ac:dyDescent="0.25">
      <c r="A22" s="23" t="str">
        <f>Weather_Site!A25</f>
        <v>Sun</v>
      </c>
      <c r="B22" s="24">
        <f>Weather_Site!B25</f>
        <v>44549</v>
      </c>
      <c r="C22" s="25">
        <f>Weather_Site!C25</f>
        <v>0.70833333333333337</v>
      </c>
      <c r="D22" s="27">
        <f>Weather_Site!D25</f>
        <v>32.299999999999997</v>
      </c>
      <c r="E22" s="27">
        <f>Weather_Site!E25</f>
        <v>22.5</v>
      </c>
      <c r="F22" s="28">
        <f>Weather_Site!F25</f>
        <v>243</v>
      </c>
      <c r="G22" s="27">
        <f>Weather_Site!G25</f>
        <v>34</v>
      </c>
      <c r="H22" s="27">
        <f>IF(Weather_Site!M25&lt;180,Weather_Site!M25+180,Weather_Site!M25-180)</f>
        <v>63</v>
      </c>
      <c r="I22" s="172">
        <f t="shared" si="26"/>
        <v>0</v>
      </c>
      <c r="J22" s="214">
        <f t="shared" si="24"/>
        <v>3</v>
      </c>
      <c r="K22" s="27">
        <f t="shared" si="2"/>
        <v>11.333333333333334</v>
      </c>
      <c r="L22" s="172">
        <f t="shared" si="25"/>
        <v>24</v>
      </c>
      <c r="M22" s="32">
        <f>IF(Use_BOM_DF,Weather_Site!H25,IF(0.191*(Weather_Site!K25+104)*(Weather_Site!J25+1)^1.5/(3.52*(Weather_Site!J25+1)^1.5+Weather_Site!I25-1)&gt;10, 10,0.191*(Weather_Site!K25+104)*(Weather_Site!J25+1)^1.5/(3.52*(Weather_Site!J25+1)^1.5+Weather_Site!I25-1)))</f>
        <v>7.882539682539683</v>
      </c>
      <c r="N22" s="32">
        <f t="shared" si="4"/>
        <v>29.72673696450147</v>
      </c>
      <c r="O22" s="33">
        <f t="shared" si="5"/>
        <v>856.13002457764219</v>
      </c>
      <c r="P22" s="33">
        <f t="shared" si="6"/>
        <v>386.38035597711871</v>
      </c>
      <c r="Q22" s="32">
        <f t="shared" si="7"/>
        <v>14.889690319509349</v>
      </c>
      <c r="R22" s="42">
        <f t="shared" si="8"/>
        <v>2532.0072230232754</v>
      </c>
      <c r="S22" s="42">
        <f t="shared" si="9"/>
        <v>8368.6537045735768</v>
      </c>
      <c r="T22" s="42">
        <f t="shared" si="10"/>
        <v>35187.657142857141</v>
      </c>
      <c r="U22" s="32">
        <f t="shared" si="11"/>
        <v>4.3165265462780829</v>
      </c>
      <c r="V22" s="33">
        <f t="shared" si="12"/>
        <v>11.333333333333334</v>
      </c>
      <c r="W22" s="33">
        <f t="shared" si="13"/>
        <v>28.333333333333336</v>
      </c>
      <c r="X22" s="32">
        <f t="shared" si="14"/>
        <v>13.415984582538847</v>
      </c>
      <c r="Y22" s="32">
        <f t="shared" si="15"/>
        <v>4.2845000000000013</v>
      </c>
      <c r="Z22" s="266" t="e">
        <f>IF(Use_BOM_DF,M22/10,MIN(0.972+(0.342*LN(Weather_Site!J25))-(0.245*LN(Weather_Site!I25)),1))</f>
        <v>#NUM!</v>
      </c>
      <c r="AA22" s="33" t="e">
        <f t="shared" si="16"/>
        <v>#NUM!</v>
      </c>
      <c r="AB22" s="33" t="e">
        <f t="shared" si="17"/>
        <v>#NUM!</v>
      </c>
      <c r="AC22" s="265" t="e">
        <f t="shared" si="18"/>
        <v>#NUM!</v>
      </c>
      <c r="AD22" s="32" t="e">
        <f t="shared" si="19"/>
        <v>#NUM!</v>
      </c>
      <c r="AE22" s="32" t="e">
        <f t="shared" si="20"/>
        <v>#NUM!</v>
      </c>
      <c r="AF22" s="42" t="e">
        <f t="shared" si="21"/>
        <v>#NUM!</v>
      </c>
      <c r="AG22" s="83">
        <f t="shared" si="22"/>
        <v>28.183039260547897</v>
      </c>
    </row>
    <row r="23" spans="1:33" x14ac:dyDescent="0.25">
      <c r="A23" s="23" t="str">
        <f>Weather_Site!A26</f>
        <v>Sun</v>
      </c>
      <c r="B23" s="24">
        <f>Weather_Site!B26</f>
        <v>44549</v>
      </c>
      <c r="C23" s="25">
        <f>Weather_Site!C26</f>
        <v>0.75</v>
      </c>
      <c r="D23" s="27">
        <f>Weather_Site!D26</f>
        <v>31.4</v>
      </c>
      <c r="E23" s="27">
        <f>Weather_Site!E26</f>
        <v>21.8</v>
      </c>
      <c r="F23" s="28">
        <f>Weather_Site!F26</f>
        <v>237</v>
      </c>
      <c r="G23" s="27">
        <f>Weather_Site!G26</f>
        <v>37</v>
      </c>
      <c r="H23" s="27">
        <f>IF(Weather_Site!M26&lt;180,Weather_Site!M26+180,Weather_Site!M26-180)</f>
        <v>57</v>
      </c>
      <c r="I23" s="172">
        <f t="shared" si="26"/>
        <v>0</v>
      </c>
      <c r="J23" s="214">
        <f t="shared" si="24"/>
        <v>3</v>
      </c>
      <c r="K23" s="27">
        <f t="shared" si="2"/>
        <v>12.333333333333334</v>
      </c>
      <c r="L23" s="172">
        <f t="shared" si="25"/>
        <v>24</v>
      </c>
      <c r="M23" s="32">
        <f>IF(Use_BOM_DF,Weather_Site!H26,IF(0.191*(Weather_Site!K26+104)*(Weather_Site!J26+1)^1.5/(3.52*(Weather_Site!J26+1)^1.5+Weather_Site!I26-1)&gt;10, 10,0.191*(Weather_Site!K26+104)*(Weather_Site!J26+1)^1.5/(3.52*(Weather_Site!J26+1)^1.5+Weather_Site!I26-1)))</f>
        <v>7.882539682539683</v>
      </c>
      <c r="N23" s="32">
        <f t="shared" si="4"/>
        <v>31.689229994097666</v>
      </c>
      <c r="O23" s="33">
        <f t="shared" si="5"/>
        <v>912.64982383001268</v>
      </c>
      <c r="P23" s="33">
        <f t="shared" si="6"/>
        <v>383.96533016287037</v>
      </c>
      <c r="Q23" s="32">
        <f t="shared" si="7"/>
        <v>15.624447709790164</v>
      </c>
      <c r="R23" s="42">
        <f t="shared" si="8"/>
        <v>2722.9311048977829</v>
      </c>
      <c r="S23" s="42">
        <f t="shared" si="9"/>
        <v>8921.1336011038366</v>
      </c>
      <c r="T23" s="42">
        <f t="shared" si="10"/>
        <v>35187.657142857141</v>
      </c>
      <c r="U23" s="32">
        <f t="shared" si="11"/>
        <v>4.2973046875931535</v>
      </c>
      <c r="V23" s="33">
        <f t="shared" si="12"/>
        <v>12.333333333333334</v>
      </c>
      <c r="W23" s="33">
        <f t="shared" si="13"/>
        <v>30.833333333333336</v>
      </c>
      <c r="X23" s="32">
        <f t="shared" si="14"/>
        <v>13.332129519544113</v>
      </c>
      <c r="Y23" s="32">
        <f t="shared" si="15"/>
        <v>4.3444000000000003</v>
      </c>
      <c r="Z23" s="266" t="e">
        <f>IF(Use_BOM_DF,M23/10,MIN(0.972+(0.342*LN(Weather_Site!J26))-(0.245*LN(Weather_Site!I26)),1))</f>
        <v>#NUM!</v>
      </c>
      <c r="AA23" s="33" t="e">
        <f t="shared" si="16"/>
        <v>#NUM!</v>
      </c>
      <c r="AB23" s="33" t="e">
        <f t="shared" si="17"/>
        <v>#NUM!</v>
      </c>
      <c r="AC23" s="265" t="e">
        <f t="shared" si="18"/>
        <v>#NUM!</v>
      </c>
      <c r="AD23" s="32" t="e">
        <f t="shared" si="19"/>
        <v>#NUM!</v>
      </c>
      <c r="AE23" s="32" t="e">
        <f t="shared" si="20"/>
        <v>#NUM!</v>
      </c>
      <c r="AF23" s="42" t="e">
        <f t="shared" si="21"/>
        <v>#NUM!</v>
      </c>
      <c r="AG23" s="83">
        <f t="shared" si="22"/>
        <v>30.517268809769369</v>
      </c>
    </row>
    <row r="24" spans="1:33" x14ac:dyDescent="0.25">
      <c r="A24" s="23" t="str">
        <f>Weather_Site!A27</f>
        <v>Sun</v>
      </c>
      <c r="B24" s="24">
        <f>Weather_Site!B27</f>
        <v>44549</v>
      </c>
      <c r="C24" s="25">
        <f>Weather_Site!C27</f>
        <v>0.79166666666666663</v>
      </c>
      <c r="D24" s="27">
        <f>Weather_Site!D27</f>
        <v>30.1</v>
      </c>
      <c r="E24" s="27">
        <f>Weather_Site!E27</f>
        <v>21.8</v>
      </c>
      <c r="F24" s="28">
        <f>Weather_Site!F27</f>
        <v>226</v>
      </c>
      <c r="G24" s="27">
        <f>Weather_Site!G27</f>
        <v>37</v>
      </c>
      <c r="H24" s="27">
        <f>IF(Weather_Site!M27&lt;180,Weather_Site!M27+180,Weather_Site!M27-180)</f>
        <v>46</v>
      </c>
      <c r="I24" s="172">
        <f t="shared" si="26"/>
        <v>0</v>
      </c>
      <c r="J24" s="214">
        <f t="shared" si="24"/>
        <v>3</v>
      </c>
      <c r="K24" s="27">
        <f t="shared" si="2"/>
        <v>12.333333333333334</v>
      </c>
      <c r="L24" s="172">
        <f t="shared" si="25"/>
        <v>24</v>
      </c>
      <c r="M24" s="32">
        <f>IF(Use_BOM_DF,Weather_Site!H27,IF(0.191*(Weather_Site!K27+104)*(Weather_Site!J27+1)^1.5/(3.52*(Weather_Site!J27+1)^1.5+Weather_Site!I27-1)&gt;10, 10,0.191*(Weather_Site!K27+104)*(Weather_Site!J27+1)^1.5/(3.52*(Weather_Site!J27+1)^1.5+Weather_Site!I27-1)))</f>
        <v>7.882539682539683</v>
      </c>
      <c r="N24" s="32">
        <f t="shared" si="4"/>
        <v>30.326953614754807</v>
      </c>
      <c r="O24" s="33">
        <f t="shared" si="5"/>
        <v>873.41626410493836</v>
      </c>
      <c r="P24" s="33">
        <f t="shared" si="6"/>
        <v>367.45918912173789</v>
      </c>
      <c r="Q24" s="32">
        <f t="shared" si="7"/>
        <v>15.114411433364197</v>
      </c>
      <c r="R24" s="42">
        <f t="shared" si="8"/>
        <v>2590.4001401464816</v>
      </c>
      <c r="S24" s="42">
        <f t="shared" si="9"/>
        <v>8537.626346935489</v>
      </c>
      <c r="T24" s="42">
        <f t="shared" si="10"/>
        <v>35187.657142857141</v>
      </c>
      <c r="U24" s="32">
        <f t="shared" si="11"/>
        <v>4.337890213221371</v>
      </c>
      <c r="V24" s="33">
        <f t="shared" si="12"/>
        <v>12.333333333333334</v>
      </c>
      <c r="W24" s="33">
        <f t="shared" si="13"/>
        <v>30.833333333333336</v>
      </c>
      <c r="X24" s="32">
        <f t="shared" si="14"/>
        <v>12.758999622282568</v>
      </c>
      <c r="Y24" s="32">
        <f t="shared" si="15"/>
        <v>4.5654000000000003</v>
      </c>
      <c r="Z24" s="266" t="e">
        <f>IF(Use_BOM_DF,M24/10,MIN(0.972+(0.342*LN(Weather_Site!J27))-(0.245*LN(Weather_Site!I27)),1))</f>
        <v>#NUM!</v>
      </c>
      <c r="AA24" s="33" t="e">
        <f t="shared" si="16"/>
        <v>#NUM!</v>
      </c>
      <c r="AB24" s="33" t="e">
        <f t="shared" si="17"/>
        <v>#NUM!</v>
      </c>
      <c r="AC24" s="265" t="e">
        <f t="shared" si="18"/>
        <v>#NUM!</v>
      </c>
      <c r="AD24" s="32" t="e">
        <f t="shared" si="19"/>
        <v>#NUM!</v>
      </c>
      <c r="AE24" s="32" t="e">
        <f t="shared" si="20"/>
        <v>#NUM!</v>
      </c>
      <c r="AF24" s="42" t="e">
        <f t="shared" si="21"/>
        <v>#NUM!</v>
      </c>
      <c r="AG24" s="83">
        <f t="shared" si="22"/>
        <v>29.920758843833671</v>
      </c>
    </row>
    <row r="25" spans="1:33" x14ac:dyDescent="0.25">
      <c r="A25" s="45" t="str">
        <f>Weather_Site!A28</f>
        <v>Sun</v>
      </c>
      <c r="B25" s="46">
        <f>Weather_Site!B28</f>
        <v>44549</v>
      </c>
      <c r="C25" s="47">
        <f>Weather_Site!C28</f>
        <v>0.83333333333333337</v>
      </c>
      <c r="D25" s="48">
        <f>Weather_Site!D28</f>
        <v>27.2</v>
      </c>
      <c r="E25" s="48">
        <f>Weather_Site!E28</f>
        <v>25.6</v>
      </c>
      <c r="F25" s="49">
        <f>Weather_Site!F28</f>
        <v>215</v>
      </c>
      <c r="G25" s="48">
        <f>Weather_Site!G28</f>
        <v>33</v>
      </c>
      <c r="H25" s="48">
        <f>IF(Weather_Site!M28&lt;180,Weather_Site!M28+180,Weather_Site!M28-180)</f>
        <v>35</v>
      </c>
      <c r="I25" s="172">
        <f t="shared" si="26"/>
        <v>0</v>
      </c>
      <c r="J25" s="214">
        <f t="shared" si="24"/>
        <v>3</v>
      </c>
      <c r="K25" s="48">
        <f t="shared" si="2"/>
        <v>11</v>
      </c>
      <c r="L25" s="172">
        <f t="shared" si="25"/>
        <v>24</v>
      </c>
      <c r="M25" s="51">
        <f>IF(Use_BOM_DF,Weather_Site!H28,IF(0.191*(Weather_Site!K28+104)*(Weather_Site!J28+1)^1.5/(3.52*(Weather_Site!J28+1)^1.5+Weather_Site!I28-1)&gt;10, 10,0.191*(Weather_Site!K28+104)*(Weather_Site!J28+1)^1.5/(3.52*(Weather_Site!J28+1)^1.5+Weather_Site!I28-1)))</f>
        <v>7.882539682539683</v>
      </c>
      <c r="N25" s="51">
        <f t="shared" si="4"/>
        <v>21.962070018483388</v>
      </c>
      <c r="O25" s="52">
        <f t="shared" si="5"/>
        <v>632.50761653232155</v>
      </c>
      <c r="P25" s="52">
        <f t="shared" si="6"/>
        <v>292.2157100179233</v>
      </c>
      <c r="Q25" s="51">
        <f t="shared" si="7"/>
        <v>11.982599014920181</v>
      </c>
      <c r="R25" s="53">
        <f t="shared" si="8"/>
        <v>1776.6107286461822</v>
      </c>
      <c r="S25" s="53">
        <f t="shared" si="9"/>
        <v>6182.749180973472</v>
      </c>
      <c r="T25" s="53">
        <f t="shared" si="10"/>
        <v>35187.657142857141</v>
      </c>
      <c r="U25" s="51">
        <f t="shared" si="11"/>
        <v>4.7319690207042324</v>
      </c>
      <c r="V25" s="52">
        <f t="shared" si="12"/>
        <v>11</v>
      </c>
      <c r="W25" s="52">
        <f t="shared" si="13"/>
        <v>27.5</v>
      </c>
      <c r="X25" s="51">
        <f t="shared" si="14"/>
        <v>10.146378820066783</v>
      </c>
      <c r="Y25" s="51">
        <f t="shared" si="15"/>
        <v>5.5638000000000005</v>
      </c>
      <c r="Z25" s="51" t="e">
        <f>IF(Use_BOM_DF,M25/10,MIN(0.972+(0.342*LN(Weather_Site!J28))-(0.245*LN(Weather_Site!I28)),1))</f>
        <v>#NUM!</v>
      </c>
      <c r="AA25" s="52" t="e">
        <f t="shared" si="16"/>
        <v>#NUM!</v>
      </c>
      <c r="AB25" s="52" t="e">
        <f t="shared" si="17"/>
        <v>#NUM!</v>
      </c>
      <c r="AC25" s="52" t="e">
        <f t="shared" si="18"/>
        <v>#NUM!</v>
      </c>
      <c r="AD25" s="51" t="e">
        <f t="shared" si="19"/>
        <v>#NUM!</v>
      </c>
      <c r="AE25" s="51" t="e">
        <f t="shared" si="20"/>
        <v>#NUM!</v>
      </c>
      <c r="AF25" s="53" t="e">
        <f t="shared" si="21"/>
        <v>#NUM!</v>
      </c>
      <c r="AG25" s="323">
        <f t="shared" si="22"/>
        <v>22.69967472006768</v>
      </c>
    </row>
    <row r="26" spans="1:33" x14ac:dyDescent="0.25">
      <c r="A26" s="45"/>
      <c r="B26" s="46"/>
      <c r="C26" s="47"/>
      <c r="D26" s="48"/>
      <c r="E26" s="48"/>
      <c r="F26" s="49"/>
      <c r="G26" s="48"/>
      <c r="H26" s="48"/>
      <c r="I26" s="172"/>
      <c r="J26" s="214"/>
      <c r="K26" s="48"/>
      <c r="L26" s="172"/>
      <c r="M26" s="51"/>
      <c r="N26" s="51"/>
      <c r="O26" s="52"/>
      <c r="P26" s="52"/>
      <c r="Q26" s="51"/>
      <c r="R26" s="53"/>
      <c r="S26" s="53"/>
      <c r="T26" s="53"/>
      <c r="U26" s="51"/>
      <c r="V26" s="52"/>
      <c r="W26" s="52"/>
      <c r="X26" s="51"/>
      <c r="Y26" s="51"/>
      <c r="Z26" s="51"/>
      <c r="AA26" s="52"/>
      <c r="AB26" s="52"/>
      <c r="AC26" s="52"/>
      <c r="AD26" s="51"/>
      <c r="AE26" s="51"/>
      <c r="AF26" s="53"/>
      <c r="AG26" s="323"/>
    </row>
    <row r="27" spans="1:33" x14ac:dyDescent="0.25">
      <c r="A27" s="45"/>
      <c r="B27" s="46"/>
      <c r="C27" s="47"/>
      <c r="D27" s="48"/>
      <c r="E27" s="48"/>
      <c r="F27" s="49"/>
      <c r="G27" s="48"/>
      <c r="H27" s="48"/>
      <c r="I27" s="172"/>
      <c r="J27" s="214"/>
      <c r="K27" s="48"/>
      <c r="L27" s="172"/>
      <c r="M27" s="51"/>
      <c r="N27" s="51"/>
      <c r="O27" s="52"/>
      <c r="P27" s="52"/>
      <c r="Q27" s="51"/>
      <c r="R27" s="53"/>
      <c r="S27" s="53"/>
      <c r="T27" s="53"/>
      <c r="U27" s="51"/>
      <c r="V27" s="52"/>
      <c r="W27" s="52"/>
      <c r="X27" s="51"/>
      <c r="Y27" s="51"/>
      <c r="Z27" s="51"/>
      <c r="AA27" s="52"/>
      <c r="AB27" s="52"/>
      <c r="AC27" s="52"/>
      <c r="AD27" s="51"/>
      <c r="AE27" s="51"/>
      <c r="AF27" s="53"/>
      <c r="AG27" s="323"/>
    </row>
    <row r="28" spans="1:33" x14ac:dyDescent="0.25">
      <c r="A28" s="45"/>
      <c r="B28" s="46"/>
      <c r="C28" s="47"/>
      <c r="D28" s="48"/>
      <c r="E28" s="48"/>
      <c r="F28" s="49"/>
      <c r="G28" s="48"/>
      <c r="H28" s="48"/>
      <c r="I28" s="172"/>
      <c r="J28" s="214"/>
      <c r="K28" s="48"/>
      <c r="L28" s="172"/>
      <c r="M28" s="51"/>
      <c r="N28" s="51"/>
      <c r="O28" s="52"/>
      <c r="P28" s="52"/>
      <c r="Q28" s="51"/>
      <c r="R28" s="53"/>
      <c r="S28" s="53"/>
      <c r="T28" s="53"/>
      <c r="U28" s="51"/>
      <c r="V28" s="52"/>
      <c r="W28" s="52"/>
      <c r="X28" s="51"/>
      <c r="Y28" s="51"/>
      <c r="Z28" s="51"/>
      <c r="AA28" s="52"/>
      <c r="AB28" s="52"/>
      <c r="AC28" s="52"/>
      <c r="AD28" s="51"/>
      <c r="AE28" s="51"/>
      <c r="AF28" s="53"/>
      <c r="AG28" s="323"/>
    </row>
    <row r="29" spans="1:33" x14ac:dyDescent="0.25">
      <c r="A29" s="45"/>
      <c r="B29" s="46"/>
      <c r="C29" s="47"/>
      <c r="D29" s="48"/>
      <c r="E29" s="48"/>
      <c r="F29" s="49"/>
      <c r="G29" s="48"/>
      <c r="H29" s="48"/>
      <c r="I29" s="172"/>
      <c r="J29" s="214"/>
      <c r="K29" s="48"/>
      <c r="L29" s="172"/>
      <c r="M29" s="51"/>
      <c r="N29" s="51"/>
      <c r="O29" s="52"/>
      <c r="P29" s="52"/>
      <c r="Q29" s="51"/>
      <c r="R29" s="53"/>
      <c r="S29" s="53"/>
      <c r="T29" s="53"/>
      <c r="U29" s="51"/>
      <c r="V29" s="52"/>
      <c r="W29" s="52"/>
      <c r="X29" s="51"/>
      <c r="Y29" s="51"/>
      <c r="Z29" s="51"/>
      <c r="AA29" s="52"/>
      <c r="AB29" s="52"/>
      <c r="AC29" s="52"/>
      <c r="AD29" s="51"/>
      <c r="AE29" s="51"/>
      <c r="AF29" s="53"/>
      <c r="AG29" s="323"/>
    </row>
    <row r="30" spans="1:33" x14ac:dyDescent="0.25">
      <c r="A30" s="23"/>
      <c r="B30" s="24"/>
      <c r="C30" s="25"/>
      <c r="D30" s="27"/>
      <c r="E30" s="27"/>
      <c r="F30" s="28"/>
      <c r="G30" s="27"/>
      <c r="H30" s="27"/>
      <c r="I30" s="172"/>
      <c r="J30" s="214"/>
      <c r="K30" s="27"/>
      <c r="L30" s="172"/>
      <c r="M30" s="32"/>
      <c r="N30" s="32"/>
      <c r="O30" s="33"/>
      <c r="P30" s="33"/>
      <c r="Q30" s="32"/>
      <c r="R30" s="42"/>
      <c r="S30" s="42"/>
      <c r="T30" s="42"/>
      <c r="U30" s="32"/>
      <c r="V30" s="33"/>
      <c r="W30" s="33"/>
      <c r="X30" s="32"/>
      <c r="Y30" s="32"/>
      <c r="Z30" s="266"/>
      <c r="AA30" s="33"/>
      <c r="AB30" s="33"/>
      <c r="AC30" s="265"/>
      <c r="AD30" s="32"/>
      <c r="AE30" s="32"/>
      <c r="AF30" s="42"/>
      <c r="AG30" s="83"/>
    </row>
    <row r="31" spans="1:33" x14ac:dyDescent="0.25">
      <c r="A31" s="23"/>
      <c r="B31" s="24"/>
      <c r="C31" s="25"/>
      <c r="D31" s="27"/>
      <c r="E31" s="27"/>
      <c r="F31" s="28"/>
      <c r="G31" s="27"/>
      <c r="H31" s="27"/>
      <c r="I31" s="172"/>
      <c r="J31" s="214"/>
      <c r="K31" s="27"/>
      <c r="L31" s="172"/>
      <c r="M31" s="32"/>
      <c r="N31" s="32"/>
      <c r="O31" s="33"/>
      <c r="P31" s="33"/>
      <c r="Q31" s="32"/>
      <c r="R31" s="42"/>
      <c r="S31" s="42"/>
      <c r="T31" s="42"/>
      <c r="U31" s="32"/>
      <c r="V31" s="33"/>
      <c r="W31" s="33"/>
      <c r="X31" s="32"/>
      <c r="Y31" s="32"/>
      <c r="Z31" s="266"/>
      <c r="AA31" s="33"/>
      <c r="AB31" s="33"/>
      <c r="AC31" s="265"/>
      <c r="AD31" s="32"/>
      <c r="AE31" s="32"/>
      <c r="AF31" s="42"/>
      <c r="AG31" s="83"/>
    </row>
    <row r="32" spans="1:33" x14ac:dyDescent="0.25">
      <c r="A32" s="23"/>
      <c r="B32" s="24"/>
      <c r="C32" s="25"/>
      <c r="D32" s="27"/>
      <c r="E32" s="27"/>
      <c r="F32" s="28"/>
      <c r="G32" s="27"/>
      <c r="H32" s="27"/>
      <c r="I32" s="172"/>
      <c r="J32" s="214"/>
      <c r="K32" s="27"/>
      <c r="L32" s="172"/>
      <c r="M32" s="32"/>
      <c r="N32" s="32"/>
      <c r="O32" s="33"/>
      <c r="P32" s="33"/>
      <c r="Q32" s="32"/>
      <c r="R32" s="42"/>
      <c r="S32" s="42"/>
      <c r="T32" s="42"/>
      <c r="U32" s="32"/>
      <c r="V32" s="33"/>
      <c r="W32" s="33"/>
      <c r="X32" s="32"/>
      <c r="Y32" s="32"/>
      <c r="Z32" s="266"/>
      <c r="AA32" s="33"/>
      <c r="AB32" s="33"/>
      <c r="AC32" s="265"/>
      <c r="AD32" s="32"/>
      <c r="AE32" s="32"/>
      <c r="AF32" s="42"/>
      <c r="AG32" s="83"/>
    </row>
    <row r="33" spans="1:33" x14ac:dyDescent="0.25">
      <c r="A33" s="23"/>
      <c r="B33" s="24"/>
      <c r="C33" s="25"/>
      <c r="D33" s="27"/>
      <c r="E33" s="27"/>
      <c r="F33" s="28"/>
      <c r="G33" s="27"/>
      <c r="H33" s="27"/>
      <c r="I33" s="172"/>
      <c r="J33" s="214"/>
      <c r="K33" s="27"/>
      <c r="L33" s="172"/>
      <c r="M33" s="32"/>
      <c r="N33" s="32"/>
      <c r="O33" s="33"/>
      <c r="P33" s="33"/>
      <c r="Q33" s="32"/>
      <c r="R33" s="42"/>
      <c r="S33" s="42"/>
      <c r="T33" s="42"/>
      <c r="U33" s="32"/>
      <c r="V33" s="33"/>
      <c r="W33" s="33"/>
      <c r="X33" s="32"/>
      <c r="Y33" s="32"/>
      <c r="Z33" s="266"/>
      <c r="AA33" s="33"/>
      <c r="AB33" s="33"/>
      <c r="AC33" s="265"/>
      <c r="AD33" s="32"/>
      <c r="AE33" s="32"/>
      <c r="AF33" s="42"/>
      <c r="AG33" s="83"/>
    </row>
    <row r="34" spans="1:33" x14ac:dyDescent="0.25">
      <c r="A34" s="23"/>
      <c r="B34" s="24"/>
      <c r="C34" s="25"/>
      <c r="D34" s="27"/>
      <c r="E34" s="27"/>
      <c r="F34" s="28"/>
      <c r="G34" s="27"/>
      <c r="H34" s="27"/>
      <c r="I34" s="172"/>
      <c r="J34" s="214"/>
      <c r="K34" s="27"/>
      <c r="L34" s="172"/>
      <c r="M34" s="32"/>
      <c r="N34" s="32"/>
      <c r="O34" s="33"/>
      <c r="P34" s="33"/>
      <c r="Q34" s="32"/>
      <c r="R34" s="42"/>
      <c r="S34" s="42"/>
      <c r="T34" s="42"/>
      <c r="U34" s="32"/>
      <c r="V34" s="33"/>
      <c r="W34" s="33"/>
      <c r="X34" s="32"/>
      <c r="Y34" s="32"/>
      <c r="Z34" s="266"/>
      <c r="AA34" s="33"/>
      <c r="AB34" s="33"/>
      <c r="AC34" s="265"/>
      <c r="AD34" s="32"/>
      <c r="AE34" s="32"/>
      <c r="AF34" s="42"/>
      <c r="AG34" s="83"/>
    </row>
    <row r="35" spans="1:33" x14ac:dyDescent="0.25">
      <c r="A35" s="45"/>
      <c r="B35" s="46"/>
      <c r="C35" s="47"/>
      <c r="D35" s="48"/>
      <c r="E35" s="48"/>
      <c r="F35" s="49"/>
      <c r="G35" s="48"/>
      <c r="H35" s="48"/>
      <c r="I35" s="172"/>
      <c r="J35" s="214"/>
      <c r="K35" s="48"/>
      <c r="L35" s="172"/>
      <c r="M35" s="51"/>
      <c r="N35" s="51"/>
      <c r="O35" s="52"/>
      <c r="P35" s="52"/>
      <c r="Q35" s="51"/>
      <c r="R35" s="53"/>
      <c r="S35" s="53"/>
      <c r="T35" s="53"/>
      <c r="U35" s="51"/>
      <c r="V35" s="52"/>
      <c r="W35" s="52"/>
      <c r="X35" s="51"/>
      <c r="Y35" s="51"/>
      <c r="Z35" s="51"/>
      <c r="AA35" s="52"/>
      <c r="AB35" s="52"/>
      <c r="AC35" s="52"/>
      <c r="AD35" s="51"/>
      <c r="AE35" s="51"/>
      <c r="AF35" s="53"/>
      <c r="AG35" s="323"/>
    </row>
    <row r="36" spans="1:33" x14ac:dyDescent="0.25">
      <c r="A36" s="45"/>
      <c r="B36" s="46"/>
      <c r="C36" s="47"/>
      <c r="D36" s="48"/>
      <c r="E36" s="48"/>
      <c r="F36" s="49"/>
      <c r="G36" s="48"/>
      <c r="H36" s="48"/>
      <c r="I36" s="172"/>
      <c r="J36" s="214"/>
      <c r="K36" s="48"/>
      <c r="L36" s="172"/>
      <c r="M36" s="51"/>
      <c r="N36" s="51"/>
      <c r="O36" s="52"/>
      <c r="P36" s="52"/>
      <c r="Q36" s="51"/>
      <c r="R36" s="53"/>
      <c r="S36" s="53"/>
      <c r="T36" s="53"/>
      <c r="U36" s="51"/>
      <c r="V36" s="52"/>
      <c r="W36" s="52"/>
      <c r="X36" s="51"/>
      <c r="Y36" s="51"/>
      <c r="Z36" s="51"/>
      <c r="AA36" s="52"/>
      <c r="AB36" s="52"/>
      <c r="AC36" s="52"/>
      <c r="AD36" s="51"/>
      <c r="AE36" s="51"/>
      <c r="AF36" s="53"/>
      <c r="AG36" s="323"/>
    </row>
    <row r="37" spans="1:33" x14ac:dyDescent="0.25">
      <c r="A37" s="45"/>
      <c r="B37" s="46"/>
      <c r="C37" s="47"/>
      <c r="D37" s="48"/>
      <c r="E37" s="48"/>
      <c r="F37" s="49"/>
      <c r="G37" s="48"/>
      <c r="H37" s="48"/>
      <c r="I37" s="172"/>
      <c r="J37" s="214"/>
      <c r="K37" s="48"/>
      <c r="L37" s="172"/>
      <c r="M37" s="51"/>
      <c r="N37" s="51"/>
      <c r="O37" s="52"/>
      <c r="P37" s="52"/>
      <c r="Q37" s="51"/>
      <c r="R37" s="53"/>
      <c r="S37" s="53"/>
      <c r="T37" s="53"/>
      <c r="U37" s="51"/>
      <c r="V37" s="52"/>
      <c r="W37" s="52"/>
      <c r="X37" s="51"/>
      <c r="Y37" s="51"/>
      <c r="Z37" s="51"/>
      <c r="AA37" s="52"/>
      <c r="AB37" s="52"/>
      <c r="AC37" s="52"/>
      <c r="AD37" s="51"/>
      <c r="AE37" s="51"/>
      <c r="AF37" s="53"/>
      <c r="AG37" s="323"/>
    </row>
    <row r="38" spans="1:33" x14ac:dyDescent="0.25">
      <c r="A38" s="45"/>
      <c r="B38" s="46"/>
      <c r="C38" s="47"/>
      <c r="D38" s="48"/>
      <c r="E38" s="48"/>
      <c r="F38" s="49"/>
      <c r="G38" s="48"/>
      <c r="H38" s="48"/>
      <c r="I38" s="172"/>
      <c r="J38" s="214"/>
      <c r="K38" s="48"/>
      <c r="L38" s="172"/>
      <c r="M38" s="51"/>
      <c r="N38" s="51"/>
      <c r="O38" s="52"/>
      <c r="P38" s="52"/>
      <c r="Q38" s="51"/>
      <c r="R38" s="53"/>
      <c r="S38" s="53"/>
      <c r="T38" s="53"/>
      <c r="U38" s="51"/>
      <c r="V38" s="52"/>
      <c r="W38" s="52"/>
      <c r="X38" s="51"/>
      <c r="Y38" s="51"/>
      <c r="Z38" s="51"/>
      <c r="AA38" s="52"/>
      <c r="AB38" s="52"/>
      <c r="AC38" s="52"/>
      <c r="AD38" s="51"/>
      <c r="AE38" s="51"/>
      <c r="AF38" s="53"/>
      <c r="AG38" s="323"/>
    </row>
    <row r="39" spans="1:33" x14ac:dyDescent="0.25">
      <c r="A39" s="45"/>
      <c r="B39" s="46"/>
      <c r="C39" s="47"/>
      <c r="D39" s="48"/>
      <c r="E39" s="48"/>
      <c r="F39" s="49"/>
      <c r="G39" s="48"/>
      <c r="H39" s="48"/>
      <c r="I39" s="172"/>
      <c r="J39" s="214"/>
      <c r="K39" s="48"/>
      <c r="L39" s="172"/>
      <c r="M39" s="51"/>
      <c r="N39" s="51"/>
      <c r="O39" s="52"/>
      <c r="P39" s="52"/>
      <c r="Q39" s="51"/>
      <c r="R39" s="53"/>
      <c r="S39" s="53"/>
      <c r="T39" s="53"/>
      <c r="U39" s="51"/>
      <c r="V39" s="52"/>
      <c r="W39" s="52"/>
      <c r="X39" s="51"/>
      <c r="Y39" s="51"/>
      <c r="Z39" s="51"/>
      <c r="AA39" s="52"/>
      <c r="AB39" s="52"/>
      <c r="AC39" s="52"/>
      <c r="AD39" s="51"/>
      <c r="AE39" s="51"/>
      <c r="AF39" s="53"/>
      <c r="AG39" s="323"/>
    </row>
    <row r="40" spans="1:33" x14ac:dyDescent="0.25">
      <c r="A40" s="23"/>
      <c r="B40" s="24"/>
      <c r="C40" s="25"/>
      <c r="D40" s="27"/>
      <c r="E40" s="27"/>
      <c r="F40" s="28"/>
      <c r="G40" s="27"/>
      <c r="H40" s="27"/>
      <c r="I40" s="172"/>
      <c r="J40" s="214"/>
      <c r="K40" s="27"/>
      <c r="L40" s="172"/>
      <c r="M40" s="32"/>
      <c r="N40" s="32"/>
      <c r="O40" s="33"/>
      <c r="P40" s="33"/>
      <c r="Q40" s="32"/>
      <c r="R40" s="42"/>
      <c r="S40" s="42"/>
      <c r="T40" s="42"/>
      <c r="U40" s="32"/>
      <c r="V40" s="33"/>
      <c r="W40" s="33"/>
      <c r="X40" s="32"/>
      <c r="Y40" s="32"/>
      <c r="Z40" s="266"/>
      <c r="AA40" s="33"/>
      <c r="AB40" s="33"/>
      <c r="AC40" s="33"/>
      <c r="AD40" s="32"/>
      <c r="AE40" s="32"/>
      <c r="AF40" s="42"/>
      <c r="AG40" s="83"/>
    </row>
    <row r="41" spans="1:33" x14ac:dyDescent="0.25">
      <c r="A41" s="23"/>
      <c r="B41" s="24"/>
      <c r="C41" s="25"/>
      <c r="D41" s="27"/>
      <c r="E41" s="27"/>
      <c r="F41" s="28"/>
      <c r="G41" s="27"/>
      <c r="H41" s="27"/>
      <c r="I41" s="172"/>
      <c r="J41" s="214"/>
      <c r="K41" s="27"/>
      <c r="L41" s="172"/>
      <c r="M41" s="32"/>
      <c r="N41" s="32"/>
      <c r="O41" s="33"/>
      <c r="P41" s="33"/>
      <c r="Q41" s="32"/>
      <c r="R41" s="42"/>
      <c r="S41" s="42"/>
      <c r="T41" s="42"/>
      <c r="U41" s="32"/>
      <c r="V41" s="33"/>
      <c r="W41" s="33"/>
      <c r="X41" s="32"/>
      <c r="Y41" s="32"/>
      <c r="Z41" s="266"/>
      <c r="AA41" s="33"/>
      <c r="AB41" s="33"/>
      <c r="AC41" s="33"/>
      <c r="AD41" s="32"/>
      <c r="AE41" s="32"/>
      <c r="AF41" s="42"/>
      <c r="AG41" s="83"/>
    </row>
    <row r="42" spans="1:33" x14ac:dyDescent="0.25">
      <c r="A42" s="23"/>
      <c r="B42" s="24"/>
      <c r="C42" s="25"/>
      <c r="D42" s="27"/>
      <c r="E42" s="27"/>
      <c r="F42" s="28"/>
      <c r="G42" s="27"/>
      <c r="H42" s="27"/>
      <c r="I42" s="172"/>
      <c r="J42" s="214"/>
      <c r="K42" s="27"/>
      <c r="L42" s="172"/>
      <c r="M42" s="32"/>
      <c r="N42" s="32"/>
      <c r="O42" s="33"/>
      <c r="P42" s="33"/>
      <c r="Q42" s="32"/>
      <c r="R42" s="42"/>
      <c r="S42" s="42"/>
      <c r="T42" s="42"/>
      <c r="U42" s="32"/>
      <c r="V42" s="33"/>
      <c r="W42" s="33"/>
      <c r="X42" s="32"/>
      <c r="Y42" s="32"/>
      <c r="Z42" s="266"/>
      <c r="AA42" s="33"/>
      <c r="AB42" s="33"/>
      <c r="AC42" s="33"/>
      <c r="AD42" s="32"/>
      <c r="AE42" s="32"/>
      <c r="AF42" s="42"/>
      <c r="AG42" s="83"/>
    </row>
    <row r="43" spans="1:33" x14ac:dyDescent="0.25">
      <c r="A43" s="23"/>
      <c r="B43" s="24"/>
      <c r="C43" s="25"/>
      <c r="D43" s="27"/>
      <c r="E43" s="27"/>
      <c r="F43" s="28"/>
      <c r="G43" s="27"/>
      <c r="H43" s="27"/>
      <c r="I43" s="172"/>
      <c r="J43" s="214"/>
      <c r="K43" s="27"/>
      <c r="L43" s="172"/>
      <c r="M43" s="32"/>
      <c r="N43" s="32"/>
      <c r="O43" s="33"/>
      <c r="P43" s="33"/>
      <c r="Q43" s="32"/>
      <c r="R43" s="42"/>
      <c r="S43" s="42"/>
      <c r="T43" s="42"/>
      <c r="U43" s="32"/>
      <c r="V43" s="33"/>
      <c r="W43" s="33"/>
      <c r="X43" s="32"/>
      <c r="Y43" s="32"/>
      <c r="Z43" s="266"/>
      <c r="AA43" s="33"/>
      <c r="AB43" s="33"/>
      <c r="AC43" s="33"/>
      <c r="AD43" s="32"/>
      <c r="AE43" s="32"/>
      <c r="AF43" s="42"/>
      <c r="AG43" s="83"/>
    </row>
    <row r="44" spans="1:33" x14ac:dyDescent="0.25">
      <c r="A44" s="23"/>
      <c r="B44" s="24"/>
      <c r="C44" s="25"/>
      <c r="D44" s="27"/>
      <c r="E44" s="27"/>
      <c r="F44" s="28"/>
      <c r="G44" s="27"/>
      <c r="H44" s="27"/>
      <c r="I44" s="172"/>
      <c r="J44" s="214"/>
      <c r="K44" s="27"/>
      <c r="L44" s="172"/>
      <c r="M44" s="32"/>
      <c r="N44" s="32"/>
      <c r="O44" s="33"/>
      <c r="P44" s="33"/>
      <c r="Q44" s="32"/>
      <c r="R44" s="42"/>
      <c r="S44" s="42"/>
      <c r="T44" s="42"/>
      <c r="U44" s="32"/>
      <c r="V44" s="33"/>
      <c r="W44" s="33"/>
      <c r="X44" s="32"/>
      <c r="Y44" s="32"/>
      <c r="Z44" s="266"/>
      <c r="AA44" s="33"/>
      <c r="AB44" s="33"/>
      <c r="AC44" s="33"/>
      <c r="AD44" s="32"/>
      <c r="AE44" s="32"/>
      <c r="AF44" s="42"/>
      <c r="AG44" s="83"/>
    </row>
    <row r="45" spans="1:33" x14ac:dyDescent="0.25">
      <c r="A45" s="45"/>
      <c r="B45" s="46"/>
      <c r="C45" s="47"/>
      <c r="D45" s="48"/>
      <c r="E45" s="48"/>
      <c r="F45" s="49"/>
      <c r="G45" s="48"/>
      <c r="H45" s="48"/>
      <c r="I45" s="172"/>
      <c r="J45" s="214"/>
      <c r="K45" s="48"/>
      <c r="L45" s="172"/>
      <c r="M45" s="51"/>
      <c r="N45" s="51"/>
      <c r="O45" s="52"/>
      <c r="P45" s="52"/>
      <c r="Q45" s="51"/>
      <c r="R45" s="53"/>
      <c r="S45" s="53"/>
      <c r="T45" s="53"/>
      <c r="U45" s="51"/>
      <c r="V45" s="52"/>
      <c r="W45" s="52"/>
      <c r="X45" s="51"/>
      <c r="Y45" s="51"/>
      <c r="Z45" s="51"/>
      <c r="AA45" s="52"/>
      <c r="AB45" s="52"/>
      <c r="AC45" s="52"/>
      <c r="AD45" s="51"/>
      <c r="AE45" s="51"/>
      <c r="AF45" s="53"/>
      <c r="AG45" s="323"/>
    </row>
    <row r="46" spans="1:33" x14ac:dyDescent="0.25">
      <c r="A46" s="45"/>
      <c r="B46" s="46"/>
      <c r="C46" s="47"/>
      <c r="D46" s="48"/>
      <c r="E46" s="48"/>
      <c r="F46" s="49"/>
      <c r="G46" s="48"/>
      <c r="H46" s="48"/>
      <c r="I46" s="172"/>
      <c r="J46" s="214"/>
      <c r="K46" s="48"/>
      <c r="L46" s="172"/>
      <c r="M46" s="51"/>
      <c r="N46" s="51"/>
      <c r="O46" s="52"/>
      <c r="P46" s="52"/>
      <c r="Q46" s="51"/>
      <c r="R46" s="53"/>
      <c r="S46" s="53"/>
      <c r="T46" s="53"/>
      <c r="U46" s="51"/>
      <c r="V46" s="52"/>
      <c r="W46" s="52"/>
      <c r="X46" s="51"/>
      <c r="Y46" s="51"/>
      <c r="Z46" s="51"/>
      <c r="AA46" s="52"/>
      <c r="AB46" s="52"/>
      <c r="AC46" s="52"/>
      <c r="AD46" s="51"/>
      <c r="AE46" s="51"/>
      <c r="AF46" s="53"/>
      <c r="AG46" s="323"/>
    </row>
    <row r="47" spans="1:33" x14ac:dyDescent="0.25">
      <c r="A47" s="45"/>
      <c r="B47" s="46"/>
      <c r="C47" s="47"/>
      <c r="D47" s="48"/>
      <c r="E47" s="48"/>
      <c r="F47" s="49"/>
      <c r="G47" s="48"/>
      <c r="H47" s="48"/>
      <c r="I47" s="172"/>
      <c r="J47" s="214"/>
      <c r="K47" s="48"/>
      <c r="L47" s="172"/>
      <c r="M47" s="51"/>
      <c r="N47" s="51"/>
      <c r="O47" s="52"/>
      <c r="P47" s="52"/>
      <c r="Q47" s="51"/>
      <c r="R47" s="53"/>
      <c r="S47" s="53"/>
      <c r="T47" s="53"/>
      <c r="U47" s="51"/>
      <c r="V47" s="52"/>
      <c r="W47" s="52"/>
      <c r="X47" s="51"/>
      <c r="Y47" s="51"/>
      <c r="Z47" s="51"/>
      <c r="AA47" s="52"/>
      <c r="AB47" s="52"/>
      <c r="AC47" s="52"/>
      <c r="AD47" s="51"/>
      <c r="AE47" s="51"/>
      <c r="AF47" s="53"/>
      <c r="AG47" s="323"/>
    </row>
    <row r="48" spans="1:33" x14ac:dyDescent="0.25">
      <c r="A48" s="45"/>
      <c r="B48" s="46"/>
      <c r="C48" s="47"/>
      <c r="D48" s="48"/>
      <c r="E48" s="48"/>
      <c r="F48" s="49"/>
      <c r="G48" s="48"/>
      <c r="H48" s="48"/>
      <c r="I48" s="172"/>
      <c r="J48" s="214"/>
      <c r="K48" s="48"/>
      <c r="L48" s="172"/>
      <c r="M48" s="51"/>
      <c r="N48" s="51"/>
      <c r="O48" s="52"/>
      <c r="P48" s="52"/>
      <c r="Q48" s="51"/>
      <c r="R48" s="53"/>
      <c r="S48" s="53"/>
      <c r="T48" s="53"/>
      <c r="U48" s="51"/>
      <c r="V48" s="52"/>
      <c r="W48" s="52"/>
      <c r="X48" s="51"/>
      <c r="Y48" s="51"/>
      <c r="Z48" s="51"/>
      <c r="AA48" s="52"/>
      <c r="AB48" s="52"/>
      <c r="AC48" s="52"/>
      <c r="AD48" s="51"/>
      <c r="AE48" s="51"/>
      <c r="AF48" s="53"/>
      <c r="AG48" s="323"/>
    </row>
    <row r="49" spans="1:33" x14ac:dyDescent="0.25">
      <c r="A49" s="45"/>
      <c r="B49" s="46"/>
      <c r="C49" s="47"/>
      <c r="D49" s="48"/>
      <c r="E49" s="48"/>
      <c r="F49" s="49"/>
      <c r="G49" s="48"/>
      <c r="H49" s="48"/>
      <c r="I49" s="172"/>
      <c r="J49" s="214"/>
      <c r="K49" s="48"/>
      <c r="L49" s="172"/>
      <c r="M49" s="51"/>
      <c r="N49" s="51"/>
      <c r="O49" s="52"/>
      <c r="P49" s="52"/>
      <c r="Q49" s="51"/>
      <c r="R49" s="53"/>
      <c r="S49" s="53"/>
      <c r="T49" s="53"/>
      <c r="U49" s="51"/>
      <c r="V49" s="52"/>
      <c r="W49" s="52"/>
      <c r="X49" s="51"/>
      <c r="Y49" s="51"/>
      <c r="Z49" s="51"/>
      <c r="AA49" s="52"/>
      <c r="AB49" s="52"/>
      <c r="AC49" s="52"/>
      <c r="AD49" s="51"/>
      <c r="AE49" s="51"/>
      <c r="AF49" s="53"/>
      <c r="AG49" s="323"/>
    </row>
    <row r="50" spans="1:33" x14ac:dyDescent="0.25">
      <c r="A50" s="23"/>
      <c r="B50" s="24"/>
      <c r="C50" s="25"/>
      <c r="D50" s="27"/>
      <c r="E50" s="27"/>
      <c r="F50" s="28"/>
      <c r="G50" s="27"/>
      <c r="H50" s="27"/>
      <c r="I50" s="172"/>
      <c r="J50" s="214"/>
      <c r="K50" s="27"/>
      <c r="L50" s="172"/>
      <c r="M50" s="32"/>
      <c r="N50" s="32"/>
      <c r="O50" s="33"/>
      <c r="P50" s="33"/>
      <c r="Q50" s="32"/>
      <c r="R50" s="42"/>
      <c r="S50" s="42"/>
      <c r="T50" s="42"/>
      <c r="U50" s="32"/>
      <c r="V50" s="33"/>
      <c r="W50" s="33"/>
      <c r="X50" s="32"/>
      <c r="Y50" s="32"/>
      <c r="Z50" s="266"/>
      <c r="AA50" s="33"/>
      <c r="AB50" s="33"/>
      <c r="AC50" s="33"/>
      <c r="AD50" s="32"/>
      <c r="AE50" s="32"/>
      <c r="AF50" s="42"/>
      <c r="AG50" s="83"/>
    </row>
    <row r="51" spans="1:33" x14ac:dyDescent="0.25">
      <c r="A51" s="23"/>
      <c r="B51" s="24"/>
      <c r="C51" s="25"/>
      <c r="D51" s="27"/>
      <c r="E51" s="27"/>
      <c r="F51" s="28"/>
      <c r="G51" s="27"/>
      <c r="H51" s="27"/>
      <c r="I51" s="172"/>
      <c r="J51" s="214"/>
      <c r="K51" s="27"/>
      <c r="L51" s="172"/>
      <c r="M51" s="32"/>
      <c r="N51" s="32"/>
      <c r="O51" s="33"/>
      <c r="P51" s="33"/>
      <c r="Q51" s="32"/>
      <c r="R51" s="42"/>
      <c r="S51" s="42"/>
      <c r="T51" s="42"/>
      <c r="U51" s="32"/>
      <c r="V51" s="33"/>
      <c r="W51" s="33"/>
      <c r="X51" s="32"/>
      <c r="Y51" s="32"/>
      <c r="Z51" s="266"/>
      <c r="AA51" s="33"/>
      <c r="AB51" s="33"/>
      <c r="AC51" s="33"/>
      <c r="AD51" s="32"/>
      <c r="AE51" s="32"/>
      <c r="AF51" s="42"/>
      <c r="AG51" s="83"/>
    </row>
    <row r="52" spans="1:33" x14ac:dyDescent="0.25">
      <c r="A52" s="23"/>
      <c r="B52" s="24"/>
      <c r="C52" s="25"/>
      <c r="D52" s="27"/>
      <c r="E52" s="27"/>
      <c r="F52" s="28"/>
      <c r="G52" s="27"/>
      <c r="H52" s="27"/>
      <c r="I52" s="172"/>
      <c r="J52" s="214"/>
      <c r="K52" s="27"/>
      <c r="L52" s="172"/>
      <c r="M52" s="32"/>
      <c r="N52" s="32"/>
      <c r="O52" s="33"/>
      <c r="P52" s="33"/>
      <c r="Q52" s="32"/>
      <c r="R52" s="42"/>
      <c r="S52" s="42"/>
      <c r="T52" s="42"/>
      <c r="U52" s="32"/>
      <c r="V52" s="33"/>
      <c r="W52" s="33"/>
      <c r="X52" s="32"/>
      <c r="Y52" s="32"/>
      <c r="Z52" s="266"/>
      <c r="AA52" s="33"/>
      <c r="AB52" s="33"/>
      <c r="AC52" s="33"/>
      <c r="AD52" s="32"/>
      <c r="AE52" s="32"/>
      <c r="AF52" s="42"/>
      <c r="AG52" s="83"/>
    </row>
    <row r="53" spans="1:33" x14ac:dyDescent="0.25">
      <c r="A53" s="23"/>
      <c r="B53" s="24"/>
      <c r="C53" s="25"/>
      <c r="D53" s="27"/>
      <c r="E53" s="27"/>
      <c r="F53" s="28"/>
      <c r="G53" s="27"/>
      <c r="H53" s="27"/>
      <c r="I53" s="172"/>
      <c r="J53" s="214"/>
      <c r="K53" s="27"/>
      <c r="L53" s="172"/>
      <c r="M53" s="32"/>
      <c r="N53" s="32"/>
      <c r="O53" s="33"/>
      <c r="P53" s="33"/>
      <c r="Q53" s="32"/>
      <c r="R53" s="42"/>
      <c r="S53" s="42"/>
      <c r="T53" s="42"/>
      <c r="U53" s="32"/>
      <c r="V53" s="33"/>
      <c r="W53" s="33"/>
      <c r="X53" s="32"/>
      <c r="Y53" s="32"/>
      <c r="Z53" s="266"/>
      <c r="AA53" s="33"/>
      <c r="AB53" s="33"/>
      <c r="AC53" s="33"/>
      <c r="AD53" s="32"/>
      <c r="AE53" s="32"/>
      <c r="AF53" s="42"/>
      <c r="AG53" s="83"/>
    </row>
    <row r="54" spans="1:33" x14ac:dyDescent="0.25">
      <c r="A54" s="23"/>
      <c r="B54" s="24"/>
      <c r="C54" s="25"/>
      <c r="D54" s="27"/>
      <c r="E54" s="27"/>
      <c r="F54" s="28"/>
      <c r="G54" s="27"/>
      <c r="H54" s="27"/>
      <c r="I54" s="172"/>
      <c r="J54" s="214"/>
      <c r="K54" s="27"/>
      <c r="L54" s="172"/>
      <c r="M54" s="32"/>
      <c r="N54" s="32"/>
      <c r="O54" s="33"/>
      <c r="P54" s="33"/>
      <c r="Q54" s="32"/>
      <c r="R54" s="42"/>
      <c r="S54" s="42"/>
      <c r="T54" s="42"/>
      <c r="U54" s="32"/>
      <c r="V54" s="33"/>
      <c r="W54" s="33"/>
      <c r="X54" s="32"/>
      <c r="Y54" s="32"/>
      <c r="Z54" s="266"/>
      <c r="AA54" s="33"/>
      <c r="AB54" s="33"/>
      <c r="AC54" s="33"/>
      <c r="AD54" s="32"/>
      <c r="AE54" s="32"/>
      <c r="AF54" s="42"/>
      <c r="AG54" s="83"/>
    </row>
    <row r="55" spans="1:33" x14ac:dyDescent="0.25">
      <c r="A55" s="45"/>
      <c r="B55" s="46"/>
      <c r="C55" s="47"/>
      <c r="D55" s="48"/>
      <c r="E55" s="48"/>
      <c r="F55" s="49"/>
      <c r="G55" s="48"/>
      <c r="H55" s="48"/>
      <c r="I55" s="172"/>
      <c r="J55" s="214"/>
      <c r="K55" s="48"/>
      <c r="L55" s="172"/>
      <c r="M55" s="51"/>
      <c r="N55" s="51"/>
      <c r="O55" s="52"/>
      <c r="P55" s="52"/>
      <c r="Q55" s="51"/>
      <c r="R55" s="53"/>
      <c r="S55" s="53"/>
      <c r="T55" s="53"/>
      <c r="U55" s="51"/>
      <c r="V55" s="52"/>
      <c r="W55" s="52"/>
      <c r="X55" s="51"/>
      <c r="Y55" s="51"/>
      <c r="Z55" s="51"/>
      <c r="AA55" s="52"/>
      <c r="AB55" s="52"/>
      <c r="AC55" s="52"/>
      <c r="AD55" s="51"/>
      <c r="AE55" s="51"/>
      <c r="AF55" s="53"/>
      <c r="AG55" s="323"/>
    </row>
    <row r="56" spans="1:33" x14ac:dyDescent="0.25">
      <c r="A56" s="45"/>
      <c r="B56" s="46"/>
      <c r="C56" s="47"/>
      <c r="D56" s="48"/>
      <c r="E56" s="48"/>
      <c r="F56" s="49"/>
      <c r="G56" s="48"/>
      <c r="H56" s="48"/>
      <c r="I56" s="172"/>
      <c r="J56" s="214"/>
      <c r="K56" s="48"/>
      <c r="L56" s="172"/>
      <c r="M56" s="51"/>
      <c r="N56" s="51"/>
      <c r="O56" s="52"/>
      <c r="P56" s="52"/>
      <c r="Q56" s="51"/>
      <c r="R56" s="53"/>
      <c r="S56" s="53"/>
      <c r="T56" s="53"/>
      <c r="U56" s="51"/>
      <c r="V56" s="52"/>
      <c r="W56" s="52"/>
      <c r="X56" s="51"/>
      <c r="Y56" s="51"/>
      <c r="Z56" s="51"/>
      <c r="AA56" s="52"/>
      <c r="AB56" s="52"/>
      <c r="AC56" s="52"/>
      <c r="AD56" s="51"/>
      <c r="AE56" s="51"/>
      <c r="AF56" s="53"/>
      <c r="AG56" s="323"/>
    </row>
    <row r="57" spans="1:33" x14ac:dyDescent="0.25">
      <c r="A57" s="45"/>
      <c r="B57" s="46"/>
      <c r="C57" s="47"/>
      <c r="D57" s="48"/>
      <c r="E57" s="48"/>
      <c r="F57" s="49"/>
      <c r="G57" s="48"/>
      <c r="H57" s="48"/>
      <c r="I57" s="172"/>
      <c r="J57" s="214"/>
      <c r="K57" s="48"/>
      <c r="L57" s="172"/>
      <c r="M57" s="51"/>
      <c r="N57" s="51"/>
      <c r="O57" s="52"/>
      <c r="P57" s="52"/>
      <c r="Q57" s="51"/>
      <c r="R57" s="53"/>
      <c r="S57" s="53"/>
      <c r="T57" s="53"/>
      <c r="U57" s="51"/>
      <c r="V57" s="52"/>
      <c r="W57" s="52"/>
      <c r="X57" s="51"/>
      <c r="Y57" s="51"/>
      <c r="Z57" s="51"/>
      <c r="AA57" s="52"/>
      <c r="AB57" s="52"/>
      <c r="AC57" s="52"/>
      <c r="AD57" s="51"/>
      <c r="AE57" s="51"/>
      <c r="AF57" s="53"/>
      <c r="AG57" s="323"/>
    </row>
    <row r="58" spans="1:33" x14ac:dyDescent="0.25">
      <c r="A58" s="45"/>
      <c r="B58" s="46"/>
      <c r="C58" s="47"/>
      <c r="D58" s="48"/>
      <c r="E58" s="48"/>
      <c r="F58" s="49"/>
      <c r="G58" s="48"/>
      <c r="H58" s="48"/>
      <c r="I58" s="172"/>
      <c r="J58" s="214"/>
      <c r="K58" s="48"/>
      <c r="L58" s="172"/>
      <c r="M58" s="51"/>
      <c r="N58" s="51"/>
      <c r="O58" s="52"/>
      <c r="P58" s="52"/>
      <c r="Q58" s="51"/>
      <c r="R58" s="53"/>
      <c r="S58" s="53"/>
      <c r="T58" s="53"/>
      <c r="U58" s="51"/>
      <c r="V58" s="52"/>
      <c r="W58" s="52"/>
      <c r="X58" s="51"/>
      <c r="Y58" s="51"/>
      <c r="Z58" s="51"/>
      <c r="AA58" s="52"/>
      <c r="AB58" s="52"/>
      <c r="AC58" s="52"/>
      <c r="AD58" s="51"/>
      <c r="AE58" s="51"/>
      <c r="AF58" s="53"/>
      <c r="AG58" s="323"/>
    </row>
    <row r="59" spans="1:33" x14ac:dyDescent="0.25">
      <c r="A59" s="45"/>
      <c r="B59" s="46"/>
      <c r="C59" s="47"/>
      <c r="D59" s="48"/>
      <c r="E59" s="48"/>
      <c r="F59" s="49"/>
      <c r="G59" s="48"/>
      <c r="H59" s="48"/>
      <c r="I59" s="172"/>
      <c r="J59" s="214"/>
      <c r="K59" s="48"/>
      <c r="L59" s="172"/>
      <c r="M59" s="51"/>
      <c r="N59" s="51"/>
      <c r="O59" s="52"/>
      <c r="P59" s="52"/>
      <c r="Q59" s="51"/>
      <c r="R59" s="53"/>
      <c r="S59" s="53"/>
      <c r="T59" s="53"/>
      <c r="U59" s="51"/>
      <c r="V59" s="52"/>
      <c r="W59" s="52"/>
      <c r="X59" s="51"/>
      <c r="Y59" s="51"/>
      <c r="Z59" s="51"/>
      <c r="AA59" s="52"/>
      <c r="AB59" s="52"/>
      <c r="AC59" s="52"/>
      <c r="AD59" s="51"/>
      <c r="AE59" s="51"/>
      <c r="AF59" s="53"/>
      <c r="AG59" s="323"/>
    </row>
    <row r="60" spans="1:33" x14ac:dyDescent="0.25">
      <c r="A60" s="23"/>
      <c r="B60" s="24"/>
      <c r="C60" s="25"/>
      <c r="D60" s="27"/>
      <c r="E60" s="27"/>
      <c r="F60" s="28"/>
      <c r="G60" s="27"/>
      <c r="H60" s="27"/>
      <c r="I60" s="172"/>
      <c r="J60" s="214"/>
      <c r="K60" s="27"/>
      <c r="L60" s="172"/>
      <c r="M60" s="32"/>
      <c r="N60" s="32"/>
      <c r="O60" s="33"/>
      <c r="P60" s="33"/>
      <c r="Q60" s="32"/>
      <c r="R60" s="42"/>
      <c r="S60" s="42"/>
      <c r="T60" s="42"/>
      <c r="U60" s="32"/>
      <c r="V60" s="33"/>
      <c r="W60" s="33"/>
      <c r="X60" s="32"/>
      <c r="Y60" s="32"/>
      <c r="Z60" s="266"/>
      <c r="AA60" s="33"/>
      <c r="AB60" s="33"/>
      <c r="AC60" s="33"/>
      <c r="AD60" s="32"/>
      <c r="AE60" s="32"/>
      <c r="AF60" s="42"/>
      <c r="AG60" s="83"/>
    </row>
    <row r="61" spans="1:33" x14ac:dyDescent="0.25">
      <c r="A61" s="23"/>
      <c r="B61" s="24"/>
      <c r="C61" s="25"/>
      <c r="D61" s="27"/>
      <c r="E61" s="27"/>
      <c r="F61" s="28"/>
      <c r="G61" s="27"/>
      <c r="H61" s="27"/>
      <c r="I61" s="172"/>
      <c r="J61" s="214"/>
      <c r="K61" s="27"/>
      <c r="L61" s="172"/>
      <c r="M61" s="32"/>
      <c r="N61" s="32"/>
      <c r="O61" s="33"/>
      <c r="P61" s="33"/>
      <c r="Q61" s="32"/>
      <c r="R61" s="42"/>
      <c r="S61" s="42"/>
      <c r="T61" s="42"/>
      <c r="U61" s="32"/>
      <c r="V61" s="33"/>
      <c r="W61" s="33"/>
      <c r="X61" s="32"/>
      <c r="Y61" s="32"/>
      <c r="Z61" s="266"/>
      <c r="AA61" s="33"/>
      <c r="AB61" s="33"/>
      <c r="AC61" s="33"/>
      <c r="AD61" s="32"/>
      <c r="AE61" s="32"/>
      <c r="AF61" s="42"/>
      <c r="AG61" s="83"/>
    </row>
    <row r="62" spans="1:33" x14ac:dyDescent="0.25">
      <c r="A62" s="23"/>
      <c r="B62" s="24"/>
      <c r="C62" s="25"/>
      <c r="D62" s="27"/>
      <c r="E62" s="27"/>
      <c r="F62" s="28"/>
      <c r="G62" s="27"/>
      <c r="H62" s="27"/>
      <c r="I62" s="172"/>
      <c r="J62" s="214"/>
      <c r="K62" s="27"/>
      <c r="L62" s="172"/>
      <c r="M62" s="32"/>
      <c r="N62" s="32"/>
      <c r="O62" s="33"/>
      <c r="P62" s="33"/>
      <c r="Q62" s="32"/>
      <c r="R62" s="42"/>
      <c r="S62" s="42"/>
      <c r="T62" s="42"/>
      <c r="U62" s="32"/>
      <c r="V62" s="33"/>
      <c r="W62" s="33"/>
      <c r="X62" s="32"/>
      <c r="Y62" s="32"/>
      <c r="Z62" s="266"/>
      <c r="AA62" s="33"/>
      <c r="AB62" s="33"/>
      <c r="AC62" s="33"/>
      <c r="AD62" s="32"/>
      <c r="AE62" s="32"/>
      <c r="AF62" s="42"/>
      <c r="AG62" s="83"/>
    </row>
    <row r="63" spans="1:33" x14ac:dyDescent="0.25">
      <c r="A63" s="23"/>
      <c r="B63" s="24"/>
      <c r="C63" s="25"/>
      <c r="D63" s="27"/>
      <c r="E63" s="27"/>
      <c r="F63" s="28"/>
      <c r="G63" s="27"/>
      <c r="H63" s="27"/>
      <c r="I63" s="172"/>
      <c r="J63" s="214"/>
      <c r="K63" s="27"/>
      <c r="L63" s="172"/>
      <c r="M63" s="32"/>
      <c r="N63" s="32"/>
      <c r="O63" s="33"/>
      <c r="P63" s="33"/>
      <c r="Q63" s="32"/>
      <c r="R63" s="42"/>
      <c r="S63" s="42"/>
      <c r="T63" s="42"/>
      <c r="U63" s="32"/>
      <c r="V63" s="33"/>
      <c r="W63" s="33"/>
      <c r="X63" s="32"/>
      <c r="Y63" s="32"/>
      <c r="Z63" s="266"/>
      <c r="AA63" s="33"/>
      <c r="AB63" s="33"/>
      <c r="AC63" s="33"/>
      <c r="AD63" s="32"/>
      <c r="AE63" s="32"/>
      <c r="AF63" s="42"/>
      <c r="AG63" s="83"/>
    </row>
    <row r="64" spans="1:33" x14ac:dyDescent="0.25">
      <c r="A64" s="23"/>
      <c r="B64" s="24"/>
      <c r="C64" s="25"/>
      <c r="D64" s="27"/>
      <c r="E64" s="27"/>
      <c r="F64" s="28"/>
      <c r="G64" s="27"/>
      <c r="H64" s="27"/>
      <c r="I64" s="172"/>
      <c r="J64" s="214"/>
      <c r="K64" s="27"/>
      <c r="L64" s="172"/>
      <c r="M64" s="32"/>
      <c r="N64" s="32"/>
      <c r="O64" s="33"/>
      <c r="P64" s="33"/>
      <c r="Q64" s="32"/>
      <c r="R64" s="42"/>
      <c r="S64" s="42"/>
      <c r="T64" s="42"/>
      <c r="U64" s="32"/>
      <c r="V64" s="33"/>
      <c r="W64" s="33"/>
      <c r="X64" s="32"/>
      <c r="Y64" s="32"/>
      <c r="Z64" s="266"/>
      <c r="AA64" s="33"/>
      <c r="AB64" s="33"/>
      <c r="AC64" s="33"/>
      <c r="AD64" s="32"/>
      <c r="AE64" s="32"/>
      <c r="AF64" s="42"/>
      <c r="AG64" s="83"/>
    </row>
    <row r="65" spans="1:33" x14ac:dyDescent="0.25">
      <c r="A65" s="45"/>
      <c r="B65" s="46"/>
      <c r="C65" s="47"/>
      <c r="D65" s="48"/>
      <c r="E65" s="48"/>
      <c r="F65" s="49"/>
      <c r="G65" s="48"/>
      <c r="H65" s="48"/>
      <c r="I65" s="172"/>
      <c r="J65" s="214"/>
      <c r="K65" s="48"/>
      <c r="L65" s="172"/>
      <c r="M65" s="51"/>
      <c r="N65" s="51"/>
      <c r="O65" s="52"/>
      <c r="P65" s="52"/>
      <c r="Q65" s="51"/>
      <c r="R65" s="53"/>
      <c r="S65" s="53"/>
      <c r="T65" s="53"/>
      <c r="U65" s="51"/>
      <c r="V65" s="52"/>
      <c r="W65" s="52"/>
      <c r="X65" s="51"/>
      <c r="Y65" s="51"/>
      <c r="Z65" s="51"/>
      <c r="AA65" s="52"/>
      <c r="AB65" s="52"/>
      <c r="AC65" s="52"/>
      <c r="AD65" s="51"/>
      <c r="AE65" s="51"/>
      <c r="AF65" s="53"/>
      <c r="AG65" s="323"/>
    </row>
    <row r="66" spans="1:33" x14ac:dyDescent="0.25">
      <c r="A66" s="45"/>
      <c r="B66" s="46"/>
      <c r="C66" s="47"/>
      <c r="D66" s="48"/>
      <c r="E66" s="48"/>
      <c r="F66" s="49"/>
      <c r="G66" s="48"/>
      <c r="H66" s="48"/>
      <c r="I66" s="172"/>
      <c r="J66" s="214"/>
      <c r="K66" s="48"/>
      <c r="L66" s="172"/>
      <c r="M66" s="51"/>
      <c r="N66" s="51"/>
      <c r="O66" s="52"/>
      <c r="P66" s="52"/>
      <c r="Q66" s="51"/>
      <c r="R66" s="53"/>
      <c r="S66" s="53"/>
      <c r="T66" s="53"/>
      <c r="U66" s="51"/>
      <c r="V66" s="52"/>
      <c r="W66" s="52"/>
      <c r="X66" s="51"/>
      <c r="Y66" s="51"/>
      <c r="Z66" s="51"/>
      <c r="AA66" s="52"/>
      <c r="AB66" s="52"/>
      <c r="AC66" s="52"/>
      <c r="AD66" s="51"/>
      <c r="AE66" s="51"/>
      <c r="AF66" s="53"/>
      <c r="AG66" s="323"/>
    </row>
    <row r="67" spans="1:33" x14ac:dyDescent="0.25">
      <c r="A67" s="45"/>
      <c r="B67" s="46"/>
      <c r="C67" s="47"/>
      <c r="D67" s="48"/>
      <c r="E67" s="48"/>
      <c r="F67" s="49"/>
      <c r="G67" s="48"/>
      <c r="H67" s="48"/>
      <c r="I67" s="172"/>
      <c r="J67" s="214"/>
      <c r="K67" s="48"/>
      <c r="L67" s="172"/>
      <c r="M67" s="51"/>
      <c r="N67" s="51"/>
      <c r="O67" s="52"/>
      <c r="P67" s="52"/>
      <c r="Q67" s="51"/>
      <c r="R67" s="53"/>
      <c r="S67" s="53"/>
      <c r="T67" s="53"/>
      <c r="U67" s="51"/>
      <c r="V67" s="52"/>
      <c r="W67" s="52"/>
      <c r="X67" s="51"/>
      <c r="Y67" s="51"/>
      <c r="Z67" s="51"/>
      <c r="AA67" s="52"/>
      <c r="AB67" s="52"/>
      <c r="AC67" s="52"/>
      <c r="AD67" s="51"/>
      <c r="AE67" s="51"/>
      <c r="AF67" s="53"/>
      <c r="AG67" s="323"/>
    </row>
    <row r="68" spans="1:33" x14ac:dyDescent="0.25">
      <c r="A68" s="45"/>
      <c r="B68" s="46"/>
      <c r="C68" s="47"/>
      <c r="D68" s="48"/>
      <c r="E68" s="48"/>
      <c r="F68" s="49"/>
      <c r="G68" s="48"/>
      <c r="H68" s="48"/>
      <c r="I68" s="172"/>
      <c r="J68" s="214"/>
      <c r="K68" s="48"/>
      <c r="L68" s="172"/>
      <c r="M68" s="51"/>
      <c r="N68" s="51"/>
      <c r="O68" s="52"/>
      <c r="P68" s="52"/>
      <c r="Q68" s="51"/>
      <c r="R68" s="53"/>
      <c r="S68" s="53"/>
      <c r="T68" s="53"/>
      <c r="U68" s="51"/>
      <c r="V68" s="52"/>
      <c r="W68" s="52"/>
      <c r="X68" s="51"/>
      <c r="Y68" s="51"/>
      <c r="Z68" s="51"/>
      <c r="AA68" s="52"/>
      <c r="AB68" s="52"/>
      <c r="AC68" s="52"/>
      <c r="AD68" s="51"/>
      <c r="AE68" s="51"/>
      <c r="AF68" s="53"/>
      <c r="AG68" s="323"/>
    </row>
    <row r="69" spans="1:33" x14ac:dyDescent="0.25">
      <c r="A69" s="45"/>
      <c r="B69" s="46"/>
      <c r="C69" s="47"/>
      <c r="D69" s="48"/>
      <c r="E69" s="48"/>
      <c r="F69" s="49"/>
      <c r="G69" s="48"/>
      <c r="H69" s="48"/>
      <c r="I69" s="172"/>
      <c r="J69" s="214"/>
      <c r="K69" s="48"/>
      <c r="L69" s="172"/>
      <c r="M69" s="51"/>
      <c r="N69" s="51"/>
      <c r="O69" s="52"/>
      <c r="P69" s="52"/>
      <c r="Q69" s="51"/>
      <c r="R69" s="53"/>
      <c r="S69" s="53"/>
      <c r="T69" s="53"/>
      <c r="U69" s="51"/>
      <c r="V69" s="52"/>
      <c r="W69" s="52"/>
      <c r="X69" s="51"/>
      <c r="Y69" s="51"/>
      <c r="Z69" s="51"/>
      <c r="AA69" s="52"/>
      <c r="AB69" s="52"/>
      <c r="AC69" s="52"/>
      <c r="AD69" s="51"/>
      <c r="AE69" s="51"/>
      <c r="AF69" s="53"/>
      <c r="AG69" s="323"/>
    </row>
    <row r="70" spans="1:33" x14ac:dyDescent="0.25">
      <c r="A70" s="23"/>
      <c r="B70" s="24"/>
      <c r="C70" s="25"/>
      <c r="D70" s="27"/>
      <c r="E70" s="27"/>
      <c r="F70" s="28"/>
      <c r="G70" s="27"/>
      <c r="H70" s="27"/>
      <c r="I70" s="172"/>
      <c r="J70" s="214"/>
      <c r="K70" s="27"/>
      <c r="L70" s="172"/>
      <c r="M70" s="32"/>
      <c r="N70" s="32"/>
      <c r="O70" s="33"/>
      <c r="P70" s="33"/>
      <c r="Q70" s="32"/>
      <c r="R70" s="42"/>
      <c r="S70" s="42"/>
      <c r="T70" s="42"/>
      <c r="U70" s="32"/>
      <c r="V70" s="33"/>
      <c r="W70" s="33"/>
      <c r="X70" s="32"/>
      <c r="Y70" s="32"/>
      <c r="Z70" s="266"/>
      <c r="AA70" s="33"/>
      <c r="AB70" s="33"/>
      <c r="AC70" s="33"/>
      <c r="AD70" s="32"/>
      <c r="AE70" s="32"/>
      <c r="AF70" s="42"/>
      <c r="AG70" s="83"/>
    </row>
    <row r="71" spans="1:33" x14ac:dyDescent="0.25">
      <c r="A71" s="23"/>
      <c r="B71" s="24"/>
      <c r="C71" s="25"/>
      <c r="D71" s="27"/>
      <c r="E71" s="27"/>
      <c r="F71" s="28"/>
      <c r="G71" s="27"/>
      <c r="H71" s="27"/>
      <c r="I71" s="172"/>
      <c r="J71" s="214"/>
      <c r="K71" s="27"/>
      <c r="L71" s="172"/>
      <c r="M71" s="32"/>
      <c r="N71" s="32"/>
      <c r="O71" s="33"/>
      <c r="P71" s="33"/>
      <c r="Q71" s="32"/>
      <c r="R71" s="42"/>
      <c r="S71" s="42"/>
      <c r="T71" s="42"/>
      <c r="U71" s="32"/>
      <c r="V71" s="33"/>
      <c r="W71" s="33"/>
      <c r="X71" s="32"/>
      <c r="Y71" s="32"/>
      <c r="Z71" s="266"/>
      <c r="AA71" s="33"/>
      <c r="AB71" s="33"/>
      <c r="AC71" s="33"/>
      <c r="AD71" s="32"/>
      <c r="AE71" s="32"/>
      <c r="AF71" s="42"/>
      <c r="AG71" s="83"/>
    </row>
    <row r="72" spans="1:33" x14ac:dyDescent="0.25">
      <c r="A72" s="23"/>
      <c r="B72" s="24"/>
      <c r="C72" s="25"/>
      <c r="D72" s="27"/>
      <c r="E72" s="27"/>
      <c r="F72" s="28"/>
      <c r="G72" s="27"/>
      <c r="H72" s="27"/>
      <c r="I72" s="172"/>
      <c r="J72" s="214"/>
      <c r="K72" s="27"/>
      <c r="L72" s="172"/>
      <c r="M72" s="32"/>
      <c r="N72" s="32"/>
      <c r="O72" s="33"/>
      <c r="P72" s="33"/>
      <c r="Q72" s="32"/>
      <c r="R72" s="42"/>
      <c r="S72" s="42"/>
      <c r="T72" s="42"/>
      <c r="U72" s="32"/>
      <c r="V72" s="33"/>
      <c r="W72" s="33"/>
      <c r="X72" s="32"/>
      <c r="Y72" s="32"/>
      <c r="Z72" s="266"/>
      <c r="AA72" s="33"/>
      <c r="AB72" s="33"/>
      <c r="AC72" s="33"/>
      <c r="AD72" s="32"/>
      <c r="AE72" s="32"/>
      <c r="AF72" s="42"/>
      <c r="AG72" s="83"/>
    </row>
    <row r="73" spans="1:33" x14ac:dyDescent="0.25">
      <c r="A73" s="23"/>
      <c r="B73" s="24"/>
      <c r="C73" s="25"/>
      <c r="D73" s="27"/>
      <c r="E73" s="27"/>
      <c r="F73" s="28"/>
      <c r="G73" s="27"/>
      <c r="H73" s="27"/>
      <c r="I73" s="172"/>
      <c r="J73" s="214"/>
      <c r="K73" s="27"/>
      <c r="L73" s="172"/>
      <c r="M73" s="32"/>
      <c r="N73" s="32"/>
      <c r="O73" s="33"/>
      <c r="P73" s="33"/>
      <c r="Q73" s="32"/>
      <c r="R73" s="42"/>
      <c r="S73" s="42"/>
      <c r="T73" s="42"/>
      <c r="U73" s="32"/>
      <c r="V73" s="33"/>
      <c r="W73" s="33"/>
      <c r="X73" s="32"/>
      <c r="Y73" s="32"/>
      <c r="Z73" s="266"/>
      <c r="AA73" s="33"/>
      <c r="AB73" s="33"/>
      <c r="AC73" s="33"/>
      <c r="AD73" s="32"/>
      <c r="AE73" s="32"/>
      <c r="AF73" s="42"/>
      <c r="AG73" s="83"/>
    </row>
    <row r="74" spans="1:33" x14ac:dyDescent="0.25">
      <c r="A74" s="23"/>
      <c r="B74" s="24"/>
      <c r="C74" s="25"/>
      <c r="D74" s="27"/>
      <c r="E74" s="27"/>
      <c r="F74" s="28"/>
      <c r="G74" s="27"/>
      <c r="H74" s="27"/>
      <c r="I74" s="172"/>
      <c r="J74" s="214"/>
      <c r="K74" s="27"/>
      <c r="L74" s="172"/>
      <c r="M74" s="32"/>
      <c r="N74" s="32"/>
      <c r="O74" s="33"/>
      <c r="P74" s="33"/>
      <c r="Q74" s="32"/>
      <c r="R74" s="42"/>
      <c r="S74" s="42"/>
      <c r="T74" s="42"/>
      <c r="U74" s="32"/>
      <c r="V74" s="33"/>
      <c r="W74" s="33"/>
      <c r="X74" s="32"/>
      <c r="Y74" s="32"/>
      <c r="Z74" s="266"/>
      <c r="AA74" s="33"/>
      <c r="AB74" s="33"/>
      <c r="AC74" s="33"/>
      <c r="AD74" s="32"/>
      <c r="AE74" s="32"/>
      <c r="AF74" s="42"/>
      <c r="AG74" s="83"/>
    </row>
    <row r="75" spans="1:33" x14ac:dyDescent="0.25">
      <c r="A75" s="45"/>
      <c r="B75" s="46"/>
      <c r="C75" s="47"/>
      <c r="D75" s="48"/>
      <c r="E75" s="48"/>
      <c r="F75" s="49"/>
      <c r="G75" s="48"/>
      <c r="H75" s="48"/>
      <c r="I75" s="172"/>
      <c r="J75" s="214"/>
      <c r="K75" s="48"/>
      <c r="L75" s="172"/>
      <c r="M75" s="51"/>
      <c r="N75" s="51"/>
      <c r="O75" s="52"/>
      <c r="P75" s="52"/>
      <c r="Q75" s="51"/>
      <c r="R75" s="53"/>
      <c r="S75" s="53"/>
      <c r="T75" s="53"/>
      <c r="U75" s="51"/>
      <c r="V75" s="52"/>
      <c r="W75" s="52"/>
      <c r="X75" s="51"/>
      <c r="Y75" s="51"/>
      <c r="Z75" s="51"/>
      <c r="AA75" s="52"/>
      <c r="AB75" s="52"/>
      <c r="AC75" s="52"/>
      <c r="AD75" s="51"/>
      <c r="AE75" s="51"/>
      <c r="AF75" s="53"/>
      <c r="AG75" s="323"/>
    </row>
    <row r="76" spans="1:33" x14ac:dyDescent="0.25">
      <c r="A76" s="45"/>
      <c r="B76" s="46"/>
      <c r="C76" s="47"/>
      <c r="D76" s="48"/>
      <c r="E76" s="48"/>
      <c r="F76" s="49"/>
      <c r="G76" s="48"/>
      <c r="H76" s="48"/>
      <c r="I76" s="172"/>
      <c r="J76" s="214"/>
      <c r="K76" s="48"/>
      <c r="L76" s="172"/>
      <c r="M76" s="51"/>
      <c r="N76" s="51"/>
      <c r="O76" s="52"/>
      <c r="P76" s="52"/>
      <c r="Q76" s="51"/>
      <c r="R76" s="53"/>
      <c r="S76" s="53"/>
      <c r="T76" s="53"/>
      <c r="U76" s="51"/>
      <c r="V76" s="52"/>
      <c r="W76" s="52"/>
      <c r="X76" s="51"/>
      <c r="Y76" s="51"/>
      <c r="Z76" s="51"/>
      <c r="AA76" s="52"/>
      <c r="AB76" s="52"/>
      <c r="AC76" s="52"/>
      <c r="AD76" s="51"/>
      <c r="AE76" s="51"/>
      <c r="AF76" s="53"/>
      <c r="AG76" s="323"/>
    </row>
    <row r="77" spans="1:33" x14ac:dyDescent="0.25">
      <c r="A77" s="45"/>
      <c r="B77" s="46"/>
      <c r="C77" s="47"/>
      <c r="D77" s="48"/>
      <c r="E77" s="48"/>
      <c r="F77" s="49"/>
      <c r="G77" s="48"/>
      <c r="H77" s="48"/>
      <c r="I77" s="172"/>
      <c r="J77" s="214"/>
      <c r="K77" s="48"/>
      <c r="L77" s="172"/>
      <c r="M77" s="51"/>
      <c r="N77" s="51"/>
      <c r="O77" s="52"/>
      <c r="P77" s="52"/>
      <c r="Q77" s="51"/>
      <c r="R77" s="53"/>
      <c r="S77" s="53"/>
      <c r="T77" s="53"/>
      <c r="U77" s="51"/>
      <c r="V77" s="52"/>
      <c r="W77" s="52"/>
      <c r="X77" s="51"/>
      <c r="Y77" s="51"/>
      <c r="Z77" s="51"/>
      <c r="AA77" s="52"/>
      <c r="AB77" s="52"/>
      <c r="AC77" s="52"/>
      <c r="AD77" s="51"/>
      <c r="AE77" s="51"/>
      <c r="AF77" s="53"/>
      <c r="AG77" s="323"/>
    </row>
    <row r="78" spans="1:33" x14ac:dyDescent="0.25">
      <c r="A78" s="45"/>
      <c r="B78" s="46"/>
      <c r="C78" s="47"/>
      <c r="D78" s="48"/>
      <c r="E78" s="48"/>
      <c r="F78" s="49"/>
      <c r="G78" s="48"/>
      <c r="H78" s="48"/>
      <c r="I78" s="172"/>
      <c r="J78" s="214"/>
      <c r="K78" s="48"/>
      <c r="L78" s="172"/>
      <c r="M78" s="51"/>
      <c r="N78" s="51"/>
      <c r="O78" s="52"/>
      <c r="P78" s="52"/>
      <c r="Q78" s="51"/>
      <c r="R78" s="53"/>
      <c r="S78" s="53"/>
      <c r="T78" s="53"/>
      <c r="U78" s="51"/>
      <c r="V78" s="52"/>
      <c r="W78" s="52"/>
      <c r="X78" s="51"/>
      <c r="Y78" s="51"/>
      <c r="Z78" s="51"/>
      <c r="AA78" s="52"/>
      <c r="AB78" s="52"/>
      <c r="AC78" s="52"/>
      <c r="AD78" s="51"/>
      <c r="AE78" s="51"/>
      <c r="AF78" s="53"/>
      <c r="AG78" s="323"/>
    </row>
    <row r="79" spans="1:33" x14ac:dyDescent="0.25">
      <c r="A79" s="45"/>
      <c r="B79" s="46"/>
      <c r="C79" s="47"/>
      <c r="D79" s="48"/>
      <c r="E79" s="48"/>
      <c r="F79" s="49"/>
      <c r="G79" s="48"/>
      <c r="H79" s="48"/>
      <c r="I79" s="172"/>
      <c r="J79" s="214"/>
      <c r="K79" s="48"/>
      <c r="L79" s="172"/>
      <c r="M79" s="51"/>
      <c r="N79" s="51"/>
      <c r="O79" s="52"/>
      <c r="P79" s="52"/>
      <c r="Q79" s="51"/>
      <c r="R79" s="53"/>
      <c r="S79" s="53"/>
      <c r="T79" s="53"/>
      <c r="U79" s="51"/>
      <c r="V79" s="52"/>
      <c r="W79" s="52"/>
      <c r="X79" s="51"/>
      <c r="Y79" s="51"/>
      <c r="Z79" s="51"/>
      <c r="AA79" s="52"/>
      <c r="AB79" s="52"/>
      <c r="AC79" s="52"/>
      <c r="AD79" s="51"/>
      <c r="AE79" s="51"/>
      <c r="AF79" s="53"/>
      <c r="AG79" s="323"/>
    </row>
    <row r="80" spans="1:33" x14ac:dyDescent="0.25">
      <c r="A80" s="23"/>
      <c r="B80" s="24"/>
      <c r="C80" s="25"/>
      <c r="D80" s="27"/>
      <c r="E80" s="27"/>
      <c r="F80" s="28"/>
      <c r="G80" s="27"/>
      <c r="H80" s="27"/>
      <c r="I80" s="172"/>
      <c r="J80" s="214"/>
      <c r="K80" s="27"/>
      <c r="L80" s="172"/>
      <c r="M80" s="32"/>
      <c r="N80" s="32"/>
      <c r="O80" s="33"/>
      <c r="P80" s="33"/>
      <c r="Q80" s="32"/>
      <c r="R80" s="42"/>
      <c r="S80" s="42"/>
      <c r="T80" s="42"/>
      <c r="U80" s="32"/>
      <c r="V80" s="33"/>
      <c r="W80" s="33"/>
      <c r="X80" s="32"/>
      <c r="Y80" s="32"/>
      <c r="Z80" s="266"/>
      <c r="AA80" s="33"/>
      <c r="AB80" s="33"/>
      <c r="AC80" s="33"/>
      <c r="AD80" s="32"/>
      <c r="AE80" s="32"/>
      <c r="AF80" s="42"/>
      <c r="AG80" s="83"/>
    </row>
    <row r="81" spans="1:33" x14ac:dyDescent="0.25">
      <c r="A81" s="23"/>
      <c r="B81" s="24"/>
      <c r="C81" s="25"/>
      <c r="D81" s="27"/>
      <c r="E81" s="27"/>
      <c r="F81" s="28"/>
      <c r="G81" s="27"/>
      <c r="H81" s="27"/>
      <c r="I81" s="172"/>
      <c r="J81" s="214"/>
      <c r="K81" s="27"/>
      <c r="L81" s="172"/>
      <c r="M81" s="32"/>
      <c r="N81" s="32"/>
      <c r="O81" s="33"/>
      <c r="P81" s="33"/>
      <c r="Q81" s="32"/>
      <c r="R81" s="42"/>
      <c r="S81" s="42"/>
      <c r="T81" s="42"/>
      <c r="U81" s="32"/>
      <c r="V81" s="33"/>
      <c r="W81" s="33"/>
      <c r="X81" s="32"/>
      <c r="Y81" s="32"/>
      <c r="Z81" s="266"/>
      <c r="AA81" s="33"/>
      <c r="AB81" s="33"/>
      <c r="AC81" s="33"/>
      <c r="AD81" s="32"/>
      <c r="AE81" s="32"/>
      <c r="AF81" s="42"/>
      <c r="AG81" s="83"/>
    </row>
    <row r="82" spans="1:33" x14ac:dyDescent="0.25">
      <c r="A82" s="23"/>
      <c r="B82" s="24"/>
      <c r="C82" s="25"/>
      <c r="D82" s="27"/>
      <c r="E82" s="27"/>
      <c r="F82" s="28"/>
      <c r="G82" s="27"/>
      <c r="H82" s="27"/>
      <c r="I82" s="172"/>
      <c r="J82" s="214"/>
      <c r="K82" s="27"/>
      <c r="L82" s="172"/>
      <c r="M82" s="32"/>
      <c r="N82" s="32"/>
      <c r="O82" s="33"/>
      <c r="P82" s="33"/>
      <c r="Q82" s="32"/>
      <c r="R82" s="42"/>
      <c r="S82" s="42"/>
      <c r="T82" s="42"/>
      <c r="U82" s="32"/>
      <c r="V82" s="33"/>
      <c r="W82" s="33"/>
      <c r="X82" s="32"/>
      <c r="Y82" s="32"/>
      <c r="Z82" s="266"/>
      <c r="AA82" s="33"/>
      <c r="AB82" s="33"/>
      <c r="AC82" s="33"/>
      <c r="AD82" s="32"/>
      <c r="AE82" s="32"/>
      <c r="AF82" s="42"/>
      <c r="AG82" s="83"/>
    </row>
    <row r="83" spans="1:33" x14ac:dyDescent="0.25">
      <c r="A83" s="23"/>
      <c r="B83" s="24"/>
      <c r="C83" s="25"/>
      <c r="D83" s="27"/>
      <c r="E83" s="27"/>
      <c r="F83" s="28"/>
      <c r="G83" s="27"/>
      <c r="H83" s="27"/>
      <c r="I83" s="172"/>
      <c r="J83" s="214"/>
      <c r="K83" s="27"/>
      <c r="L83" s="172"/>
      <c r="M83" s="32"/>
      <c r="N83" s="32"/>
      <c r="O83" s="33"/>
      <c r="P83" s="33"/>
      <c r="Q83" s="32"/>
      <c r="R83" s="42"/>
      <c r="S83" s="42"/>
      <c r="T83" s="42"/>
      <c r="U83" s="32"/>
      <c r="V83" s="33"/>
      <c r="W83" s="33"/>
      <c r="X83" s="32"/>
      <c r="Y83" s="32"/>
      <c r="Z83" s="266"/>
      <c r="AA83" s="33"/>
      <c r="AB83" s="33"/>
      <c r="AC83" s="33"/>
      <c r="AD83" s="32"/>
      <c r="AE83" s="32"/>
      <c r="AF83" s="42"/>
      <c r="AG83" s="83"/>
    </row>
    <row r="84" spans="1:33" x14ac:dyDescent="0.25">
      <c r="A84" s="23"/>
      <c r="B84" s="24"/>
      <c r="C84" s="25"/>
      <c r="D84" s="27"/>
      <c r="E84" s="27"/>
      <c r="F84" s="28"/>
      <c r="G84" s="27"/>
      <c r="H84" s="27"/>
      <c r="I84" s="172"/>
      <c r="J84" s="214"/>
      <c r="K84" s="27"/>
      <c r="L84" s="172"/>
      <c r="M84" s="32"/>
      <c r="N84" s="32"/>
      <c r="O84" s="33"/>
      <c r="P84" s="33"/>
      <c r="Q84" s="32"/>
      <c r="R84" s="42"/>
      <c r="S84" s="42"/>
      <c r="T84" s="42"/>
      <c r="U84" s="32"/>
      <c r="V84" s="33"/>
      <c r="W84" s="33"/>
      <c r="X84" s="32"/>
      <c r="Y84" s="32"/>
      <c r="Z84" s="266"/>
      <c r="AA84" s="33"/>
      <c r="AB84" s="33"/>
      <c r="AC84" s="33"/>
      <c r="AD84" s="32"/>
      <c r="AE84" s="32"/>
      <c r="AF84" s="42"/>
      <c r="AG84" s="83"/>
    </row>
    <row r="85" spans="1:33" x14ac:dyDescent="0.25">
      <c r="A85" s="45"/>
      <c r="B85" s="46"/>
      <c r="C85" s="47"/>
      <c r="D85" s="48"/>
      <c r="E85" s="48"/>
      <c r="F85" s="49"/>
      <c r="G85" s="48"/>
      <c r="H85" s="48"/>
      <c r="I85" s="172"/>
      <c r="J85" s="214"/>
      <c r="K85" s="48"/>
      <c r="L85" s="172"/>
      <c r="M85" s="51"/>
      <c r="N85" s="51"/>
      <c r="O85" s="52"/>
      <c r="P85" s="52"/>
      <c r="Q85" s="51"/>
      <c r="R85" s="53"/>
      <c r="S85" s="53"/>
      <c r="T85" s="53"/>
      <c r="U85" s="51"/>
      <c r="V85" s="52"/>
      <c r="W85" s="52"/>
      <c r="X85" s="51"/>
      <c r="Y85" s="51"/>
      <c r="Z85" s="51"/>
      <c r="AA85" s="52"/>
      <c r="AB85" s="52"/>
      <c r="AC85" s="52"/>
      <c r="AD85" s="51"/>
      <c r="AE85" s="51"/>
      <c r="AF85" s="53"/>
      <c r="AG85" s="323"/>
    </row>
    <row r="86" spans="1:33" x14ac:dyDescent="0.25">
      <c r="A86" s="45"/>
      <c r="B86" s="46"/>
      <c r="C86" s="47"/>
      <c r="D86" s="48"/>
      <c r="E86" s="48"/>
      <c r="F86" s="49"/>
      <c r="G86" s="48"/>
      <c r="H86" s="48"/>
      <c r="I86" s="172"/>
      <c r="J86" s="214"/>
      <c r="K86" s="48"/>
      <c r="L86" s="172"/>
      <c r="M86" s="51"/>
      <c r="N86" s="51"/>
      <c r="O86" s="52"/>
      <c r="P86" s="52"/>
      <c r="Q86" s="51"/>
      <c r="R86" s="53"/>
      <c r="S86" s="53"/>
      <c r="T86" s="53"/>
      <c r="U86" s="51"/>
      <c r="V86" s="52"/>
      <c r="W86" s="52"/>
      <c r="X86" s="51"/>
      <c r="Y86" s="51"/>
      <c r="Z86" s="51"/>
      <c r="AA86" s="52"/>
      <c r="AB86" s="52"/>
      <c r="AC86" s="52"/>
      <c r="AD86" s="51"/>
      <c r="AE86" s="51"/>
      <c r="AF86" s="53"/>
      <c r="AG86" s="323"/>
    </row>
    <row r="87" spans="1:33" x14ac:dyDescent="0.25">
      <c r="A87" s="45"/>
      <c r="B87" s="46"/>
      <c r="C87" s="47"/>
      <c r="D87" s="48"/>
      <c r="E87" s="48"/>
      <c r="F87" s="49"/>
      <c r="G87" s="48"/>
      <c r="H87" s="48"/>
      <c r="I87" s="172"/>
      <c r="J87" s="214"/>
      <c r="K87" s="48"/>
      <c r="L87" s="172"/>
      <c r="M87" s="51"/>
      <c r="N87" s="51"/>
      <c r="O87" s="52"/>
      <c r="P87" s="52"/>
      <c r="Q87" s="51"/>
      <c r="R87" s="53"/>
      <c r="S87" s="53"/>
      <c r="T87" s="53"/>
      <c r="U87" s="51"/>
      <c r="V87" s="52"/>
      <c r="W87" s="52"/>
      <c r="X87" s="51"/>
      <c r="Y87" s="51"/>
      <c r="Z87" s="51"/>
      <c r="AA87" s="52"/>
      <c r="AB87" s="52"/>
      <c r="AC87" s="52"/>
      <c r="AD87" s="51"/>
      <c r="AE87" s="51"/>
      <c r="AF87" s="53"/>
      <c r="AG87" s="323"/>
    </row>
    <row r="88" spans="1:33" x14ac:dyDescent="0.25">
      <c r="A88" s="45"/>
      <c r="B88" s="46"/>
      <c r="C88" s="47"/>
      <c r="D88" s="48"/>
      <c r="E88" s="48"/>
      <c r="F88" s="49"/>
      <c r="G88" s="48"/>
      <c r="H88" s="48"/>
      <c r="I88" s="172"/>
      <c r="J88" s="214"/>
      <c r="K88" s="48"/>
      <c r="L88" s="172"/>
      <c r="M88" s="51"/>
      <c r="N88" s="51"/>
      <c r="O88" s="52"/>
      <c r="P88" s="52"/>
      <c r="Q88" s="51"/>
      <c r="R88" s="53"/>
      <c r="S88" s="53"/>
      <c r="T88" s="53"/>
      <c r="U88" s="51"/>
      <c r="V88" s="52"/>
      <c r="W88" s="52"/>
      <c r="X88" s="51"/>
      <c r="Y88" s="51"/>
      <c r="Z88" s="51"/>
      <c r="AA88" s="52"/>
      <c r="AB88" s="52"/>
      <c r="AC88" s="52"/>
      <c r="AD88" s="51"/>
      <c r="AE88" s="51"/>
      <c r="AF88" s="53"/>
      <c r="AG88" s="323"/>
    </row>
    <row r="89" spans="1:33" x14ac:dyDescent="0.25">
      <c r="A89" s="45"/>
      <c r="B89" s="46"/>
      <c r="C89" s="47"/>
      <c r="D89" s="48"/>
      <c r="E89" s="48"/>
      <c r="F89" s="49"/>
      <c r="G89" s="48"/>
      <c r="H89" s="48"/>
      <c r="I89" s="172"/>
      <c r="J89" s="214"/>
      <c r="K89" s="48"/>
      <c r="L89" s="172"/>
      <c r="M89" s="51"/>
      <c r="N89" s="51"/>
      <c r="O89" s="52"/>
      <c r="P89" s="52"/>
      <c r="Q89" s="51"/>
      <c r="R89" s="53"/>
      <c r="S89" s="53"/>
      <c r="T89" s="53"/>
      <c r="U89" s="51"/>
      <c r="V89" s="52"/>
      <c r="W89" s="52"/>
      <c r="X89" s="51"/>
      <c r="Y89" s="51"/>
      <c r="Z89" s="51"/>
      <c r="AA89" s="52"/>
      <c r="AB89" s="52"/>
      <c r="AC89" s="52"/>
      <c r="AD89" s="51"/>
      <c r="AE89" s="51"/>
      <c r="AF89" s="53"/>
      <c r="AG89" s="323"/>
    </row>
    <row r="90" spans="1:33" x14ac:dyDescent="0.25">
      <c r="A90" s="23"/>
      <c r="B90" s="24"/>
      <c r="C90" s="25"/>
      <c r="D90" s="27"/>
      <c r="E90" s="27"/>
      <c r="F90" s="28"/>
      <c r="G90" s="27"/>
      <c r="H90" s="27"/>
      <c r="I90" s="172"/>
      <c r="J90" s="214"/>
      <c r="K90" s="27"/>
      <c r="L90" s="172"/>
      <c r="M90" s="32"/>
      <c r="N90" s="32"/>
      <c r="O90" s="33"/>
      <c r="P90" s="33"/>
      <c r="Q90" s="32"/>
      <c r="R90" s="42"/>
      <c r="S90" s="42"/>
      <c r="T90" s="42"/>
      <c r="U90" s="32"/>
      <c r="V90" s="33"/>
      <c r="W90" s="33"/>
      <c r="X90" s="32"/>
      <c r="Y90" s="32"/>
      <c r="Z90" s="266"/>
      <c r="AA90" s="33"/>
      <c r="AB90" s="33"/>
      <c r="AC90" s="33"/>
      <c r="AD90" s="32"/>
      <c r="AE90" s="32"/>
      <c r="AF90" s="42"/>
      <c r="AG90" s="83"/>
    </row>
    <row r="91" spans="1:33" x14ac:dyDescent="0.25">
      <c r="A91" s="23"/>
      <c r="B91" s="24"/>
      <c r="C91" s="25"/>
      <c r="D91" s="27"/>
      <c r="E91" s="27"/>
      <c r="F91" s="28"/>
      <c r="G91" s="27"/>
      <c r="H91" s="27"/>
      <c r="I91" s="172"/>
      <c r="J91" s="214"/>
      <c r="K91" s="27"/>
      <c r="L91" s="172"/>
      <c r="M91" s="32"/>
      <c r="N91" s="32"/>
      <c r="O91" s="33"/>
      <c r="P91" s="33"/>
      <c r="Q91" s="32"/>
      <c r="R91" s="42"/>
      <c r="S91" s="42"/>
      <c r="T91" s="42"/>
      <c r="U91" s="32"/>
      <c r="V91" s="33"/>
      <c r="W91" s="33"/>
      <c r="X91" s="32"/>
      <c r="Y91" s="32"/>
      <c r="Z91" s="266"/>
      <c r="AA91" s="33"/>
      <c r="AB91" s="33"/>
      <c r="AC91" s="33"/>
      <c r="AD91" s="32"/>
      <c r="AE91" s="32"/>
      <c r="AF91" s="42"/>
      <c r="AG91" s="83"/>
    </row>
    <row r="92" spans="1:33" x14ac:dyDescent="0.25">
      <c r="A92" s="23"/>
      <c r="B92" s="24"/>
      <c r="C92" s="25"/>
      <c r="D92" s="27"/>
      <c r="E92" s="27"/>
      <c r="F92" s="28"/>
      <c r="G92" s="27"/>
      <c r="H92" s="27"/>
      <c r="I92" s="172"/>
      <c r="J92" s="214"/>
      <c r="K92" s="27"/>
      <c r="L92" s="172"/>
      <c r="M92" s="32"/>
      <c r="N92" s="32"/>
      <c r="O92" s="33"/>
      <c r="P92" s="33"/>
      <c r="Q92" s="32"/>
      <c r="R92" s="42"/>
      <c r="S92" s="42"/>
      <c r="T92" s="42"/>
      <c r="U92" s="32"/>
      <c r="V92" s="33"/>
      <c r="W92" s="33"/>
      <c r="X92" s="32"/>
      <c r="Y92" s="32"/>
      <c r="Z92" s="266"/>
      <c r="AA92" s="33"/>
      <c r="AB92" s="33"/>
      <c r="AC92" s="33"/>
      <c r="AD92" s="32"/>
      <c r="AE92" s="32"/>
      <c r="AF92" s="42"/>
      <c r="AG92" s="83"/>
    </row>
    <row r="93" spans="1:33" x14ac:dyDescent="0.25">
      <c r="A93" s="23"/>
      <c r="B93" s="24"/>
      <c r="C93" s="25"/>
      <c r="D93" s="27"/>
      <c r="E93" s="27"/>
      <c r="F93" s="28"/>
      <c r="G93" s="27"/>
      <c r="H93" s="27"/>
      <c r="I93" s="172"/>
      <c r="J93" s="214"/>
      <c r="K93" s="27"/>
      <c r="L93" s="172"/>
      <c r="M93" s="32"/>
      <c r="N93" s="32"/>
      <c r="O93" s="33"/>
      <c r="P93" s="33"/>
      <c r="Q93" s="32"/>
      <c r="R93" s="42"/>
      <c r="S93" s="42"/>
      <c r="T93" s="42"/>
      <c r="U93" s="32"/>
      <c r="V93" s="33"/>
      <c r="W93" s="33"/>
      <c r="X93" s="32"/>
      <c r="Y93" s="32"/>
      <c r="Z93" s="266"/>
      <c r="AA93" s="33"/>
      <c r="AB93" s="33"/>
      <c r="AC93" s="33"/>
      <c r="AD93" s="32"/>
      <c r="AE93" s="32"/>
      <c r="AF93" s="42"/>
      <c r="AG93" s="83"/>
    </row>
    <row r="94" spans="1:33" x14ac:dyDescent="0.25">
      <c r="A94" s="23"/>
      <c r="B94" s="24"/>
      <c r="C94" s="25"/>
      <c r="D94" s="27"/>
      <c r="E94" s="27"/>
      <c r="F94" s="28"/>
      <c r="G94" s="27"/>
      <c r="H94" s="27"/>
      <c r="I94" s="172"/>
      <c r="J94" s="214"/>
      <c r="K94" s="27"/>
      <c r="L94" s="172"/>
      <c r="M94" s="32"/>
      <c r="N94" s="32"/>
      <c r="O94" s="33"/>
      <c r="P94" s="33"/>
      <c r="Q94" s="32"/>
      <c r="R94" s="42"/>
      <c r="S94" s="42"/>
      <c r="T94" s="42"/>
      <c r="U94" s="32"/>
      <c r="V94" s="33"/>
      <c r="W94" s="33"/>
      <c r="X94" s="32"/>
      <c r="Y94" s="32"/>
      <c r="Z94" s="266"/>
      <c r="AA94" s="33"/>
      <c r="AB94" s="33"/>
      <c r="AC94" s="33"/>
      <c r="AD94" s="32"/>
      <c r="AE94" s="32"/>
      <c r="AF94" s="42"/>
      <c r="AG94" s="83"/>
    </row>
    <row r="95" spans="1:33" x14ac:dyDescent="0.25">
      <c r="A95" s="45"/>
      <c r="B95" s="46"/>
      <c r="C95" s="47"/>
      <c r="D95" s="48"/>
      <c r="E95" s="48"/>
      <c r="F95" s="49"/>
      <c r="G95" s="48"/>
      <c r="H95" s="48"/>
      <c r="I95" s="172"/>
      <c r="J95" s="214"/>
      <c r="K95" s="48"/>
      <c r="L95" s="172"/>
      <c r="M95" s="51"/>
      <c r="N95" s="51"/>
      <c r="O95" s="52"/>
      <c r="P95" s="52"/>
      <c r="Q95" s="51"/>
      <c r="R95" s="53"/>
      <c r="S95" s="53"/>
      <c r="T95" s="53"/>
      <c r="U95" s="51"/>
      <c r="V95" s="52"/>
      <c r="W95" s="52"/>
      <c r="X95" s="51"/>
      <c r="Y95" s="51"/>
      <c r="Z95" s="51"/>
      <c r="AA95" s="52"/>
      <c r="AB95" s="52"/>
      <c r="AC95" s="52"/>
      <c r="AD95" s="51"/>
      <c r="AE95" s="51"/>
      <c r="AF95" s="53"/>
      <c r="AG95" s="323"/>
    </row>
    <row r="96" spans="1:33" x14ac:dyDescent="0.25">
      <c r="A96" s="45"/>
      <c r="B96" s="46"/>
      <c r="C96" s="47"/>
      <c r="D96" s="48"/>
      <c r="E96" s="48"/>
      <c r="F96" s="49"/>
      <c r="G96" s="48"/>
      <c r="H96" s="48"/>
      <c r="I96" s="172"/>
      <c r="J96" s="214"/>
      <c r="K96" s="48"/>
      <c r="L96" s="172"/>
      <c r="M96" s="51"/>
      <c r="N96" s="51"/>
      <c r="O96" s="52"/>
      <c r="P96" s="52"/>
      <c r="Q96" s="51"/>
      <c r="R96" s="53"/>
      <c r="S96" s="53"/>
      <c r="T96" s="53"/>
      <c r="U96" s="51"/>
      <c r="V96" s="52"/>
      <c r="W96" s="52"/>
      <c r="X96" s="51"/>
      <c r="Y96" s="51"/>
      <c r="Z96" s="51"/>
      <c r="AA96" s="52"/>
      <c r="AB96" s="52"/>
      <c r="AC96" s="52"/>
      <c r="AD96" s="51"/>
      <c r="AE96" s="51"/>
      <c r="AF96" s="53"/>
      <c r="AG96" s="323"/>
    </row>
    <row r="97" spans="1:33" x14ac:dyDescent="0.25">
      <c r="A97" s="45"/>
      <c r="B97" s="46"/>
      <c r="C97" s="47"/>
      <c r="D97" s="48"/>
      <c r="E97" s="48"/>
      <c r="F97" s="49"/>
      <c r="G97" s="48"/>
      <c r="H97" s="48"/>
      <c r="I97" s="172"/>
      <c r="J97" s="214"/>
      <c r="K97" s="48"/>
      <c r="L97" s="172"/>
      <c r="M97" s="51"/>
      <c r="N97" s="51"/>
      <c r="O97" s="52"/>
      <c r="P97" s="52"/>
      <c r="Q97" s="51"/>
      <c r="R97" s="53"/>
      <c r="S97" s="53"/>
      <c r="T97" s="53"/>
      <c r="U97" s="51"/>
      <c r="V97" s="52"/>
      <c r="W97" s="52"/>
      <c r="X97" s="51"/>
      <c r="Y97" s="51"/>
      <c r="Z97" s="51"/>
      <c r="AA97" s="52"/>
      <c r="AB97" s="52"/>
      <c r="AC97" s="52"/>
      <c r="AD97" s="51"/>
      <c r="AE97" s="51"/>
      <c r="AF97" s="53"/>
      <c r="AG97" s="323"/>
    </row>
    <row r="98" spans="1:33" x14ac:dyDescent="0.25">
      <c r="A98" s="45"/>
      <c r="B98" s="46"/>
      <c r="C98" s="47"/>
      <c r="D98" s="48"/>
      <c r="E98" s="48"/>
      <c r="F98" s="49"/>
      <c r="G98" s="48"/>
      <c r="H98" s="48"/>
      <c r="I98" s="172"/>
      <c r="J98" s="214"/>
      <c r="K98" s="48"/>
      <c r="L98" s="172"/>
      <c r="M98" s="51"/>
      <c r="N98" s="51"/>
      <c r="O98" s="52"/>
      <c r="P98" s="52"/>
      <c r="Q98" s="51"/>
      <c r="R98" s="53"/>
      <c r="S98" s="53"/>
      <c r="T98" s="53"/>
      <c r="U98" s="51"/>
      <c r="V98" s="52"/>
      <c r="W98" s="52"/>
      <c r="X98" s="51"/>
      <c r="Y98" s="51"/>
      <c r="Z98" s="51"/>
      <c r="AA98" s="52"/>
      <c r="AB98" s="52"/>
      <c r="AC98" s="52"/>
      <c r="AD98" s="51"/>
      <c r="AE98" s="51"/>
      <c r="AF98" s="53"/>
      <c r="AG98" s="323"/>
    </row>
    <row r="99" spans="1:33" x14ac:dyDescent="0.25">
      <c r="A99" s="45"/>
      <c r="B99" s="46"/>
      <c r="C99" s="47"/>
      <c r="D99" s="48"/>
      <c r="E99" s="48"/>
      <c r="F99" s="49"/>
      <c r="G99" s="48"/>
      <c r="H99" s="48"/>
      <c r="I99" s="172"/>
      <c r="J99" s="214"/>
      <c r="K99" s="48"/>
      <c r="L99" s="172"/>
      <c r="M99" s="51"/>
      <c r="N99" s="51"/>
      <c r="O99" s="52"/>
      <c r="P99" s="52"/>
      <c r="Q99" s="51"/>
      <c r="R99" s="53"/>
      <c r="S99" s="53"/>
      <c r="T99" s="53"/>
      <c r="U99" s="51"/>
      <c r="V99" s="52"/>
      <c r="W99" s="52"/>
      <c r="X99" s="51"/>
      <c r="Y99" s="51"/>
      <c r="Z99" s="51"/>
      <c r="AA99" s="52"/>
      <c r="AB99" s="52"/>
      <c r="AC99" s="52"/>
      <c r="AD99" s="51"/>
      <c r="AE99" s="51"/>
      <c r="AF99" s="53"/>
      <c r="AG99" s="323"/>
    </row>
    <row r="100" spans="1:33" x14ac:dyDescent="0.25">
      <c r="A100" s="23"/>
      <c r="B100" s="24"/>
      <c r="C100" s="25"/>
      <c r="D100" s="27"/>
      <c r="E100" s="27"/>
      <c r="F100" s="28"/>
      <c r="G100" s="27"/>
      <c r="H100" s="27"/>
      <c r="I100" s="172"/>
      <c r="J100" s="214"/>
      <c r="K100" s="27"/>
      <c r="L100" s="172"/>
      <c r="M100" s="32"/>
      <c r="N100" s="32"/>
      <c r="O100" s="33"/>
      <c r="P100" s="33"/>
      <c r="Q100" s="32"/>
      <c r="R100" s="42"/>
      <c r="S100" s="42"/>
      <c r="T100" s="42"/>
      <c r="U100" s="32"/>
      <c r="V100" s="33"/>
      <c r="W100" s="33"/>
      <c r="X100" s="32"/>
      <c r="Y100" s="32"/>
      <c r="Z100" s="266"/>
      <c r="AA100" s="33"/>
      <c r="AB100" s="33"/>
      <c r="AC100" s="33"/>
      <c r="AD100" s="32"/>
      <c r="AE100" s="32"/>
      <c r="AF100" s="42"/>
      <c r="AG100" s="83"/>
    </row>
    <row r="101" spans="1:33" x14ac:dyDescent="0.25">
      <c r="A101" s="23"/>
      <c r="B101" s="24"/>
      <c r="C101" s="25"/>
      <c r="D101" s="27"/>
      <c r="E101" s="27"/>
      <c r="F101" s="28"/>
      <c r="G101" s="27"/>
      <c r="H101" s="27"/>
      <c r="I101" s="172"/>
      <c r="J101" s="214"/>
      <c r="K101" s="27"/>
      <c r="L101" s="172"/>
      <c r="M101" s="32"/>
      <c r="N101" s="32"/>
      <c r="O101" s="33"/>
      <c r="P101" s="33"/>
      <c r="Q101" s="32"/>
      <c r="R101" s="42"/>
      <c r="S101" s="42"/>
      <c r="T101" s="42"/>
      <c r="U101" s="32"/>
      <c r="V101" s="33"/>
      <c r="W101" s="33"/>
      <c r="X101" s="32"/>
      <c r="Y101" s="32"/>
      <c r="Z101" s="266"/>
      <c r="AA101" s="33"/>
      <c r="AB101" s="33"/>
      <c r="AC101" s="33"/>
      <c r="AD101" s="32"/>
      <c r="AE101" s="32"/>
      <c r="AF101" s="42"/>
      <c r="AG101" s="83"/>
    </row>
    <row r="102" spans="1:33" x14ac:dyDescent="0.25">
      <c r="A102" s="23"/>
      <c r="B102" s="24"/>
      <c r="C102" s="25"/>
      <c r="D102" s="27"/>
      <c r="E102" s="27"/>
      <c r="F102" s="28"/>
      <c r="G102" s="27"/>
      <c r="H102" s="27"/>
      <c r="I102" s="172"/>
      <c r="J102" s="214"/>
      <c r="K102" s="27"/>
      <c r="L102" s="172"/>
      <c r="M102" s="32"/>
      <c r="N102" s="32"/>
      <c r="O102" s="33"/>
      <c r="P102" s="33"/>
      <c r="Q102" s="32"/>
      <c r="R102" s="42"/>
      <c r="S102" s="42"/>
      <c r="T102" s="42"/>
      <c r="U102" s="32"/>
      <c r="V102" s="33"/>
      <c r="W102" s="33"/>
      <c r="X102" s="32"/>
      <c r="Y102" s="32"/>
      <c r="Z102" s="266"/>
      <c r="AA102" s="33"/>
      <c r="AB102" s="33"/>
      <c r="AC102" s="33"/>
      <c r="AD102" s="32"/>
      <c r="AE102" s="32"/>
      <c r="AF102" s="42"/>
      <c r="AG102" s="83"/>
    </row>
    <row r="103" spans="1:33" x14ac:dyDescent="0.25">
      <c r="A103" s="23"/>
      <c r="B103" s="24"/>
      <c r="C103" s="25"/>
      <c r="D103" s="27"/>
      <c r="E103" s="27"/>
      <c r="F103" s="28"/>
      <c r="G103" s="27"/>
      <c r="H103" s="27"/>
      <c r="I103" s="172"/>
      <c r="J103" s="214"/>
      <c r="K103" s="27"/>
      <c r="L103" s="172"/>
      <c r="M103" s="32"/>
      <c r="N103" s="32"/>
      <c r="O103" s="33"/>
      <c r="P103" s="33"/>
      <c r="Q103" s="32"/>
      <c r="R103" s="42"/>
      <c r="S103" s="42"/>
      <c r="T103" s="42"/>
      <c r="U103" s="32"/>
      <c r="V103" s="33"/>
      <c r="W103" s="33"/>
      <c r="X103" s="32"/>
      <c r="Y103" s="32"/>
      <c r="Z103" s="266"/>
      <c r="AA103" s="33"/>
      <c r="AB103" s="33"/>
      <c r="AC103" s="33"/>
      <c r="AD103" s="32"/>
      <c r="AE103" s="32"/>
      <c r="AF103" s="42"/>
      <c r="AG103" s="83"/>
    </row>
    <row r="104" spans="1:33" x14ac:dyDescent="0.25">
      <c r="A104" s="23"/>
      <c r="B104" s="24"/>
      <c r="C104" s="25"/>
      <c r="D104" s="27"/>
      <c r="E104" s="27"/>
      <c r="F104" s="28"/>
      <c r="G104" s="27"/>
      <c r="H104" s="27"/>
      <c r="I104" s="172"/>
      <c r="J104" s="214"/>
      <c r="K104" s="27"/>
      <c r="L104" s="172"/>
      <c r="M104" s="32"/>
      <c r="N104" s="32"/>
      <c r="O104" s="33"/>
      <c r="P104" s="33"/>
      <c r="Q104" s="32"/>
      <c r="R104" s="42"/>
      <c r="S104" s="42"/>
      <c r="T104" s="42"/>
      <c r="U104" s="32"/>
      <c r="V104" s="33"/>
      <c r="W104" s="33"/>
      <c r="X104" s="32"/>
      <c r="Y104" s="32"/>
      <c r="Z104" s="266"/>
      <c r="AA104" s="33"/>
      <c r="AB104" s="33"/>
      <c r="AC104" s="33"/>
      <c r="AD104" s="32"/>
      <c r="AE104" s="32"/>
      <c r="AF104" s="42"/>
      <c r="AG104" s="83"/>
    </row>
    <row r="105" spans="1:33" x14ac:dyDescent="0.25">
      <c r="A105" s="45"/>
      <c r="B105" s="46"/>
      <c r="C105" s="47"/>
      <c r="D105" s="48"/>
      <c r="E105" s="48"/>
      <c r="F105" s="49"/>
      <c r="G105" s="48"/>
      <c r="H105" s="48"/>
      <c r="I105" s="172"/>
      <c r="J105" s="214"/>
      <c r="K105" s="48"/>
      <c r="L105" s="172"/>
      <c r="M105" s="51"/>
      <c r="N105" s="51"/>
      <c r="O105" s="52"/>
      <c r="P105" s="52"/>
      <c r="Q105" s="51"/>
      <c r="R105" s="53"/>
      <c r="S105" s="53"/>
      <c r="T105" s="53"/>
      <c r="U105" s="51"/>
      <c r="V105" s="52"/>
      <c r="W105" s="52"/>
      <c r="X105" s="51"/>
      <c r="Y105" s="51"/>
      <c r="Z105" s="51"/>
      <c r="AA105" s="52"/>
      <c r="AB105" s="52"/>
      <c r="AC105" s="52"/>
      <c r="AD105" s="51"/>
      <c r="AE105" s="51"/>
      <c r="AF105" s="53"/>
      <c r="AG105" s="323"/>
    </row>
    <row r="106" spans="1:33" x14ac:dyDescent="0.25">
      <c r="A106" s="45"/>
      <c r="B106" s="46"/>
      <c r="C106" s="47"/>
      <c r="D106" s="48"/>
      <c r="E106" s="48"/>
      <c r="F106" s="49"/>
      <c r="G106" s="48"/>
      <c r="H106" s="48"/>
      <c r="I106" s="172"/>
      <c r="J106" s="214"/>
      <c r="K106" s="48"/>
      <c r="L106" s="172"/>
      <c r="M106" s="51"/>
      <c r="N106" s="51"/>
      <c r="O106" s="52"/>
      <c r="P106" s="52"/>
      <c r="Q106" s="51"/>
      <c r="R106" s="53"/>
      <c r="S106" s="53"/>
      <c r="T106" s="53"/>
      <c r="U106" s="51"/>
      <c r="V106" s="52"/>
      <c r="W106" s="52"/>
      <c r="X106" s="51"/>
      <c r="Y106" s="51"/>
      <c r="Z106" s="51"/>
      <c r="AA106" s="52"/>
      <c r="AB106" s="52"/>
      <c r="AC106" s="52"/>
      <c r="AD106" s="51"/>
      <c r="AE106" s="51"/>
      <c r="AF106" s="53"/>
      <c r="AG106" s="323"/>
    </row>
    <row r="107" spans="1:33" x14ac:dyDescent="0.25">
      <c r="A107" s="45"/>
      <c r="B107" s="46"/>
      <c r="C107" s="47"/>
      <c r="D107" s="48"/>
      <c r="E107" s="48"/>
      <c r="F107" s="49"/>
      <c r="G107" s="48"/>
      <c r="H107" s="48"/>
      <c r="I107" s="172"/>
      <c r="J107" s="214"/>
      <c r="K107" s="48"/>
      <c r="L107" s="172"/>
      <c r="M107" s="51"/>
      <c r="N107" s="51"/>
      <c r="O107" s="52"/>
      <c r="P107" s="52"/>
      <c r="Q107" s="51"/>
      <c r="R107" s="53"/>
      <c r="S107" s="53"/>
      <c r="T107" s="53"/>
      <c r="U107" s="51"/>
      <c r="V107" s="52"/>
      <c r="W107" s="52"/>
      <c r="X107" s="51"/>
      <c r="Y107" s="51"/>
      <c r="Z107" s="51"/>
      <c r="AA107" s="52"/>
      <c r="AB107" s="52"/>
      <c r="AC107" s="52"/>
      <c r="AD107" s="51"/>
      <c r="AE107" s="51"/>
      <c r="AF107" s="53"/>
      <c r="AG107" s="323"/>
    </row>
    <row r="108" spans="1:33" x14ac:dyDescent="0.25">
      <c r="A108" s="45"/>
      <c r="B108" s="46"/>
      <c r="C108" s="47"/>
      <c r="D108" s="48"/>
      <c r="E108" s="48"/>
      <c r="F108" s="49"/>
      <c r="G108" s="48"/>
      <c r="H108" s="48"/>
      <c r="I108" s="172"/>
      <c r="J108" s="214"/>
      <c r="K108" s="48"/>
      <c r="L108" s="172"/>
      <c r="M108" s="51"/>
      <c r="N108" s="51"/>
      <c r="O108" s="52"/>
      <c r="P108" s="52"/>
      <c r="Q108" s="51"/>
      <c r="R108" s="53"/>
      <c r="S108" s="53"/>
      <c r="T108" s="53"/>
      <c r="U108" s="51"/>
      <c r="V108" s="52"/>
      <c r="W108" s="52"/>
      <c r="X108" s="51"/>
      <c r="Y108" s="51"/>
      <c r="Z108" s="51"/>
      <c r="AA108" s="52"/>
      <c r="AB108" s="52"/>
      <c r="AC108" s="52"/>
      <c r="AD108" s="51"/>
      <c r="AE108" s="51"/>
      <c r="AF108" s="53"/>
      <c r="AG108" s="323"/>
    </row>
    <row r="109" spans="1:33" x14ac:dyDescent="0.25">
      <c r="A109" s="45"/>
      <c r="B109" s="46"/>
      <c r="C109" s="47"/>
      <c r="D109" s="48"/>
      <c r="E109" s="48"/>
      <c r="F109" s="49"/>
      <c r="G109" s="48"/>
      <c r="H109" s="48"/>
      <c r="I109" s="172"/>
      <c r="J109" s="214"/>
      <c r="K109" s="48"/>
      <c r="L109" s="172"/>
      <c r="M109" s="51"/>
      <c r="N109" s="51"/>
      <c r="O109" s="52"/>
      <c r="P109" s="52"/>
      <c r="Q109" s="51"/>
      <c r="R109" s="53"/>
      <c r="S109" s="53"/>
      <c r="T109" s="53"/>
      <c r="U109" s="51"/>
      <c r="V109" s="52"/>
      <c r="W109" s="52"/>
      <c r="X109" s="51"/>
      <c r="Y109" s="51"/>
      <c r="Z109" s="51"/>
      <c r="AA109" s="52"/>
      <c r="AB109" s="52"/>
      <c r="AC109" s="52"/>
      <c r="AD109" s="51"/>
      <c r="AE109" s="51"/>
      <c r="AF109" s="53"/>
      <c r="AG109" s="323"/>
    </row>
    <row r="110" spans="1:33" x14ac:dyDescent="0.25">
      <c r="A110" s="23"/>
      <c r="B110" s="24"/>
      <c r="C110" s="25"/>
      <c r="D110" s="27"/>
      <c r="E110" s="27"/>
      <c r="F110" s="28"/>
      <c r="G110" s="27"/>
      <c r="H110" s="27"/>
      <c r="I110" s="172"/>
      <c r="J110" s="214"/>
      <c r="K110" s="27"/>
      <c r="L110" s="172"/>
      <c r="M110" s="32"/>
      <c r="N110" s="32"/>
      <c r="O110" s="33"/>
      <c r="P110" s="33"/>
      <c r="Q110" s="32"/>
      <c r="R110" s="42"/>
      <c r="S110" s="42"/>
      <c r="T110" s="42"/>
      <c r="U110" s="32"/>
      <c r="V110" s="33"/>
      <c r="W110" s="33"/>
      <c r="X110" s="32"/>
      <c r="Y110" s="32"/>
      <c r="Z110" s="266"/>
      <c r="AA110" s="33"/>
      <c r="AB110" s="33"/>
      <c r="AC110" s="33"/>
      <c r="AD110" s="32"/>
      <c r="AE110" s="32"/>
      <c r="AF110" s="42"/>
      <c r="AG110" s="83"/>
    </row>
    <row r="111" spans="1:33" x14ac:dyDescent="0.25">
      <c r="A111" s="23"/>
      <c r="B111" s="24"/>
      <c r="C111" s="25"/>
      <c r="D111" s="27"/>
      <c r="E111" s="27"/>
      <c r="F111" s="28"/>
      <c r="G111" s="27"/>
      <c r="H111" s="27"/>
      <c r="I111" s="172"/>
      <c r="J111" s="214"/>
      <c r="K111" s="27"/>
      <c r="L111" s="172"/>
      <c r="M111" s="32"/>
      <c r="N111" s="32"/>
      <c r="O111" s="33"/>
      <c r="P111" s="33"/>
      <c r="Q111" s="32"/>
      <c r="R111" s="42"/>
      <c r="S111" s="42"/>
      <c r="T111" s="42"/>
      <c r="U111" s="32"/>
      <c r="V111" s="33"/>
      <c r="W111" s="33"/>
      <c r="X111" s="32"/>
      <c r="Y111" s="32"/>
      <c r="Z111" s="266"/>
      <c r="AA111" s="33"/>
      <c r="AB111" s="33"/>
      <c r="AC111" s="33"/>
      <c r="AD111" s="32"/>
      <c r="AE111" s="32"/>
      <c r="AF111" s="42"/>
      <c r="AG111" s="83"/>
    </row>
    <row r="112" spans="1:33" x14ac:dyDescent="0.25">
      <c r="A112" s="23"/>
      <c r="B112" s="24"/>
      <c r="C112" s="25"/>
      <c r="D112" s="27"/>
      <c r="E112" s="27"/>
      <c r="F112" s="28"/>
      <c r="G112" s="27"/>
      <c r="H112" s="27"/>
      <c r="I112" s="172"/>
      <c r="J112" s="214"/>
      <c r="K112" s="27"/>
      <c r="L112" s="172"/>
      <c r="M112" s="32"/>
      <c r="N112" s="32"/>
      <c r="O112" s="33"/>
      <c r="P112" s="33"/>
      <c r="Q112" s="32"/>
      <c r="R112" s="42"/>
      <c r="S112" s="42"/>
      <c r="T112" s="42"/>
      <c r="U112" s="32"/>
      <c r="V112" s="33"/>
      <c r="W112" s="33"/>
      <c r="X112" s="32"/>
      <c r="Y112" s="32"/>
      <c r="Z112" s="266"/>
      <c r="AA112" s="33"/>
      <c r="AB112" s="33"/>
      <c r="AC112" s="33"/>
      <c r="AD112" s="32"/>
      <c r="AE112" s="32"/>
      <c r="AF112" s="42"/>
      <c r="AG112" s="83"/>
    </row>
    <row r="113" spans="1:33" x14ac:dyDescent="0.25">
      <c r="A113" s="23"/>
      <c r="B113" s="24"/>
      <c r="C113" s="25"/>
      <c r="D113" s="27"/>
      <c r="E113" s="27"/>
      <c r="F113" s="28"/>
      <c r="G113" s="27"/>
      <c r="H113" s="27"/>
      <c r="I113" s="172"/>
      <c r="J113" s="214"/>
      <c r="K113" s="27"/>
      <c r="L113" s="172"/>
      <c r="M113" s="32"/>
      <c r="N113" s="32"/>
      <c r="O113" s="33"/>
      <c r="P113" s="33"/>
      <c r="Q113" s="32"/>
      <c r="R113" s="42"/>
      <c r="S113" s="42"/>
      <c r="T113" s="42"/>
      <c r="U113" s="32"/>
      <c r="V113" s="33"/>
      <c r="W113" s="33"/>
      <c r="X113" s="32"/>
      <c r="Y113" s="32"/>
      <c r="Z113" s="266"/>
      <c r="AA113" s="33"/>
      <c r="AB113" s="33"/>
      <c r="AC113" s="33"/>
      <c r="AD113" s="32"/>
      <c r="AE113" s="32"/>
      <c r="AF113" s="42"/>
      <c r="AG113" s="83"/>
    </row>
    <row r="114" spans="1:33" x14ac:dyDescent="0.25">
      <c r="A114" s="23"/>
      <c r="B114" s="24"/>
      <c r="C114" s="25"/>
      <c r="D114" s="27"/>
      <c r="E114" s="27"/>
      <c r="F114" s="28"/>
      <c r="G114" s="27"/>
      <c r="H114" s="27"/>
      <c r="I114" s="172"/>
      <c r="J114" s="214"/>
      <c r="K114" s="27"/>
      <c r="L114" s="172"/>
      <c r="M114" s="32"/>
      <c r="N114" s="32"/>
      <c r="O114" s="33"/>
      <c r="P114" s="33"/>
      <c r="Q114" s="32"/>
      <c r="R114" s="42"/>
      <c r="S114" s="42"/>
      <c r="T114" s="42"/>
      <c r="U114" s="32"/>
      <c r="V114" s="33"/>
      <c r="W114" s="33"/>
      <c r="X114" s="32"/>
      <c r="Y114" s="32"/>
      <c r="Z114" s="266"/>
      <c r="AA114" s="33"/>
      <c r="AB114" s="33"/>
      <c r="AC114" s="33"/>
      <c r="AD114" s="32"/>
      <c r="AE114" s="32"/>
      <c r="AF114" s="42"/>
      <c r="AG114" s="83"/>
    </row>
    <row r="115" spans="1:33" x14ac:dyDescent="0.25">
      <c r="A115" s="45"/>
      <c r="B115" s="46"/>
      <c r="C115" s="47"/>
      <c r="D115" s="48"/>
      <c r="E115" s="48"/>
      <c r="F115" s="49"/>
      <c r="G115" s="48"/>
      <c r="H115" s="48"/>
      <c r="I115" s="172"/>
      <c r="J115" s="214"/>
      <c r="K115" s="48"/>
      <c r="L115" s="172"/>
      <c r="M115" s="51"/>
      <c r="N115" s="51"/>
      <c r="O115" s="52"/>
      <c r="P115" s="52"/>
      <c r="Q115" s="51"/>
      <c r="R115" s="53"/>
      <c r="S115" s="53"/>
      <c r="T115" s="53"/>
      <c r="U115" s="51"/>
      <c r="V115" s="52"/>
      <c r="W115" s="52"/>
      <c r="X115" s="51"/>
      <c r="Y115" s="51"/>
      <c r="Z115" s="51"/>
      <c r="AA115" s="52"/>
      <c r="AB115" s="52"/>
      <c r="AC115" s="52"/>
      <c r="AD115" s="51"/>
      <c r="AE115" s="51"/>
      <c r="AF115" s="53"/>
      <c r="AG115" s="323"/>
    </row>
    <row r="116" spans="1:33" x14ac:dyDescent="0.25">
      <c r="A116" s="45"/>
      <c r="B116" s="46"/>
      <c r="C116" s="47"/>
      <c r="D116" s="48"/>
      <c r="E116" s="48"/>
      <c r="F116" s="49"/>
      <c r="G116" s="48"/>
      <c r="H116" s="48"/>
      <c r="I116" s="172"/>
      <c r="J116" s="214"/>
      <c r="K116" s="48"/>
      <c r="L116" s="172"/>
      <c r="M116" s="51"/>
      <c r="N116" s="51"/>
      <c r="O116" s="52"/>
      <c r="P116" s="52"/>
      <c r="Q116" s="51"/>
      <c r="R116" s="53"/>
      <c r="S116" s="53"/>
      <c r="T116" s="53"/>
      <c r="U116" s="51"/>
      <c r="V116" s="52"/>
      <c r="W116" s="52"/>
      <c r="X116" s="51"/>
      <c r="Y116" s="51"/>
      <c r="Z116" s="51"/>
      <c r="AA116" s="52"/>
      <c r="AB116" s="52"/>
      <c r="AC116" s="52"/>
      <c r="AD116" s="51"/>
      <c r="AE116" s="51"/>
      <c r="AF116" s="53"/>
      <c r="AG116" s="323"/>
    </row>
    <row r="117" spans="1:33" x14ac:dyDescent="0.25">
      <c r="A117" s="45"/>
      <c r="B117" s="46"/>
      <c r="C117" s="47"/>
      <c r="D117" s="48"/>
      <c r="E117" s="48"/>
      <c r="F117" s="49"/>
      <c r="G117" s="48"/>
      <c r="H117" s="48"/>
      <c r="I117" s="172"/>
      <c r="J117" s="214"/>
      <c r="K117" s="48"/>
      <c r="L117" s="172"/>
      <c r="M117" s="51"/>
      <c r="N117" s="51"/>
      <c r="O117" s="52"/>
      <c r="P117" s="52"/>
      <c r="Q117" s="51"/>
      <c r="R117" s="53"/>
      <c r="S117" s="53"/>
      <c r="T117" s="53"/>
      <c r="U117" s="51"/>
      <c r="V117" s="52"/>
      <c r="W117" s="52"/>
      <c r="X117" s="51"/>
      <c r="Y117" s="51"/>
      <c r="Z117" s="51"/>
      <c r="AA117" s="52"/>
      <c r="AB117" s="52"/>
      <c r="AC117" s="52"/>
      <c r="AD117" s="51"/>
      <c r="AE117" s="51"/>
      <c r="AF117" s="53"/>
      <c r="AG117" s="323"/>
    </row>
    <row r="118" spans="1:33" x14ac:dyDescent="0.25">
      <c r="A118" s="45"/>
      <c r="B118" s="46"/>
      <c r="C118" s="47"/>
      <c r="D118" s="48"/>
      <c r="E118" s="48"/>
      <c r="F118" s="49"/>
      <c r="G118" s="48"/>
      <c r="H118" s="48"/>
      <c r="I118" s="172"/>
      <c r="J118" s="214"/>
      <c r="K118" s="48"/>
      <c r="L118" s="172"/>
      <c r="M118" s="51"/>
      <c r="N118" s="51"/>
      <c r="O118" s="52"/>
      <c r="P118" s="52"/>
      <c r="Q118" s="51"/>
      <c r="R118" s="53"/>
      <c r="S118" s="53"/>
      <c r="T118" s="53"/>
      <c r="U118" s="51"/>
      <c r="V118" s="52"/>
      <c r="W118" s="52"/>
      <c r="X118" s="51"/>
      <c r="Y118" s="51"/>
      <c r="Z118" s="51"/>
      <c r="AA118" s="52"/>
      <c r="AB118" s="52"/>
      <c r="AC118" s="52"/>
      <c r="AD118" s="51"/>
      <c r="AE118" s="51"/>
      <c r="AF118" s="53"/>
      <c r="AG118" s="323"/>
    </row>
    <row r="119" spans="1:33" x14ac:dyDescent="0.25">
      <c r="A119" s="45"/>
      <c r="B119" s="46"/>
      <c r="C119" s="47"/>
      <c r="D119" s="48"/>
      <c r="E119" s="48"/>
      <c r="F119" s="49"/>
      <c r="G119" s="48"/>
      <c r="H119" s="48"/>
      <c r="I119" s="172"/>
      <c r="J119" s="214"/>
      <c r="K119" s="48"/>
      <c r="L119" s="172"/>
      <c r="M119" s="51"/>
      <c r="N119" s="51"/>
      <c r="O119" s="52"/>
      <c r="P119" s="52"/>
      <c r="Q119" s="51"/>
      <c r="R119" s="53"/>
      <c r="S119" s="53"/>
      <c r="T119" s="53"/>
      <c r="U119" s="51"/>
      <c r="V119" s="52"/>
      <c r="W119" s="52"/>
      <c r="X119" s="51"/>
      <c r="Y119" s="51"/>
      <c r="Z119" s="51"/>
      <c r="AA119" s="52"/>
      <c r="AB119" s="52"/>
      <c r="AC119" s="52"/>
      <c r="AD119" s="51"/>
      <c r="AE119" s="51"/>
      <c r="AF119" s="53"/>
      <c r="AG119" s="323"/>
    </row>
    <row r="120" spans="1:33" x14ac:dyDescent="0.25">
      <c r="A120" s="23"/>
      <c r="B120" s="24"/>
      <c r="C120" s="25"/>
      <c r="D120" s="27"/>
      <c r="E120" s="27"/>
      <c r="F120" s="28"/>
      <c r="G120" s="27"/>
      <c r="H120" s="27"/>
      <c r="I120" s="172"/>
      <c r="J120" s="214"/>
      <c r="K120" s="27"/>
      <c r="L120" s="172"/>
      <c r="M120" s="32"/>
      <c r="N120" s="32"/>
      <c r="O120" s="33"/>
      <c r="P120" s="33"/>
      <c r="Q120" s="32"/>
      <c r="R120" s="42"/>
      <c r="S120" s="42"/>
      <c r="T120" s="42"/>
      <c r="U120" s="32"/>
      <c r="V120" s="33"/>
      <c r="W120" s="33"/>
      <c r="X120" s="32"/>
      <c r="Y120" s="32"/>
      <c r="Z120" s="266"/>
      <c r="AA120" s="33"/>
      <c r="AB120" s="33"/>
      <c r="AC120" s="33"/>
      <c r="AD120" s="32"/>
      <c r="AE120" s="32"/>
      <c r="AF120" s="42"/>
      <c r="AG120" s="83"/>
    </row>
    <row r="121" spans="1:33" x14ac:dyDescent="0.25">
      <c r="A121" s="23"/>
      <c r="B121" s="24"/>
      <c r="C121" s="25"/>
      <c r="D121" s="27"/>
      <c r="E121" s="27"/>
      <c r="F121" s="28"/>
      <c r="G121" s="27"/>
      <c r="H121" s="27"/>
      <c r="I121" s="172"/>
      <c r="J121" s="214"/>
      <c r="K121" s="27"/>
      <c r="L121" s="172"/>
      <c r="M121" s="32"/>
      <c r="N121" s="32"/>
      <c r="O121" s="33"/>
      <c r="P121" s="33"/>
      <c r="Q121" s="32"/>
      <c r="R121" s="42"/>
      <c r="S121" s="42"/>
      <c r="T121" s="42"/>
      <c r="U121" s="32"/>
      <c r="V121" s="33"/>
      <c r="W121" s="33"/>
      <c r="X121" s="32"/>
      <c r="Y121" s="32"/>
      <c r="Z121" s="266"/>
      <c r="AA121" s="33"/>
      <c r="AB121" s="33"/>
      <c r="AC121" s="33"/>
      <c r="AD121" s="32"/>
      <c r="AE121" s="32"/>
      <c r="AF121" s="42"/>
      <c r="AG121" s="83"/>
    </row>
    <row r="122" spans="1:33" x14ac:dyDescent="0.25">
      <c r="A122" s="23"/>
      <c r="B122" s="24"/>
      <c r="C122" s="25"/>
      <c r="D122" s="27"/>
      <c r="E122" s="27"/>
      <c r="F122" s="28"/>
      <c r="G122" s="27"/>
      <c r="H122" s="27"/>
      <c r="I122" s="172"/>
      <c r="J122" s="214"/>
      <c r="K122" s="27"/>
      <c r="L122" s="172"/>
      <c r="M122" s="32"/>
      <c r="N122" s="32"/>
      <c r="O122" s="33"/>
      <c r="P122" s="33"/>
      <c r="Q122" s="32"/>
      <c r="R122" s="42"/>
      <c r="S122" s="42"/>
      <c r="T122" s="42"/>
      <c r="U122" s="32"/>
      <c r="V122" s="33"/>
      <c r="W122" s="33"/>
      <c r="X122" s="32"/>
      <c r="Y122" s="32"/>
      <c r="Z122" s="266"/>
      <c r="AA122" s="33"/>
      <c r="AB122" s="33"/>
      <c r="AC122" s="33"/>
      <c r="AD122" s="32"/>
      <c r="AE122" s="32"/>
      <c r="AF122" s="42"/>
      <c r="AG122" s="83"/>
    </row>
    <row r="123" spans="1:33" x14ac:dyDescent="0.25">
      <c r="A123" s="23"/>
      <c r="B123" s="24"/>
      <c r="C123" s="25"/>
      <c r="D123" s="27"/>
      <c r="E123" s="27"/>
      <c r="F123" s="28"/>
      <c r="G123" s="27"/>
      <c r="H123" s="27"/>
      <c r="I123" s="172"/>
      <c r="J123" s="214"/>
      <c r="K123" s="27"/>
      <c r="L123" s="172"/>
      <c r="M123" s="32"/>
      <c r="N123" s="32"/>
      <c r="O123" s="33"/>
      <c r="P123" s="33"/>
      <c r="Q123" s="32"/>
      <c r="R123" s="42"/>
      <c r="S123" s="42"/>
      <c r="T123" s="42"/>
      <c r="U123" s="32"/>
      <c r="V123" s="33"/>
      <c r="W123" s="33"/>
      <c r="X123" s="32"/>
      <c r="Y123" s="32"/>
      <c r="Z123" s="266"/>
      <c r="AA123" s="33"/>
      <c r="AB123" s="33"/>
      <c r="AC123" s="33"/>
      <c r="AD123" s="32"/>
      <c r="AE123" s="32"/>
      <c r="AF123" s="42"/>
      <c r="AG123" s="83"/>
    </row>
    <row r="124" spans="1:33" x14ac:dyDescent="0.25">
      <c r="A124" s="23"/>
      <c r="B124" s="24"/>
      <c r="C124" s="25"/>
      <c r="D124" s="27"/>
      <c r="E124" s="27"/>
      <c r="F124" s="28"/>
      <c r="G124" s="27"/>
      <c r="H124" s="27"/>
      <c r="I124" s="172"/>
      <c r="J124" s="214"/>
      <c r="K124" s="27"/>
      <c r="L124" s="172"/>
      <c r="M124" s="32"/>
      <c r="N124" s="32"/>
      <c r="O124" s="33"/>
      <c r="P124" s="33"/>
      <c r="Q124" s="32"/>
      <c r="R124" s="42"/>
      <c r="S124" s="42"/>
      <c r="T124" s="42"/>
      <c r="U124" s="32"/>
      <c r="V124" s="33"/>
      <c r="W124" s="33"/>
      <c r="X124" s="32"/>
      <c r="Y124" s="32"/>
      <c r="Z124" s="266"/>
      <c r="AA124" s="33"/>
      <c r="AB124" s="33"/>
      <c r="AC124" s="33"/>
      <c r="AD124" s="32"/>
      <c r="AE124" s="32"/>
      <c r="AF124" s="42"/>
      <c r="AG124" s="83"/>
    </row>
    <row r="125" spans="1:33" x14ac:dyDescent="0.25">
      <c r="A125" s="45"/>
      <c r="B125" s="46"/>
      <c r="C125" s="47"/>
      <c r="D125" s="48"/>
      <c r="E125" s="48"/>
      <c r="F125" s="49"/>
      <c r="G125" s="48"/>
      <c r="H125" s="48"/>
      <c r="I125" s="172"/>
      <c r="J125" s="214"/>
      <c r="K125" s="48"/>
      <c r="L125" s="172"/>
      <c r="M125" s="51"/>
      <c r="N125" s="51"/>
      <c r="O125" s="52"/>
      <c r="P125" s="52"/>
      <c r="Q125" s="51"/>
      <c r="R125" s="53"/>
      <c r="S125" s="53"/>
      <c r="T125" s="53"/>
      <c r="U125" s="51"/>
      <c r="V125" s="52"/>
      <c r="W125" s="52"/>
      <c r="X125" s="51"/>
      <c r="Y125" s="51"/>
      <c r="Z125" s="51"/>
      <c r="AA125" s="52"/>
      <c r="AB125" s="52"/>
      <c r="AC125" s="52"/>
      <c r="AD125" s="51"/>
      <c r="AE125" s="51"/>
      <c r="AF125" s="53"/>
      <c r="AG125" s="323"/>
    </row>
    <row r="126" spans="1:33" x14ac:dyDescent="0.25">
      <c r="A126" s="45"/>
      <c r="B126" s="46"/>
      <c r="C126" s="47"/>
      <c r="D126" s="48"/>
      <c r="E126" s="48"/>
      <c r="F126" s="49"/>
      <c r="G126" s="48"/>
      <c r="H126" s="48"/>
      <c r="I126" s="172"/>
      <c r="J126" s="214"/>
      <c r="K126" s="48"/>
      <c r="L126" s="172"/>
      <c r="M126" s="51"/>
      <c r="N126" s="51"/>
      <c r="O126" s="52"/>
      <c r="P126" s="52"/>
      <c r="Q126" s="51"/>
      <c r="R126" s="53"/>
      <c r="S126" s="53"/>
      <c r="T126" s="53"/>
      <c r="U126" s="51"/>
      <c r="V126" s="52"/>
      <c r="W126" s="52"/>
      <c r="X126" s="51"/>
      <c r="Y126" s="51"/>
      <c r="Z126" s="51"/>
      <c r="AA126" s="52"/>
      <c r="AB126" s="52"/>
      <c r="AC126" s="52"/>
      <c r="AD126" s="51"/>
      <c r="AE126" s="51"/>
      <c r="AF126" s="53"/>
      <c r="AG126" s="323"/>
    </row>
    <row r="127" spans="1:33" x14ac:dyDescent="0.25">
      <c r="A127" s="45"/>
      <c r="B127" s="46"/>
      <c r="C127" s="47"/>
      <c r="D127" s="48"/>
      <c r="E127" s="48"/>
      <c r="F127" s="49"/>
      <c r="G127" s="48"/>
      <c r="H127" s="48"/>
      <c r="I127" s="172"/>
      <c r="J127" s="214"/>
      <c r="K127" s="48"/>
      <c r="L127" s="172"/>
      <c r="M127" s="51"/>
      <c r="N127" s="51"/>
      <c r="O127" s="52"/>
      <c r="P127" s="52"/>
      <c r="Q127" s="51"/>
      <c r="R127" s="53"/>
      <c r="S127" s="53"/>
      <c r="T127" s="53"/>
      <c r="U127" s="51"/>
      <c r="V127" s="52"/>
      <c r="W127" s="52"/>
      <c r="X127" s="51"/>
      <c r="Y127" s="51"/>
      <c r="Z127" s="51"/>
      <c r="AA127" s="52"/>
      <c r="AB127" s="52"/>
      <c r="AC127" s="52"/>
      <c r="AD127" s="51"/>
      <c r="AE127" s="51"/>
      <c r="AF127" s="53"/>
      <c r="AG127" s="323"/>
    </row>
    <row r="128" spans="1:33" x14ac:dyDescent="0.25">
      <c r="A128" s="45"/>
      <c r="B128" s="46"/>
      <c r="C128" s="47"/>
      <c r="D128" s="48"/>
      <c r="E128" s="48"/>
      <c r="F128" s="49"/>
      <c r="G128" s="48"/>
      <c r="H128" s="48"/>
      <c r="I128" s="172"/>
      <c r="J128" s="214"/>
      <c r="K128" s="48"/>
      <c r="L128" s="172"/>
      <c r="M128" s="51"/>
      <c r="N128" s="51"/>
      <c r="O128" s="52"/>
      <c r="P128" s="52"/>
      <c r="Q128" s="51"/>
      <c r="R128" s="53"/>
      <c r="S128" s="53"/>
      <c r="T128" s="53"/>
      <c r="U128" s="51"/>
      <c r="V128" s="52"/>
      <c r="W128" s="52"/>
      <c r="X128" s="51"/>
      <c r="Y128" s="51"/>
      <c r="Z128" s="51"/>
      <c r="AA128" s="52"/>
      <c r="AB128" s="52"/>
      <c r="AC128" s="52"/>
      <c r="AD128" s="51"/>
      <c r="AE128" s="51"/>
      <c r="AF128" s="53"/>
      <c r="AG128" s="323"/>
    </row>
    <row r="129" spans="1:33" x14ac:dyDescent="0.25">
      <c r="A129" s="45"/>
      <c r="B129" s="46"/>
      <c r="C129" s="47"/>
      <c r="D129" s="48"/>
      <c r="E129" s="48"/>
      <c r="F129" s="49"/>
      <c r="G129" s="48"/>
      <c r="H129" s="48"/>
      <c r="I129" s="172"/>
      <c r="J129" s="214"/>
      <c r="K129" s="48"/>
      <c r="L129" s="172"/>
      <c r="M129" s="51"/>
      <c r="N129" s="51"/>
      <c r="O129" s="52"/>
      <c r="P129" s="52"/>
      <c r="Q129" s="51"/>
      <c r="R129" s="53"/>
      <c r="S129" s="53"/>
      <c r="T129" s="53"/>
      <c r="U129" s="51"/>
      <c r="V129" s="52"/>
      <c r="W129" s="52"/>
      <c r="X129" s="51"/>
      <c r="Y129" s="51"/>
      <c r="Z129" s="51"/>
      <c r="AA129" s="52"/>
      <c r="AB129" s="52"/>
      <c r="AC129" s="52"/>
      <c r="AD129" s="51"/>
      <c r="AE129" s="51"/>
      <c r="AF129" s="53"/>
      <c r="AG129" s="323"/>
    </row>
    <row r="130" spans="1:33" x14ac:dyDescent="0.25">
      <c r="A130" s="23"/>
      <c r="B130" s="24"/>
      <c r="C130" s="25"/>
      <c r="D130" s="27"/>
      <c r="E130" s="27"/>
      <c r="F130" s="28"/>
      <c r="G130" s="27"/>
      <c r="H130" s="27"/>
      <c r="I130" s="172"/>
      <c r="J130" s="214"/>
      <c r="K130" s="27"/>
      <c r="L130" s="172"/>
      <c r="M130" s="32"/>
      <c r="N130" s="32"/>
      <c r="O130" s="33"/>
      <c r="P130" s="33"/>
      <c r="Q130" s="32"/>
      <c r="R130" s="42"/>
      <c r="S130" s="42"/>
      <c r="T130" s="42"/>
      <c r="U130" s="32"/>
      <c r="V130" s="33"/>
      <c r="W130" s="33"/>
      <c r="X130" s="32"/>
      <c r="Y130" s="32"/>
      <c r="Z130" s="266"/>
      <c r="AA130" s="33"/>
      <c r="AB130" s="33"/>
      <c r="AC130" s="33"/>
      <c r="AD130" s="32"/>
      <c r="AE130" s="32"/>
      <c r="AF130" s="42"/>
      <c r="AG130" s="83"/>
    </row>
    <row r="131" spans="1:33" x14ac:dyDescent="0.25">
      <c r="A131" s="23"/>
      <c r="B131" s="24"/>
      <c r="C131" s="25"/>
      <c r="D131" s="27"/>
      <c r="E131" s="27"/>
      <c r="F131" s="28"/>
      <c r="G131" s="27"/>
      <c r="H131" s="27"/>
      <c r="I131" s="172"/>
      <c r="J131" s="214"/>
      <c r="K131" s="27"/>
      <c r="L131" s="172"/>
      <c r="M131" s="32"/>
      <c r="N131" s="32"/>
      <c r="O131" s="33"/>
      <c r="P131" s="33"/>
      <c r="Q131" s="32"/>
      <c r="R131" s="42"/>
      <c r="S131" s="42"/>
      <c r="T131" s="42"/>
      <c r="U131" s="32"/>
      <c r="V131" s="33"/>
      <c r="W131" s="33"/>
      <c r="X131" s="32"/>
      <c r="Y131" s="32"/>
      <c r="Z131" s="266"/>
      <c r="AA131" s="33"/>
      <c r="AB131" s="33"/>
      <c r="AC131" s="33"/>
      <c r="AD131" s="32"/>
      <c r="AE131" s="32"/>
      <c r="AF131" s="42"/>
      <c r="AG131" s="83"/>
    </row>
    <row r="132" spans="1:33" x14ac:dyDescent="0.25">
      <c r="A132" s="23"/>
      <c r="B132" s="24"/>
      <c r="C132" s="25"/>
      <c r="D132" s="27"/>
      <c r="E132" s="27"/>
      <c r="F132" s="28"/>
      <c r="G132" s="27"/>
      <c r="H132" s="27"/>
      <c r="I132" s="172"/>
      <c r="J132" s="214"/>
      <c r="K132" s="27"/>
      <c r="L132" s="172"/>
      <c r="M132" s="32"/>
      <c r="N132" s="32"/>
      <c r="O132" s="33"/>
      <c r="P132" s="33"/>
      <c r="Q132" s="32"/>
      <c r="R132" s="42"/>
      <c r="S132" s="42"/>
      <c r="T132" s="42"/>
      <c r="U132" s="32"/>
      <c r="V132" s="33"/>
      <c r="W132" s="33"/>
      <c r="X132" s="32"/>
      <c r="Y132" s="32"/>
      <c r="Z132" s="266"/>
      <c r="AA132" s="33"/>
      <c r="AB132" s="33"/>
      <c r="AC132" s="33"/>
      <c r="AD132" s="32"/>
      <c r="AE132" s="32"/>
      <c r="AF132" s="42"/>
      <c r="AG132" s="83"/>
    </row>
    <row r="133" spans="1:33" x14ac:dyDescent="0.25">
      <c r="A133" s="23"/>
      <c r="B133" s="24"/>
      <c r="C133" s="25"/>
      <c r="D133" s="27"/>
      <c r="E133" s="27"/>
      <c r="F133" s="28"/>
      <c r="G133" s="27"/>
      <c r="H133" s="27"/>
      <c r="I133" s="172"/>
      <c r="J133" s="214"/>
      <c r="K133" s="27"/>
      <c r="L133" s="172"/>
      <c r="M133" s="32"/>
      <c r="N133" s="32"/>
      <c r="O133" s="33"/>
      <c r="P133" s="33"/>
      <c r="Q133" s="32"/>
      <c r="R133" s="42"/>
      <c r="S133" s="42"/>
      <c r="T133" s="42"/>
      <c r="U133" s="32"/>
      <c r="V133" s="33"/>
      <c r="W133" s="33"/>
      <c r="X133" s="32"/>
      <c r="Y133" s="32"/>
      <c r="Z133" s="266"/>
      <c r="AA133" s="33"/>
      <c r="AB133" s="33"/>
      <c r="AC133" s="33"/>
      <c r="AD133" s="32"/>
      <c r="AE133" s="32"/>
      <c r="AF133" s="42"/>
      <c r="AG133" s="83"/>
    </row>
    <row r="134" spans="1:33" x14ac:dyDescent="0.25">
      <c r="A134" s="23"/>
      <c r="B134" s="24"/>
      <c r="C134" s="25"/>
      <c r="D134" s="27"/>
      <c r="E134" s="27"/>
      <c r="F134" s="28"/>
      <c r="G134" s="27"/>
      <c r="H134" s="27"/>
      <c r="I134" s="172"/>
      <c r="J134" s="214"/>
      <c r="K134" s="27"/>
      <c r="L134" s="172"/>
      <c r="M134" s="32"/>
      <c r="N134" s="32"/>
      <c r="O134" s="33"/>
      <c r="P134" s="33"/>
      <c r="Q134" s="32"/>
      <c r="R134" s="42"/>
      <c r="S134" s="42"/>
      <c r="T134" s="42"/>
      <c r="U134" s="32"/>
      <c r="V134" s="33"/>
      <c r="W134" s="33"/>
      <c r="X134" s="32"/>
      <c r="Y134" s="32"/>
      <c r="Z134" s="266"/>
      <c r="AA134" s="33"/>
      <c r="AB134" s="33"/>
      <c r="AC134" s="33"/>
      <c r="AD134" s="32"/>
      <c r="AE134" s="32"/>
      <c r="AF134" s="42"/>
      <c r="AG134" s="83"/>
    </row>
    <row r="135" spans="1:33" x14ac:dyDescent="0.25">
      <c r="A135" s="23"/>
      <c r="B135" s="24"/>
      <c r="C135" s="25"/>
      <c r="D135" s="27"/>
      <c r="E135" s="27"/>
      <c r="F135" s="28"/>
      <c r="G135" s="27"/>
      <c r="H135" s="27"/>
      <c r="I135" s="172"/>
      <c r="J135" s="214"/>
      <c r="K135" s="27"/>
      <c r="L135" s="172"/>
      <c r="M135" s="32"/>
      <c r="N135" s="32"/>
      <c r="O135" s="33"/>
      <c r="P135" s="33"/>
      <c r="Q135" s="32"/>
      <c r="R135" s="42"/>
      <c r="S135" s="42"/>
      <c r="T135" s="42"/>
      <c r="U135" s="32"/>
      <c r="V135" s="33"/>
      <c r="W135" s="33"/>
      <c r="X135" s="32"/>
      <c r="Y135" s="32"/>
      <c r="Z135" s="266"/>
      <c r="AA135" s="33"/>
      <c r="AB135" s="33"/>
      <c r="AC135" s="33"/>
      <c r="AD135" s="32"/>
      <c r="AE135" s="32"/>
      <c r="AF135" s="42"/>
      <c r="AG135" s="83"/>
    </row>
    <row r="136" spans="1:33" x14ac:dyDescent="0.25">
      <c r="A136" s="23"/>
      <c r="B136" s="24"/>
      <c r="C136" s="25"/>
      <c r="D136" s="27"/>
      <c r="E136" s="27"/>
      <c r="F136" s="28"/>
      <c r="G136" s="27"/>
      <c r="H136" s="27"/>
      <c r="I136" s="172"/>
      <c r="J136" s="214"/>
      <c r="K136" s="27"/>
      <c r="L136" s="172"/>
      <c r="M136" s="32"/>
      <c r="N136" s="32"/>
      <c r="O136" s="33"/>
      <c r="P136" s="33"/>
      <c r="Q136" s="32"/>
      <c r="R136" s="42"/>
      <c r="S136" s="42"/>
      <c r="T136" s="42"/>
      <c r="U136" s="32"/>
      <c r="V136" s="33"/>
      <c r="W136" s="33"/>
      <c r="X136" s="32"/>
      <c r="Y136" s="32"/>
      <c r="Z136" s="266"/>
      <c r="AA136" s="33"/>
      <c r="AB136" s="33"/>
      <c r="AC136" s="33"/>
      <c r="AD136" s="32"/>
      <c r="AE136" s="32"/>
      <c r="AF136" s="42"/>
      <c r="AG136" s="83"/>
    </row>
    <row r="137" spans="1:33" x14ac:dyDescent="0.25">
      <c r="A137" s="23"/>
      <c r="B137" s="24"/>
      <c r="C137" s="25"/>
      <c r="D137" s="27"/>
      <c r="E137" s="27"/>
      <c r="F137" s="28"/>
      <c r="G137" s="27"/>
      <c r="H137" s="27"/>
      <c r="I137" s="172"/>
      <c r="J137" s="214"/>
      <c r="K137" s="27"/>
      <c r="L137" s="172"/>
      <c r="M137" s="32"/>
      <c r="N137" s="32"/>
      <c r="O137" s="33"/>
      <c r="P137" s="33"/>
      <c r="Q137" s="32"/>
      <c r="R137" s="42"/>
      <c r="S137" s="42"/>
      <c r="T137" s="42"/>
      <c r="U137" s="32"/>
      <c r="V137" s="33"/>
      <c r="W137" s="33"/>
      <c r="X137" s="32"/>
      <c r="Y137" s="32"/>
      <c r="Z137" s="266"/>
      <c r="AA137" s="33"/>
      <c r="AB137" s="33"/>
      <c r="AC137" s="33"/>
      <c r="AD137" s="32"/>
      <c r="AE137" s="32"/>
      <c r="AF137" s="42"/>
      <c r="AG137" s="83"/>
    </row>
    <row r="138" spans="1:33" x14ac:dyDescent="0.25">
      <c r="A138" s="23"/>
      <c r="B138" s="24"/>
      <c r="C138" s="25"/>
      <c r="D138" s="27"/>
      <c r="E138" s="27"/>
      <c r="F138" s="28"/>
      <c r="G138" s="27"/>
      <c r="H138" s="27"/>
      <c r="I138" s="172"/>
      <c r="J138" s="214"/>
      <c r="K138" s="27"/>
      <c r="L138" s="172"/>
      <c r="M138" s="32"/>
      <c r="N138" s="32"/>
      <c r="O138" s="33"/>
      <c r="P138" s="33"/>
      <c r="Q138" s="32"/>
      <c r="R138" s="42"/>
      <c r="S138" s="42"/>
      <c r="T138" s="42"/>
      <c r="U138" s="32"/>
      <c r="V138" s="33"/>
      <c r="W138" s="33"/>
      <c r="X138" s="32"/>
      <c r="Y138" s="32"/>
      <c r="Z138" s="266"/>
      <c r="AA138" s="33"/>
      <c r="AB138" s="33"/>
      <c r="AC138" s="33"/>
      <c r="AD138" s="32"/>
      <c r="AE138" s="32"/>
      <c r="AF138" s="42"/>
      <c r="AG138" s="83"/>
    </row>
    <row r="139" spans="1:33" x14ac:dyDescent="0.25">
      <c r="A139" s="23"/>
      <c r="B139" s="24"/>
      <c r="C139" s="25"/>
      <c r="D139" s="27"/>
      <c r="E139" s="27"/>
      <c r="F139" s="28"/>
      <c r="G139" s="27"/>
      <c r="H139" s="27"/>
      <c r="I139" s="172"/>
      <c r="J139" s="214"/>
      <c r="K139" s="27"/>
      <c r="L139" s="172"/>
      <c r="M139" s="32"/>
      <c r="N139" s="32"/>
      <c r="O139" s="33"/>
      <c r="P139" s="33"/>
      <c r="Q139" s="32"/>
      <c r="R139" s="42"/>
      <c r="S139" s="42"/>
      <c r="T139" s="42"/>
      <c r="U139" s="32"/>
      <c r="V139" s="33"/>
      <c r="W139" s="33"/>
      <c r="X139" s="32"/>
      <c r="Y139" s="32"/>
      <c r="Z139" s="266"/>
      <c r="AA139" s="33"/>
      <c r="AB139" s="33"/>
      <c r="AC139" s="33"/>
      <c r="AD139" s="32"/>
      <c r="AE139" s="32"/>
      <c r="AF139" s="42"/>
      <c r="AG139" s="83"/>
    </row>
    <row r="140" spans="1:33" x14ac:dyDescent="0.25">
      <c r="A140" s="23"/>
      <c r="B140" s="24"/>
      <c r="C140" s="25"/>
      <c r="D140" s="27"/>
      <c r="E140" s="27"/>
      <c r="F140" s="28"/>
      <c r="G140" s="27"/>
      <c r="H140" s="27"/>
      <c r="I140" s="172"/>
      <c r="J140" s="214"/>
      <c r="K140" s="27"/>
      <c r="L140" s="172"/>
      <c r="M140" s="32"/>
      <c r="N140" s="32"/>
      <c r="O140" s="33"/>
      <c r="P140" s="33"/>
      <c r="Q140" s="32"/>
      <c r="R140" s="42"/>
      <c r="S140" s="42"/>
      <c r="T140" s="42"/>
      <c r="U140" s="32"/>
      <c r="V140" s="33"/>
      <c r="W140" s="33"/>
      <c r="X140" s="32"/>
      <c r="Y140" s="32"/>
      <c r="Z140" s="266"/>
      <c r="AA140" s="33"/>
      <c r="AB140" s="33"/>
      <c r="AC140" s="33"/>
      <c r="AD140" s="32"/>
      <c r="AE140" s="32"/>
      <c r="AF140" s="42"/>
      <c r="AG140" s="83"/>
    </row>
    <row r="141" spans="1:33" x14ac:dyDescent="0.25">
      <c r="A141" s="23"/>
      <c r="B141" s="24"/>
      <c r="C141" s="25"/>
      <c r="D141" s="27"/>
      <c r="E141" s="27"/>
      <c r="F141" s="28"/>
      <c r="G141" s="27"/>
      <c r="H141" s="27"/>
      <c r="I141" s="172"/>
      <c r="J141" s="214"/>
      <c r="K141" s="27"/>
      <c r="L141" s="172"/>
      <c r="M141" s="32"/>
      <c r="N141" s="32"/>
      <c r="O141" s="33"/>
      <c r="P141" s="33"/>
      <c r="Q141" s="32"/>
      <c r="R141" s="42"/>
      <c r="S141" s="42"/>
      <c r="T141" s="42"/>
      <c r="U141" s="32"/>
      <c r="V141" s="33"/>
      <c r="W141" s="33"/>
      <c r="X141" s="32"/>
      <c r="Y141" s="32"/>
      <c r="Z141" s="266"/>
      <c r="AA141" s="33"/>
      <c r="AB141" s="33"/>
      <c r="AC141" s="33"/>
      <c r="AD141" s="32"/>
      <c r="AE141" s="32"/>
      <c r="AF141" s="42"/>
      <c r="AG141" s="83"/>
    </row>
    <row r="142" spans="1:33" x14ac:dyDescent="0.25">
      <c r="A142" s="23"/>
      <c r="B142" s="24"/>
      <c r="C142" s="25"/>
      <c r="D142" s="27"/>
      <c r="E142" s="27"/>
      <c r="F142" s="28"/>
      <c r="G142" s="27"/>
      <c r="H142" s="27"/>
      <c r="I142" s="172"/>
      <c r="J142" s="214"/>
      <c r="K142" s="27"/>
      <c r="L142" s="172"/>
      <c r="M142" s="32"/>
      <c r="N142" s="32"/>
      <c r="O142" s="33"/>
      <c r="P142" s="33"/>
      <c r="Q142" s="32"/>
      <c r="R142" s="42"/>
      <c r="S142" s="42"/>
      <c r="T142" s="42"/>
      <c r="U142" s="32"/>
      <c r="V142" s="33"/>
      <c r="W142" s="33"/>
      <c r="X142" s="32"/>
      <c r="Y142" s="32"/>
      <c r="Z142" s="266"/>
      <c r="AA142" s="33"/>
      <c r="AB142" s="33"/>
      <c r="AC142" s="33"/>
      <c r="AD142" s="32"/>
      <c r="AE142" s="32"/>
      <c r="AF142" s="42"/>
      <c r="AG142" s="83"/>
    </row>
    <row r="143" spans="1:33" x14ac:dyDescent="0.25">
      <c r="A143" s="23"/>
      <c r="B143" s="24"/>
      <c r="C143" s="25"/>
      <c r="D143" s="27"/>
      <c r="E143" s="27"/>
      <c r="F143" s="28"/>
      <c r="G143" s="27"/>
      <c r="H143" s="27"/>
      <c r="I143" s="172"/>
      <c r="J143" s="214"/>
      <c r="K143" s="27"/>
      <c r="L143" s="172"/>
      <c r="M143" s="32"/>
      <c r="N143" s="32"/>
      <c r="O143" s="33"/>
      <c r="P143" s="33"/>
      <c r="Q143" s="32"/>
      <c r="R143" s="42"/>
      <c r="S143" s="42"/>
      <c r="T143" s="42"/>
      <c r="U143" s="32"/>
      <c r="V143" s="33"/>
      <c r="W143" s="33"/>
      <c r="X143" s="32"/>
      <c r="Y143" s="32"/>
      <c r="Z143" s="266"/>
      <c r="AA143" s="33"/>
      <c r="AB143" s="33"/>
      <c r="AC143" s="33"/>
      <c r="AD143" s="32"/>
      <c r="AE143" s="32"/>
      <c r="AF143" s="42"/>
      <c r="AG143" s="83"/>
    </row>
    <row r="144" spans="1:33" x14ac:dyDescent="0.25">
      <c r="A144" s="23"/>
      <c r="B144" s="24"/>
      <c r="C144" s="25"/>
      <c r="D144" s="27"/>
      <c r="E144" s="27"/>
      <c r="F144" s="28"/>
      <c r="G144" s="27"/>
      <c r="H144" s="27"/>
      <c r="I144" s="172"/>
      <c r="J144" s="214"/>
      <c r="K144" s="27"/>
      <c r="L144" s="172"/>
      <c r="M144" s="32"/>
      <c r="N144" s="32"/>
      <c r="O144" s="33"/>
      <c r="P144" s="33"/>
      <c r="Q144" s="32"/>
      <c r="R144" s="42"/>
      <c r="S144" s="42"/>
      <c r="T144" s="42"/>
      <c r="U144" s="32"/>
      <c r="V144" s="33"/>
      <c r="W144" s="33"/>
      <c r="X144" s="32"/>
      <c r="Y144" s="32"/>
      <c r="Z144" s="266"/>
      <c r="AA144" s="33"/>
      <c r="AB144" s="33"/>
      <c r="AC144" s="33"/>
      <c r="AD144" s="32"/>
      <c r="AE144" s="32"/>
      <c r="AF144" s="42"/>
      <c r="AG144" s="83"/>
    </row>
    <row r="145" spans="1:33" x14ac:dyDescent="0.25">
      <c r="A145" s="23"/>
      <c r="B145" s="24"/>
      <c r="C145" s="25"/>
      <c r="D145" s="27"/>
      <c r="E145" s="27"/>
      <c r="F145" s="28"/>
      <c r="G145" s="27"/>
      <c r="H145" s="27"/>
      <c r="I145" s="172"/>
      <c r="J145" s="214"/>
      <c r="K145" s="27"/>
      <c r="L145" s="172"/>
      <c r="M145" s="32"/>
      <c r="N145" s="32"/>
      <c r="O145" s="33"/>
      <c r="P145" s="33"/>
      <c r="Q145" s="32"/>
      <c r="R145" s="42"/>
      <c r="S145" s="42"/>
      <c r="T145" s="42"/>
      <c r="U145" s="32"/>
      <c r="V145" s="33"/>
      <c r="W145" s="33"/>
      <c r="X145" s="32"/>
      <c r="Y145" s="32"/>
      <c r="Z145" s="266"/>
      <c r="AA145" s="33"/>
      <c r="AB145" s="33"/>
      <c r="AC145" s="33"/>
      <c r="AD145" s="32"/>
      <c r="AE145" s="32"/>
      <c r="AF145" s="42"/>
      <c r="AG145" s="83"/>
    </row>
    <row r="146" spans="1:33" x14ac:dyDescent="0.25">
      <c r="A146" s="23"/>
      <c r="B146" s="24"/>
      <c r="C146" s="25"/>
      <c r="D146" s="27"/>
      <c r="E146" s="27"/>
      <c r="F146" s="28"/>
      <c r="G146" s="27"/>
      <c r="H146" s="27"/>
      <c r="I146" s="172"/>
      <c r="J146" s="214"/>
      <c r="K146" s="27"/>
      <c r="L146" s="172"/>
      <c r="M146" s="32"/>
      <c r="N146" s="32"/>
      <c r="O146" s="33"/>
      <c r="P146" s="33"/>
      <c r="Q146" s="32"/>
      <c r="R146" s="42"/>
      <c r="S146" s="42"/>
      <c r="T146" s="42"/>
      <c r="U146" s="32"/>
      <c r="V146" s="33"/>
      <c r="W146" s="33"/>
      <c r="X146" s="32"/>
      <c r="Y146" s="32"/>
      <c r="Z146" s="266"/>
      <c r="AA146" s="33"/>
      <c r="AB146" s="33"/>
      <c r="AC146" s="33"/>
      <c r="AD146" s="32"/>
      <c r="AE146" s="32"/>
      <c r="AF146" s="42"/>
      <c r="AG146" s="83"/>
    </row>
    <row r="147" spans="1:33" x14ac:dyDescent="0.25">
      <c r="A147" s="23"/>
      <c r="B147" s="24"/>
      <c r="C147" s="25"/>
      <c r="D147" s="27"/>
      <c r="E147" s="27"/>
      <c r="F147" s="28"/>
      <c r="G147" s="27"/>
      <c r="H147" s="27"/>
      <c r="I147" s="172"/>
      <c r="J147" s="214"/>
      <c r="K147" s="27"/>
      <c r="L147" s="172"/>
      <c r="M147" s="32"/>
      <c r="N147" s="32"/>
      <c r="O147" s="33"/>
      <c r="P147" s="33"/>
      <c r="Q147" s="32"/>
      <c r="R147" s="42"/>
      <c r="S147" s="42"/>
      <c r="T147" s="42"/>
      <c r="U147" s="32"/>
      <c r="V147" s="33"/>
      <c r="W147" s="33"/>
      <c r="X147" s="32"/>
      <c r="Y147" s="32"/>
      <c r="Z147" s="266"/>
      <c r="AA147" s="33"/>
      <c r="AB147" s="33"/>
      <c r="AC147" s="33"/>
      <c r="AD147" s="32"/>
      <c r="AE147" s="32"/>
      <c r="AF147" s="42"/>
      <c r="AG147" s="83"/>
    </row>
    <row r="148" spans="1:33" x14ac:dyDescent="0.25">
      <c r="A148" s="23"/>
      <c r="B148" s="24"/>
      <c r="C148" s="25"/>
      <c r="D148" s="27"/>
      <c r="E148" s="27"/>
      <c r="F148" s="28"/>
      <c r="G148" s="27"/>
      <c r="H148" s="27"/>
      <c r="I148" s="172"/>
      <c r="J148" s="214"/>
      <c r="K148" s="27"/>
      <c r="L148" s="172"/>
      <c r="M148" s="32"/>
      <c r="N148" s="32"/>
      <c r="O148" s="33"/>
      <c r="P148" s="33"/>
      <c r="Q148" s="32"/>
      <c r="R148" s="42"/>
      <c r="S148" s="42"/>
      <c r="T148" s="42"/>
      <c r="U148" s="32"/>
      <c r="V148" s="33"/>
      <c r="W148" s="33"/>
      <c r="X148" s="32"/>
      <c r="Y148" s="32"/>
      <c r="Z148" s="266"/>
      <c r="AA148" s="33"/>
      <c r="AB148" s="33"/>
      <c r="AC148" s="33"/>
      <c r="AD148" s="32"/>
      <c r="AE148" s="32"/>
      <c r="AF148" s="42"/>
      <c r="AG148" s="83"/>
    </row>
    <row r="149" spans="1:33" x14ac:dyDescent="0.25">
      <c r="A149" s="23"/>
      <c r="B149" s="24"/>
      <c r="C149" s="25"/>
      <c r="D149" s="27"/>
      <c r="E149" s="27"/>
      <c r="F149" s="28"/>
      <c r="G149" s="27"/>
      <c r="H149" s="27"/>
      <c r="I149" s="172"/>
      <c r="J149" s="214"/>
      <c r="K149" s="27"/>
      <c r="L149" s="172"/>
      <c r="M149" s="32"/>
      <c r="N149" s="32"/>
      <c r="O149" s="33"/>
      <c r="P149" s="33"/>
      <c r="Q149" s="32"/>
      <c r="R149" s="42"/>
      <c r="S149" s="42"/>
      <c r="T149" s="42"/>
      <c r="U149" s="32"/>
      <c r="V149" s="33"/>
      <c r="W149" s="33"/>
      <c r="X149" s="32"/>
      <c r="Y149" s="32"/>
      <c r="Z149" s="266"/>
      <c r="AA149" s="33"/>
      <c r="AB149" s="33"/>
      <c r="AC149" s="33"/>
      <c r="AD149" s="32"/>
      <c r="AE149" s="32"/>
      <c r="AF149" s="42"/>
      <c r="AG149" s="83"/>
    </row>
    <row r="150" spans="1:33" x14ac:dyDescent="0.25">
      <c r="A150" s="23"/>
      <c r="B150" s="24"/>
      <c r="C150" s="25"/>
      <c r="D150" s="27"/>
      <c r="E150" s="27"/>
      <c r="F150" s="28"/>
      <c r="G150" s="27"/>
      <c r="H150" s="27"/>
      <c r="I150" s="172"/>
      <c r="J150" s="214"/>
      <c r="K150" s="27"/>
      <c r="L150" s="172"/>
      <c r="M150" s="32"/>
      <c r="N150" s="32"/>
      <c r="O150" s="33"/>
      <c r="P150" s="33"/>
      <c r="Q150" s="32"/>
      <c r="R150" s="42"/>
      <c r="S150" s="42"/>
      <c r="T150" s="42"/>
      <c r="U150" s="32"/>
      <c r="V150" s="33"/>
      <c r="W150" s="33"/>
      <c r="X150" s="32"/>
      <c r="Y150" s="32"/>
      <c r="Z150" s="266"/>
      <c r="AA150" s="33"/>
      <c r="AB150" s="33"/>
      <c r="AC150" s="33"/>
      <c r="AD150" s="32"/>
      <c r="AE150" s="32"/>
      <c r="AF150" s="42"/>
      <c r="AG150" s="83"/>
    </row>
    <row r="151" spans="1:33" x14ac:dyDescent="0.25">
      <c r="A151" s="23"/>
      <c r="B151" s="24"/>
      <c r="C151" s="25"/>
      <c r="D151" s="27"/>
      <c r="E151" s="27"/>
      <c r="F151" s="28"/>
      <c r="G151" s="27"/>
      <c r="H151" s="27"/>
      <c r="I151" s="172"/>
      <c r="J151" s="214"/>
      <c r="K151" s="27"/>
      <c r="L151" s="172"/>
      <c r="M151" s="32"/>
      <c r="N151" s="32"/>
      <c r="O151" s="33"/>
      <c r="P151" s="33"/>
      <c r="Q151" s="32"/>
      <c r="R151" s="42"/>
      <c r="S151" s="42"/>
      <c r="T151" s="42"/>
      <c r="U151" s="32"/>
      <c r="V151" s="33"/>
      <c r="W151" s="33"/>
      <c r="X151" s="32"/>
      <c r="Y151" s="32"/>
      <c r="Z151" s="266"/>
      <c r="AA151" s="33"/>
      <c r="AB151" s="33"/>
      <c r="AC151" s="33"/>
      <c r="AD151" s="32"/>
      <c r="AE151" s="32"/>
      <c r="AF151" s="42"/>
      <c r="AG151" s="83"/>
    </row>
    <row r="152" spans="1:33" x14ac:dyDescent="0.25">
      <c r="A152" s="23"/>
      <c r="B152" s="24"/>
      <c r="C152" s="25"/>
      <c r="D152" s="27"/>
      <c r="E152" s="27"/>
      <c r="F152" s="28"/>
      <c r="G152" s="27"/>
      <c r="H152" s="27"/>
      <c r="I152" s="172"/>
      <c r="J152" s="214"/>
      <c r="K152" s="27"/>
      <c r="L152" s="172"/>
      <c r="M152" s="32"/>
      <c r="N152" s="32"/>
      <c r="O152" s="33"/>
      <c r="P152" s="33"/>
      <c r="Q152" s="32"/>
      <c r="R152" s="42"/>
      <c r="S152" s="42"/>
      <c r="T152" s="42"/>
      <c r="U152" s="32"/>
      <c r="V152" s="33"/>
      <c r="W152" s="33"/>
      <c r="X152" s="32"/>
      <c r="Y152" s="32"/>
      <c r="Z152" s="266"/>
      <c r="AA152" s="33"/>
      <c r="AB152" s="33"/>
      <c r="AC152" s="33"/>
      <c r="AD152" s="32"/>
      <c r="AE152" s="32"/>
      <c r="AF152" s="42"/>
      <c r="AG152" s="83"/>
    </row>
    <row r="153" spans="1:33" x14ac:dyDescent="0.25">
      <c r="A153" s="23"/>
      <c r="B153" s="24"/>
      <c r="C153" s="25"/>
      <c r="D153" s="27"/>
      <c r="E153" s="27"/>
      <c r="F153" s="28"/>
      <c r="G153" s="27"/>
      <c r="H153" s="27"/>
      <c r="I153" s="172"/>
      <c r="J153" s="214"/>
      <c r="K153" s="27"/>
      <c r="L153" s="172"/>
      <c r="M153" s="32"/>
      <c r="N153" s="32"/>
      <c r="O153" s="33"/>
      <c r="P153" s="33"/>
      <c r="Q153" s="32"/>
      <c r="R153" s="42"/>
      <c r="S153" s="42"/>
      <c r="T153" s="42"/>
      <c r="U153" s="32"/>
      <c r="V153" s="33"/>
      <c r="W153" s="33"/>
      <c r="X153" s="32"/>
      <c r="Y153" s="32"/>
      <c r="Z153" s="266"/>
      <c r="AA153" s="33"/>
      <c r="AB153" s="33"/>
      <c r="AC153" s="33"/>
      <c r="AD153" s="32"/>
      <c r="AE153" s="32"/>
      <c r="AF153" s="42"/>
      <c r="AG153" s="83"/>
    </row>
    <row r="154" spans="1:33" x14ac:dyDescent="0.25">
      <c r="A154" s="23"/>
      <c r="B154" s="24"/>
      <c r="C154" s="25"/>
      <c r="D154" s="27"/>
      <c r="E154" s="27"/>
      <c r="F154" s="28"/>
      <c r="G154" s="27"/>
      <c r="H154" s="27"/>
      <c r="I154" s="172"/>
      <c r="J154" s="214"/>
      <c r="K154" s="27"/>
      <c r="L154" s="172"/>
      <c r="M154" s="32"/>
      <c r="N154" s="32"/>
      <c r="O154" s="33"/>
      <c r="P154" s="33"/>
      <c r="Q154" s="32"/>
      <c r="R154" s="42"/>
      <c r="S154" s="42"/>
      <c r="T154" s="42"/>
      <c r="U154" s="32"/>
      <c r="V154" s="33"/>
      <c r="W154" s="33"/>
      <c r="X154" s="32"/>
      <c r="Y154" s="32"/>
      <c r="Z154" s="266"/>
      <c r="AA154" s="33"/>
      <c r="AB154" s="33"/>
      <c r="AC154" s="33"/>
      <c r="AD154" s="32"/>
      <c r="AE154" s="32"/>
      <c r="AF154" s="42"/>
      <c r="AG154" s="83"/>
    </row>
    <row r="155" spans="1:33" x14ac:dyDescent="0.25">
      <c r="A155" s="23"/>
      <c r="B155" s="24"/>
      <c r="C155" s="25"/>
      <c r="D155" s="27"/>
      <c r="E155" s="27"/>
      <c r="F155" s="28"/>
      <c r="G155" s="27"/>
      <c r="H155" s="27"/>
      <c r="I155" s="172"/>
      <c r="J155" s="214"/>
      <c r="K155" s="27"/>
      <c r="L155" s="172"/>
      <c r="M155" s="32"/>
      <c r="N155" s="32"/>
      <c r="O155" s="33"/>
      <c r="P155" s="33"/>
      <c r="Q155" s="32"/>
      <c r="R155" s="42"/>
      <c r="S155" s="42"/>
      <c r="T155" s="42"/>
      <c r="U155" s="32"/>
      <c r="V155" s="33"/>
      <c r="W155" s="33"/>
      <c r="X155" s="32"/>
      <c r="Y155" s="32"/>
      <c r="Z155" s="32"/>
      <c r="AA155" s="33"/>
      <c r="AB155" s="33"/>
      <c r="AC155" s="33"/>
      <c r="AD155" s="32"/>
      <c r="AE155" s="32"/>
      <c r="AF155" s="42"/>
      <c r="AG155" s="83"/>
    </row>
    <row r="156" spans="1:33" x14ac:dyDescent="0.25">
      <c r="A156" s="23"/>
      <c r="B156" s="24"/>
      <c r="C156" s="25"/>
      <c r="D156" s="27"/>
      <c r="E156" s="27"/>
      <c r="F156" s="28"/>
      <c r="G156" s="27"/>
      <c r="H156" s="27"/>
      <c r="I156" s="172"/>
      <c r="J156" s="214"/>
      <c r="K156" s="27"/>
      <c r="L156" s="172"/>
      <c r="M156" s="32"/>
      <c r="N156" s="32"/>
      <c r="O156" s="33"/>
      <c r="P156" s="33"/>
      <c r="Q156" s="32"/>
      <c r="R156" s="42"/>
      <c r="S156" s="42"/>
      <c r="T156" s="42"/>
      <c r="U156" s="32"/>
      <c r="V156" s="33"/>
      <c r="W156" s="33"/>
      <c r="X156" s="32"/>
      <c r="Y156" s="32"/>
      <c r="Z156" s="32"/>
      <c r="AA156" s="33"/>
      <c r="AB156" s="33"/>
      <c r="AC156" s="33"/>
      <c r="AD156" s="32"/>
      <c r="AE156" s="32"/>
      <c r="AF156" s="42"/>
      <c r="AG156" s="83"/>
    </row>
    <row r="157" spans="1:33" x14ac:dyDescent="0.25">
      <c r="A157" s="23"/>
      <c r="B157" s="24"/>
      <c r="C157" s="25"/>
      <c r="D157" s="27"/>
      <c r="E157" s="27"/>
      <c r="F157" s="28"/>
      <c r="G157" s="27"/>
      <c r="H157" s="27"/>
      <c r="I157" s="172"/>
      <c r="J157" s="214"/>
      <c r="K157" s="27"/>
      <c r="L157" s="172"/>
      <c r="M157" s="32"/>
      <c r="N157" s="32"/>
      <c r="O157" s="33"/>
      <c r="P157" s="33"/>
      <c r="Q157" s="32"/>
      <c r="R157" s="42"/>
      <c r="S157" s="42"/>
      <c r="T157" s="42"/>
      <c r="U157" s="32"/>
      <c r="V157" s="33"/>
      <c r="W157" s="33"/>
      <c r="X157" s="32"/>
      <c r="Y157" s="32"/>
      <c r="Z157" s="32"/>
      <c r="AA157" s="33"/>
      <c r="AB157" s="33"/>
      <c r="AC157" s="33"/>
      <c r="AD157" s="32"/>
      <c r="AE157" s="32"/>
      <c r="AF157" s="42"/>
      <c r="AG157" s="83"/>
    </row>
    <row r="158" spans="1:33" x14ac:dyDescent="0.25">
      <c r="A158" s="23"/>
      <c r="B158" s="24"/>
      <c r="C158" s="25"/>
      <c r="D158" s="27"/>
      <c r="E158" s="27"/>
      <c r="F158" s="28"/>
      <c r="G158" s="27"/>
      <c r="H158" s="27"/>
      <c r="I158" s="172"/>
      <c r="J158" s="214"/>
      <c r="K158" s="27"/>
      <c r="L158" s="172"/>
      <c r="M158" s="32"/>
      <c r="N158" s="32"/>
      <c r="O158" s="33"/>
      <c r="P158" s="33"/>
      <c r="Q158" s="32"/>
      <c r="R158" s="42"/>
      <c r="S158" s="42"/>
      <c r="T158" s="42"/>
      <c r="U158" s="32"/>
      <c r="V158" s="33"/>
      <c r="W158" s="33"/>
      <c r="X158" s="32"/>
      <c r="Y158" s="32"/>
      <c r="Z158" s="32"/>
      <c r="AA158" s="33"/>
      <c r="AB158" s="33"/>
      <c r="AC158" s="33"/>
      <c r="AD158" s="32"/>
      <c r="AE158" s="32"/>
      <c r="AF158" s="42"/>
      <c r="AG158" s="83"/>
    </row>
    <row r="159" spans="1:33" x14ac:dyDescent="0.25">
      <c r="A159" s="23"/>
      <c r="B159" s="24"/>
      <c r="C159" s="25"/>
      <c r="D159" s="27"/>
      <c r="E159" s="27"/>
      <c r="F159" s="28"/>
      <c r="G159" s="27"/>
      <c r="H159" s="27"/>
      <c r="I159" s="172"/>
      <c r="J159" s="214"/>
      <c r="K159" s="27"/>
      <c r="L159" s="172"/>
      <c r="M159" s="32"/>
      <c r="N159" s="32"/>
      <c r="O159" s="33"/>
      <c r="P159" s="33"/>
      <c r="Q159" s="32"/>
      <c r="R159" s="42"/>
      <c r="S159" s="42"/>
      <c r="T159" s="42"/>
      <c r="U159" s="32"/>
      <c r="V159" s="33"/>
      <c r="W159" s="33"/>
      <c r="X159" s="32"/>
      <c r="Y159" s="32"/>
      <c r="Z159" s="32"/>
      <c r="AA159" s="33"/>
      <c r="AB159" s="33"/>
      <c r="AC159" s="33"/>
      <c r="AD159" s="32"/>
      <c r="AE159" s="32"/>
      <c r="AF159" s="42"/>
      <c r="AG159" s="83"/>
    </row>
    <row r="160" spans="1:33" x14ac:dyDescent="0.25">
      <c r="A160" s="23"/>
      <c r="B160" s="24"/>
      <c r="C160" s="25"/>
      <c r="D160" s="27"/>
      <c r="E160" s="27"/>
      <c r="F160" s="28"/>
      <c r="G160" s="27"/>
      <c r="H160" s="27"/>
      <c r="I160" s="172"/>
      <c r="J160" s="214"/>
      <c r="K160" s="27"/>
      <c r="L160" s="172"/>
      <c r="M160" s="32"/>
      <c r="N160" s="32"/>
      <c r="O160" s="33"/>
      <c r="P160" s="33"/>
      <c r="Q160" s="32"/>
      <c r="R160" s="42"/>
      <c r="S160" s="42"/>
      <c r="T160" s="42"/>
      <c r="U160" s="32"/>
      <c r="V160" s="33"/>
      <c r="W160" s="33"/>
      <c r="X160" s="32"/>
      <c r="Y160" s="32"/>
      <c r="Z160" s="32"/>
      <c r="AA160" s="33"/>
      <c r="AB160" s="33"/>
      <c r="AC160" s="33"/>
      <c r="AD160" s="32"/>
      <c r="AE160" s="32"/>
      <c r="AF160" s="42"/>
      <c r="AG160" s="83"/>
    </row>
    <row r="161" spans="1:33" x14ac:dyDescent="0.25">
      <c r="A161" s="23"/>
      <c r="B161" s="24"/>
      <c r="C161" s="25"/>
      <c r="D161" s="27"/>
      <c r="E161" s="27"/>
      <c r="F161" s="28"/>
      <c r="G161" s="27"/>
      <c r="H161" s="27"/>
      <c r="I161" s="172"/>
      <c r="J161" s="214"/>
      <c r="K161" s="27"/>
      <c r="L161" s="172"/>
      <c r="M161" s="32"/>
      <c r="N161" s="32"/>
      <c r="O161" s="33"/>
      <c r="P161" s="33"/>
      <c r="Q161" s="32"/>
      <c r="R161" s="42"/>
      <c r="S161" s="42"/>
      <c r="T161" s="42"/>
      <c r="U161" s="32"/>
      <c r="V161" s="33"/>
      <c r="W161" s="33"/>
      <c r="X161" s="32"/>
      <c r="Y161" s="32"/>
      <c r="Z161" s="32"/>
      <c r="AA161" s="33"/>
      <c r="AB161" s="33"/>
      <c r="AC161" s="33"/>
      <c r="AD161" s="32"/>
      <c r="AE161" s="32"/>
      <c r="AF161" s="42"/>
      <c r="AG161" s="83"/>
    </row>
    <row r="162" spans="1:33" x14ac:dyDescent="0.25">
      <c r="A162" s="23"/>
      <c r="B162" s="24"/>
      <c r="C162" s="25"/>
      <c r="D162" s="27"/>
      <c r="E162" s="27"/>
      <c r="F162" s="28"/>
      <c r="G162" s="27"/>
      <c r="H162" s="27"/>
      <c r="I162" s="172"/>
      <c r="J162" s="214"/>
      <c r="K162" s="27"/>
      <c r="L162" s="172"/>
      <c r="M162" s="32"/>
      <c r="N162" s="32"/>
      <c r="O162" s="33"/>
      <c r="P162" s="33"/>
      <c r="Q162" s="32"/>
      <c r="R162" s="42"/>
      <c r="S162" s="42"/>
      <c r="T162" s="42"/>
      <c r="U162" s="32"/>
      <c r="V162" s="33"/>
      <c r="W162" s="33"/>
      <c r="X162" s="32"/>
      <c r="Y162" s="32"/>
      <c r="Z162" s="32"/>
      <c r="AA162" s="33"/>
      <c r="AB162" s="33"/>
      <c r="AC162" s="33"/>
      <c r="AD162" s="32"/>
      <c r="AE162" s="32"/>
      <c r="AF162" s="42"/>
      <c r="AG162" s="83"/>
    </row>
    <row r="163" spans="1:33" x14ac:dyDescent="0.25">
      <c r="A163" s="23"/>
      <c r="B163" s="24"/>
      <c r="C163" s="25"/>
      <c r="D163" s="27"/>
      <c r="E163" s="27"/>
      <c r="F163" s="28"/>
      <c r="G163" s="27"/>
      <c r="H163" s="27"/>
      <c r="I163" s="172"/>
      <c r="J163" s="214"/>
      <c r="K163" s="27"/>
      <c r="L163" s="172"/>
      <c r="M163" s="32"/>
      <c r="N163" s="32"/>
      <c r="O163" s="33"/>
      <c r="P163" s="33"/>
      <c r="Q163" s="32"/>
      <c r="R163" s="42"/>
      <c r="S163" s="42"/>
      <c r="T163" s="42"/>
      <c r="U163" s="32"/>
      <c r="V163" s="33"/>
      <c r="W163" s="33"/>
      <c r="X163" s="32"/>
      <c r="Y163" s="32"/>
      <c r="Z163" s="32"/>
      <c r="AA163" s="33"/>
      <c r="AB163" s="33"/>
      <c r="AC163" s="33"/>
      <c r="AD163" s="32"/>
      <c r="AE163" s="32"/>
      <c r="AF163" s="42"/>
      <c r="AG163" s="83"/>
    </row>
    <row r="164" spans="1:33" x14ac:dyDescent="0.25">
      <c r="A164" s="23"/>
      <c r="B164" s="24"/>
      <c r="C164" s="25"/>
      <c r="D164" s="27"/>
      <c r="E164" s="27"/>
      <c r="F164" s="28"/>
      <c r="G164" s="27"/>
      <c r="H164" s="27"/>
      <c r="I164" s="172"/>
      <c r="J164" s="214"/>
      <c r="K164" s="27"/>
      <c r="L164" s="172"/>
      <c r="M164" s="32"/>
      <c r="N164" s="32"/>
      <c r="O164" s="33"/>
      <c r="P164" s="33"/>
      <c r="Q164" s="32"/>
      <c r="R164" s="42"/>
      <c r="S164" s="42"/>
      <c r="T164" s="42"/>
      <c r="U164" s="32"/>
      <c r="V164" s="33"/>
      <c r="W164" s="33"/>
      <c r="X164" s="32"/>
      <c r="Y164" s="32"/>
      <c r="Z164" s="32"/>
      <c r="AA164" s="33"/>
      <c r="AB164" s="33"/>
      <c r="AC164" s="33"/>
      <c r="AD164" s="32"/>
      <c r="AE164" s="32"/>
      <c r="AF164" s="42"/>
      <c r="AG164" s="83"/>
    </row>
    <row r="165" spans="1:33" x14ac:dyDescent="0.25">
      <c r="A165" s="23"/>
      <c r="B165" s="24"/>
      <c r="C165" s="25"/>
      <c r="D165" s="27"/>
      <c r="E165" s="27"/>
      <c r="F165" s="28"/>
      <c r="G165" s="27"/>
      <c r="H165" s="27"/>
      <c r="I165" s="172"/>
      <c r="J165" s="214"/>
      <c r="K165" s="27"/>
      <c r="L165" s="172"/>
      <c r="M165" s="32"/>
      <c r="N165" s="32"/>
      <c r="O165" s="33"/>
      <c r="P165" s="33"/>
      <c r="Q165" s="32"/>
      <c r="R165" s="42"/>
      <c r="S165" s="42"/>
      <c r="T165" s="42"/>
      <c r="U165" s="32"/>
      <c r="V165" s="33"/>
      <c r="W165" s="33"/>
      <c r="X165" s="32"/>
      <c r="Y165" s="32"/>
      <c r="Z165" s="32"/>
      <c r="AA165" s="33"/>
      <c r="AB165" s="33"/>
      <c r="AC165" s="33"/>
      <c r="AD165" s="32"/>
      <c r="AE165" s="32"/>
      <c r="AF165" s="42"/>
      <c r="AG165" s="83"/>
    </row>
    <row r="166" spans="1:33" x14ac:dyDescent="0.25">
      <c r="A166" s="23"/>
      <c r="B166" s="24"/>
      <c r="C166" s="25"/>
      <c r="D166" s="27"/>
      <c r="E166" s="27"/>
      <c r="F166" s="28"/>
      <c r="G166" s="27"/>
      <c r="H166" s="27"/>
      <c r="I166" s="172"/>
      <c r="J166" s="214"/>
      <c r="K166" s="27"/>
      <c r="L166" s="172"/>
      <c r="M166" s="32"/>
      <c r="N166" s="32"/>
      <c r="O166" s="33"/>
      <c r="P166" s="33"/>
      <c r="Q166" s="32"/>
      <c r="R166" s="42"/>
      <c r="S166" s="42"/>
      <c r="T166" s="42"/>
      <c r="U166" s="32"/>
      <c r="V166" s="33"/>
      <c r="W166" s="33"/>
      <c r="X166" s="32"/>
      <c r="Y166" s="32"/>
      <c r="Z166" s="32"/>
      <c r="AA166" s="33"/>
      <c r="AB166" s="33"/>
      <c r="AC166" s="33"/>
      <c r="AD166" s="32"/>
      <c r="AE166" s="32"/>
      <c r="AF166" s="42"/>
      <c r="AG166" s="83"/>
    </row>
    <row r="167" spans="1:33" x14ac:dyDescent="0.25">
      <c r="A167" s="23"/>
      <c r="B167" s="24"/>
      <c r="C167" s="25"/>
      <c r="D167" s="27"/>
      <c r="E167" s="27"/>
      <c r="F167" s="28"/>
      <c r="G167" s="27"/>
      <c r="H167" s="27"/>
      <c r="I167" s="172"/>
      <c r="J167" s="214"/>
      <c r="K167" s="27"/>
      <c r="L167" s="172"/>
      <c r="M167" s="32"/>
      <c r="N167" s="32"/>
      <c r="O167" s="33"/>
      <c r="P167" s="33"/>
      <c r="Q167" s="32"/>
      <c r="R167" s="42"/>
      <c r="S167" s="42"/>
      <c r="T167" s="42"/>
      <c r="U167" s="32"/>
      <c r="V167" s="33"/>
      <c r="W167" s="33"/>
      <c r="X167" s="32"/>
      <c r="Y167" s="32"/>
      <c r="Z167" s="32"/>
      <c r="AA167" s="33"/>
      <c r="AB167" s="33"/>
      <c r="AC167" s="33"/>
      <c r="AD167" s="32"/>
      <c r="AE167" s="32"/>
      <c r="AF167" s="42"/>
      <c r="AG167" s="83"/>
    </row>
    <row r="168" spans="1:33" x14ac:dyDescent="0.25">
      <c r="A168" s="23"/>
      <c r="B168" s="24"/>
      <c r="C168" s="25"/>
      <c r="D168" s="27"/>
      <c r="E168" s="27"/>
      <c r="F168" s="28"/>
      <c r="G168" s="27"/>
      <c r="H168" s="27"/>
      <c r="I168" s="172"/>
      <c r="J168" s="214"/>
      <c r="K168" s="27"/>
      <c r="L168" s="172"/>
      <c r="M168" s="32"/>
      <c r="N168" s="32"/>
      <c r="O168" s="33"/>
      <c r="P168" s="33"/>
      <c r="Q168" s="32"/>
      <c r="R168" s="42"/>
      <c r="S168" s="42"/>
      <c r="T168" s="42"/>
      <c r="U168" s="32"/>
      <c r="V168" s="33"/>
      <c r="W168" s="33"/>
      <c r="X168" s="32"/>
      <c r="Y168" s="32"/>
      <c r="Z168" s="32"/>
      <c r="AA168" s="33"/>
      <c r="AB168" s="33"/>
      <c r="AC168" s="33"/>
      <c r="AD168" s="32"/>
      <c r="AE168" s="32"/>
      <c r="AF168" s="42"/>
      <c r="AG168" s="83"/>
    </row>
    <row r="169" spans="1:33" x14ac:dyDescent="0.25">
      <c r="A169" s="23"/>
      <c r="B169" s="24"/>
      <c r="C169" s="25"/>
      <c r="D169" s="27"/>
      <c r="E169" s="27"/>
      <c r="F169" s="28"/>
      <c r="G169" s="27"/>
      <c r="H169" s="27"/>
      <c r="I169" s="172"/>
      <c r="J169" s="214"/>
      <c r="K169" s="27"/>
      <c r="L169" s="172"/>
      <c r="M169" s="32"/>
      <c r="N169" s="32"/>
      <c r="O169" s="33"/>
      <c r="P169" s="33"/>
      <c r="Q169" s="32"/>
      <c r="R169" s="42"/>
      <c r="S169" s="42"/>
      <c r="T169" s="42"/>
      <c r="U169" s="32"/>
      <c r="V169" s="33"/>
      <c r="W169" s="33"/>
      <c r="X169" s="32"/>
      <c r="Y169" s="32"/>
      <c r="Z169" s="32"/>
      <c r="AA169" s="33"/>
      <c r="AB169" s="33"/>
      <c r="AC169" s="33"/>
      <c r="AD169" s="32"/>
      <c r="AE169" s="32"/>
      <c r="AF169" s="42"/>
      <c r="AG169" s="83"/>
    </row>
    <row r="170" spans="1:33" x14ac:dyDescent="0.25">
      <c r="A170" s="23"/>
      <c r="B170" s="24"/>
      <c r="C170" s="25"/>
      <c r="D170" s="27"/>
      <c r="E170" s="27"/>
      <c r="F170" s="28"/>
      <c r="G170" s="27"/>
      <c r="H170" s="27"/>
      <c r="I170" s="172"/>
      <c r="J170" s="214"/>
      <c r="K170" s="27"/>
      <c r="L170" s="172"/>
      <c r="M170" s="32"/>
      <c r="N170" s="32"/>
      <c r="O170" s="33"/>
      <c r="P170" s="33"/>
      <c r="Q170" s="32"/>
      <c r="R170" s="42"/>
      <c r="S170" s="42"/>
      <c r="T170" s="42"/>
      <c r="U170" s="32"/>
      <c r="V170" s="33"/>
      <c r="W170" s="33"/>
      <c r="X170" s="32"/>
      <c r="Y170" s="32"/>
      <c r="Z170" s="32"/>
      <c r="AA170" s="33"/>
      <c r="AB170" s="33"/>
      <c r="AC170" s="33"/>
      <c r="AD170" s="32"/>
      <c r="AE170" s="32"/>
      <c r="AF170" s="42"/>
      <c r="AG170" s="83"/>
    </row>
    <row r="171" spans="1:33" x14ac:dyDescent="0.25">
      <c r="A171" s="23"/>
      <c r="B171" s="24"/>
      <c r="C171" s="25"/>
      <c r="D171" s="27"/>
      <c r="E171" s="27"/>
      <c r="F171" s="28"/>
      <c r="G171" s="27"/>
      <c r="H171" s="27"/>
      <c r="I171" s="172"/>
      <c r="J171" s="214"/>
      <c r="K171" s="27"/>
      <c r="L171" s="172"/>
      <c r="M171" s="32"/>
      <c r="N171" s="32"/>
      <c r="O171" s="33"/>
      <c r="P171" s="33"/>
      <c r="Q171" s="32"/>
      <c r="R171" s="42"/>
      <c r="S171" s="42"/>
      <c r="T171" s="42"/>
      <c r="U171" s="32"/>
      <c r="V171" s="33"/>
      <c r="W171" s="33"/>
      <c r="X171" s="32"/>
      <c r="Y171" s="32"/>
      <c r="Z171" s="32"/>
      <c r="AA171" s="33"/>
      <c r="AB171" s="33"/>
      <c r="AC171" s="33"/>
      <c r="AD171" s="32"/>
      <c r="AE171" s="32"/>
      <c r="AF171" s="42"/>
      <c r="AG171" s="83"/>
    </row>
    <row r="172" spans="1:33" x14ac:dyDescent="0.25">
      <c r="A172" s="23"/>
      <c r="B172" s="24"/>
      <c r="C172" s="25"/>
      <c r="D172" s="27"/>
      <c r="E172" s="27"/>
      <c r="F172" s="28"/>
      <c r="G172" s="27"/>
      <c r="H172" s="27"/>
      <c r="I172" s="172"/>
      <c r="J172" s="214"/>
      <c r="K172" s="27"/>
      <c r="L172" s="172"/>
      <c r="M172" s="32"/>
      <c r="N172" s="32"/>
      <c r="O172" s="33"/>
      <c r="P172" s="33"/>
      <c r="Q172" s="32"/>
      <c r="R172" s="42"/>
      <c r="S172" s="42"/>
      <c r="T172" s="42"/>
      <c r="U172" s="32"/>
      <c r="V172" s="33"/>
      <c r="W172" s="33"/>
      <c r="X172" s="32"/>
      <c r="Y172" s="32"/>
      <c r="Z172" s="32"/>
      <c r="AA172" s="33"/>
      <c r="AB172" s="33"/>
      <c r="AC172" s="33"/>
      <c r="AD172" s="32"/>
      <c r="AE172" s="32"/>
      <c r="AF172" s="42"/>
      <c r="AG172" s="83"/>
    </row>
    <row r="173" spans="1:33" x14ac:dyDescent="0.25">
      <c r="A173" s="23"/>
      <c r="B173" s="24"/>
      <c r="C173" s="25"/>
      <c r="D173" s="27"/>
      <c r="E173" s="27"/>
      <c r="F173" s="28"/>
      <c r="G173" s="27"/>
      <c r="H173" s="27"/>
      <c r="I173" s="172"/>
      <c r="J173" s="214"/>
      <c r="K173" s="27"/>
      <c r="L173" s="172"/>
      <c r="M173" s="32"/>
      <c r="N173" s="32"/>
      <c r="O173" s="33"/>
      <c r="P173" s="33"/>
      <c r="Q173" s="32"/>
      <c r="R173" s="42"/>
      <c r="S173" s="42"/>
      <c r="T173" s="42"/>
      <c r="U173" s="32"/>
      <c r="V173" s="33"/>
      <c r="W173" s="33"/>
      <c r="X173" s="32"/>
      <c r="Y173" s="32"/>
      <c r="Z173" s="32"/>
      <c r="AA173" s="33"/>
      <c r="AB173" s="33"/>
      <c r="AC173" s="33"/>
      <c r="AD173" s="32"/>
      <c r="AE173" s="32"/>
      <c r="AF173" s="42"/>
      <c r="AG173" s="83"/>
    </row>
    <row r="174" spans="1:33" x14ac:dyDescent="0.25">
      <c r="A174" s="23"/>
      <c r="B174" s="24"/>
      <c r="C174" s="25"/>
      <c r="D174" s="27"/>
      <c r="E174" s="27"/>
      <c r="F174" s="28"/>
      <c r="G174" s="27"/>
      <c r="H174" s="27"/>
      <c r="I174" s="172"/>
      <c r="J174" s="214"/>
      <c r="K174" s="27"/>
      <c r="L174" s="172"/>
      <c r="M174" s="32"/>
      <c r="N174" s="32"/>
      <c r="O174" s="33"/>
      <c r="P174" s="33"/>
      <c r="Q174" s="32"/>
      <c r="R174" s="42"/>
      <c r="S174" s="42"/>
      <c r="T174" s="42"/>
      <c r="U174" s="32"/>
      <c r="V174" s="33"/>
      <c r="W174" s="33"/>
      <c r="X174" s="32"/>
      <c r="Y174" s="32"/>
      <c r="Z174" s="32"/>
      <c r="AA174" s="33"/>
      <c r="AB174" s="33"/>
      <c r="AC174" s="33"/>
      <c r="AD174" s="32"/>
      <c r="AE174" s="32"/>
      <c r="AF174" s="42"/>
      <c r="AG174" s="83"/>
    </row>
    <row r="175" spans="1:33" x14ac:dyDescent="0.25">
      <c r="A175" s="23"/>
      <c r="B175" s="24"/>
      <c r="C175" s="25"/>
      <c r="D175" s="27"/>
      <c r="E175" s="27"/>
      <c r="F175" s="28"/>
      <c r="G175" s="27"/>
      <c r="H175" s="27"/>
      <c r="I175" s="172"/>
      <c r="J175" s="214"/>
      <c r="K175" s="27"/>
      <c r="L175" s="172"/>
      <c r="M175" s="32"/>
      <c r="N175" s="32"/>
      <c r="O175" s="33"/>
      <c r="P175" s="33"/>
      <c r="Q175" s="32"/>
      <c r="R175" s="42"/>
      <c r="S175" s="42"/>
      <c r="T175" s="42"/>
      <c r="U175" s="32"/>
      <c r="V175" s="33"/>
      <c r="W175" s="33"/>
      <c r="X175" s="32"/>
      <c r="Y175" s="32"/>
      <c r="Z175" s="32"/>
      <c r="AA175" s="33"/>
      <c r="AB175" s="33"/>
      <c r="AC175" s="33"/>
      <c r="AD175" s="32"/>
      <c r="AE175" s="32"/>
      <c r="AF175" s="42"/>
      <c r="AG175" s="83"/>
    </row>
    <row r="176" spans="1:33" x14ac:dyDescent="0.25">
      <c r="A176" s="23"/>
      <c r="B176" s="24"/>
      <c r="C176" s="25"/>
      <c r="D176" s="27"/>
      <c r="E176" s="27"/>
      <c r="F176" s="28"/>
      <c r="G176" s="27"/>
      <c r="H176" s="27"/>
      <c r="I176" s="172"/>
      <c r="J176" s="214"/>
      <c r="K176" s="27"/>
      <c r="L176" s="172"/>
      <c r="M176" s="32"/>
      <c r="N176" s="32"/>
      <c r="O176" s="33"/>
      <c r="P176" s="33"/>
      <c r="Q176" s="32"/>
      <c r="R176" s="42"/>
      <c r="S176" s="42"/>
      <c r="T176" s="42"/>
      <c r="U176" s="32"/>
      <c r="V176" s="33"/>
      <c r="W176" s="33"/>
      <c r="X176" s="32"/>
      <c r="Y176" s="32"/>
      <c r="Z176" s="32"/>
      <c r="AA176" s="33"/>
      <c r="AB176" s="33"/>
      <c r="AC176" s="33"/>
      <c r="AD176" s="32"/>
      <c r="AE176" s="32"/>
      <c r="AF176" s="42"/>
      <c r="AG176" s="83"/>
    </row>
    <row r="177" spans="1:33" x14ac:dyDescent="0.25">
      <c r="A177" s="23"/>
      <c r="B177" s="24"/>
      <c r="C177" s="25"/>
      <c r="D177" s="27"/>
      <c r="E177" s="27"/>
      <c r="F177" s="28"/>
      <c r="G177" s="27"/>
      <c r="H177" s="27"/>
      <c r="I177" s="172"/>
      <c r="J177" s="214"/>
      <c r="K177" s="27"/>
      <c r="L177" s="172"/>
      <c r="M177" s="32"/>
      <c r="N177" s="32"/>
      <c r="O177" s="33"/>
      <c r="P177" s="33"/>
      <c r="Q177" s="32"/>
      <c r="R177" s="42"/>
      <c r="S177" s="42"/>
      <c r="T177" s="42"/>
      <c r="U177" s="32"/>
      <c r="V177" s="33"/>
      <c r="W177" s="33"/>
      <c r="X177" s="32"/>
      <c r="Y177" s="32"/>
      <c r="Z177" s="32"/>
      <c r="AA177" s="33"/>
      <c r="AB177" s="33"/>
      <c r="AC177" s="33"/>
      <c r="AD177" s="32"/>
      <c r="AE177" s="32"/>
      <c r="AF177" s="42"/>
      <c r="AG177" s="83"/>
    </row>
    <row r="178" spans="1:33" x14ac:dyDescent="0.25">
      <c r="A178" s="23"/>
      <c r="B178" s="24"/>
      <c r="C178" s="25"/>
      <c r="D178" s="27"/>
      <c r="E178" s="27"/>
      <c r="F178" s="28"/>
      <c r="G178" s="27"/>
      <c r="H178" s="27"/>
      <c r="I178" s="172"/>
      <c r="J178" s="214"/>
      <c r="K178" s="27"/>
      <c r="L178" s="172"/>
      <c r="M178" s="32"/>
      <c r="N178" s="32"/>
      <c r="O178" s="33"/>
      <c r="P178" s="33"/>
      <c r="Q178" s="32"/>
      <c r="R178" s="42"/>
      <c r="S178" s="42"/>
      <c r="T178" s="42"/>
      <c r="U178" s="32"/>
      <c r="V178" s="33"/>
      <c r="W178" s="33"/>
      <c r="X178" s="32"/>
      <c r="Y178" s="32"/>
      <c r="Z178" s="32"/>
      <c r="AA178" s="33"/>
      <c r="AB178" s="33"/>
      <c r="AC178" s="33"/>
      <c r="AD178" s="32"/>
      <c r="AE178" s="32"/>
      <c r="AF178" s="42"/>
      <c r="AG178" s="83"/>
    </row>
    <row r="179" spans="1:33" x14ac:dyDescent="0.25">
      <c r="A179" s="23"/>
      <c r="B179" s="24"/>
      <c r="C179" s="25"/>
      <c r="D179" s="27"/>
      <c r="E179" s="27"/>
      <c r="F179" s="28"/>
      <c r="G179" s="27"/>
      <c r="H179" s="27"/>
      <c r="I179" s="172"/>
      <c r="J179" s="214"/>
      <c r="K179" s="27"/>
      <c r="L179" s="172"/>
      <c r="M179" s="32"/>
      <c r="N179" s="32"/>
      <c r="O179" s="33"/>
      <c r="P179" s="33"/>
      <c r="Q179" s="32"/>
      <c r="R179" s="42"/>
      <c r="S179" s="42"/>
      <c r="T179" s="42"/>
      <c r="U179" s="32"/>
      <c r="V179" s="33"/>
      <c r="W179" s="33"/>
      <c r="X179" s="32"/>
      <c r="Y179" s="32"/>
      <c r="Z179" s="32"/>
      <c r="AA179" s="33"/>
      <c r="AB179" s="33"/>
      <c r="AC179" s="33"/>
      <c r="AD179" s="32"/>
      <c r="AE179" s="32"/>
      <c r="AF179" s="42"/>
      <c r="AG179" s="83"/>
    </row>
    <row r="180" spans="1:33" x14ac:dyDescent="0.25">
      <c r="A180" s="23"/>
      <c r="B180" s="24"/>
      <c r="C180" s="25"/>
      <c r="D180" s="27"/>
      <c r="E180" s="27"/>
      <c r="F180" s="28"/>
      <c r="G180" s="27"/>
      <c r="H180" s="27"/>
      <c r="I180" s="172"/>
      <c r="J180" s="214"/>
      <c r="K180" s="27"/>
      <c r="L180" s="172"/>
      <c r="M180" s="32"/>
      <c r="N180" s="32"/>
      <c r="O180" s="33"/>
      <c r="P180" s="33"/>
      <c r="Q180" s="32"/>
      <c r="R180" s="42"/>
      <c r="S180" s="42"/>
      <c r="T180" s="42"/>
      <c r="U180" s="32"/>
      <c r="V180" s="33"/>
      <c r="W180" s="33"/>
      <c r="X180" s="32"/>
      <c r="Y180" s="32"/>
      <c r="Z180" s="32"/>
      <c r="AA180" s="33"/>
      <c r="AB180" s="33"/>
      <c r="AC180" s="33"/>
      <c r="AD180" s="32"/>
      <c r="AE180" s="32"/>
      <c r="AF180" s="42"/>
      <c r="AG180" s="83"/>
    </row>
    <row r="181" spans="1:33" x14ac:dyDescent="0.25">
      <c r="A181" s="23"/>
      <c r="B181" s="24"/>
      <c r="C181" s="25"/>
      <c r="D181" s="27"/>
      <c r="E181" s="27"/>
      <c r="F181" s="28"/>
      <c r="G181" s="27"/>
      <c r="H181" s="27"/>
      <c r="I181" s="172"/>
      <c r="J181" s="214"/>
      <c r="K181" s="27"/>
      <c r="L181" s="172"/>
      <c r="M181" s="32"/>
      <c r="N181" s="32"/>
      <c r="O181" s="33"/>
      <c r="P181" s="33"/>
      <c r="Q181" s="32"/>
      <c r="R181" s="42"/>
      <c r="S181" s="42"/>
      <c r="T181" s="42"/>
      <c r="U181" s="32"/>
      <c r="V181" s="33"/>
      <c r="W181" s="33"/>
      <c r="X181" s="32"/>
      <c r="Y181" s="32"/>
      <c r="Z181" s="32"/>
      <c r="AA181" s="33"/>
      <c r="AB181" s="33"/>
      <c r="AC181" s="33"/>
      <c r="AD181" s="32"/>
      <c r="AE181" s="32"/>
      <c r="AF181" s="42"/>
      <c r="AG181" s="83"/>
    </row>
    <row r="182" spans="1:33" x14ac:dyDescent="0.25">
      <c r="A182" s="23"/>
      <c r="B182" s="24"/>
      <c r="C182" s="25"/>
      <c r="D182" s="27"/>
      <c r="E182" s="27"/>
      <c r="F182" s="28"/>
      <c r="G182" s="27"/>
      <c r="H182" s="27"/>
      <c r="I182" s="172"/>
      <c r="J182" s="214"/>
      <c r="K182" s="27"/>
      <c r="L182" s="172"/>
      <c r="M182" s="32"/>
      <c r="N182" s="32"/>
      <c r="O182" s="33"/>
      <c r="P182" s="33"/>
      <c r="Q182" s="32"/>
      <c r="R182" s="42"/>
      <c r="S182" s="42"/>
      <c r="T182" s="42"/>
      <c r="U182" s="32"/>
      <c r="V182" s="33"/>
      <c r="W182" s="33"/>
      <c r="X182" s="32"/>
      <c r="Y182" s="32"/>
      <c r="Z182" s="32"/>
      <c r="AA182" s="33"/>
      <c r="AB182" s="33"/>
      <c r="AC182" s="33"/>
      <c r="AD182" s="32"/>
      <c r="AE182" s="32"/>
      <c r="AF182" s="42"/>
      <c r="AG182" s="83"/>
    </row>
    <row r="183" spans="1:33" x14ac:dyDescent="0.25">
      <c r="A183" s="23"/>
      <c r="B183" s="24"/>
      <c r="C183" s="25"/>
      <c r="D183" s="27"/>
      <c r="E183" s="27"/>
      <c r="F183" s="28"/>
      <c r="G183" s="27"/>
      <c r="H183" s="27"/>
      <c r="I183" s="172"/>
      <c r="J183" s="214"/>
      <c r="K183" s="27"/>
      <c r="L183" s="172"/>
      <c r="M183" s="32"/>
      <c r="N183" s="32"/>
      <c r="O183" s="33"/>
      <c r="P183" s="33"/>
      <c r="Q183" s="32"/>
      <c r="R183" s="42"/>
      <c r="S183" s="42"/>
      <c r="T183" s="42"/>
      <c r="U183" s="32"/>
      <c r="V183" s="33"/>
      <c r="W183" s="33"/>
      <c r="X183" s="32"/>
      <c r="Y183" s="32"/>
      <c r="Z183" s="32"/>
      <c r="AA183" s="33"/>
      <c r="AB183" s="33"/>
      <c r="AC183" s="33"/>
      <c r="AD183" s="32"/>
      <c r="AE183" s="32"/>
      <c r="AF183" s="42"/>
      <c r="AG183" s="83"/>
    </row>
    <row r="184" spans="1:33" x14ac:dyDescent="0.25">
      <c r="A184" s="23"/>
      <c r="B184" s="24"/>
      <c r="C184" s="25"/>
      <c r="D184" s="27"/>
      <c r="E184" s="27"/>
      <c r="F184" s="28"/>
      <c r="G184" s="27"/>
      <c r="H184" s="27"/>
      <c r="I184" s="172"/>
      <c r="J184" s="214"/>
      <c r="K184" s="27"/>
      <c r="L184" s="172"/>
      <c r="M184" s="32"/>
      <c r="N184" s="32"/>
      <c r="O184" s="33"/>
      <c r="P184" s="33"/>
      <c r="Q184" s="32"/>
      <c r="R184" s="42"/>
      <c r="S184" s="42"/>
      <c r="T184" s="42"/>
      <c r="U184" s="32"/>
      <c r="V184" s="33"/>
      <c r="W184" s="33"/>
      <c r="X184" s="32"/>
      <c r="Y184" s="32"/>
      <c r="Z184" s="32"/>
      <c r="AA184" s="33"/>
      <c r="AB184" s="33"/>
      <c r="AC184" s="33"/>
      <c r="AD184" s="32"/>
      <c r="AE184" s="32"/>
      <c r="AF184" s="42"/>
      <c r="AG184" s="83"/>
    </row>
    <row r="185" spans="1:33" x14ac:dyDescent="0.25">
      <c r="A185" s="23"/>
      <c r="B185" s="24"/>
      <c r="C185" s="25"/>
      <c r="D185" s="27"/>
      <c r="E185" s="27"/>
      <c r="F185" s="28"/>
      <c r="G185" s="27"/>
      <c r="H185" s="27"/>
      <c r="I185" s="172"/>
      <c r="J185" s="214"/>
      <c r="K185" s="27"/>
      <c r="L185" s="172"/>
      <c r="M185" s="32"/>
      <c r="N185" s="32"/>
      <c r="O185" s="33"/>
      <c r="P185" s="33"/>
      <c r="Q185" s="32"/>
      <c r="R185" s="42"/>
      <c r="S185" s="42"/>
      <c r="T185" s="42"/>
      <c r="U185" s="32"/>
      <c r="V185" s="33"/>
      <c r="W185" s="33"/>
      <c r="X185" s="32"/>
      <c r="Y185" s="32"/>
      <c r="Z185" s="32"/>
      <c r="AA185" s="33"/>
      <c r="AB185" s="33"/>
      <c r="AC185" s="33"/>
      <c r="AD185" s="32"/>
      <c r="AE185" s="32"/>
      <c r="AF185" s="42"/>
      <c r="AG185" s="83"/>
    </row>
    <row r="186" spans="1:33" x14ac:dyDescent="0.25">
      <c r="A186" s="23"/>
      <c r="B186" s="24"/>
      <c r="C186" s="25"/>
      <c r="D186" s="27"/>
      <c r="E186" s="27"/>
      <c r="F186" s="28"/>
      <c r="G186" s="27"/>
      <c r="H186" s="27"/>
      <c r="I186" s="172"/>
      <c r="J186" s="214"/>
      <c r="K186" s="27"/>
      <c r="L186" s="172"/>
      <c r="M186" s="32"/>
      <c r="N186" s="32"/>
      <c r="O186" s="33"/>
      <c r="P186" s="33"/>
      <c r="Q186" s="32"/>
      <c r="R186" s="42"/>
      <c r="S186" s="42"/>
      <c r="T186" s="42"/>
      <c r="U186" s="32"/>
      <c r="V186" s="33"/>
      <c r="W186" s="33"/>
      <c r="X186" s="32"/>
      <c r="Y186" s="32"/>
      <c r="Z186" s="32"/>
      <c r="AA186" s="33"/>
      <c r="AB186" s="33"/>
      <c r="AC186" s="33"/>
      <c r="AD186" s="32"/>
      <c r="AE186" s="32"/>
      <c r="AF186" s="42"/>
      <c r="AG186" s="83"/>
    </row>
    <row r="187" spans="1:33" x14ac:dyDescent="0.25">
      <c r="A187" s="23"/>
      <c r="B187" s="24"/>
      <c r="C187" s="25"/>
      <c r="D187" s="27"/>
      <c r="E187" s="27"/>
      <c r="F187" s="28"/>
      <c r="G187" s="27"/>
      <c r="H187" s="27"/>
      <c r="I187" s="172"/>
      <c r="J187" s="214"/>
      <c r="K187" s="27"/>
      <c r="L187" s="172"/>
      <c r="M187" s="32"/>
      <c r="N187" s="32"/>
      <c r="O187" s="33"/>
      <c r="P187" s="33"/>
      <c r="Q187" s="32"/>
      <c r="R187" s="42"/>
      <c r="S187" s="42"/>
      <c r="T187" s="42"/>
      <c r="U187" s="32"/>
      <c r="V187" s="33"/>
      <c r="W187" s="33"/>
      <c r="X187" s="32"/>
      <c r="Y187" s="32"/>
      <c r="Z187" s="32"/>
      <c r="AA187" s="33"/>
      <c r="AB187" s="33"/>
      <c r="AC187" s="33"/>
      <c r="AD187" s="32"/>
      <c r="AE187" s="32"/>
      <c r="AF187" s="42"/>
      <c r="AG187" s="83"/>
    </row>
    <row r="188" spans="1:33" x14ac:dyDescent="0.25">
      <c r="A188" s="23"/>
      <c r="B188" s="24"/>
      <c r="C188" s="25"/>
      <c r="D188" s="27"/>
      <c r="E188" s="27"/>
      <c r="F188" s="28"/>
      <c r="G188" s="27"/>
      <c r="H188" s="27"/>
      <c r="I188" s="172"/>
      <c r="J188" s="214"/>
      <c r="K188" s="27"/>
      <c r="L188" s="172"/>
      <c r="M188" s="32"/>
      <c r="N188" s="32"/>
      <c r="O188" s="33"/>
      <c r="P188" s="33"/>
      <c r="Q188" s="32"/>
      <c r="R188" s="42"/>
      <c r="S188" s="42"/>
      <c r="T188" s="42"/>
      <c r="U188" s="32"/>
      <c r="V188" s="33"/>
      <c r="W188" s="33"/>
      <c r="X188" s="32"/>
      <c r="Y188" s="32"/>
      <c r="Z188" s="32"/>
      <c r="AA188" s="33"/>
      <c r="AB188" s="33"/>
      <c r="AC188" s="33"/>
      <c r="AD188" s="32"/>
      <c r="AE188" s="32"/>
      <c r="AF188" s="42"/>
      <c r="AG188" s="83"/>
    </row>
    <row r="189" spans="1:33" x14ac:dyDescent="0.25">
      <c r="A189" s="23"/>
      <c r="B189" s="24"/>
      <c r="C189" s="25"/>
      <c r="D189" s="27"/>
      <c r="E189" s="27"/>
      <c r="F189" s="28"/>
      <c r="G189" s="27"/>
      <c r="H189" s="27"/>
      <c r="I189" s="172"/>
      <c r="J189" s="214"/>
      <c r="K189" s="27"/>
      <c r="L189" s="172"/>
      <c r="M189" s="32"/>
      <c r="N189" s="32"/>
      <c r="O189" s="33"/>
      <c r="P189" s="33"/>
      <c r="Q189" s="32"/>
      <c r="R189" s="42"/>
      <c r="S189" s="42"/>
      <c r="T189" s="42"/>
      <c r="U189" s="32"/>
      <c r="V189" s="33"/>
      <c r="W189" s="33"/>
      <c r="X189" s="32"/>
      <c r="Y189" s="32"/>
      <c r="Z189" s="32"/>
      <c r="AA189" s="33"/>
      <c r="AB189" s="33"/>
      <c r="AC189" s="33"/>
      <c r="AD189" s="32"/>
      <c r="AE189" s="32"/>
      <c r="AF189" s="42"/>
      <c r="AG189" s="83"/>
    </row>
    <row r="190" spans="1:33" x14ac:dyDescent="0.25">
      <c r="A190" s="23"/>
      <c r="B190" s="24"/>
      <c r="C190" s="25"/>
      <c r="D190" s="27"/>
      <c r="E190" s="27"/>
      <c r="F190" s="28"/>
      <c r="G190" s="27"/>
      <c r="H190" s="27"/>
      <c r="I190" s="172"/>
      <c r="J190" s="214"/>
      <c r="K190" s="27"/>
      <c r="L190" s="172"/>
      <c r="M190" s="32"/>
      <c r="N190" s="32"/>
      <c r="O190" s="33"/>
      <c r="P190" s="33"/>
      <c r="Q190" s="32"/>
      <c r="R190" s="42"/>
      <c r="S190" s="42"/>
      <c r="T190" s="42"/>
      <c r="U190" s="32"/>
      <c r="V190" s="33"/>
      <c r="W190" s="33"/>
      <c r="X190" s="32"/>
      <c r="Y190" s="32"/>
      <c r="Z190" s="32"/>
      <c r="AA190" s="33"/>
      <c r="AB190" s="33"/>
      <c r="AC190" s="33"/>
      <c r="AD190" s="32"/>
      <c r="AE190" s="32"/>
      <c r="AF190" s="42"/>
      <c r="AG190" s="83"/>
    </row>
    <row r="191" spans="1:33" x14ac:dyDescent="0.25">
      <c r="A191" s="23"/>
      <c r="B191" s="24"/>
      <c r="C191" s="25"/>
      <c r="D191" s="27"/>
      <c r="E191" s="27"/>
      <c r="F191" s="28"/>
      <c r="G191" s="27"/>
      <c r="H191" s="27"/>
      <c r="I191" s="172"/>
      <c r="J191" s="214"/>
      <c r="K191" s="27"/>
      <c r="L191" s="172"/>
      <c r="M191" s="32"/>
      <c r="N191" s="32"/>
      <c r="O191" s="33"/>
      <c r="P191" s="33"/>
      <c r="Q191" s="32"/>
      <c r="R191" s="42"/>
      <c r="S191" s="42"/>
      <c r="T191" s="42"/>
      <c r="U191" s="32"/>
      <c r="V191" s="33"/>
      <c r="W191" s="33"/>
      <c r="X191" s="32"/>
      <c r="Y191" s="32"/>
      <c r="Z191" s="32"/>
      <c r="AA191" s="33"/>
      <c r="AB191" s="33"/>
      <c r="AC191" s="33"/>
      <c r="AD191" s="32"/>
      <c r="AE191" s="32"/>
      <c r="AF191" s="42"/>
      <c r="AG191" s="83"/>
    </row>
    <row r="192" spans="1:33" x14ac:dyDescent="0.25">
      <c r="A192" s="23"/>
      <c r="B192" s="24"/>
      <c r="C192" s="25"/>
      <c r="D192" s="27"/>
      <c r="E192" s="27"/>
      <c r="F192" s="28"/>
      <c r="G192" s="27"/>
      <c r="H192" s="27"/>
      <c r="I192" s="172"/>
      <c r="J192" s="214"/>
      <c r="K192" s="27"/>
      <c r="L192" s="172"/>
      <c r="M192" s="32"/>
      <c r="N192" s="32"/>
      <c r="O192" s="33"/>
      <c r="P192" s="33"/>
      <c r="Q192" s="32"/>
      <c r="R192" s="42"/>
      <c r="S192" s="42"/>
      <c r="T192" s="42"/>
      <c r="U192" s="32"/>
      <c r="V192" s="33"/>
      <c r="W192" s="33"/>
      <c r="X192" s="32"/>
      <c r="Y192" s="32"/>
      <c r="Z192" s="32"/>
      <c r="AA192" s="33"/>
      <c r="AB192" s="33"/>
      <c r="AC192" s="33"/>
      <c r="AD192" s="32"/>
      <c r="AE192" s="32"/>
      <c r="AF192" s="42"/>
      <c r="AG192" s="83"/>
    </row>
    <row r="193" spans="1:33" x14ac:dyDescent="0.25">
      <c r="A193" s="23"/>
      <c r="B193" s="24"/>
      <c r="C193" s="25"/>
      <c r="D193" s="27"/>
      <c r="E193" s="27"/>
      <c r="F193" s="28"/>
      <c r="G193" s="27"/>
      <c r="H193" s="27"/>
      <c r="I193" s="172"/>
      <c r="J193" s="214"/>
      <c r="K193" s="27"/>
      <c r="L193" s="172"/>
      <c r="M193" s="32"/>
      <c r="N193" s="32"/>
      <c r="O193" s="33"/>
      <c r="P193" s="33"/>
      <c r="Q193" s="32"/>
      <c r="R193" s="42"/>
      <c r="S193" s="42"/>
      <c r="T193" s="42"/>
      <c r="U193" s="32"/>
      <c r="V193" s="33"/>
      <c r="W193" s="33"/>
      <c r="X193" s="32"/>
      <c r="Y193" s="32"/>
      <c r="Z193" s="32"/>
      <c r="AA193" s="33"/>
      <c r="AB193" s="33"/>
      <c r="AC193" s="33"/>
      <c r="AD193" s="32"/>
      <c r="AE193" s="32"/>
      <c r="AF193" s="42"/>
      <c r="AG193" s="83"/>
    </row>
    <row r="194" spans="1:33" x14ac:dyDescent="0.25">
      <c r="A194" s="23"/>
      <c r="B194" s="24"/>
      <c r="C194" s="25"/>
      <c r="D194" s="27"/>
      <c r="E194" s="27"/>
      <c r="F194" s="28"/>
      <c r="G194" s="27"/>
      <c r="H194" s="27"/>
      <c r="I194" s="172"/>
      <c r="J194" s="214"/>
      <c r="K194" s="27"/>
      <c r="L194" s="172"/>
      <c r="M194" s="32"/>
      <c r="N194" s="32"/>
      <c r="O194" s="33"/>
      <c r="P194" s="33"/>
      <c r="Q194" s="32"/>
      <c r="R194" s="42"/>
      <c r="S194" s="42"/>
      <c r="T194" s="42"/>
      <c r="U194" s="32"/>
      <c r="V194" s="33"/>
      <c r="W194" s="33"/>
      <c r="X194" s="32"/>
      <c r="Y194" s="32"/>
      <c r="Z194" s="32"/>
      <c r="AA194" s="33"/>
      <c r="AB194" s="33"/>
      <c r="AC194" s="33"/>
      <c r="AD194" s="32"/>
      <c r="AE194" s="32"/>
      <c r="AF194" s="42"/>
      <c r="AG194" s="83"/>
    </row>
    <row r="195" spans="1:33" x14ac:dyDescent="0.25">
      <c r="A195" s="23"/>
      <c r="B195" s="24"/>
      <c r="C195" s="25"/>
      <c r="D195" s="27"/>
      <c r="E195" s="27"/>
      <c r="F195" s="28"/>
      <c r="G195" s="27"/>
      <c r="H195" s="27"/>
      <c r="I195" s="172"/>
      <c r="J195" s="214"/>
      <c r="K195" s="27"/>
      <c r="L195" s="172"/>
      <c r="M195" s="32"/>
      <c r="N195" s="32"/>
      <c r="O195" s="33"/>
      <c r="P195" s="33"/>
      <c r="Q195" s="32"/>
      <c r="R195" s="42"/>
      <c r="S195" s="42"/>
      <c r="T195" s="42"/>
      <c r="U195" s="32"/>
      <c r="V195" s="33"/>
      <c r="W195" s="33"/>
      <c r="X195" s="32"/>
      <c r="Y195" s="32"/>
      <c r="Z195" s="32"/>
      <c r="AA195" s="33"/>
      <c r="AB195" s="33"/>
      <c r="AC195" s="33"/>
      <c r="AD195" s="32"/>
      <c r="AE195" s="32"/>
      <c r="AF195" s="42"/>
      <c r="AG195" s="83"/>
    </row>
    <row r="196" spans="1:33" x14ac:dyDescent="0.25">
      <c r="A196" s="23"/>
      <c r="B196" s="24"/>
      <c r="C196" s="25"/>
      <c r="D196" s="27"/>
      <c r="E196" s="27"/>
      <c r="F196" s="28"/>
      <c r="G196" s="27"/>
      <c r="H196" s="27"/>
      <c r="I196" s="172"/>
      <c r="J196" s="214"/>
      <c r="K196" s="27"/>
      <c r="L196" s="172"/>
      <c r="M196" s="32"/>
      <c r="N196" s="32"/>
      <c r="O196" s="33"/>
      <c r="P196" s="33"/>
      <c r="Q196" s="32"/>
      <c r="R196" s="42"/>
      <c r="S196" s="42"/>
      <c r="T196" s="42"/>
      <c r="U196" s="32"/>
      <c r="V196" s="33"/>
      <c r="W196" s="33"/>
      <c r="X196" s="32"/>
      <c r="Y196" s="32"/>
      <c r="Z196" s="32"/>
      <c r="AA196" s="33"/>
      <c r="AB196" s="33"/>
      <c r="AC196" s="33"/>
      <c r="AD196" s="32"/>
      <c r="AE196" s="32"/>
      <c r="AF196" s="42"/>
      <c r="AG196" s="83"/>
    </row>
    <row r="197" spans="1:33" x14ac:dyDescent="0.25">
      <c r="A197" s="23"/>
      <c r="B197" s="24"/>
      <c r="C197" s="25"/>
      <c r="D197" s="27"/>
      <c r="E197" s="27"/>
      <c r="F197" s="28"/>
      <c r="G197" s="27"/>
      <c r="H197" s="27"/>
      <c r="I197" s="172"/>
      <c r="J197" s="214"/>
      <c r="K197" s="27"/>
      <c r="L197" s="172"/>
      <c r="M197" s="32"/>
      <c r="N197" s="32"/>
      <c r="O197" s="33"/>
      <c r="P197" s="33"/>
      <c r="Q197" s="32"/>
      <c r="R197" s="42"/>
      <c r="S197" s="42"/>
      <c r="T197" s="42"/>
      <c r="U197" s="32"/>
      <c r="V197" s="33"/>
      <c r="W197" s="33"/>
      <c r="X197" s="32"/>
      <c r="Y197" s="32"/>
      <c r="Z197" s="32"/>
      <c r="AA197" s="33"/>
      <c r="AB197" s="33"/>
      <c r="AC197" s="33"/>
      <c r="AD197" s="32"/>
      <c r="AE197" s="32"/>
      <c r="AF197" s="42"/>
      <c r="AG197" s="83"/>
    </row>
    <row r="198" spans="1:33" x14ac:dyDescent="0.25">
      <c r="A198" s="23"/>
      <c r="B198" s="24"/>
      <c r="C198" s="25"/>
      <c r="D198" s="27"/>
      <c r="E198" s="27"/>
      <c r="F198" s="28"/>
      <c r="G198" s="27"/>
      <c r="H198" s="27"/>
      <c r="I198" s="172"/>
      <c r="J198" s="214"/>
      <c r="K198" s="27"/>
      <c r="L198" s="172"/>
      <c r="M198" s="32"/>
      <c r="N198" s="32"/>
      <c r="O198" s="33"/>
      <c r="P198" s="33"/>
      <c r="Q198" s="32"/>
      <c r="R198" s="42"/>
      <c r="S198" s="42"/>
      <c r="T198" s="42"/>
      <c r="U198" s="32"/>
      <c r="V198" s="33"/>
      <c r="W198" s="33"/>
      <c r="X198" s="32"/>
      <c r="Y198" s="32"/>
      <c r="Z198" s="32"/>
      <c r="AA198" s="33"/>
      <c r="AB198" s="33"/>
      <c r="AC198" s="33"/>
      <c r="AD198" s="32"/>
      <c r="AE198" s="32"/>
      <c r="AF198" s="42"/>
      <c r="AG198" s="83"/>
    </row>
    <row r="199" spans="1:33" x14ac:dyDescent="0.25">
      <c r="A199" s="23"/>
      <c r="B199" s="24"/>
      <c r="C199" s="25"/>
      <c r="D199" s="27"/>
      <c r="E199" s="27"/>
      <c r="F199" s="28"/>
      <c r="G199" s="27"/>
      <c r="H199" s="27"/>
      <c r="I199" s="172"/>
      <c r="J199" s="214"/>
      <c r="K199" s="27"/>
      <c r="L199" s="172"/>
      <c r="M199" s="32"/>
      <c r="N199" s="32"/>
      <c r="O199" s="33"/>
      <c r="P199" s="33"/>
      <c r="Q199" s="32"/>
      <c r="R199" s="42"/>
      <c r="S199" s="42"/>
      <c r="T199" s="42"/>
      <c r="U199" s="32"/>
      <c r="V199" s="33"/>
      <c r="W199" s="33"/>
      <c r="X199" s="32"/>
      <c r="Y199" s="32"/>
      <c r="Z199" s="32"/>
      <c r="AA199" s="33"/>
      <c r="AB199" s="33"/>
      <c r="AC199" s="33"/>
      <c r="AD199" s="32"/>
      <c r="AE199" s="32"/>
      <c r="AF199" s="42"/>
      <c r="AG199" s="83"/>
    </row>
    <row r="200" spans="1:33" x14ac:dyDescent="0.25">
      <c r="A200" s="23"/>
      <c r="B200" s="24"/>
      <c r="C200" s="25"/>
      <c r="D200" s="27"/>
      <c r="E200" s="27"/>
      <c r="F200" s="28"/>
      <c r="G200" s="27"/>
      <c r="H200" s="27"/>
      <c r="I200" s="172"/>
      <c r="J200" s="214"/>
      <c r="K200" s="27"/>
      <c r="L200" s="172"/>
      <c r="M200" s="32"/>
      <c r="N200" s="32"/>
      <c r="O200" s="33"/>
      <c r="P200" s="33"/>
      <c r="Q200" s="32"/>
      <c r="R200" s="42"/>
      <c r="S200" s="42"/>
      <c r="T200" s="42"/>
      <c r="U200" s="32"/>
      <c r="V200" s="33"/>
      <c r="W200" s="33"/>
      <c r="X200" s="32"/>
      <c r="Y200" s="32"/>
      <c r="Z200" s="32"/>
      <c r="AA200" s="33"/>
      <c r="AB200" s="33"/>
      <c r="AC200" s="33"/>
      <c r="AD200" s="32"/>
      <c r="AE200" s="32"/>
      <c r="AF200" s="42"/>
      <c r="AG200" s="83"/>
    </row>
    <row r="201" spans="1:33" x14ac:dyDescent="0.25">
      <c r="A201" s="23"/>
      <c r="B201" s="24"/>
      <c r="C201" s="25"/>
      <c r="D201" s="27"/>
      <c r="E201" s="27"/>
      <c r="F201" s="28"/>
      <c r="G201" s="27"/>
      <c r="H201" s="27"/>
      <c r="I201" s="172"/>
      <c r="J201" s="214"/>
      <c r="K201" s="27"/>
      <c r="L201" s="172"/>
      <c r="M201" s="32"/>
      <c r="N201" s="32"/>
      <c r="O201" s="33"/>
      <c r="P201" s="33"/>
      <c r="Q201" s="32"/>
      <c r="R201" s="42"/>
      <c r="S201" s="42"/>
      <c r="T201" s="42"/>
      <c r="U201" s="32"/>
      <c r="V201" s="33"/>
      <c r="W201" s="33"/>
      <c r="X201" s="32"/>
      <c r="Y201" s="32"/>
      <c r="Z201" s="32"/>
      <c r="AA201" s="33"/>
      <c r="AB201" s="33"/>
      <c r="AC201" s="33"/>
      <c r="AD201" s="32"/>
      <c r="AE201" s="32"/>
      <c r="AF201" s="42"/>
      <c r="AG201" s="83"/>
    </row>
    <row r="202" spans="1:33" x14ac:dyDescent="0.25">
      <c r="A202" s="23"/>
      <c r="B202" s="24"/>
      <c r="C202" s="25"/>
      <c r="D202" s="27"/>
      <c r="E202" s="27"/>
      <c r="F202" s="28"/>
      <c r="G202" s="27"/>
      <c r="H202" s="27"/>
      <c r="I202" s="172"/>
      <c r="J202" s="214"/>
      <c r="K202" s="27"/>
      <c r="L202" s="172"/>
      <c r="M202" s="32"/>
      <c r="N202" s="32"/>
      <c r="O202" s="33"/>
      <c r="P202" s="33"/>
      <c r="Q202" s="32"/>
      <c r="R202" s="42"/>
      <c r="S202" s="42"/>
      <c r="T202" s="42"/>
      <c r="U202" s="32"/>
      <c r="V202" s="33"/>
      <c r="W202" s="33"/>
      <c r="X202" s="32"/>
      <c r="Y202" s="32"/>
      <c r="Z202" s="32"/>
      <c r="AA202" s="33"/>
      <c r="AB202" s="33"/>
      <c r="AC202" s="33"/>
      <c r="AD202" s="32"/>
      <c r="AE202" s="32"/>
      <c r="AF202" s="42"/>
      <c r="AG202" s="83"/>
    </row>
    <row r="203" spans="1:33" x14ac:dyDescent="0.25">
      <c r="A203" s="23"/>
      <c r="B203" s="24"/>
      <c r="C203" s="25"/>
      <c r="D203" s="27"/>
      <c r="E203" s="27"/>
      <c r="F203" s="28"/>
      <c r="G203" s="27"/>
      <c r="H203" s="27"/>
      <c r="I203" s="172"/>
      <c r="J203" s="214"/>
      <c r="K203" s="27"/>
      <c r="L203" s="172"/>
      <c r="M203" s="32"/>
      <c r="N203" s="32"/>
      <c r="O203" s="33"/>
      <c r="P203" s="33"/>
      <c r="Q203" s="32"/>
      <c r="R203" s="42"/>
      <c r="S203" s="42"/>
      <c r="T203" s="42"/>
      <c r="U203" s="32"/>
      <c r="V203" s="33"/>
      <c r="W203" s="33"/>
      <c r="X203" s="32"/>
      <c r="Y203" s="32"/>
      <c r="Z203" s="32"/>
      <c r="AA203" s="33"/>
      <c r="AB203" s="33"/>
      <c r="AC203" s="33"/>
      <c r="AD203" s="32"/>
      <c r="AE203" s="32"/>
      <c r="AF203" s="42"/>
      <c r="AG203" s="83"/>
    </row>
    <row r="204" spans="1:33" x14ac:dyDescent="0.25">
      <c r="A204" s="23"/>
      <c r="B204" s="24"/>
      <c r="C204" s="25"/>
      <c r="D204" s="27"/>
      <c r="E204" s="27"/>
      <c r="F204" s="28"/>
      <c r="G204" s="27"/>
      <c r="H204" s="27"/>
      <c r="I204" s="172"/>
      <c r="J204" s="214"/>
      <c r="K204" s="27"/>
      <c r="L204" s="172"/>
      <c r="M204" s="32"/>
      <c r="N204" s="32"/>
      <c r="O204" s="33"/>
      <c r="P204" s="33"/>
      <c r="Q204" s="32"/>
      <c r="R204" s="42"/>
      <c r="S204" s="42"/>
      <c r="T204" s="42"/>
      <c r="U204" s="32"/>
      <c r="V204" s="33"/>
      <c r="W204" s="33"/>
      <c r="X204" s="32"/>
      <c r="Y204" s="32"/>
      <c r="Z204" s="32"/>
      <c r="AA204" s="33"/>
      <c r="AB204" s="33"/>
      <c r="AC204" s="33"/>
      <c r="AD204" s="32"/>
      <c r="AE204" s="32"/>
      <c r="AF204" s="42"/>
      <c r="AG204" s="83"/>
    </row>
    <row r="205" spans="1:33" x14ac:dyDescent="0.25">
      <c r="A205" s="23"/>
      <c r="B205" s="24"/>
      <c r="C205" s="25"/>
      <c r="D205" s="27"/>
      <c r="E205" s="27"/>
      <c r="F205" s="28"/>
      <c r="G205" s="27"/>
      <c r="H205" s="27"/>
      <c r="I205" s="172"/>
      <c r="J205" s="214"/>
      <c r="K205" s="27"/>
      <c r="L205" s="172"/>
      <c r="M205" s="32"/>
      <c r="N205" s="32"/>
      <c r="O205" s="33"/>
      <c r="P205" s="33"/>
      <c r="Q205" s="32"/>
      <c r="R205" s="42"/>
      <c r="S205" s="42"/>
      <c r="T205" s="42"/>
      <c r="U205" s="32"/>
      <c r="V205" s="33"/>
      <c r="W205" s="33"/>
      <c r="X205" s="32"/>
      <c r="Y205" s="32"/>
      <c r="Z205" s="32"/>
      <c r="AA205" s="33"/>
      <c r="AB205" s="33"/>
      <c r="AC205" s="33"/>
      <c r="AD205" s="32"/>
      <c r="AE205" s="32"/>
      <c r="AF205" s="42"/>
      <c r="AG205" s="83"/>
    </row>
    <row r="206" spans="1:33" x14ac:dyDescent="0.25">
      <c r="A206" s="23"/>
      <c r="B206" s="24"/>
      <c r="C206" s="25"/>
      <c r="D206" s="27"/>
      <c r="E206" s="27"/>
      <c r="F206" s="28"/>
      <c r="G206" s="27"/>
      <c r="H206" s="27"/>
      <c r="I206" s="172"/>
      <c r="J206" s="214"/>
      <c r="K206" s="27"/>
      <c r="L206" s="172"/>
      <c r="M206" s="32"/>
      <c r="N206" s="32"/>
      <c r="O206" s="33"/>
      <c r="P206" s="33"/>
      <c r="Q206" s="32"/>
      <c r="R206" s="42"/>
      <c r="S206" s="42"/>
      <c r="T206" s="42"/>
      <c r="U206" s="32"/>
      <c r="V206" s="33"/>
      <c r="W206" s="33"/>
      <c r="X206" s="32"/>
      <c r="Y206" s="32"/>
      <c r="Z206" s="32"/>
      <c r="AA206" s="33"/>
      <c r="AB206" s="33"/>
      <c r="AC206" s="33"/>
      <c r="AD206" s="32"/>
      <c r="AE206" s="32"/>
      <c r="AF206" s="42"/>
      <c r="AG206" s="83"/>
    </row>
    <row r="207" spans="1:33" x14ac:dyDescent="0.25">
      <c r="A207" s="23"/>
      <c r="B207" s="24"/>
      <c r="C207" s="25"/>
      <c r="D207" s="27"/>
      <c r="E207" s="27"/>
      <c r="F207" s="28"/>
      <c r="G207" s="27"/>
      <c r="H207" s="27"/>
      <c r="I207" s="172"/>
      <c r="J207" s="214"/>
      <c r="K207" s="27"/>
      <c r="L207" s="172"/>
      <c r="M207" s="32"/>
      <c r="N207" s="32"/>
      <c r="O207" s="33"/>
      <c r="P207" s="33"/>
      <c r="Q207" s="32"/>
      <c r="R207" s="42"/>
      <c r="S207" s="42"/>
      <c r="T207" s="42"/>
      <c r="U207" s="32"/>
      <c r="V207" s="33"/>
      <c r="W207" s="33"/>
      <c r="X207" s="32"/>
      <c r="Y207" s="32"/>
      <c r="Z207" s="32"/>
      <c r="AA207" s="33"/>
      <c r="AB207" s="33"/>
      <c r="AC207" s="33"/>
      <c r="AD207" s="32"/>
      <c r="AE207" s="32"/>
      <c r="AF207" s="42"/>
      <c r="AG207" s="83"/>
    </row>
    <row r="208" spans="1:33" x14ac:dyDescent="0.25">
      <c r="A208" s="23"/>
      <c r="B208" s="24"/>
      <c r="C208" s="25"/>
      <c r="D208" s="27"/>
      <c r="E208" s="27"/>
      <c r="F208" s="28"/>
      <c r="G208" s="27"/>
      <c r="H208" s="27"/>
      <c r="I208" s="172"/>
      <c r="J208" s="214"/>
      <c r="K208" s="27"/>
      <c r="L208" s="172"/>
      <c r="M208" s="32"/>
      <c r="N208" s="32"/>
      <c r="O208" s="33"/>
      <c r="P208" s="33"/>
      <c r="Q208" s="32"/>
      <c r="R208" s="42"/>
      <c r="S208" s="42"/>
      <c r="T208" s="42"/>
      <c r="U208" s="32"/>
      <c r="V208" s="33"/>
      <c r="W208" s="33"/>
      <c r="X208" s="32"/>
      <c r="Y208" s="32"/>
      <c r="Z208" s="32"/>
      <c r="AA208" s="33"/>
      <c r="AB208" s="33"/>
      <c r="AC208" s="33"/>
      <c r="AD208" s="32"/>
      <c r="AE208" s="32"/>
      <c r="AF208" s="42"/>
      <c r="AG208" s="83"/>
    </row>
    <row r="209" spans="1:33" x14ac:dyDescent="0.25">
      <c r="A209" s="23"/>
      <c r="B209" s="24"/>
      <c r="C209" s="25"/>
      <c r="D209" s="27"/>
      <c r="E209" s="27"/>
      <c r="F209" s="28"/>
      <c r="G209" s="27"/>
      <c r="H209" s="27"/>
      <c r="I209" s="172"/>
      <c r="J209" s="214"/>
      <c r="K209" s="27"/>
      <c r="L209" s="172"/>
      <c r="M209" s="32"/>
      <c r="N209" s="32"/>
      <c r="O209" s="33"/>
      <c r="P209" s="33"/>
      <c r="Q209" s="32"/>
      <c r="R209" s="42"/>
      <c r="S209" s="42"/>
      <c r="T209" s="42"/>
      <c r="U209" s="32"/>
      <c r="V209" s="33"/>
      <c r="W209" s="33"/>
      <c r="X209" s="32"/>
      <c r="Y209" s="32"/>
      <c r="Z209" s="32"/>
      <c r="AA209" s="33"/>
      <c r="AB209" s="33"/>
      <c r="AC209" s="33"/>
      <c r="AD209" s="32"/>
      <c r="AE209" s="32"/>
      <c r="AF209" s="42"/>
      <c r="AG209" s="83"/>
    </row>
    <row r="210" spans="1:33" x14ac:dyDescent="0.25">
      <c r="A210" s="23"/>
      <c r="B210" s="24"/>
      <c r="C210" s="25"/>
      <c r="D210" s="27"/>
      <c r="E210" s="27"/>
      <c r="F210" s="28"/>
      <c r="G210" s="27"/>
      <c r="H210" s="27"/>
      <c r="I210" s="172"/>
      <c r="J210" s="214"/>
      <c r="K210" s="27"/>
      <c r="L210" s="172"/>
      <c r="M210" s="32"/>
      <c r="N210" s="32"/>
      <c r="O210" s="33"/>
      <c r="P210" s="33"/>
      <c r="Q210" s="32"/>
      <c r="R210" s="42"/>
      <c r="S210" s="42"/>
      <c r="T210" s="42"/>
      <c r="U210" s="32"/>
      <c r="V210" s="33"/>
      <c r="W210" s="33"/>
      <c r="X210" s="32"/>
      <c r="Y210" s="32"/>
      <c r="Z210" s="32"/>
      <c r="AA210" s="33"/>
      <c r="AB210" s="33"/>
      <c r="AC210" s="33"/>
      <c r="AD210" s="32"/>
      <c r="AE210" s="32"/>
      <c r="AF210" s="42"/>
      <c r="AG210" s="83"/>
    </row>
    <row r="211" spans="1:33" x14ac:dyDescent="0.25">
      <c r="A211" s="23"/>
      <c r="B211" s="24"/>
      <c r="C211" s="25"/>
      <c r="D211" s="27"/>
      <c r="E211" s="27"/>
      <c r="F211" s="28"/>
      <c r="G211" s="27"/>
      <c r="H211" s="27"/>
      <c r="I211" s="172"/>
      <c r="J211" s="214"/>
      <c r="K211" s="27"/>
      <c r="L211" s="172"/>
      <c r="M211" s="32"/>
      <c r="N211" s="32"/>
      <c r="O211" s="33"/>
      <c r="P211" s="33"/>
      <c r="Q211" s="32"/>
      <c r="R211" s="42"/>
      <c r="S211" s="42"/>
      <c r="T211" s="42"/>
      <c r="U211" s="32"/>
      <c r="V211" s="33"/>
      <c r="W211" s="33"/>
      <c r="X211" s="32"/>
      <c r="Y211" s="32"/>
      <c r="Z211" s="32"/>
      <c r="AA211" s="33"/>
      <c r="AB211" s="33"/>
      <c r="AC211" s="33"/>
      <c r="AD211" s="32"/>
      <c r="AE211" s="32"/>
      <c r="AF211" s="42"/>
      <c r="AG211" s="83"/>
    </row>
    <row r="212" spans="1:33" x14ac:dyDescent="0.25">
      <c r="A212" s="23"/>
      <c r="B212" s="24"/>
      <c r="C212" s="25"/>
      <c r="D212" s="27"/>
      <c r="E212" s="27"/>
      <c r="F212" s="28"/>
      <c r="G212" s="27"/>
      <c r="H212" s="27"/>
      <c r="I212" s="172"/>
      <c r="J212" s="214"/>
      <c r="K212" s="27"/>
      <c r="L212" s="172"/>
      <c r="M212" s="32"/>
      <c r="N212" s="32"/>
      <c r="O212" s="33"/>
      <c r="P212" s="33"/>
      <c r="Q212" s="32"/>
      <c r="R212" s="42"/>
      <c r="S212" s="42"/>
      <c r="T212" s="42"/>
      <c r="U212" s="32"/>
      <c r="V212" s="33"/>
      <c r="W212" s="33"/>
      <c r="X212" s="32"/>
      <c r="Y212" s="32"/>
      <c r="Z212" s="32"/>
      <c r="AA212" s="33"/>
      <c r="AB212" s="33"/>
      <c r="AC212" s="33"/>
      <c r="AD212" s="32"/>
      <c r="AE212" s="32"/>
      <c r="AF212" s="42"/>
      <c r="AG212" s="83"/>
    </row>
    <row r="213" spans="1:33" x14ac:dyDescent="0.25">
      <c r="A213" s="23"/>
      <c r="B213" s="24"/>
      <c r="C213" s="25"/>
      <c r="D213" s="27"/>
      <c r="E213" s="27"/>
      <c r="F213" s="28"/>
      <c r="G213" s="27"/>
      <c r="H213" s="27"/>
      <c r="I213" s="172"/>
      <c r="J213" s="214"/>
      <c r="K213" s="27"/>
      <c r="L213" s="172"/>
      <c r="M213" s="32"/>
      <c r="N213" s="32"/>
      <c r="O213" s="33"/>
      <c r="P213" s="33"/>
      <c r="Q213" s="32"/>
      <c r="R213" s="42"/>
      <c r="S213" s="42"/>
      <c r="T213" s="42"/>
      <c r="U213" s="32"/>
      <c r="V213" s="33"/>
      <c r="W213" s="33"/>
      <c r="X213" s="32"/>
      <c r="Y213" s="32"/>
      <c r="Z213" s="32"/>
      <c r="AA213" s="33"/>
      <c r="AB213" s="33"/>
      <c r="AC213" s="33"/>
      <c r="AD213" s="32"/>
      <c r="AE213" s="32"/>
      <c r="AF213" s="42"/>
      <c r="AG213" s="83"/>
    </row>
    <row r="214" spans="1:33" x14ac:dyDescent="0.25">
      <c r="A214" s="23"/>
      <c r="B214" s="24"/>
      <c r="C214" s="25"/>
      <c r="D214" s="27"/>
      <c r="E214" s="27"/>
      <c r="F214" s="28"/>
      <c r="G214" s="27"/>
      <c r="H214" s="27"/>
      <c r="I214" s="172"/>
      <c r="J214" s="214"/>
      <c r="K214" s="27"/>
      <c r="L214" s="172"/>
      <c r="M214" s="32"/>
      <c r="N214" s="32"/>
      <c r="O214" s="33"/>
      <c r="P214" s="33"/>
      <c r="Q214" s="32"/>
      <c r="R214" s="42"/>
      <c r="S214" s="42"/>
      <c r="T214" s="42"/>
      <c r="U214" s="32"/>
      <c r="V214" s="33"/>
      <c r="W214" s="33"/>
      <c r="X214" s="32"/>
      <c r="Y214" s="32"/>
      <c r="Z214" s="32"/>
      <c r="AA214" s="33"/>
      <c r="AB214" s="33"/>
      <c r="AC214" s="33"/>
      <c r="AD214" s="32"/>
      <c r="AE214" s="32"/>
      <c r="AF214" s="42"/>
      <c r="AG214" s="83"/>
    </row>
    <row r="215" spans="1:33" x14ac:dyDescent="0.25">
      <c r="A215" s="23"/>
      <c r="B215" s="24"/>
      <c r="C215" s="25"/>
      <c r="D215" s="27"/>
      <c r="E215" s="27"/>
      <c r="F215" s="28"/>
      <c r="G215" s="27"/>
      <c r="H215" s="27"/>
      <c r="I215" s="172"/>
      <c r="J215" s="214"/>
      <c r="K215" s="27"/>
      <c r="L215" s="172"/>
      <c r="M215" s="32"/>
      <c r="N215" s="32"/>
      <c r="O215" s="33"/>
      <c r="P215" s="33"/>
      <c r="Q215" s="32"/>
      <c r="R215" s="42"/>
      <c r="S215" s="42"/>
      <c r="T215" s="42"/>
      <c r="U215" s="32"/>
      <c r="V215" s="33"/>
      <c r="W215" s="33"/>
      <c r="X215" s="32"/>
      <c r="Y215" s="32"/>
      <c r="Z215" s="32"/>
      <c r="AA215" s="33"/>
      <c r="AB215" s="33"/>
      <c r="AC215" s="33"/>
      <c r="AD215" s="32"/>
      <c r="AE215" s="32"/>
      <c r="AF215" s="42"/>
      <c r="AG215" s="83"/>
    </row>
    <row r="216" spans="1:33" x14ac:dyDescent="0.25">
      <c r="A216" s="23"/>
      <c r="B216" s="24"/>
      <c r="C216" s="25"/>
      <c r="D216" s="27"/>
      <c r="E216" s="27"/>
      <c r="F216" s="28"/>
      <c r="G216" s="27"/>
      <c r="H216" s="27"/>
      <c r="I216" s="172"/>
      <c r="J216" s="214"/>
      <c r="K216" s="27"/>
      <c r="L216" s="172"/>
      <c r="M216" s="32"/>
      <c r="N216" s="32"/>
      <c r="O216" s="33"/>
      <c r="P216" s="33"/>
      <c r="Q216" s="32"/>
      <c r="R216" s="42"/>
      <c r="S216" s="42"/>
      <c r="T216" s="42"/>
      <c r="U216" s="32"/>
      <c r="V216" s="33"/>
      <c r="W216" s="33"/>
      <c r="X216" s="32"/>
      <c r="Y216" s="32"/>
      <c r="Z216" s="32"/>
      <c r="AA216" s="33"/>
      <c r="AB216" s="33"/>
      <c r="AC216" s="33"/>
      <c r="AD216" s="32"/>
      <c r="AE216" s="32"/>
      <c r="AF216" s="42"/>
      <c r="AG216" s="83"/>
    </row>
    <row r="217" spans="1:33" x14ac:dyDescent="0.25">
      <c r="A217" s="23"/>
      <c r="B217" s="24"/>
      <c r="C217" s="25"/>
      <c r="D217" s="27"/>
      <c r="E217" s="27"/>
      <c r="F217" s="28"/>
      <c r="G217" s="27"/>
      <c r="H217" s="27"/>
      <c r="I217" s="172"/>
      <c r="J217" s="214"/>
      <c r="K217" s="27"/>
      <c r="L217" s="172"/>
      <c r="M217" s="32"/>
      <c r="N217" s="32"/>
      <c r="O217" s="33"/>
      <c r="P217" s="33"/>
      <c r="Q217" s="32"/>
      <c r="R217" s="42"/>
      <c r="S217" s="42"/>
      <c r="T217" s="42"/>
      <c r="U217" s="32"/>
      <c r="V217" s="33"/>
      <c r="W217" s="33"/>
      <c r="X217" s="32"/>
      <c r="Y217" s="32"/>
      <c r="Z217" s="32"/>
      <c r="AA217" s="33"/>
      <c r="AB217" s="33"/>
      <c r="AC217" s="33"/>
      <c r="AD217" s="32"/>
      <c r="AE217" s="32"/>
      <c r="AF217" s="42"/>
      <c r="AG217" s="83"/>
    </row>
    <row r="218" spans="1:33" x14ac:dyDescent="0.25">
      <c r="A218" s="23"/>
      <c r="B218" s="24"/>
      <c r="C218" s="25"/>
      <c r="D218" s="27"/>
      <c r="E218" s="27"/>
      <c r="F218" s="28"/>
      <c r="G218" s="27"/>
      <c r="H218" s="27"/>
      <c r="I218" s="172"/>
      <c r="J218" s="214"/>
      <c r="K218" s="27"/>
      <c r="L218" s="172"/>
      <c r="M218" s="32"/>
      <c r="N218" s="32"/>
      <c r="O218" s="33"/>
      <c r="P218" s="33"/>
      <c r="Q218" s="32"/>
      <c r="R218" s="42"/>
      <c r="S218" s="42"/>
      <c r="T218" s="42"/>
      <c r="U218" s="32"/>
      <c r="V218" s="33"/>
      <c r="W218" s="33"/>
      <c r="X218" s="32"/>
      <c r="Y218" s="32"/>
      <c r="Z218" s="32"/>
      <c r="AA218" s="33"/>
      <c r="AB218" s="33"/>
      <c r="AC218" s="33"/>
      <c r="AD218" s="32"/>
      <c r="AE218" s="32"/>
      <c r="AF218" s="42"/>
      <c r="AG218" s="83"/>
    </row>
    <row r="219" spans="1:33" x14ac:dyDescent="0.25">
      <c r="A219" s="23"/>
      <c r="B219" s="24"/>
      <c r="C219" s="25"/>
      <c r="D219" s="27"/>
      <c r="E219" s="27"/>
      <c r="F219" s="28"/>
      <c r="G219" s="27"/>
      <c r="H219" s="27"/>
      <c r="I219" s="172"/>
      <c r="J219" s="214"/>
      <c r="K219" s="27"/>
      <c r="L219" s="172"/>
      <c r="M219" s="32"/>
      <c r="N219" s="32"/>
      <c r="O219" s="33"/>
      <c r="P219" s="33"/>
      <c r="Q219" s="32"/>
      <c r="R219" s="42"/>
      <c r="S219" s="42"/>
      <c r="T219" s="42"/>
      <c r="U219" s="32"/>
      <c r="V219" s="33"/>
      <c r="W219" s="33"/>
      <c r="X219" s="32"/>
      <c r="Y219" s="32"/>
      <c r="Z219" s="32"/>
      <c r="AA219" s="33"/>
      <c r="AB219" s="33"/>
      <c r="AC219" s="33"/>
      <c r="AD219" s="32"/>
      <c r="AE219" s="32"/>
      <c r="AF219" s="42"/>
      <c r="AG219" s="83"/>
    </row>
    <row r="220" spans="1:33" x14ac:dyDescent="0.25">
      <c r="A220" s="23"/>
      <c r="B220" s="24"/>
      <c r="C220" s="25"/>
      <c r="D220" s="27"/>
      <c r="E220" s="27"/>
      <c r="F220" s="28"/>
      <c r="G220" s="27"/>
      <c r="H220" s="27"/>
      <c r="I220" s="172"/>
      <c r="J220" s="214"/>
      <c r="K220" s="27"/>
      <c r="L220" s="172"/>
      <c r="M220" s="32"/>
      <c r="N220" s="32"/>
      <c r="O220" s="33"/>
      <c r="P220" s="33"/>
      <c r="Q220" s="32"/>
      <c r="R220" s="42"/>
      <c r="S220" s="42"/>
      <c r="T220" s="42"/>
      <c r="U220" s="32"/>
      <c r="V220" s="33"/>
      <c r="W220" s="33"/>
      <c r="X220" s="32"/>
      <c r="Y220" s="32"/>
      <c r="Z220" s="32"/>
      <c r="AA220" s="33"/>
      <c r="AB220" s="33"/>
      <c r="AC220" s="33"/>
      <c r="AD220" s="32"/>
      <c r="AE220" s="32"/>
      <c r="AF220" s="42"/>
      <c r="AG220" s="83"/>
    </row>
    <row r="221" spans="1:33" x14ac:dyDescent="0.25">
      <c r="A221" s="23"/>
      <c r="B221" s="24"/>
      <c r="C221" s="25"/>
      <c r="D221" s="27"/>
      <c r="E221" s="27"/>
      <c r="F221" s="28"/>
      <c r="G221" s="27"/>
      <c r="H221" s="27"/>
      <c r="I221" s="172"/>
      <c r="J221" s="214"/>
      <c r="K221" s="27"/>
      <c r="L221" s="172"/>
      <c r="M221" s="32"/>
      <c r="N221" s="32"/>
      <c r="O221" s="33"/>
      <c r="P221" s="33"/>
      <c r="Q221" s="32"/>
      <c r="R221" s="42"/>
      <c r="S221" s="42"/>
      <c r="T221" s="42"/>
      <c r="U221" s="32"/>
      <c r="V221" s="33"/>
      <c r="W221" s="33"/>
      <c r="X221" s="32"/>
      <c r="Y221" s="32"/>
      <c r="Z221" s="32"/>
      <c r="AA221" s="33"/>
      <c r="AB221" s="33"/>
      <c r="AC221" s="33"/>
      <c r="AD221" s="32"/>
      <c r="AE221" s="32"/>
      <c r="AF221" s="42"/>
      <c r="AG221" s="83"/>
    </row>
    <row r="222" spans="1:33" x14ac:dyDescent="0.25">
      <c r="A222" s="23"/>
      <c r="B222" s="24"/>
      <c r="C222" s="25"/>
      <c r="D222" s="27"/>
      <c r="E222" s="27"/>
      <c r="F222" s="28"/>
      <c r="G222" s="27"/>
      <c r="H222" s="27"/>
      <c r="I222" s="172"/>
      <c r="J222" s="214"/>
      <c r="K222" s="27"/>
      <c r="L222" s="172"/>
      <c r="M222" s="32"/>
      <c r="N222" s="32"/>
      <c r="O222" s="33"/>
      <c r="P222" s="33"/>
      <c r="Q222" s="32"/>
      <c r="R222" s="42"/>
      <c r="S222" s="42"/>
      <c r="T222" s="42"/>
      <c r="U222" s="32"/>
      <c r="V222" s="33"/>
      <c r="W222" s="33"/>
      <c r="X222" s="32"/>
      <c r="Y222" s="32"/>
      <c r="Z222" s="32"/>
      <c r="AA222" s="33"/>
      <c r="AB222" s="33"/>
      <c r="AC222" s="33"/>
      <c r="AD222" s="32"/>
      <c r="AE222" s="32"/>
      <c r="AF222" s="42"/>
      <c r="AG222" s="83"/>
    </row>
    <row r="223" spans="1:33" x14ac:dyDescent="0.25">
      <c r="A223" s="23"/>
      <c r="B223" s="24"/>
      <c r="C223" s="25"/>
      <c r="D223" s="27"/>
      <c r="E223" s="27"/>
      <c r="F223" s="28"/>
      <c r="G223" s="27"/>
      <c r="H223" s="27"/>
      <c r="I223" s="172"/>
      <c r="J223" s="214"/>
      <c r="K223" s="27"/>
      <c r="L223" s="172"/>
      <c r="M223" s="32"/>
      <c r="N223" s="32"/>
      <c r="O223" s="33"/>
      <c r="P223" s="33"/>
      <c r="Q223" s="32"/>
      <c r="R223" s="42"/>
      <c r="S223" s="42"/>
      <c r="T223" s="42"/>
      <c r="U223" s="32"/>
      <c r="V223" s="33"/>
      <c r="W223" s="33"/>
      <c r="X223" s="32"/>
      <c r="Y223" s="32"/>
      <c r="Z223" s="32"/>
      <c r="AA223" s="33"/>
      <c r="AB223" s="33"/>
      <c r="AC223" s="33"/>
      <c r="AD223" s="32"/>
      <c r="AE223" s="32"/>
      <c r="AF223" s="42"/>
      <c r="AG223" s="83"/>
    </row>
    <row r="224" spans="1:33" x14ac:dyDescent="0.25">
      <c r="A224" s="23"/>
      <c r="B224" s="24"/>
      <c r="C224" s="25"/>
      <c r="D224" s="27"/>
      <c r="E224" s="27"/>
      <c r="F224" s="28"/>
      <c r="G224" s="27"/>
      <c r="H224" s="27"/>
      <c r="I224" s="172"/>
      <c r="J224" s="214"/>
      <c r="K224" s="27"/>
      <c r="L224" s="172"/>
      <c r="M224" s="32"/>
      <c r="N224" s="32"/>
      <c r="O224" s="33"/>
      <c r="P224" s="33"/>
      <c r="Q224" s="32"/>
      <c r="R224" s="42"/>
      <c r="S224" s="42"/>
      <c r="T224" s="42"/>
      <c r="U224" s="32"/>
      <c r="V224" s="33"/>
      <c r="W224" s="33"/>
      <c r="X224" s="32"/>
      <c r="Y224" s="32"/>
      <c r="Z224" s="32"/>
      <c r="AA224" s="33"/>
      <c r="AB224" s="33"/>
      <c r="AC224" s="33"/>
      <c r="AD224" s="32"/>
      <c r="AE224" s="32"/>
      <c r="AF224" s="42"/>
      <c r="AG224" s="83"/>
    </row>
    <row r="225" spans="1:33" x14ac:dyDescent="0.25">
      <c r="A225" s="23"/>
      <c r="B225" s="24"/>
      <c r="C225" s="25"/>
      <c r="D225" s="27"/>
      <c r="E225" s="27"/>
      <c r="F225" s="28"/>
      <c r="G225" s="27"/>
      <c r="H225" s="27"/>
      <c r="I225" s="172"/>
      <c r="J225" s="214"/>
      <c r="K225" s="27"/>
      <c r="L225" s="172"/>
      <c r="M225" s="32"/>
      <c r="N225" s="32"/>
      <c r="O225" s="33"/>
      <c r="P225" s="33"/>
      <c r="Q225" s="32"/>
      <c r="R225" s="42"/>
      <c r="S225" s="42"/>
      <c r="T225" s="42"/>
      <c r="U225" s="32"/>
      <c r="V225" s="33"/>
      <c r="W225" s="33"/>
      <c r="X225" s="32"/>
      <c r="Y225" s="32"/>
      <c r="Z225" s="32"/>
      <c r="AA225" s="33"/>
      <c r="AB225" s="33"/>
      <c r="AC225" s="33"/>
      <c r="AD225" s="32"/>
      <c r="AE225" s="32"/>
      <c r="AF225" s="42"/>
      <c r="AG225" s="83"/>
    </row>
    <row r="226" spans="1:33" x14ac:dyDescent="0.25">
      <c r="A226" s="23"/>
      <c r="B226" s="24"/>
      <c r="C226" s="25"/>
      <c r="D226" s="27"/>
      <c r="E226" s="27"/>
      <c r="F226" s="28"/>
      <c r="G226" s="27"/>
      <c r="H226" s="27"/>
      <c r="I226" s="172"/>
      <c r="J226" s="214"/>
      <c r="K226" s="27"/>
      <c r="L226" s="172"/>
      <c r="M226" s="32"/>
      <c r="N226" s="32"/>
      <c r="O226" s="33"/>
      <c r="P226" s="33"/>
      <c r="Q226" s="32"/>
      <c r="R226" s="42"/>
      <c r="S226" s="42"/>
      <c r="T226" s="42"/>
      <c r="U226" s="32"/>
      <c r="V226" s="33"/>
      <c r="W226" s="33"/>
      <c r="X226" s="32"/>
      <c r="Y226" s="32"/>
      <c r="Z226" s="32"/>
      <c r="AA226" s="33"/>
      <c r="AB226" s="33"/>
      <c r="AC226" s="33"/>
      <c r="AD226" s="32"/>
      <c r="AE226" s="32"/>
      <c r="AF226" s="42"/>
      <c r="AG226" s="83"/>
    </row>
    <row r="227" spans="1:33" x14ac:dyDescent="0.25">
      <c r="A227" s="23"/>
      <c r="B227" s="24"/>
      <c r="C227" s="25"/>
      <c r="D227" s="27"/>
      <c r="E227" s="27"/>
      <c r="F227" s="28"/>
      <c r="G227" s="27"/>
      <c r="H227" s="27"/>
      <c r="I227" s="172"/>
      <c r="J227" s="214"/>
      <c r="K227" s="27"/>
      <c r="L227" s="172"/>
      <c r="M227" s="32"/>
      <c r="N227" s="32"/>
      <c r="O227" s="33"/>
      <c r="P227" s="33"/>
      <c r="Q227" s="32"/>
      <c r="R227" s="42"/>
      <c r="S227" s="42"/>
      <c r="T227" s="42"/>
      <c r="U227" s="32"/>
      <c r="V227" s="33"/>
      <c r="W227" s="33"/>
      <c r="X227" s="32"/>
      <c r="Y227" s="32"/>
      <c r="Z227" s="32"/>
      <c r="AA227" s="33"/>
      <c r="AB227" s="33"/>
      <c r="AC227" s="33"/>
      <c r="AD227" s="32"/>
      <c r="AE227" s="32"/>
      <c r="AF227" s="42"/>
      <c r="AG227" s="83"/>
    </row>
    <row r="228" spans="1:33" x14ac:dyDescent="0.25">
      <c r="A228" s="23"/>
      <c r="B228" s="24"/>
      <c r="C228" s="25"/>
      <c r="D228" s="27"/>
      <c r="E228" s="27"/>
      <c r="F228" s="28"/>
      <c r="G228" s="27"/>
      <c r="H228" s="27"/>
      <c r="I228" s="172"/>
      <c r="J228" s="214"/>
      <c r="K228" s="27"/>
      <c r="L228" s="172"/>
      <c r="M228" s="32"/>
      <c r="N228" s="32"/>
      <c r="O228" s="33"/>
      <c r="P228" s="33"/>
      <c r="Q228" s="32"/>
      <c r="R228" s="42"/>
      <c r="S228" s="42"/>
      <c r="T228" s="42"/>
      <c r="U228" s="32"/>
      <c r="V228" s="33"/>
      <c r="W228" s="33"/>
      <c r="X228" s="32"/>
      <c r="Y228" s="32"/>
      <c r="Z228" s="32"/>
      <c r="AA228" s="33"/>
      <c r="AB228" s="33"/>
      <c r="AC228" s="33"/>
      <c r="AD228" s="32"/>
      <c r="AE228" s="32"/>
      <c r="AF228" s="42"/>
      <c r="AG228" s="83"/>
    </row>
    <row r="229" spans="1:33" x14ac:dyDescent="0.25">
      <c r="A229" s="23"/>
      <c r="B229" s="24"/>
      <c r="C229" s="25"/>
      <c r="D229" s="27"/>
      <c r="E229" s="27"/>
      <c r="F229" s="28"/>
      <c r="G229" s="27"/>
      <c r="H229" s="27"/>
      <c r="I229" s="172"/>
      <c r="J229" s="214"/>
      <c r="K229" s="27"/>
      <c r="L229" s="172"/>
      <c r="M229" s="32"/>
      <c r="N229" s="32"/>
      <c r="O229" s="33"/>
      <c r="P229" s="33"/>
      <c r="Q229" s="32"/>
      <c r="R229" s="42"/>
      <c r="S229" s="42"/>
      <c r="T229" s="42"/>
      <c r="U229" s="32"/>
      <c r="V229" s="33"/>
      <c r="W229" s="33"/>
      <c r="X229" s="32"/>
      <c r="Y229" s="32"/>
      <c r="Z229" s="32"/>
      <c r="AA229" s="33"/>
      <c r="AB229" s="33"/>
      <c r="AC229" s="33"/>
      <c r="AD229" s="32"/>
      <c r="AE229" s="32"/>
      <c r="AF229" s="42"/>
      <c r="AG229" s="83"/>
    </row>
    <row r="230" spans="1:33" x14ac:dyDescent="0.25">
      <c r="A230" s="23"/>
      <c r="B230" s="24"/>
      <c r="C230" s="25"/>
      <c r="D230" s="27"/>
      <c r="E230" s="27"/>
      <c r="F230" s="28"/>
      <c r="G230" s="27"/>
      <c r="H230" s="27"/>
      <c r="I230" s="172"/>
      <c r="J230" s="214"/>
      <c r="K230" s="27"/>
      <c r="L230" s="172"/>
      <c r="M230" s="32"/>
      <c r="N230" s="32"/>
      <c r="O230" s="33"/>
      <c r="P230" s="33"/>
      <c r="Q230" s="32"/>
      <c r="R230" s="42"/>
      <c r="S230" s="42"/>
      <c r="T230" s="42"/>
      <c r="U230" s="32"/>
      <c r="V230" s="33"/>
      <c r="W230" s="33"/>
      <c r="X230" s="32"/>
      <c r="Y230" s="32"/>
      <c r="Z230" s="32"/>
      <c r="AA230" s="33"/>
      <c r="AB230" s="33"/>
      <c r="AC230" s="33"/>
      <c r="AD230" s="32"/>
      <c r="AE230" s="32"/>
      <c r="AF230" s="42"/>
      <c r="AG230" s="83"/>
    </row>
    <row r="231" spans="1:33" x14ac:dyDescent="0.25">
      <c r="A231" s="23"/>
      <c r="B231" s="24"/>
      <c r="C231" s="25"/>
      <c r="D231" s="27"/>
      <c r="E231" s="27"/>
      <c r="F231" s="28"/>
      <c r="G231" s="27"/>
      <c r="H231" s="27"/>
      <c r="I231" s="172"/>
      <c r="J231" s="214"/>
      <c r="K231" s="27"/>
      <c r="L231" s="172"/>
      <c r="M231" s="32"/>
      <c r="N231" s="32"/>
      <c r="O231" s="33"/>
      <c r="P231" s="33"/>
      <c r="Q231" s="32"/>
      <c r="R231" s="42"/>
      <c r="S231" s="42"/>
      <c r="T231" s="42"/>
      <c r="U231" s="32"/>
      <c r="V231" s="33"/>
      <c r="W231" s="33"/>
      <c r="X231" s="32"/>
      <c r="Y231" s="32"/>
      <c r="Z231" s="32"/>
      <c r="AA231" s="33"/>
      <c r="AB231" s="33"/>
      <c r="AC231" s="33"/>
      <c r="AD231" s="32"/>
      <c r="AE231" s="32"/>
      <c r="AF231" s="42"/>
      <c r="AG231" s="83"/>
    </row>
    <row r="232" spans="1:33" x14ac:dyDescent="0.25">
      <c r="A232" s="23"/>
      <c r="B232" s="24"/>
      <c r="C232" s="25"/>
      <c r="D232" s="27"/>
      <c r="E232" s="27"/>
      <c r="F232" s="28"/>
      <c r="G232" s="27"/>
      <c r="H232" s="27"/>
      <c r="I232" s="172"/>
      <c r="J232" s="214"/>
      <c r="K232" s="27"/>
      <c r="L232" s="172"/>
      <c r="M232" s="32"/>
      <c r="N232" s="32"/>
      <c r="O232" s="33"/>
      <c r="P232" s="33"/>
      <c r="Q232" s="32"/>
      <c r="R232" s="42"/>
      <c r="S232" s="42"/>
      <c r="T232" s="42"/>
      <c r="U232" s="32"/>
      <c r="V232" s="33"/>
      <c r="W232" s="33"/>
      <c r="X232" s="32"/>
      <c r="Y232" s="32"/>
      <c r="Z232" s="32"/>
      <c r="AA232" s="33"/>
      <c r="AB232" s="33"/>
      <c r="AC232" s="33"/>
      <c r="AD232" s="32"/>
      <c r="AE232" s="32"/>
      <c r="AF232" s="42"/>
      <c r="AG232" s="83"/>
    </row>
    <row r="233" spans="1:33" x14ac:dyDescent="0.25">
      <c r="A233" s="23"/>
      <c r="B233" s="24"/>
      <c r="C233" s="25"/>
      <c r="D233" s="27"/>
      <c r="E233" s="27"/>
      <c r="F233" s="28"/>
      <c r="G233" s="27"/>
      <c r="H233" s="27"/>
      <c r="I233" s="172"/>
      <c r="J233" s="214"/>
      <c r="K233" s="27"/>
      <c r="L233" s="172"/>
      <c r="M233" s="32"/>
      <c r="N233" s="32"/>
      <c r="O233" s="33"/>
      <c r="P233" s="33"/>
      <c r="Q233" s="32"/>
      <c r="R233" s="42"/>
      <c r="S233" s="42"/>
      <c r="T233" s="42"/>
      <c r="U233" s="32"/>
      <c r="V233" s="33"/>
      <c r="W233" s="33"/>
      <c r="X233" s="32"/>
      <c r="Y233" s="32"/>
      <c r="Z233" s="32"/>
      <c r="AA233" s="33"/>
      <c r="AB233" s="33"/>
      <c r="AC233" s="33"/>
      <c r="AD233" s="32"/>
      <c r="AE233" s="32"/>
      <c r="AF233" s="42"/>
      <c r="AG233" s="83"/>
    </row>
    <row r="234" spans="1:33" x14ac:dyDescent="0.25">
      <c r="A234" s="23"/>
      <c r="B234" s="24"/>
      <c r="C234" s="25"/>
      <c r="D234" s="27"/>
      <c r="E234" s="27"/>
      <c r="F234" s="28"/>
      <c r="G234" s="27"/>
      <c r="H234" s="27"/>
      <c r="I234" s="172"/>
      <c r="J234" s="214"/>
      <c r="K234" s="27"/>
      <c r="L234" s="172"/>
      <c r="M234" s="32"/>
      <c r="N234" s="32"/>
      <c r="O234" s="33"/>
      <c r="P234" s="33"/>
      <c r="Q234" s="32"/>
      <c r="R234" s="42"/>
      <c r="S234" s="42"/>
      <c r="T234" s="42"/>
      <c r="U234" s="32"/>
      <c r="V234" s="33"/>
      <c r="W234" s="33"/>
      <c r="X234" s="32"/>
      <c r="Y234" s="32"/>
      <c r="Z234" s="32"/>
      <c r="AA234" s="33"/>
      <c r="AB234" s="33"/>
      <c r="AC234" s="33"/>
      <c r="AD234" s="32"/>
      <c r="AE234" s="32"/>
      <c r="AF234" s="42"/>
      <c r="AG234" s="83"/>
    </row>
    <row r="235" spans="1:33" x14ac:dyDescent="0.25">
      <c r="A235" s="23"/>
      <c r="B235" s="24"/>
      <c r="C235" s="25"/>
      <c r="D235" s="27"/>
      <c r="E235" s="27"/>
      <c r="F235" s="28"/>
      <c r="G235" s="27"/>
      <c r="H235" s="27"/>
      <c r="I235" s="172"/>
      <c r="J235" s="214"/>
      <c r="K235" s="27"/>
      <c r="L235" s="172"/>
      <c r="M235" s="32"/>
      <c r="N235" s="32"/>
      <c r="O235" s="33"/>
      <c r="P235" s="33"/>
      <c r="Q235" s="32"/>
      <c r="R235" s="42"/>
      <c r="S235" s="42"/>
      <c r="T235" s="42"/>
      <c r="U235" s="32"/>
      <c r="V235" s="33"/>
      <c r="W235" s="33"/>
      <c r="X235" s="32"/>
      <c r="Y235" s="32"/>
      <c r="Z235" s="32"/>
      <c r="AA235" s="33"/>
      <c r="AB235" s="33"/>
      <c r="AC235" s="33"/>
      <c r="AD235" s="32"/>
      <c r="AE235" s="32"/>
      <c r="AF235" s="42"/>
      <c r="AG235" s="83"/>
    </row>
    <row r="236" spans="1:33" x14ac:dyDescent="0.25">
      <c r="A236" s="23"/>
      <c r="B236" s="24"/>
      <c r="C236" s="25"/>
      <c r="D236" s="27"/>
      <c r="E236" s="27"/>
      <c r="F236" s="28"/>
      <c r="G236" s="27"/>
      <c r="H236" s="27"/>
      <c r="I236" s="172"/>
      <c r="J236" s="214"/>
      <c r="K236" s="27"/>
      <c r="L236" s="172"/>
      <c r="M236" s="32"/>
      <c r="N236" s="32"/>
      <c r="O236" s="33"/>
      <c r="P236" s="33"/>
      <c r="Q236" s="32"/>
      <c r="R236" s="42"/>
      <c r="S236" s="42"/>
      <c r="T236" s="42"/>
      <c r="U236" s="32"/>
      <c r="V236" s="33"/>
      <c r="W236" s="33"/>
      <c r="X236" s="32"/>
      <c r="Y236" s="32"/>
      <c r="Z236" s="32"/>
      <c r="AA236" s="33"/>
      <c r="AB236" s="33"/>
      <c r="AC236" s="33"/>
      <c r="AD236" s="32"/>
      <c r="AE236" s="32"/>
      <c r="AF236" s="42"/>
      <c r="AG236" s="83"/>
    </row>
    <row r="237" spans="1:33" x14ac:dyDescent="0.25">
      <c r="A237" s="23"/>
      <c r="B237" s="24"/>
      <c r="C237" s="25"/>
      <c r="D237" s="27"/>
      <c r="E237" s="27"/>
      <c r="F237" s="28"/>
      <c r="G237" s="27"/>
      <c r="H237" s="27"/>
      <c r="I237" s="172"/>
      <c r="J237" s="214"/>
      <c r="K237" s="27"/>
      <c r="L237" s="172"/>
      <c r="M237" s="32"/>
      <c r="N237" s="32"/>
      <c r="O237" s="33"/>
      <c r="P237" s="33"/>
      <c r="Q237" s="32"/>
      <c r="R237" s="42"/>
      <c r="S237" s="42"/>
      <c r="T237" s="42"/>
      <c r="U237" s="32"/>
      <c r="V237" s="33"/>
      <c r="W237" s="33"/>
      <c r="X237" s="32"/>
      <c r="Y237" s="32"/>
      <c r="Z237" s="32"/>
      <c r="AA237" s="33"/>
      <c r="AB237" s="33"/>
      <c r="AC237" s="33"/>
      <c r="AD237" s="32"/>
      <c r="AE237" s="32"/>
      <c r="AF237" s="42"/>
      <c r="AG237" s="5"/>
    </row>
    <row r="238" spans="1:33" x14ac:dyDescent="0.25">
      <c r="A238" s="23"/>
      <c r="B238" s="24"/>
      <c r="C238" s="25"/>
      <c r="D238" s="27"/>
      <c r="E238" s="27"/>
      <c r="F238" s="28"/>
      <c r="G238" s="27"/>
      <c r="H238" s="27"/>
      <c r="I238" s="172"/>
      <c r="J238" s="214"/>
      <c r="K238" s="27"/>
      <c r="L238" s="172"/>
      <c r="M238" s="32"/>
      <c r="N238" s="32"/>
      <c r="O238" s="33"/>
      <c r="P238" s="33"/>
      <c r="Q238" s="32"/>
      <c r="R238" s="42"/>
      <c r="S238" s="42"/>
      <c r="T238" s="42"/>
      <c r="U238" s="32"/>
      <c r="V238" s="33"/>
      <c r="W238" s="33"/>
      <c r="X238" s="32"/>
      <c r="Y238" s="32"/>
      <c r="Z238" s="32"/>
      <c r="AA238" s="33"/>
      <c r="AB238" s="33"/>
      <c r="AC238" s="33"/>
      <c r="AD238" s="32"/>
      <c r="AE238" s="32"/>
      <c r="AF238" s="42"/>
      <c r="AG238" s="5"/>
    </row>
    <row r="239" spans="1:33" x14ac:dyDescent="0.25">
      <c r="A239" s="23"/>
      <c r="B239" s="24"/>
      <c r="C239" s="25"/>
      <c r="D239" s="27"/>
      <c r="E239" s="27"/>
      <c r="F239" s="28"/>
      <c r="G239" s="27"/>
      <c r="H239" s="27"/>
      <c r="I239" s="172"/>
      <c r="J239" s="214"/>
      <c r="K239" s="27"/>
      <c r="L239" s="172"/>
      <c r="M239" s="32"/>
      <c r="N239" s="32"/>
      <c r="O239" s="33"/>
      <c r="P239" s="33"/>
      <c r="Q239" s="32"/>
      <c r="R239" s="42"/>
      <c r="S239" s="42"/>
      <c r="T239" s="42"/>
      <c r="U239" s="32"/>
      <c r="V239" s="33"/>
      <c r="W239" s="33"/>
      <c r="X239" s="32"/>
      <c r="Y239" s="32"/>
      <c r="Z239" s="32"/>
      <c r="AA239" s="33"/>
      <c r="AB239" s="33"/>
      <c r="AC239" s="33"/>
      <c r="AD239" s="32"/>
      <c r="AE239" s="32"/>
      <c r="AF239" s="42"/>
      <c r="AG239" s="5"/>
    </row>
    <row r="240" spans="1:33" x14ac:dyDescent="0.25">
      <c r="A240" s="23"/>
      <c r="B240" s="24"/>
      <c r="C240" s="25"/>
      <c r="D240" s="27"/>
      <c r="E240" s="27"/>
      <c r="F240" s="28"/>
      <c r="G240" s="27"/>
      <c r="H240" s="27"/>
      <c r="I240" s="172"/>
      <c r="J240" s="214"/>
      <c r="K240" s="27"/>
      <c r="L240" s="172"/>
      <c r="M240" s="32"/>
      <c r="N240" s="32"/>
      <c r="O240" s="33"/>
      <c r="P240" s="33"/>
      <c r="Q240" s="32"/>
      <c r="R240" s="42"/>
      <c r="S240" s="42"/>
      <c r="T240" s="42"/>
      <c r="U240" s="32"/>
      <c r="V240" s="33"/>
      <c r="W240" s="33"/>
      <c r="X240" s="32"/>
      <c r="Y240" s="32"/>
      <c r="Z240" s="32"/>
      <c r="AA240" s="33"/>
      <c r="AB240" s="33"/>
      <c r="AC240" s="33"/>
      <c r="AD240" s="32"/>
      <c r="AE240" s="32"/>
      <c r="AF240" s="42"/>
      <c r="AG240" s="5"/>
    </row>
    <row r="241" spans="1:33" x14ac:dyDescent="0.25">
      <c r="A241" s="23"/>
      <c r="B241" s="24"/>
      <c r="C241" s="25"/>
      <c r="D241" s="27"/>
      <c r="E241" s="27"/>
      <c r="F241" s="28"/>
      <c r="G241" s="27"/>
      <c r="H241" s="27"/>
      <c r="I241" s="172"/>
      <c r="J241" s="214"/>
      <c r="K241" s="27"/>
      <c r="L241" s="172"/>
      <c r="M241" s="32"/>
      <c r="N241" s="32"/>
      <c r="O241" s="33"/>
      <c r="P241" s="33"/>
      <c r="Q241" s="32"/>
      <c r="R241" s="42"/>
      <c r="S241" s="42"/>
      <c r="T241" s="42"/>
      <c r="U241" s="32"/>
      <c r="V241" s="33"/>
      <c r="W241" s="33"/>
      <c r="X241" s="32"/>
      <c r="Y241" s="32"/>
      <c r="Z241" s="32"/>
      <c r="AA241" s="33"/>
      <c r="AB241" s="33"/>
      <c r="AC241" s="33"/>
      <c r="AD241" s="32"/>
      <c r="AE241" s="32"/>
      <c r="AF241" s="42"/>
      <c r="AG241" s="5"/>
    </row>
    <row r="242" spans="1:33" x14ac:dyDescent="0.25">
      <c r="A242" s="23"/>
      <c r="B242" s="24"/>
      <c r="C242" s="25"/>
      <c r="D242" s="27"/>
      <c r="E242" s="27"/>
      <c r="F242" s="28"/>
      <c r="G242" s="27"/>
      <c r="H242" s="27"/>
      <c r="I242" s="172"/>
      <c r="J242" s="214"/>
      <c r="K242" s="27"/>
      <c r="L242" s="172"/>
      <c r="M242" s="32"/>
      <c r="N242" s="32"/>
      <c r="O242" s="33"/>
      <c r="P242" s="33"/>
      <c r="Q242" s="32"/>
      <c r="R242" s="42"/>
      <c r="S242" s="42"/>
      <c r="T242" s="42"/>
      <c r="U242" s="32"/>
      <c r="V242" s="33"/>
      <c r="W242" s="33"/>
      <c r="X242" s="32"/>
      <c r="Y242" s="32"/>
      <c r="Z242" s="32"/>
      <c r="AA242" s="33"/>
      <c r="AB242" s="33"/>
      <c r="AC242" s="33"/>
      <c r="AD242" s="32"/>
      <c r="AE242" s="32"/>
      <c r="AF242" s="42"/>
      <c r="AG242" s="5"/>
    </row>
    <row r="243" spans="1:33" x14ac:dyDescent="0.25">
      <c r="A243" s="23"/>
      <c r="B243" s="24"/>
      <c r="C243" s="25"/>
      <c r="D243" s="27"/>
      <c r="E243" s="27"/>
      <c r="F243" s="28"/>
      <c r="G243" s="27"/>
      <c r="H243" s="27"/>
      <c r="I243" s="172"/>
      <c r="J243" s="214"/>
      <c r="K243" s="27"/>
      <c r="L243" s="172"/>
      <c r="M243" s="32"/>
      <c r="N243" s="32"/>
      <c r="O243" s="33"/>
      <c r="P243" s="33"/>
      <c r="Q243" s="32"/>
      <c r="R243" s="42"/>
      <c r="S243" s="42"/>
      <c r="T243" s="42"/>
      <c r="U243" s="32"/>
      <c r="V243" s="33"/>
      <c r="W243" s="33"/>
      <c r="X243" s="32"/>
      <c r="Y243" s="32"/>
      <c r="Z243" s="32"/>
      <c r="AA243" s="33"/>
      <c r="AB243" s="33"/>
      <c r="AC243" s="33"/>
      <c r="AD243" s="32"/>
      <c r="AE243" s="32"/>
      <c r="AF243" s="42"/>
      <c r="AG243" s="5"/>
    </row>
    <row r="244" spans="1:33" x14ac:dyDescent="0.25">
      <c r="A244" s="23"/>
      <c r="B244" s="24"/>
      <c r="C244" s="25"/>
      <c r="D244" s="27"/>
      <c r="E244" s="27"/>
      <c r="F244" s="28"/>
      <c r="G244" s="27"/>
      <c r="H244" s="27"/>
      <c r="I244" s="172"/>
      <c r="J244" s="214"/>
      <c r="K244" s="27"/>
      <c r="L244" s="172"/>
      <c r="M244" s="32"/>
      <c r="N244" s="32"/>
      <c r="O244" s="33"/>
      <c r="P244" s="33"/>
      <c r="Q244" s="32"/>
      <c r="R244" s="42"/>
      <c r="S244" s="42"/>
      <c r="T244" s="42"/>
      <c r="U244" s="32"/>
      <c r="V244" s="33"/>
      <c r="W244" s="33"/>
      <c r="X244" s="32"/>
      <c r="Y244" s="32"/>
      <c r="Z244" s="32"/>
      <c r="AA244" s="33"/>
      <c r="AB244" s="33"/>
      <c r="AC244" s="33"/>
      <c r="AD244" s="32"/>
      <c r="AE244" s="32"/>
      <c r="AF244" s="42"/>
      <c r="AG244" s="5"/>
    </row>
    <row r="245" spans="1:33" x14ac:dyDescent="0.25">
      <c r="A245" s="23"/>
      <c r="B245" s="24"/>
      <c r="C245" s="25"/>
      <c r="D245" s="27"/>
      <c r="E245" s="27"/>
      <c r="F245" s="28"/>
      <c r="G245" s="27"/>
      <c r="H245" s="27"/>
      <c r="I245" s="172"/>
      <c r="J245" s="214"/>
      <c r="K245" s="27"/>
      <c r="L245" s="172"/>
      <c r="M245" s="32"/>
      <c r="N245" s="32"/>
      <c r="O245" s="33"/>
      <c r="P245" s="33"/>
      <c r="Q245" s="32"/>
      <c r="R245" s="42"/>
      <c r="S245" s="42"/>
      <c r="T245" s="42"/>
      <c r="U245" s="32"/>
      <c r="V245" s="33"/>
      <c r="W245" s="33"/>
      <c r="X245" s="32"/>
      <c r="Y245" s="32"/>
      <c r="Z245" s="32"/>
      <c r="AA245" s="33"/>
      <c r="AB245" s="33"/>
      <c r="AC245" s="33"/>
      <c r="AD245" s="32"/>
      <c r="AE245" s="32"/>
      <c r="AF245" s="42"/>
      <c r="AG245" s="5"/>
    </row>
    <row r="246" spans="1:33" x14ac:dyDescent="0.25">
      <c r="A246" s="23"/>
      <c r="B246" s="24"/>
      <c r="C246" s="25"/>
      <c r="D246" s="27"/>
      <c r="E246" s="27"/>
      <c r="F246" s="28"/>
      <c r="G246" s="27"/>
      <c r="H246" s="27"/>
      <c r="I246" s="172"/>
      <c r="J246" s="214"/>
      <c r="K246" s="27"/>
      <c r="L246" s="172"/>
      <c r="M246" s="32"/>
      <c r="N246" s="32"/>
      <c r="O246" s="33"/>
      <c r="P246" s="33"/>
      <c r="Q246" s="32"/>
      <c r="R246" s="42"/>
      <c r="S246" s="42"/>
      <c r="T246" s="42"/>
      <c r="U246" s="32"/>
      <c r="V246" s="33"/>
      <c r="W246" s="33"/>
      <c r="X246" s="32"/>
      <c r="Y246" s="32"/>
      <c r="Z246" s="32"/>
      <c r="AA246" s="33"/>
      <c r="AB246" s="33"/>
      <c r="AC246" s="33"/>
      <c r="AD246" s="32"/>
      <c r="AE246" s="32"/>
      <c r="AF246" s="42"/>
      <c r="AG246" s="5"/>
    </row>
    <row r="247" spans="1:33" x14ac:dyDescent="0.25">
      <c r="A247" s="23"/>
      <c r="B247" s="24"/>
      <c r="C247" s="25"/>
      <c r="D247" s="27"/>
      <c r="E247" s="27"/>
      <c r="F247" s="28"/>
      <c r="G247" s="27"/>
      <c r="H247" s="27"/>
      <c r="I247" s="172"/>
      <c r="J247" s="214"/>
      <c r="K247" s="27"/>
      <c r="L247" s="172"/>
      <c r="M247" s="32"/>
      <c r="N247" s="32"/>
      <c r="O247" s="33"/>
      <c r="P247" s="33"/>
      <c r="Q247" s="32"/>
      <c r="R247" s="42"/>
      <c r="S247" s="42"/>
      <c r="T247" s="42"/>
      <c r="U247" s="32"/>
      <c r="V247" s="33"/>
      <c r="W247" s="33"/>
      <c r="X247" s="32"/>
      <c r="Y247" s="32"/>
      <c r="Z247" s="32"/>
      <c r="AA247" s="33"/>
      <c r="AB247" s="33"/>
      <c r="AC247" s="33"/>
      <c r="AD247" s="32"/>
      <c r="AE247" s="32"/>
      <c r="AF247" s="42"/>
      <c r="AG247" s="5"/>
    </row>
    <row r="248" spans="1:33" x14ac:dyDescent="0.25">
      <c r="A248" s="23"/>
      <c r="B248" s="24"/>
      <c r="C248" s="25"/>
      <c r="D248" s="27"/>
      <c r="E248" s="27"/>
      <c r="F248" s="28"/>
      <c r="G248" s="27"/>
      <c r="H248" s="27"/>
      <c r="I248" s="172"/>
      <c r="J248" s="214"/>
      <c r="K248" s="27"/>
      <c r="L248" s="172"/>
      <c r="M248" s="32"/>
      <c r="N248" s="32"/>
      <c r="O248" s="33"/>
      <c r="P248" s="33"/>
      <c r="Q248" s="32"/>
      <c r="R248" s="42"/>
      <c r="S248" s="42"/>
      <c r="T248" s="42"/>
      <c r="U248" s="32"/>
      <c r="V248" s="33"/>
      <c r="W248" s="33"/>
      <c r="X248" s="32"/>
      <c r="Y248" s="32"/>
      <c r="Z248" s="32"/>
      <c r="AA248" s="33"/>
      <c r="AB248" s="33"/>
      <c r="AC248" s="33"/>
      <c r="AD248" s="32"/>
      <c r="AE248" s="32"/>
      <c r="AF248" s="42"/>
      <c r="AG248" s="5"/>
    </row>
    <row r="249" spans="1:33" x14ac:dyDescent="0.25">
      <c r="A249" s="23"/>
      <c r="B249" s="24"/>
      <c r="C249" s="25"/>
      <c r="D249" s="27"/>
      <c r="E249" s="27"/>
      <c r="F249" s="28"/>
      <c r="G249" s="27"/>
      <c r="H249" s="27"/>
      <c r="I249" s="172"/>
      <c r="J249" s="214"/>
      <c r="K249" s="27"/>
      <c r="L249" s="172"/>
      <c r="M249" s="32"/>
      <c r="N249" s="32"/>
      <c r="O249" s="33"/>
      <c r="P249" s="33"/>
      <c r="Q249" s="32"/>
      <c r="R249" s="42"/>
      <c r="S249" s="42"/>
      <c r="T249" s="42"/>
      <c r="U249" s="32"/>
      <c r="V249" s="33"/>
      <c r="W249" s="33"/>
      <c r="X249" s="32"/>
      <c r="Y249" s="32"/>
      <c r="Z249" s="32"/>
      <c r="AA249" s="33"/>
      <c r="AB249" s="33"/>
      <c r="AC249" s="33"/>
      <c r="AD249" s="32"/>
      <c r="AE249" s="32"/>
      <c r="AF249" s="42"/>
      <c r="AG249" s="5"/>
    </row>
    <row r="250" spans="1:33" x14ac:dyDescent="0.25">
      <c r="A250" s="23"/>
      <c r="B250" s="24"/>
      <c r="C250" s="25"/>
      <c r="D250" s="27"/>
      <c r="E250" s="27"/>
      <c r="F250" s="28"/>
      <c r="G250" s="27"/>
      <c r="H250" s="27"/>
      <c r="I250" s="172"/>
      <c r="J250" s="214"/>
      <c r="K250" s="27"/>
      <c r="L250" s="172"/>
      <c r="M250" s="32"/>
      <c r="N250" s="32"/>
      <c r="O250" s="33"/>
      <c r="P250" s="33"/>
      <c r="Q250" s="32"/>
      <c r="R250" s="42"/>
      <c r="S250" s="42"/>
      <c r="T250" s="42"/>
      <c r="U250" s="32"/>
      <c r="V250" s="33"/>
      <c r="W250" s="33"/>
      <c r="X250" s="32"/>
      <c r="Y250" s="32"/>
      <c r="Z250" s="32"/>
      <c r="AA250" s="33"/>
      <c r="AB250" s="33"/>
      <c r="AC250" s="33"/>
      <c r="AD250" s="32"/>
      <c r="AE250" s="32"/>
      <c r="AF250" s="42"/>
      <c r="AG250" s="5"/>
    </row>
    <row r="251" spans="1:33" x14ac:dyDescent="0.25">
      <c r="A251" s="23"/>
      <c r="B251" s="24"/>
      <c r="C251" s="25"/>
      <c r="D251" s="27"/>
      <c r="E251" s="27"/>
      <c r="F251" s="28"/>
      <c r="G251" s="27"/>
      <c r="H251" s="27"/>
      <c r="I251" s="172"/>
      <c r="J251" s="214"/>
      <c r="K251" s="27"/>
      <c r="L251" s="172"/>
      <c r="M251" s="32"/>
      <c r="N251" s="32"/>
      <c r="O251" s="33"/>
      <c r="P251" s="33"/>
      <c r="Q251" s="32"/>
      <c r="R251" s="42"/>
      <c r="S251" s="42"/>
      <c r="T251" s="42"/>
      <c r="U251" s="32"/>
      <c r="V251" s="33"/>
      <c r="W251" s="33"/>
      <c r="X251" s="32"/>
      <c r="Y251" s="32"/>
      <c r="Z251" s="32"/>
      <c r="AA251" s="33"/>
      <c r="AB251" s="33"/>
      <c r="AC251" s="33"/>
      <c r="AD251" s="32"/>
      <c r="AE251" s="32"/>
      <c r="AF251" s="42"/>
      <c r="AG251" s="5"/>
    </row>
    <row r="252" spans="1:33" x14ac:dyDescent="0.25">
      <c r="A252" s="23"/>
      <c r="B252" s="24"/>
      <c r="C252" s="25"/>
      <c r="D252" s="27"/>
      <c r="E252" s="27"/>
      <c r="F252" s="28"/>
      <c r="G252" s="27"/>
      <c r="H252" s="27"/>
      <c r="I252" s="172"/>
      <c r="J252" s="214"/>
      <c r="K252" s="27"/>
      <c r="L252" s="172"/>
      <c r="M252" s="32"/>
      <c r="N252" s="32"/>
      <c r="O252" s="33"/>
      <c r="P252" s="33"/>
      <c r="Q252" s="32"/>
      <c r="R252" s="42"/>
      <c r="S252" s="42"/>
      <c r="T252" s="42"/>
      <c r="U252" s="32"/>
      <c r="V252" s="33"/>
      <c r="W252" s="33"/>
      <c r="X252" s="32"/>
      <c r="Y252" s="32"/>
      <c r="Z252" s="32"/>
      <c r="AA252" s="33"/>
      <c r="AB252" s="33"/>
      <c r="AC252" s="33"/>
      <c r="AD252" s="32"/>
      <c r="AE252" s="32"/>
      <c r="AF252" s="42"/>
      <c r="AG252" s="5"/>
    </row>
    <row r="253" spans="1:33" x14ac:dyDescent="0.25">
      <c r="A253" s="23"/>
      <c r="B253" s="24"/>
      <c r="C253" s="25"/>
      <c r="D253" s="27"/>
      <c r="E253" s="27"/>
      <c r="F253" s="28"/>
      <c r="G253" s="27"/>
      <c r="H253" s="27"/>
      <c r="I253" s="172"/>
      <c r="J253" s="214"/>
      <c r="K253" s="27"/>
      <c r="L253" s="172"/>
      <c r="M253" s="32"/>
      <c r="N253" s="32"/>
      <c r="O253" s="33"/>
      <c r="P253" s="33"/>
      <c r="Q253" s="32"/>
      <c r="R253" s="42"/>
      <c r="S253" s="42"/>
      <c r="T253" s="42"/>
      <c r="U253" s="32"/>
      <c r="V253" s="33"/>
      <c r="W253" s="33"/>
      <c r="X253" s="32"/>
      <c r="Y253" s="32"/>
      <c r="Z253" s="32"/>
      <c r="AA253" s="33"/>
      <c r="AB253" s="33"/>
      <c r="AC253" s="33"/>
      <c r="AD253" s="32"/>
      <c r="AE253" s="32"/>
      <c r="AF253" s="42"/>
      <c r="AG253" s="5"/>
    </row>
    <row r="254" spans="1:33" x14ac:dyDescent="0.25">
      <c r="A254" s="23"/>
      <c r="B254" s="24"/>
      <c r="C254" s="25"/>
      <c r="D254" s="27"/>
      <c r="E254" s="27"/>
      <c r="F254" s="28"/>
      <c r="G254" s="27"/>
      <c r="H254" s="27"/>
      <c r="I254" s="172"/>
      <c r="J254" s="214"/>
      <c r="K254" s="27"/>
      <c r="L254" s="172"/>
      <c r="M254" s="32"/>
      <c r="N254" s="32"/>
      <c r="O254" s="33"/>
      <c r="P254" s="33"/>
      <c r="Q254" s="32"/>
      <c r="R254" s="42"/>
      <c r="S254" s="42"/>
      <c r="T254" s="42"/>
      <c r="U254" s="32"/>
      <c r="V254" s="33"/>
      <c r="W254" s="33"/>
      <c r="X254" s="32"/>
      <c r="Y254" s="32"/>
      <c r="Z254" s="32"/>
      <c r="AA254" s="33"/>
      <c r="AB254" s="33"/>
      <c r="AC254" s="33"/>
      <c r="AD254" s="32"/>
      <c r="AE254" s="32"/>
      <c r="AF254" s="42"/>
      <c r="AG254" s="5"/>
    </row>
    <row r="255" spans="1:33" x14ac:dyDescent="0.25">
      <c r="A255" s="23"/>
      <c r="B255" s="24"/>
      <c r="C255" s="25"/>
      <c r="D255" s="27"/>
      <c r="E255" s="27"/>
      <c r="F255" s="28"/>
      <c r="G255" s="27"/>
      <c r="H255" s="27"/>
      <c r="I255" s="172"/>
      <c r="J255" s="214"/>
      <c r="K255" s="27"/>
      <c r="L255" s="172"/>
      <c r="M255" s="32"/>
      <c r="N255" s="32"/>
      <c r="O255" s="33"/>
      <c r="P255" s="33"/>
      <c r="Q255" s="32"/>
      <c r="R255" s="42"/>
      <c r="S255" s="42"/>
      <c r="T255" s="42"/>
      <c r="U255" s="32"/>
      <c r="V255" s="33"/>
      <c r="W255" s="33"/>
      <c r="X255" s="32"/>
      <c r="Y255" s="32"/>
      <c r="Z255" s="32"/>
      <c r="AA255" s="33"/>
      <c r="AB255" s="33"/>
      <c r="AC255" s="33"/>
      <c r="AD255" s="32"/>
      <c r="AE255" s="32"/>
      <c r="AF255" s="42"/>
      <c r="AG255" s="5"/>
    </row>
    <row r="256" spans="1:33" x14ac:dyDescent="0.25">
      <c r="A256" s="23"/>
      <c r="B256" s="24"/>
      <c r="C256" s="25"/>
      <c r="D256" s="27"/>
      <c r="E256" s="27"/>
      <c r="F256" s="28"/>
      <c r="G256" s="27"/>
      <c r="H256" s="27"/>
      <c r="I256" s="172"/>
      <c r="J256" s="214"/>
      <c r="K256" s="27"/>
      <c r="L256" s="172"/>
      <c r="M256" s="32"/>
      <c r="N256" s="32"/>
      <c r="O256" s="33"/>
      <c r="P256" s="33"/>
      <c r="Q256" s="32"/>
      <c r="R256" s="42"/>
      <c r="S256" s="42"/>
      <c r="T256" s="42"/>
      <c r="U256" s="32"/>
      <c r="V256" s="33"/>
      <c r="W256" s="33"/>
      <c r="X256" s="32"/>
      <c r="Y256" s="32"/>
      <c r="Z256" s="32"/>
      <c r="AA256" s="33"/>
      <c r="AB256" s="33"/>
      <c r="AC256" s="33"/>
      <c r="AD256" s="32"/>
      <c r="AE256" s="32"/>
      <c r="AF256" s="42"/>
      <c r="AG256" s="5"/>
    </row>
    <row r="257" spans="1:33" x14ac:dyDescent="0.25">
      <c r="A257" s="23"/>
      <c r="B257" s="24"/>
      <c r="C257" s="25"/>
      <c r="D257" s="27"/>
      <c r="E257" s="27"/>
      <c r="F257" s="28"/>
      <c r="G257" s="27"/>
      <c r="H257" s="27"/>
      <c r="I257" s="172"/>
      <c r="J257" s="214"/>
      <c r="K257" s="27"/>
      <c r="L257" s="172"/>
      <c r="M257" s="32"/>
      <c r="N257" s="32"/>
      <c r="O257" s="33"/>
      <c r="P257" s="33"/>
      <c r="Q257" s="32"/>
      <c r="R257" s="42"/>
      <c r="S257" s="42"/>
      <c r="T257" s="42"/>
      <c r="U257" s="32"/>
      <c r="V257" s="33"/>
      <c r="W257" s="33"/>
      <c r="X257" s="32"/>
      <c r="Y257" s="32"/>
      <c r="Z257" s="32"/>
      <c r="AA257" s="33"/>
      <c r="AB257" s="33"/>
      <c r="AC257" s="33"/>
      <c r="AD257" s="32"/>
      <c r="AE257" s="32"/>
      <c r="AF257" s="42"/>
      <c r="AG257" s="5"/>
    </row>
    <row r="258" spans="1:33" x14ac:dyDescent="0.25">
      <c r="A258" s="23"/>
      <c r="B258" s="24"/>
      <c r="C258" s="25"/>
      <c r="D258" s="27"/>
      <c r="E258" s="27"/>
      <c r="F258" s="28"/>
      <c r="G258" s="27"/>
      <c r="H258" s="27"/>
      <c r="I258" s="172"/>
      <c r="J258" s="214"/>
      <c r="K258" s="27"/>
      <c r="L258" s="172"/>
      <c r="M258" s="32"/>
      <c r="N258" s="32"/>
      <c r="O258" s="33"/>
      <c r="P258" s="33"/>
      <c r="Q258" s="32"/>
      <c r="R258" s="42"/>
      <c r="S258" s="42"/>
      <c r="T258" s="42"/>
      <c r="U258" s="32"/>
      <c r="V258" s="33"/>
      <c r="W258" s="33"/>
      <c r="X258" s="32"/>
      <c r="Y258" s="32"/>
      <c r="Z258" s="32"/>
      <c r="AA258" s="33"/>
      <c r="AB258" s="33"/>
      <c r="AC258" s="33"/>
      <c r="AD258" s="32"/>
      <c r="AE258" s="32"/>
      <c r="AF258" s="42"/>
      <c r="AG258" s="5"/>
    </row>
    <row r="259" spans="1:33" x14ac:dyDescent="0.25">
      <c r="A259" s="23"/>
      <c r="B259" s="24"/>
      <c r="C259" s="25"/>
      <c r="D259" s="27"/>
      <c r="E259" s="27"/>
      <c r="F259" s="28"/>
      <c r="G259" s="27"/>
      <c r="H259" s="27"/>
      <c r="I259" s="172"/>
      <c r="J259" s="214"/>
      <c r="K259" s="27"/>
      <c r="L259" s="172"/>
      <c r="M259" s="32"/>
      <c r="N259" s="32"/>
      <c r="O259" s="33"/>
      <c r="P259" s="33"/>
      <c r="Q259" s="32"/>
      <c r="R259" s="42"/>
      <c r="S259" s="42"/>
      <c r="T259" s="42"/>
      <c r="U259" s="32"/>
      <c r="V259" s="33"/>
      <c r="W259" s="33"/>
      <c r="X259" s="32"/>
      <c r="Y259" s="32"/>
      <c r="Z259" s="32"/>
      <c r="AA259" s="33"/>
      <c r="AB259" s="33"/>
      <c r="AC259" s="33"/>
      <c r="AD259" s="32"/>
      <c r="AE259" s="32"/>
      <c r="AF259" s="42"/>
      <c r="AG259" s="5"/>
    </row>
    <row r="260" spans="1:33" x14ac:dyDescent="0.25">
      <c r="A260" s="23"/>
      <c r="B260" s="24"/>
      <c r="C260" s="25"/>
      <c r="D260" s="27"/>
      <c r="E260" s="27"/>
      <c r="F260" s="28"/>
      <c r="G260" s="27"/>
      <c r="H260" s="27"/>
      <c r="I260" s="172"/>
      <c r="J260" s="214"/>
      <c r="K260" s="27"/>
      <c r="L260" s="172"/>
      <c r="M260" s="32"/>
      <c r="N260" s="32"/>
      <c r="O260" s="33"/>
      <c r="P260" s="33"/>
      <c r="Q260" s="32"/>
      <c r="R260" s="42"/>
      <c r="S260" s="42"/>
      <c r="T260" s="42"/>
      <c r="U260" s="32"/>
      <c r="V260" s="33"/>
      <c r="W260" s="33"/>
      <c r="X260" s="32"/>
      <c r="Y260" s="32"/>
      <c r="Z260" s="32"/>
      <c r="AA260" s="33"/>
      <c r="AB260" s="33"/>
      <c r="AC260" s="33"/>
      <c r="AD260" s="32"/>
      <c r="AE260" s="32"/>
      <c r="AF260" s="42"/>
      <c r="AG260" s="5"/>
    </row>
    <row r="261" spans="1:33" x14ac:dyDescent="0.25">
      <c r="A261" s="23"/>
      <c r="B261" s="24"/>
      <c r="C261" s="25"/>
      <c r="D261" s="27"/>
      <c r="E261" s="27"/>
      <c r="F261" s="28"/>
      <c r="G261" s="27"/>
      <c r="H261" s="27"/>
      <c r="I261" s="172"/>
      <c r="J261" s="214"/>
      <c r="K261" s="27"/>
      <c r="L261" s="172"/>
      <c r="M261" s="32"/>
      <c r="N261" s="32"/>
      <c r="O261" s="33"/>
      <c r="P261" s="33"/>
      <c r="Q261" s="32"/>
      <c r="R261" s="42"/>
      <c r="S261" s="42"/>
      <c r="T261" s="42"/>
      <c r="U261" s="32"/>
      <c r="V261" s="33"/>
      <c r="W261" s="33"/>
      <c r="X261" s="32"/>
      <c r="Y261" s="32"/>
      <c r="Z261" s="32"/>
      <c r="AA261" s="33"/>
      <c r="AB261" s="33"/>
      <c r="AC261" s="33"/>
      <c r="AD261" s="32"/>
      <c r="AE261" s="32"/>
      <c r="AF261" s="42"/>
      <c r="AG261" s="5"/>
    </row>
    <row r="262" spans="1:33" x14ac:dyDescent="0.25">
      <c r="A262" s="23"/>
      <c r="B262" s="24"/>
      <c r="C262" s="25"/>
      <c r="D262" s="27"/>
      <c r="E262" s="27"/>
      <c r="F262" s="28"/>
      <c r="G262" s="27"/>
      <c r="H262" s="27"/>
      <c r="I262" s="172"/>
      <c r="J262" s="214"/>
      <c r="K262" s="27"/>
      <c r="L262" s="172"/>
      <c r="M262" s="32"/>
      <c r="N262" s="32"/>
      <c r="O262" s="33"/>
      <c r="P262" s="33"/>
      <c r="Q262" s="32"/>
      <c r="R262" s="42"/>
      <c r="S262" s="42"/>
      <c r="T262" s="42"/>
      <c r="U262" s="32"/>
      <c r="V262" s="33"/>
      <c r="W262" s="33"/>
      <c r="X262" s="32"/>
      <c r="Y262" s="32"/>
      <c r="Z262" s="32"/>
      <c r="AA262" s="33"/>
      <c r="AB262" s="33"/>
      <c r="AC262" s="33"/>
      <c r="AD262" s="32"/>
      <c r="AE262" s="32"/>
      <c r="AF262" s="42"/>
      <c r="AG262" s="5"/>
    </row>
    <row r="263" spans="1:33" x14ac:dyDescent="0.25">
      <c r="A263" s="23"/>
      <c r="B263" s="24"/>
      <c r="C263" s="25"/>
      <c r="D263" s="27"/>
      <c r="E263" s="27"/>
      <c r="F263" s="28"/>
      <c r="G263" s="27"/>
      <c r="H263" s="27"/>
      <c r="I263" s="172"/>
      <c r="J263" s="214"/>
      <c r="K263" s="27"/>
      <c r="L263" s="172"/>
      <c r="M263" s="32"/>
      <c r="N263" s="32"/>
      <c r="O263" s="33"/>
      <c r="P263" s="33"/>
      <c r="Q263" s="32"/>
      <c r="R263" s="42"/>
      <c r="S263" s="42"/>
      <c r="T263" s="42"/>
      <c r="U263" s="32"/>
      <c r="V263" s="33"/>
      <c r="W263" s="33"/>
      <c r="X263" s="32"/>
      <c r="Y263" s="32"/>
      <c r="Z263" s="32"/>
      <c r="AA263" s="33"/>
      <c r="AB263" s="33"/>
      <c r="AC263" s="33"/>
      <c r="AD263" s="32"/>
      <c r="AE263" s="32"/>
      <c r="AF263" s="42"/>
      <c r="AG263" s="5"/>
    </row>
    <row r="264" spans="1:33" x14ac:dyDescent="0.25">
      <c r="A264" s="23"/>
      <c r="B264" s="24"/>
      <c r="C264" s="25"/>
      <c r="D264" s="27"/>
      <c r="E264" s="27"/>
      <c r="F264" s="28"/>
      <c r="G264" s="27"/>
      <c r="H264" s="27"/>
      <c r="I264" s="172"/>
      <c r="J264" s="214"/>
      <c r="K264" s="27"/>
      <c r="L264" s="172"/>
      <c r="M264" s="32"/>
      <c r="N264" s="32"/>
      <c r="O264" s="33"/>
      <c r="P264" s="33"/>
      <c r="Q264" s="32"/>
      <c r="R264" s="42"/>
      <c r="S264" s="42"/>
      <c r="T264" s="42"/>
      <c r="U264" s="32"/>
      <c r="V264" s="33"/>
      <c r="W264" s="33"/>
      <c r="X264" s="32"/>
      <c r="Y264" s="32"/>
      <c r="Z264" s="32"/>
      <c r="AA264" s="33"/>
      <c r="AB264" s="33"/>
      <c r="AC264" s="33"/>
      <c r="AD264" s="32"/>
      <c r="AE264" s="32"/>
      <c r="AF264" s="42"/>
      <c r="AG264" s="5"/>
    </row>
    <row r="265" spans="1:33" x14ac:dyDescent="0.25">
      <c r="A265" s="23"/>
      <c r="B265" s="24"/>
      <c r="C265" s="25"/>
      <c r="D265" s="27"/>
      <c r="E265" s="27"/>
      <c r="F265" s="28"/>
      <c r="G265" s="27"/>
      <c r="H265" s="27"/>
      <c r="I265" s="172"/>
      <c r="J265" s="214"/>
      <c r="K265" s="27"/>
      <c r="L265" s="172"/>
      <c r="M265" s="32"/>
      <c r="N265" s="32"/>
      <c r="O265" s="33"/>
      <c r="P265" s="33"/>
      <c r="Q265" s="32"/>
      <c r="R265" s="42"/>
      <c r="S265" s="42"/>
      <c r="T265" s="42"/>
      <c r="U265" s="32"/>
      <c r="V265" s="33"/>
      <c r="W265" s="33"/>
      <c r="X265" s="32"/>
      <c r="Y265" s="32"/>
      <c r="Z265" s="32"/>
      <c r="AA265" s="33"/>
      <c r="AB265" s="33"/>
      <c r="AC265" s="33"/>
      <c r="AD265" s="32"/>
      <c r="AE265" s="32"/>
      <c r="AF265" s="42"/>
      <c r="AG265" s="5"/>
    </row>
    <row r="266" spans="1:33" x14ac:dyDescent="0.25">
      <c r="A266" s="23"/>
      <c r="B266" s="24"/>
      <c r="C266" s="25"/>
      <c r="D266" s="27"/>
      <c r="E266" s="27"/>
      <c r="F266" s="28"/>
      <c r="G266" s="27"/>
      <c r="H266" s="27"/>
      <c r="I266" s="172"/>
      <c r="J266" s="214"/>
      <c r="K266" s="27"/>
      <c r="L266" s="172"/>
      <c r="M266" s="32"/>
      <c r="N266" s="32"/>
      <c r="O266" s="33"/>
      <c r="P266" s="33"/>
      <c r="Q266" s="32"/>
      <c r="R266" s="42"/>
      <c r="S266" s="42"/>
      <c r="T266" s="42"/>
      <c r="U266" s="32"/>
      <c r="V266" s="33"/>
      <c r="W266" s="33"/>
      <c r="X266" s="32"/>
      <c r="Y266" s="32"/>
      <c r="Z266" s="32"/>
      <c r="AA266" s="33"/>
      <c r="AB266" s="33"/>
      <c r="AC266" s="33"/>
      <c r="AD266" s="32"/>
      <c r="AE266" s="32"/>
      <c r="AF266" s="42"/>
      <c r="AG266" s="5"/>
    </row>
    <row r="267" spans="1:33" x14ac:dyDescent="0.25">
      <c r="A267" s="23"/>
      <c r="B267" s="24"/>
      <c r="C267" s="25"/>
      <c r="D267" s="27"/>
      <c r="E267" s="27"/>
      <c r="F267" s="28"/>
      <c r="G267" s="27"/>
      <c r="H267" s="27"/>
      <c r="I267" s="172"/>
      <c r="J267" s="214"/>
      <c r="K267" s="27"/>
      <c r="L267" s="172"/>
      <c r="M267" s="32"/>
      <c r="N267" s="32"/>
      <c r="O267" s="33"/>
      <c r="P267" s="33"/>
      <c r="Q267" s="32"/>
      <c r="R267" s="42"/>
      <c r="S267" s="42"/>
      <c r="T267" s="42"/>
      <c r="U267" s="32"/>
      <c r="V267" s="33"/>
      <c r="W267" s="33"/>
      <c r="X267" s="32"/>
      <c r="Y267" s="32"/>
      <c r="Z267" s="32"/>
      <c r="AA267" s="33"/>
      <c r="AB267" s="33"/>
      <c r="AC267" s="33"/>
      <c r="AD267" s="32"/>
      <c r="AE267" s="32"/>
      <c r="AF267" s="42"/>
      <c r="AG267" s="5"/>
    </row>
    <row r="268" spans="1:33" x14ac:dyDescent="0.25">
      <c r="A268" s="23"/>
      <c r="B268" s="24"/>
      <c r="C268" s="25"/>
      <c r="D268" s="27"/>
      <c r="E268" s="27"/>
      <c r="F268" s="28"/>
      <c r="G268" s="27"/>
      <c r="H268" s="27"/>
      <c r="I268" s="172"/>
      <c r="J268" s="214"/>
      <c r="K268" s="27"/>
      <c r="L268" s="172"/>
      <c r="M268" s="32"/>
      <c r="N268" s="32"/>
      <c r="O268" s="33"/>
      <c r="P268" s="33"/>
      <c r="Q268" s="32"/>
      <c r="R268" s="42"/>
      <c r="S268" s="42"/>
      <c r="T268" s="42"/>
      <c r="U268" s="32"/>
      <c r="V268" s="33"/>
      <c r="W268" s="33"/>
      <c r="X268" s="32"/>
      <c r="Y268" s="32"/>
      <c r="Z268" s="32"/>
      <c r="AA268" s="33"/>
      <c r="AB268" s="33"/>
      <c r="AC268" s="33"/>
      <c r="AD268" s="32"/>
      <c r="AE268" s="32"/>
      <c r="AF268" s="42"/>
      <c r="AG268" s="5"/>
    </row>
    <row r="269" spans="1:33" x14ac:dyDescent="0.25">
      <c r="A269" s="23"/>
      <c r="B269" s="24"/>
      <c r="C269" s="25"/>
      <c r="D269" s="27"/>
      <c r="E269" s="27"/>
      <c r="F269" s="28"/>
      <c r="G269" s="27"/>
      <c r="H269" s="27"/>
      <c r="I269" s="172"/>
      <c r="J269" s="214"/>
      <c r="K269" s="27"/>
      <c r="L269" s="172"/>
      <c r="M269" s="32"/>
      <c r="N269" s="32"/>
      <c r="O269" s="33"/>
      <c r="P269" s="33"/>
      <c r="Q269" s="32"/>
      <c r="R269" s="42"/>
      <c r="S269" s="42"/>
      <c r="T269" s="42"/>
      <c r="U269" s="32"/>
      <c r="V269" s="33"/>
      <c r="W269" s="33"/>
      <c r="X269" s="32"/>
      <c r="Y269" s="32"/>
      <c r="Z269" s="32"/>
      <c r="AA269" s="33"/>
      <c r="AB269" s="33"/>
      <c r="AC269" s="33"/>
      <c r="AD269" s="32"/>
      <c r="AE269" s="32"/>
      <c r="AF269" s="42"/>
      <c r="AG269" s="5"/>
    </row>
    <row r="270" spans="1:33" x14ac:dyDescent="0.25">
      <c r="A270" s="23"/>
      <c r="B270" s="24"/>
      <c r="C270" s="25"/>
      <c r="D270" s="27"/>
      <c r="E270" s="27"/>
      <c r="F270" s="28"/>
      <c r="G270" s="27"/>
      <c r="H270" s="27"/>
      <c r="I270" s="172"/>
      <c r="J270" s="214"/>
      <c r="K270" s="27"/>
      <c r="L270" s="172"/>
      <c r="M270" s="32"/>
      <c r="N270" s="32"/>
      <c r="O270" s="33"/>
      <c r="P270" s="33"/>
      <c r="Q270" s="32"/>
      <c r="R270" s="42"/>
      <c r="S270" s="42"/>
      <c r="T270" s="42"/>
      <c r="U270" s="32"/>
      <c r="V270" s="33"/>
      <c r="W270" s="33"/>
      <c r="X270" s="32"/>
      <c r="Y270" s="32"/>
      <c r="Z270" s="32"/>
      <c r="AA270" s="33"/>
      <c r="AB270" s="33"/>
      <c r="AC270" s="33"/>
      <c r="AD270" s="32"/>
      <c r="AE270" s="32"/>
      <c r="AF270" s="42"/>
      <c r="AG270" s="5"/>
    </row>
    <row r="271" spans="1:33" x14ac:dyDescent="0.25">
      <c r="A271" s="23"/>
      <c r="B271" s="24"/>
      <c r="C271" s="25"/>
      <c r="D271" s="27"/>
      <c r="E271" s="27"/>
      <c r="F271" s="28"/>
      <c r="G271" s="27"/>
      <c r="H271" s="27"/>
      <c r="I271" s="172"/>
      <c r="J271" s="214"/>
      <c r="K271" s="27"/>
      <c r="L271" s="172"/>
      <c r="M271" s="32"/>
      <c r="N271" s="32"/>
      <c r="O271" s="33"/>
      <c r="P271" s="33"/>
      <c r="Q271" s="32"/>
      <c r="R271" s="42"/>
      <c r="S271" s="42"/>
      <c r="T271" s="42"/>
      <c r="U271" s="32"/>
      <c r="V271" s="33"/>
      <c r="W271" s="33"/>
      <c r="X271" s="32"/>
      <c r="Y271" s="32"/>
      <c r="Z271" s="32"/>
      <c r="AA271" s="33"/>
      <c r="AB271" s="33"/>
      <c r="AC271" s="33"/>
      <c r="AD271" s="32"/>
      <c r="AE271" s="32"/>
      <c r="AF271" s="42"/>
      <c r="AG271" s="5"/>
    </row>
    <row r="272" spans="1:33" x14ac:dyDescent="0.25">
      <c r="A272" s="23"/>
      <c r="B272" s="24"/>
      <c r="C272" s="25"/>
      <c r="D272" s="27"/>
      <c r="E272" s="27"/>
      <c r="F272" s="28"/>
      <c r="G272" s="27"/>
      <c r="H272" s="27"/>
      <c r="I272" s="172"/>
      <c r="J272" s="214"/>
      <c r="K272" s="27"/>
      <c r="L272" s="172"/>
      <c r="M272" s="32"/>
      <c r="N272" s="32"/>
      <c r="O272" s="33"/>
      <c r="P272" s="33"/>
      <c r="Q272" s="32"/>
      <c r="R272" s="42"/>
      <c r="S272" s="42"/>
      <c r="T272" s="42"/>
      <c r="U272" s="32"/>
      <c r="V272" s="33"/>
      <c r="W272" s="33"/>
      <c r="X272" s="32"/>
      <c r="Y272" s="32"/>
      <c r="Z272" s="32"/>
      <c r="AA272" s="33"/>
      <c r="AB272" s="33"/>
      <c r="AC272" s="33"/>
      <c r="AD272" s="32"/>
      <c r="AE272" s="32"/>
      <c r="AF272" s="42"/>
      <c r="AG272" s="5"/>
    </row>
    <row r="273" spans="1:33" x14ac:dyDescent="0.25">
      <c r="A273" s="23"/>
      <c r="B273" s="24"/>
      <c r="C273" s="25"/>
      <c r="D273" s="27"/>
      <c r="E273" s="27"/>
      <c r="F273" s="28"/>
      <c r="G273" s="27"/>
      <c r="H273" s="27"/>
      <c r="I273" s="172"/>
      <c r="J273" s="214"/>
      <c r="K273" s="27"/>
      <c r="L273" s="172"/>
      <c r="M273" s="32"/>
      <c r="N273" s="32"/>
      <c r="O273" s="33"/>
      <c r="P273" s="33"/>
      <c r="Q273" s="32"/>
      <c r="R273" s="42"/>
      <c r="S273" s="42"/>
      <c r="T273" s="42"/>
      <c r="U273" s="32"/>
      <c r="V273" s="33"/>
      <c r="W273" s="33"/>
      <c r="X273" s="32"/>
      <c r="Y273" s="32"/>
      <c r="Z273" s="32"/>
      <c r="AA273" s="33"/>
      <c r="AB273" s="33"/>
      <c r="AC273" s="33"/>
      <c r="AD273" s="32"/>
      <c r="AE273" s="32"/>
      <c r="AF273" s="42"/>
      <c r="AG273" s="5"/>
    </row>
    <row r="274" spans="1:33" x14ac:dyDescent="0.25">
      <c r="A274" s="23"/>
      <c r="B274" s="24"/>
      <c r="C274" s="25"/>
      <c r="D274" s="27"/>
      <c r="E274" s="27"/>
      <c r="F274" s="28"/>
      <c r="G274" s="27"/>
      <c r="H274" s="27"/>
      <c r="I274" s="172"/>
      <c r="J274" s="214"/>
      <c r="K274" s="27"/>
      <c r="L274" s="172"/>
      <c r="M274" s="32"/>
      <c r="N274" s="32"/>
      <c r="O274" s="33"/>
      <c r="P274" s="33"/>
      <c r="Q274" s="32"/>
      <c r="R274" s="42"/>
      <c r="S274" s="42"/>
      <c r="T274" s="42"/>
      <c r="U274" s="32"/>
      <c r="V274" s="33"/>
      <c r="W274" s="33"/>
      <c r="X274" s="32"/>
      <c r="Y274" s="32"/>
      <c r="Z274" s="32"/>
      <c r="AA274" s="33"/>
      <c r="AB274" s="33"/>
      <c r="AC274" s="33"/>
      <c r="AD274" s="32"/>
      <c r="AE274" s="32"/>
      <c r="AF274" s="42"/>
      <c r="AG274" s="5"/>
    </row>
    <row r="275" spans="1:33" x14ac:dyDescent="0.25">
      <c r="A275" s="23"/>
      <c r="B275" s="24"/>
      <c r="C275" s="25"/>
      <c r="D275" s="27"/>
      <c r="E275" s="27"/>
      <c r="F275" s="28"/>
      <c r="G275" s="27"/>
      <c r="H275" s="27"/>
      <c r="I275" s="172"/>
      <c r="J275" s="214"/>
      <c r="K275" s="27"/>
      <c r="L275" s="172"/>
      <c r="M275" s="32"/>
      <c r="N275" s="32"/>
      <c r="O275" s="33"/>
      <c r="P275" s="33"/>
      <c r="Q275" s="32"/>
      <c r="R275" s="42"/>
      <c r="S275" s="42"/>
      <c r="T275" s="42"/>
      <c r="U275" s="32"/>
      <c r="V275" s="33"/>
      <c r="W275" s="33"/>
      <c r="X275" s="32"/>
      <c r="Y275" s="32"/>
      <c r="Z275" s="32"/>
      <c r="AA275" s="33"/>
      <c r="AB275" s="33"/>
      <c r="AC275" s="33"/>
      <c r="AD275" s="32"/>
      <c r="AE275" s="32"/>
      <c r="AF275" s="42"/>
      <c r="AG275" s="5"/>
    </row>
    <row r="276" spans="1:33" x14ac:dyDescent="0.25">
      <c r="A276" s="23"/>
      <c r="B276" s="24"/>
      <c r="C276" s="25"/>
      <c r="D276" s="27"/>
      <c r="E276" s="27"/>
      <c r="F276" s="28"/>
      <c r="G276" s="27"/>
      <c r="H276" s="27"/>
      <c r="I276" s="172"/>
      <c r="J276" s="214"/>
      <c r="K276" s="27"/>
      <c r="L276" s="172"/>
      <c r="M276" s="32"/>
      <c r="N276" s="32"/>
      <c r="O276" s="33"/>
      <c r="P276" s="33"/>
      <c r="Q276" s="32"/>
      <c r="R276" s="42"/>
      <c r="S276" s="42"/>
      <c r="T276" s="42"/>
      <c r="U276" s="32"/>
      <c r="V276" s="33"/>
      <c r="W276" s="33"/>
      <c r="X276" s="32"/>
      <c r="Y276" s="32"/>
      <c r="Z276" s="32"/>
      <c r="AA276" s="33"/>
      <c r="AB276" s="33"/>
      <c r="AC276" s="33"/>
      <c r="AD276" s="32"/>
      <c r="AE276" s="32"/>
      <c r="AF276" s="42"/>
      <c r="AG276" s="5"/>
    </row>
    <row r="277" spans="1:33" x14ac:dyDescent="0.25">
      <c r="A277" s="23"/>
      <c r="B277" s="24"/>
      <c r="C277" s="25"/>
      <c r="D277" s="27"/>
      <c r="E277" s="27"/>
      <c r="F277" s="28"/>
      <c r="G277" s="27"/>
      <c r="H277" s="27"/>
      <c r="I277" s="172"/>
      <c r="J277" s="214"/>
      <c r="K277" s="27"/>
      <c r="L277" s="172"/>
      <c r="M277" s="32"/>
      <c r="N277" s="32"/>
      <c r="O277" s="33"/>
      <c r="P277" s="33"/>
      <c r="Q277" s="32"/>
      <c r="R277" s="42"/>
      <c r="S277" s="42"/>
      <c r="T277" s="42"/>
      <c r="U277" s="32"/>
      <c r="V277" s="33"/>
      <c r="W277" s="33"/>
      <c r="X277" s="32"/>
      <c r="Y277" s="32"/>
      <c r="Z277" s="32"/>
      <c r="AA277" s="33"/>
      <c r="AB277" s="33"/>
      <c r="AC277" s="33"/>
      <c r="AD277" s="32"/>
      <c r="AE277" s="32"/>
      <c r="AF277" s="42"/>
      <c r="AG277" s="5"/>
    </row>
    <row r="278" spans="1:33" x14ac:dyDescent="0.25">
      <c r="A278" s="23"/>
      <c r="B278" s="24"/>
      <c r="C278" s="25"/>
      <c r="D278" s="27"/>
      <c r="E278" s="27"/>
      <c r="F278" s="28"/>
      <c r="G278" s="27"/>
      <c r="H278" s="27"/>
      <c r="I278" s="172"/>
      <c r="J278" s="214"/>
      <c r="K278" s="27"/>
      <c r="L278" s="172"/>
      <c r="M278" s="32"/>
      <c r="N278" s="32"/>
      <c r="O278" s="33"/>
      <c r="P278" s="33"/>
      <c r="Q278" s="32"/>
      <c r="R278" s="42"/>
      <c r="S278" s="42"/>
      <c r="T278" s="42"/>
      <c r="U278" s="32"/>
      <c r="V278" s="33"/>
      <c r="W278" s="33"/>
      <c r="X278" s="32"/>
      <c r="Y278" s="32"/>
      <c r="Z278" s="32"/>
      <c r="AA278" s="33"/>
      <c r="AB278" s="33"/>
      <c r="AC278" s="33"/>
      <c r="AD278" s="32"/>
      <c r="AE278" s="32"/>
      <c r="AF278" s="42"/>
      <c r="AG278" s="5"/>
    </row>
    <row r="279" spans="1:33" x14ac:dyDescent="0.25">
      <c r="A279" s="23"/>
      <c r="B279" s="24"/>
      <c r="C279" s="25"/>
      <c r="D279" s="27"/>
      <c r="E279" s="27"/>
      <c r="F279" s="28"/>
      <c r="G279" s="27"/>
      <c r="H279" s="27"/>
      <c r="I279" s="172"/>
      <c r="J279" s="214"/>
      <c r="K279" s="27"/>
      <c r="L279" s="172"/>
      <c r="M279" s="32"/>
      <c r="N279" s="32"/>
      <c r="O279" s="33"/>
      <c r="P279" s="33"/>
      <c r="Q279" s="32"/>
      <c r="R279" s="42"/>
      <c r="S279" s="42"/>
      <c r="T279" s="42"/>
      <c r="U279" s="32"/>
      <c r="V279" s="33"/>
      <c r="W279" s="33"/>
      <c r="X279" s="32"/>
      <c r="Y279" s="32"/>
      <c r="Z279" s="32"/>
      <c r="AA279" s="33"/>
      <c r="AB279" s="33"/>
      <c r="AC279" s="33"/>
      <c r="AD279" s="32"/>
      <c r="AE279" s="32"/>
      <c r="AF279" s="42"/>
      <c r="AG279" s="5"/>
    </row>
    <row r="280" spans="1:33" x14ac:dyDescent="0.25">
      <c r="A280" s="23"/>
      <c r="B280" s="24"/>
      <c r="C280" s="25"/>
      <c r="D280" s="27"/>
      <c r="E280" s="27"/>
      <c r="F280" s="28"/>
      <c r="G280" s="27"/>
      <c r="H280" s="27"/>
      <c r="I280" s="172"/>
      <c r="J280" s="214"/>
      <c r="K280" s="27"/>
      <c r="L280" s="172"/>
      <c r="M280" s="32"/>
      <c r="N280" s="32"/>
      <c r="O280" s="33"/>
      <c r="P280" s="33"/>
      <c r="Q280" s="32"/>
      <c r="R280" s="42"/>
      <c r="S280" s="42"/>
      <c r="T280" s="42"/>
      <c r="U280" s="32"/>
      <c r="V280" s="33"/>
      <c r="W280" s="33"/>
      <c r="X280" s="32"/>
      <c r="Y280" s="32"/>
      <c r="Z280" s="32"/>
      <c r="AA280" s="33"/>
      <c r="AB280" s="33"/>
      <c r="AC280" s="33"/>
      <c r="AD280" s="32"/>
      <c r="AE280" s="32"/>
      <c r="AF280" s="42"/>
      <c r="AG280" s="5"/>
    </row>
    <row r="281" spans="1:33" x14ac:dyDescent="0.25">
      <c r="A281" s="23"/>
      <c r="B281" s="24"/>
      <c r="C281" s="25"/>
      <c r="D281" s="27"/>
      <c r="E281" s="27"/>
      <c r="F281" s="28"/>
      <c r="G281" s="27"/>
      <c r="H281" s="27"/>
      <c r="I281" s="172"/>
      <c r="J281" s="214"/>
      <c r="K281" s="27"/>
      <c r="L281" s="172"/>
      <c r="M281" s="32"/>
      <c r="N281" s="32"/>
      <c r="O281" s="33"/>
      <c r="P281" s="33"/>
      <c r="Q281" s="32"/>
      <c r="R281" s="42"/>
      <c r="S281" s="42"/>
      <c r="T281" s="42"/>
      <c r="U281" s="32"/>
      <c r="V281" s="33"/>
      <c r="W281" s="33"/>
      <c r="X281" s="32"/>
      <c r="Y281" s="32"/>
      <c r="Z281" s="32"/>
      <c r="AA281" s="33"/>
      <c r="AB281" s="33"/>
      <c r="AC281" s="33"/>
      <c r="AD281" s="32"/>
      <c r="AE281" s="32"/>
      <c r="AF281" s="42"/>
      <c r="AG281" s="5"/>
    </row>
    <row r="282" spans="1:33" x14ac:dyDescent="0.25">
      <c r="A282" s="23"/>
      <c r="B282" s="24"/>
      <c r="C282" s="25"/>
      <c r="D282" s="27"/>
      <c r="E282" s="27"/>
      <c r="F282" s="28"/>
      <c r="G282" s="27"/>
      <c r="H282" s="27"/>
      <c r="I282" s="172"/>
      <c r="J282" s="214"/>
      <c r="K282" s="27"/>
      <c r="L282" s="172"/>
      <c r="M282" s="32"/>
      <c r="N282" s="32"/>
      <c r="O282" s="33"/>
      <c r="P282" s="33"/>
      <c r="Q282" s="32"/>
      <c r="R282" s="42"/>
      <c r="S282" s="42"/>
      <c r="T282" s="42"/>
      <c r="U282" s="32"/>
      <c r="V282" s="33"/>
      <c r="W282" s="33"/>
      <c r="X282" s="32"/>
      <c r="Y282" s="32"/>
      <c r="Z282" s="32"/>
      <c r="AA282" s="33"/>
      <c r="AB282" s="33"/>
      <c r="AC282" s="33"/>
      <c r="AD282" s="32"/>
      <c r="AE282" s="32"/>
      <c r="AF282" s="42"/>
      <c r="AG282" s="5"/>
    </row>
    <row r="283" spans="1:33" x14ac:dyDescent="0.25">
      <c r="A283" s="23"/>
      <c r="B283" s="24"/>
      <c r="C283" s="25"/>
      <c r="D283" s="27"/>
      <c r="E283" s="27"/>
      <c r="F283" s="28"/>
      <c r="G283" s="27"/>
      <c r="H283" s="27"/>
      <c r="I283" s="172"/>
      <c r="J283" s="214"/>
      <c r="K283" s="27"/>
      <c r="L283" s="172"/>
      <c r="M283" s="32"/>
      <c r="N283" s="32"/>
      <c r="O283" s="33"/>
      <c r="P283" s="33"/>
      <c r="Q283" s="32"/>
      <c r="R283" s="42"/>
      <c r="S283" s="42"/>
      <c r="T283" s="42"/>
      <c r="U283" s="32"/>
      <c r="V283" s="33"/>
      <c r="W283" s="33"/>
      <c r="X283" s="32"/>
      <c r="Y283" s="32"/>
      <c r="Z283" s="32"/>
      <c r="AA283" s="33"/>
      <c r="AB283" s="33"/>
      <c r="AC283" s="33"/>
      <c r="AD283" s="32"/>
      <c r="AE283" s="32"/>
      <c r="AF283" s="42"/>
      <c r="AG283" s="5"/>
    </row>
    <row r="284" spans="1:33" x14ac:dyDescent="0.25">
      <c r="A284" s="23"/>
      <c r="B284" s="24"/>
      <c r="C284" s="25"/>
      <c r="D284" s="27"/>
      <c r="E284" s="27"/>
      <c r="F284" s="28"/>
      <c r="G284" s="27"/>
      <c r="H284" s="27"/>
      <c r="I284" s="172"/>
      <c r="J284" s="214"/>
      <c r="K284" s="27"/>
      <c r="L284" s="172"/>
      <c r="M284" s="32"/>
      <c r="N284" s="32"/>
      <c r="O284" s="33"/>
      <c r="P284" s="33"/>
      <c r="Q284" s="32"/>
      <c r="R284" s="42"/>
      <c r="S284" s="42"/>
      <c r="T284" s="42"/>
      <c r="U284" s="32"/>
      <c r="V284" s="33"/>
      <c r="W284" s="33"/>
      <c r="X284" s="32"/>
      <c r="Y284" s="32"/>
      <c r="Z284" s="32"/>
      <c r="AA284" s="33"/>
      <c r="AB284" s="33"/>
      <c r="AC284" s="33"/>
      <c r="AD284" s="32"/>
      <c r="AE284" s="32"/>
      <c r="AF284" s="42"/>
      <c r="AG284" s="5"/>
    </row>
    <row r="285" spans="1:33" x14ac:dyDescent="0.25">
      <c r="A285" s="23"/>
      <c r="B285" s="24"/>
      <c r="C285" s="25"/>
      <c r="D285" s="27"/>
      <c r="E285" s="27"/>
      <c r="F285" s="28"/>
      <c r="G285" s="27"/>
      <c r="H285" s="27"/>
      <c r="I285" s="172"/>
      <c r="J285" s="214"/>
      <c r="K285" s="27"/>
      <c r="L285" s="172"/>
      <c r="M285" s="32"/>
      <c r="N285" s="32"/>
      <c r="O285" s="33"/>
      <c r="P285" s="33"/>
      <c r="Q285" s="32"/>
      <c r="R285" s="42"/>
      <c r="S285" s="42"/>
      <c r="T285" s="42"/>
      <c r="U285" s="32"/>
      <c r="V285" s="33"/>
      <c r="W285" s="33"/>
      <c r="X285" s="32"/>
      <c r="Y285" s="32"/>
      <c r="Z285" s="32"/>
      <c r="AA285" s="33"/>
      <c r="AB285" s="33"/>
      <c r="AC285" s="33"/>
      <c r="AD285" s="32"/>
      <c r="AE285" s="32"/>
      <c r="AF285" s="42"/>
      <c r="AG285" s="5"/>
    </row>
    <row r="286" spans="1:33" x14ac:dyDescent="0.25">
      <c r="A286" s="23"/>
      <c r="B286" s="24"/>
      <c r="C286" s="25"/>
      <c r="D286" s="27"/>
      <c r="E286" s="27"/>
      <c r="F286" s="28"/>
      <c r="G286" s="27"/>
      <c r="H286" s="27"/>
      <c r="I286" s="172"/>
      <c r="J286" s="214"/>
      <c r="K286" s="27"/>
      <c r="L286" s="172"/>
      <c r="M286" s="32"/>
      <c r="N286" s="32"/>
      <c r="O286" s="33"/>
      <c r="P286" s="33"/>
      <c r="Q286" s="32"/>
      <c r="R286" s="42"/>
      <c r="S286" s="42"/>
      <c r="T286" s="42"/>
      <c r="U286" s="32"/>
      <c r="V286" s="33"/>
      <c r="W286" s="33"/>
      <c r="X286" s="32"/>
      <c r="Y286" s="32"/>
      <c r="Z286" s="32"/>
      <c r="AA286" s="33"/>
      <c r="AB286" s="33"/>
      <c r="AC286" s="33"/>
      <c r="AD286" s="32"/>
      <c r="AE286" s="32"/>
      <c r="AF286" s="42"/>
      <c r="AG286" s="5"/>
    </row>
    <row r="287" spans="1:33" x14ac:dyDescent="0.25">
      <c r="A287" s="23"/>
      <c r="B287" s="24"/>
      <c r="C287" s="25"/>
      <c r="D287" s="27"/>
      <c r="E287" s="27"/>
      <c r="F287" s="28"/>
      <c r="G287" s="27"/>
      <c r="H287" s="27"/>
      <c r="I287" s="172"/>
      <c r="J287" s="214"/>
      <c r="K287" s="27"/>
      <c r="L287" s="172"/>
      <c r="M287" s="32"/>
      <c r="N287" s="32"/>
      <c r="O287" s="33"/>
      <c r="P287" s="33"/>
      <c r="Q287" s="32"/>
      <c r="R287" s="42"/>
      <c r="S287" s="42"/>
      <c r="T287" s="42"/>
      <c r="U287" s="32"/>
      <c r="V287" s="33"/>
      <c r="W287" s="33"/>
      <c r="X287" s="32"/>
      <c r="Y287" s="32"/>
      <c r="Z287" s="32"/>
      <c r="AA287" s="33"/>
      <c r="AB287" s="33"/>
      <c r="AC287" s="33"/>
      <c r="AD287" s="32"/>
      <c r="AE287" s="32"/>
      <c r="AF287" s="42"/>
      <c r="AG287" s="5"/>
    </row>
    <row r="288" spans="1:33" x14ac:dyDescent="0.25">
      <c r="A288" s="23"/>
      <c r="B288" s="24"/>
      <c r="C288" s="25"/>
      <c r="D288" s="27"/>
      <c r="E288" s="27"/>
      <c r="F288" s="28"/>
      <c r="G288" s="27"/>
      <c r="H288" s="27"/>
      <c r="I288" s="172"/>
      <c r="J288" s="214"/>
      <c r="K288" s="27"/>
      <c r="L288" s="172"/>
      <c r="M288" s="32"/>
      <c r="N288" s="32"/>
      <c r="O288" s="33"/>
      <c r="P288" s="33"/>
      <c r="Q288" s="32"/>
      <c r="R288" s="42"/>
      <c r="S288" s="42"/>
      <c r="T288" s="42"/>
      <c r="U288" s="32"/>
      <c r="V288" s="33"/>
      <c r="W288" s="33"/>
      <c r="X288" s="32"/>
      <c r="Y288" s="32"/>
      <c r="Z288" s="32"/>
      <c r="AA288" s="33"/>
      <c r="AB288" s="33"/>
      <c r="AC288" s="33"/>
      <c r="AD288" s="32"/>
      <c r="AE288" s="32"/>
      <c r="AF288" s="42"/>
      <c r="AG288" s="5"/>
    </row>
    <row r="289" spans="1:33" x14ac:dyDescent="0.25">
      <c r="A289" s="23"/>
      <c r="B289" s="24"/>
      <c r="C289" s="25"/>
      <c r="D289" s="27"/>
      <c r="E289" s="27"/>
      <c r="F289" s="28"/>
      <c r="G289" s="27"/>
      <c r="H289" s="27"/>
      <c r="I289" s="172"/>
      <c r="J289" s="214"/>
      <c r="K289" s="27"/>
      <c r="L289" s="172"/>
      <c r="M289" s="32"/>
      <c r="N289" s="32"/>
      <c r="O289" s="33"/>
      <c r="P289" s="33"/>
      <c r="Q289" s="32"/>
      <c r="R289" s="42"/>
      <c r="S289" s="42"/>
      <c r="T289" s="42"/>
      <c r="U289" s="32"/>
      <c r="V289" s="33"/>
      <c r="W289" s="33"/>
      <c r="X289" s="32"/>
      <c r="Y289" s="32"/>
      <c r="Z289" s="32"/>
      <c r="AA289" s="33"/>
      <c r="AB289" s="33"/>
      <c r="AC289" s="33"/>
      <c r="AD289" s="32"/>
      <c r="AE289" s="32"/>
      <c r="AF289" s="42"/>
      <c r="AG289" s="5"/>
    </row>
    <row r="290" spans="1:33" x14ac:dyDescent="0.25">
      <c r="A290" s="23"/>
      <c r="B290" s="24"/>
      <c r="C290" s="25"/>
      <c r="D290" s="27"/>
      <c r="E290" s="27"/>
      <c r="F290" s="28"/>
      <c r="G290" s="27"/>
      <c r="H290" s="27"/>
      <c r="I290" s="172"/>
      <c r="J290" s="214"/>
      <c r="K290" s="27"/>
      <c r="L290" s="172"/>
      <c r="M290" s="32"/>
      <c r="N290" s="32"/>
      <c r="O290" s="33"/>
      <c r="P290" s="33"/>
      <c r="Q290" s="32"/>
      <c r="R290" s="42"/>
      <c r="S290" s="42"/>
      <c r="T290" s="42"/>
      <c r="U290" s="32"/>
      <c r="V290" s="33"/>
      <c r="W290" s="33"/>
      <c r="X290" s="32"/>
      <c r="Y290" s="32"/>
      <c r="Z290" s="32"/>
      <c r="AA290" s="33"/>
      <c r="AB290" s="33"/>
      <c r="AC290" s="33"/>
      <c r="AD290" s="32"/>
      <c r="AE290" s="32"/>
      <c r="AF290" s="42"/>
      <c r="AG290" s="5"/>
    </row>
    <row r="291" spans="1:33" x14ac:dyDescent="0.25">
      <c r="A291" s="23"/>
      <c r="B291" s="24"/>
      <c r="C291" s="25"/>
      <c r="D291" s="27"/>
      <c r="E291" s="27"/>
      <c r="F291" s="28"/>
      <c r="G291" s="27"/>
      <c r="H291" s="27"/>
      <c r="I291" s="172"/>
      <c r="J291" s="214"/>
      <c r="K291" s="27"/>
      <c r="L291" s="172"/>
      <c r="M291" s="32"/>
      <c r="N291" s="32"/>
      <c r="O291" s="33"/>
      <c r="P291" s="33"/>
      <c r="Q291" s="32"/>
      <c r="R291" s="42"/>
      <c r="S291" s="42"/>
      <c r="T291" s="42"/>
      <c r="U291" s="32"/>
      <c r="V291" s="33"/>
      <c r="W291" s="33"/>
      <c r="X291" s="32"/>
      <c r="Y291" s="32"/>
      <c r="Z291" s="32"/>
      <c r="AA291" s="33"/>
      <c r="AB291" s="33"/>
      <c r="AC291" s="33"/>
      <c r="AD291" s="32"/>
      <c r="AE291" s="32"/>
      <c r="AF291" s="42"/>
      <c r="AG291" s="5"/>
    </row>
    <row r="292" spans="1:33" x14ac:dyDescent="0.25">
      <c r="A292" s="23"/>
      <c r="B292" s="24"/>
      <c r="C292" s="25"/>
      <c r="D292" s="27"/>
      <c r="E292" s="27"/>
      <c r="F292" s="28"/>
      <c r="G292" s="27"/>
      <c r="H292" s="27"/>
      <c r="I292" s="172"/>
      <c r="J292" s="214"/>
      <c r="K292" s="27"/>
      <c r="L292" s="172"/>
      <c r="M292" s="32"/>
      <c r="N292" s="32"/>
      <c r="O292" s="33"/>
      <c r="P292" s="33"/>
      <c r="Q292" s="32"/>
      <c r="R292" s="42"/>
      <c r="S292" s="42"/>
      <c r="T292" s="42"/>
      <c r="U292" s="32"/>
      <c r="V292" s="33"/>
      <c r="W292" s="33"/>
      <c r="X292" s="32"/>
      <c r="Y292" s="32"/>
      <c r="Z292" s="32"/>
      <c r="AA292" s="33"/>
      <c r="AB292" s="33"/>
      <c r="AC292" s="33"/>
      <c r="AD292" s="32"/>
      <c r="AE292" s="32"/>
      <c r="AF292" s="42"/>
      <c r="AG292" s="5"/>
    </row>
    <row r="293" spans="1:33" x14ac:dyDescent="0.25">
      <c r="A293" s="23"/>
      <c r="B293" s="24"/>
      <c r="C293" s="25"/>
      <c r="D293" s="27"/>
      <c r="E293" s="27"/>
      <c r="F293" s="28"/>
      <c r="G293" s="27"/>
      <c r="H293" s="27"/>
      <c r="I293" s="172"/>
      <c r="J293" s="214"/>
      <c r="K293" s="27"/>
      <c r="L293" s="172"/>
      <c r="M293" s="32"/>
      <c r="N293" s="32"/>
      <c r="O293" s="33"/>
      <c r="P293" s="33"/>
      <c r="Q293" s="32"/>
      <c r="R293" s="42"/>
      <c r="S293" s="42"/>
      <c r="T293" s="42"/>
      <c r="U293" s="32"/>
      <c r="V293" s="33"/>
      <c r="W293" s="33"/>
      <c r="X293" s="32"/>
      <c r="Y293" s="32"/>
      <c r="Z293" s="32"/>
      <c r="AA293" s="33"/>
      <c r="AB293" s="33"/>
      <c r="AC293" s="33"/>
      <c r="AD293" s="32"/>
      <c r="AE293" s="32"/>
      <c r="AF293" s="42"/>
      <c r="AG293" s="5"/>
    </row>
    <row r="294" spans="1:33" x14ac:dyDescent="0.25">
      <c r="A294" s="23"/>
      <c r="B294" s="24"/>
      <c r="C294" s="25"/>
      <c r="D294" s="27"/>
      <c r="E294" s="27"/>
      <c r="F294" s="28"/>
      <c r="G294" s="27"/>
      <c r="H294" s="27"/>
      <c r="I294" s="172"/>
      <c r="J294" s="214"/>
      <c r="K294" s="27"/>
      <c r="L294" s="172"/>
      <c r="M294" s="32"/>
      <c r="N294" s="32"/>
      <c r="O294" s="33"/>
      <c r="P294" s="33"/>
      <c r="Q294" s="32"/>
      <c r="R294" s="42"/>
      <c r="S294" s="42"/>
      <c r="T294" s="42"/>
      <c r="U294" s="32"/>
      <c r="V294" s="33"/>
      <c r="W294" s="33"/>
      <c r="X294" s="32"/>
      <c r="Y294" s="32"/>
      <c r="Z294" s="32"/>
      <c r="AA294" s="33"/>
      <c r="AB294" s="33"/>
      <c r="AC294" s="33"/>
      <c r="AD294" s="32"/>
      <c r="AE294" s="32"/>
      <c r="AF294" s="42"/>
      <c r="AG294" s="5"/>
    </row>
    <row r="295" spans="1:33" x14ac:dyDescent="0.25">
      <c r="A295" s="23"/>
      <c r="B295" s="24"/>
      <c r="C295" s="25"/>
      <c r="D295" s="27"/>
      <c r="E295" s="27"/>
      <c r="F295" s="28"/>
      <c r="G295" s="27"/>
      <c r="H295" s="27"/>
      <c r="I295" s="172"/>
      <c r="J295" s="214"/>
      <c r="K295" s="27"/>
      <c r="L295" s="172"/>
      <c r="M295" s="32"/>
      <c r="N295" s="32"/>
      <c r="O295" s="33"/>
      <c r="P295" s="33"/>
      <c r="Q295" s="32"/>
      <c r="R295" s="42"/>
      <c r="S295" s="42"/>
      <c r="T295" s="42"/>
      <c r="U295" s="32"/>
      <c r="V295" s="33"/>
      <c r="W295" s="33"/>
      <c r="X295" s="32"/>
      <c r="Y295" s="32"/>
      <c r="Z295" s="32"/>
      <c r="AA295" s="33"/>
      <c r="AB295" s="33"/>
      <c r="AC295" s="33"/>
      <c r="AD295" s="32"/>
      <c r="AE295" s="32"/>
      <c r="AF295" s="42"/>
      <c r="AG295" s="5"/>
    </row>
    <row r="296" spans="1:33" x14ac:dyDescent="0.25">
      <c r="A296" s="23"/>
      <c r="B296" s="24"/>
      <c r="C296" s="25"/>
      <c r="D296" s="27"/>
      <c r="E296" s="27"/>
      <c r="F296" s="28"/>
      <c r="G296" s="27"/>
      <c r="H296" s="27"/>
      <c r="I296" s="172"/>
      <c r="J296" s="214"/>
      <c r="K296" s="27"/>
      <c r="L296" s="172"/>
      <c r="M296" s="32"/>
      <c r="N296" s="32"/>
      <c r="O296" s="33"/>
      <c r="P296" s="33"/>
      <c r="Q296" s="32"/>
      <c r="R296" s="42"/>
      <c r="S296" s="42"/>
      <c r="T296" s="42"/>
      <c r="U296" s="32"/>
      <c r="V296" s="33"/>
      <c r="W296" s="33"/>
      <c r="X296" s="32"/>
      <c r="Y296" s="32"/>
      <c r="Z296" s="32"/>
      <c r="AA296" s="33"/>
      <c r="AB296" s="33"/>
      <c r="AC296" s="33"/>
      <c r="AD296" s="32"/>
      <c r="AE296" s="32"/>
      <c r="AF296" s="42"/>
      <c r="AG296" s="5"/>
    </row>
    <row r="297" spans="1:33" x14ac:dyDescent="0.25">
      <c r="A297" s="23"/>
      <c r="B297" s="24"/>
      <c r="C297" s="25"/>
      <c r="D297" s="27"/>
      <c r="E297" s="27"/>
      <c r="F297" s="28"/>
      <c r="G297" s="27"/>
      <c r="H297" s="27"/>
      <c r="I297" s="172"/>
      <c r="J297" s="214"/>
      <c r="K297" s="27"/>
      <c r="L297" s="172"/>
      <c r="M297" s="32"/>
      <c r="N297" s="32"/>
      <c r="O297" s="33"/>
      <c r="P297" s="33"/>
      <c r="Q297" s="32"/>
      <c r="R297" s="42"/>
      <c r="S297" s="42"/>
      <c r="T297" s="42"/>
      <c r="U297" s="32"/>
      <c r="V297" s="33"/>
      <c r="W297" s="33"/>
      <c r="X297" s="32"/>
      <c r="Y297" s="32"/>
      <c r="Z297" s="32"/>
      <c r="AA297" s="33"/>
      <c r="AB297" s="33"/>
      <c r="AC297" s="33"/>
      <c r="AD297" s="32"/>
      <c r="AE297" s="32"/>
      <c r="AF297" s="42"/>
      <c r="AG297" s="5"/>
    </row>
    <row r="298" spans="1:33" x14ac:dyDescent="0.25">
      <c r="A298" s="23"/>
      <c r="B298" s="24"/>
      <c r="C298" s="25"/>
      <c r="D298" s="27"/>
      <c r="E298" s="27"/>
      <c r="F298" s="28"/>
      <c r="G298" s="27"/>
      <c r="H298" s="27"/>
      <c r="I298" s="172"/>
      <c r="J298" s="214"/>
      <c r="K298" s="27"/>
      <c r="L298" s="172"/>
      <c r="M298" s="32"/>
      <c r="N298" s="32"/>
      <c r="O298" s="33"/>
      <c r="P298" s="33"/>
      <c r="Q298" s="32"/>
      <c r="R298" s="42"/>
      <c r="S298" s="42"/>
      <c r="T298" s="42"/>
      <c r="U298" s="32"/>
      <c r="V298" s="33"/>
      <c r="W298" s="33"/>
      <c r="X298" s="32"/>
      <c r="Y298" s="32"/>
      <c r="Z298" s="32"/>
      <c r="AA298" s="33"/>
      <c r="AB298" s="33"/>
      <c r="AC298" s="33"/>
      <c r="AD298" s="32"/>
      <c r="AE298" s="32"/>
      <c r="AF298" s="42"/>
      <c r="AG298" s="5"/>
    </row>
    <row r="299" spans="1:33" x14ac:dyDescent="0.25">
      <c r="A299" s="23"/>
      <c r="B299" s="24"/>
      <c r="C299" s="25"/>
      <c r="D299" s="27"/>
      <c r="E299" s="27"/>
      <c r="F299" s="28"/>
      <c r="G299" s="27"/>
      <c r="H299" s="27"/>
      <c r="I299" s="172"/>
      <c r="J299" s="214"/>
      <c r="K299" s="27"/>
      <c r="L299" s="172"/>
      <c r="M299" s="32"/>
      <c r="N299" s="32"/>
      <c r="O299" s="33"/>
      <c r="P299" s="33"/>
      <c r="Q299" s="32"/>
      <c r="R299" s="42"/>
      <c r="S299" s="42"/>
      <c r="T299" s="42"/>
      <c r="U299" s="32"/>
      <c r="V299" s="33"/>
      <c r="W299" s="33"/>
      <c r="X299" s="32"/>
      <c r="Y299" s="32"/>
      <c r="Z299" s="32"/>
      <c r="AA299" s="33"/>
      <c r="AB299" s="33"/>
      <c r="AC299" s="33"/>
      <c r="AD299" s="32"/>
      <c r="AE299" s="32"/>
      <c r="AF299" s="42"/>
      <c r="AG299" s="5"/>
    </row>
    <row r="300" spans="1:33" x14ac:dyDescent="0.25">
      <c r="A300" s="23"/>
      <c r="B300" s="24"/>
      <c r="C300" s="25"/>
      <c r="D300" s="27"/>
      <c r="E300" s="27"/>
      <c r="F300" s="28"/>
      <c r="G300" s="27"/>
      <c r="H300" s="27"/>
      <c r="I300" s="172"/>
      <c r="J300" s="214"/>
      <c r="K300" s="27"/>
      <c r="L300" s="172"/>
      <c r="M300" s="32"/>
      <c r="N300" s="32"/>
      <c r="O300" s="33"/>
      <c r="P300" s="33"/>
      <c r="Q300" s="32"/>
      <c r="R300" s="42"/>
      <c r="S300" s="42"/>
      <c r="T300" s="42"/>
      <c r="U300" s="32"/>
      <c r="V300" s="33"/>
      <c r="W300" s="33"/>
      <c r="X300" s="32"/>
      <c r="Y300" s="32"/>
      <c r="Z300" s="32"/>
      <c r="AA300" s="33"/>
      <c r="AB300" s="33"/>
      <c r="AC300" s="33"/>
      <c r="AD300" s="32"/>
      <c r="AE300" s="32"/>
      <c r="AF300" s="42"/>
      <c r="AG300" s="5"/>
    </row>
    <row r="301" spans="1:33" x14ac:dyDescent="0.25">
      <c r="A301" s="23"/>
      <c r="B301" s="24"/>
      <c r="C301" s="25"/>
      <c r="D301" s="27"/>
      <c r="E301" s="27"/>
      <c r="F301" s="28"/>
      <c r="G301" s="27"/>
      <c r="H301" s="27"/>
      <c r="I301" s="172"/>
      <c r="J301" s="214"/>
      <c r="K301" s="27"/>
      <c r="L301" s="172"/>
      <c r="M301" s="32"/>
      <c r="N301" s="32"/>
      <c r="O301" s="33"/>
      <c r="P301" s="33"/>
      <c r="Q301" s="32"/>
      <c r="R301" s="42"/>
      <c r="S301" s="42"/>
      <c r="T301" s="42"/>
      <c r="U301" s="32"/>
      <c r="V301" s="33"/>
      <c r="W301" s="33"/>
      <c r="X301" s="32"/>
      <c r="Y301" s="32"/>
      <c r="Z301" s="32"/>
      <c r="AA301" s="33"/>
      <c r="AB301" s="33"/>
      <c r="AC301" s="33"/>
      <c r="AD301" s="32"/>
      <c r="AE301" s="32"/>
      <c r="AF301" s="42"/>
      <c r="AG301" s="5"/>
    </row>
    <row r="302" spans="1:33" x14ac:dyDescent="0.25">
      <c r="A302" s="23"/>
      <c r="B302" s="24"/>
      <c r="C302" s="25"/>
      <c r="D302" s="27"/>
      <c r="E302" s="27"/>
      <c r="F302" s="28"/>
      <c r="G302" s="27"/>
      <c r="H302" s="27"/>
      <c r="I302" s="172"/>
      <c r="J302" s="214"/>
      <c r="K302" s="27"/>
      <c r="L302" s="172"/>
      <c r="M302" s="32"/>
      <c r="N302" s="32"/>
      <c r="O302" s="33"/>
      <c r="P302" s="33"/>
      <c r="Q302" s="32"/>
      <c r="R302" s="42"/>
      <c r="S302" s="42"/>
      <c r="T302" s="42"/>
      <c r="U302" s="32"/>
      <c r="V302" s="33"/>
      <c r="W302" s="33"/>
      <c r="X302" s="32"/>
      <c r="Y302" s="32"/>
      <c r="Z302" s="32"/>
      <c r="AA302" s="33"/>
      <c r="AB302" s="33"/>
      <c r="AC302" s="33"/>
      <c r="AD302" s="32"/>
      <c r="AE302" s="32"/>
      <c r="AF302" s="42"/>
      <c r="AG302" s="5"/>
    </row>
    <row r="303" spans="1:33" x14ac:dyDescent="0.25">
      <c r="A303" s="23"/>
      <c r="B303" s="24"/>
      <c r="C303" s="25"/>
      <c r="D303" s="27"/>
      <c r="E303" s="27"/>
      <c r="F303" s="28"/>
      <c r="G303" s="27"/>
      <c r="H303" s="27"/>
      <c r="I303" s="172"/>
      <c r="J303" s="214"/>
      <c r="K303" s="27"/>
      <c r="L303" s="172"/>
      <c r="M303" s="32"/>
      <c r="N303" s="32"/>
      <c r="O303" s="33"/>
      <c r="P303" s="33"/>
      <c r="Q303" s="32"/>
      <c r="R303" s="42"/>
      <c r="S303" s="42"/>
      <c r="T303" s="42"/>
      <c r="U303" s="32"/>
      <c r="V303" s="33"/>
      <c r="W303" s="33"/>
      <c r="X303" s="32"/>
      <c r="Y303" s="32"/>
      <c r="Z303" s="32"/>
      <c r="AA303" s="33"/>
      <c r="AB303" s="33"/>
      <c r="AC303" s="33"/>
      <c r="AD303" s="32"/>
      <c r="AE303" s="32"/>
      <c r="AF303" s="42"/>
      <c r="AG303" s="5"/>
    </row>
    <row r="304" spans="1:33" x14ac:dyDescent="0.25">
      <c r="A304" s="23"/>
      <c r="B304" s="24"/>
      <c r="C304" s="25"/>
      <c r="D304" s="27"/>
      <c r="E304" s="27"/>
      <c r="F304" s="28"/>
      <c r="G304" s="27"/>
      <c r="H304" s="27"/>
      <c r="I304" s="172"/>
      <c r="J304" s="214"/>
      <c r="K304" s="27"/>
      <c r="L304" s="172"/>
      <c r="M304" s="32"/>
      <c r="N304" s="32"/>
      <c r="O304" s="33"/>
      <c r="P304" s="33"/>
      <c r="Q304" s="32"/>
      <c r="R304" s="42"/>
      <c r="S304" s="42"/>
      <c r="T304" s="42"/>
      <c r="U304" s="32"/>
      <c r="V304" s="33"/>
      <c r="W304" s="33"/>
      <c r="X304" s="32"/>
      <c r="Y304" s="32"/>
      <c r="Z304" s="32"/>
      <c r="AA304" s="33"/>
      <c r="AB304" s="33"/>
      <c r="AC304" s="33"/>
      <c r="AD304" s="32"/>
      <c r="AE304" s="32"/>
      <c r="AF304" s="42"/>
      <c r="AG304" s="5"/>
    </row>
    <row r="305" spans="1:33" x14ac:dyDescent="0.25">
      <c r="A305" s="23"/>
      <c r="B305" s="24"/>
      <c r="C305" s="25"/>
      <c r="D305" s="27"/>
      <c r="E305" s="27"/>
      <c r="F305" s="28"/>
      <c r="G305" s="27"/>
      <c r="H305" s="27"/>
      <c r="I305" s="172"/>
      <c r="J305" s="214"/>
      <c r="K305" s="27"/>
      <c r="L305" s="172"/>
      <c r="M305" s="32"/>
      <c r="N305" s="32"/>
      <c r="O305" s="33"/>
      <c r="P305" s="33"/>
      <c r="Q305" s="32"/>
      <c r="R305" s="42"/>
      <c r="S305" s="42"/>
      <c r="T305" s="42"/>
      <c r="U305" s="32"/>
      <c r="V305" s="33"/>
      <c r="W305" s="33"/>
      <c r="X305" s="32"/>
      <c r="Y305" s="32"/>
      <c r="Z305" s="32"/>
      <c r="AA305" s="33"/>
      <c r="AB305" s="33"/>
      <c r="AC305" s="33"/>
      <c r="AD305" s="32"/>
      <c r="AE305" s="32"/>
      <c r="AF305" s="42"/>
      <c r="AG305" s="5"/>
    </row>
    <row r="306" spans="1:33" x14ac:dyDescent="0.25">
      <c r="A306" s="23"/>
      <c r="B306" s="24"/>
      <c r="C306" s="25"/>
      <c r="D306" s="27"/>
      <c r="E306" s="27"/>
      <c r="F306" s="28"/>
      <c r="G306" s="27"/>
      <c r="H306" s="27"/>
      <c r="I306" s="172"/>
      <c r="J306" s="214"/>
      <c r="K306" s="27"/>
      <c r="L306" s="172"/>
      <c r="M306" s="32"/>
      <c r="N306" s="32"/>
      <c r="O306" s="33"/>
      <c r="P306" s="33"/>
      <c r="Q306" s="32"/>
      <c r="R306" s="42"/>
      <c r="S306" s="42"/>
      <c r="T306" s="42"/>
      <c r="U306" s="32"/>
      <c r="V306" s="33"/>
      <c r="W306" s="33"/>
      <c r="X306" s="32"/>
      <c r="Y306" s="32"/>
      <c r="Z306" s="32"/>
      <c r="AA306" s="33"/>
      <c r="AB306" s="33"/>
      <c r="AC306" s="33"/>
      <c r="AD306" s="32"/>
      <c r="AE306" s="32"/>
      <c r="AF306" s="42"/>
      <c r="AG306" s="5"/>
    </row>
    <row r="307" spans="1:33" x14ac:dyDescent="0.25">
      <c r="A307" s="23"/>
      <c r="B307" s="24"/>
      <c r="C307" s="25"/>
      <c r="D307" s="27"/>
      <c r="E307" s="27"/>
      <c r="F307" s="28"/>
      <c r="G307" s="27"/>
      <c r="H307" s="27"/>
      <c r="I307" s="172"/>
      <c r="J307" s="214"/>
      <c r="K307" s="27"/>
      <c r="L307" s="172"/>
      <c r="M307" s="32"/>
      <c r="N307" s="32"/>
      <c r="O307" s="33"/>
      <c r="P307" s="33"/>
      <c r="Q307" s="32"/>
      <c r="R307" s="42"/>
      <c r="S307" s="42"/>
      <c r="T307" s="42"/>
      <c r="U307" s="32"/>
      <c r="V307" s="33"/>
      <c r="W307" s="33"/>
      <c r="X307" s="32"/>
      <c r="Y307" s="32"/>
      <c r="Z307" s="32"/>
      <c r="AA307" s="33"/>
      <c r="AB307" s="33"/>
      <c r="AC307" s="33"/>
      <c r="AD307" s="32"/>
      <c r="AE307" s="32"/>
      <c r="AF307" s="42"/>
      <c r="AG307" s="5"/>
    </row>
    <row r="308" spans="1:33" x14ac:dyDescent="0.25">
      <c r="A308" s="23"/>
      <c r="B308" s="24"/>
      <c r="C308" s="25"/>
      <c r="D308" s="27"/>
      <c r="E308" s="27"/>
      <c r="F308" s="28"/>
      <c r="G308" s="27"/>
      <c r="H308" s="27"/>
      <c r="I308" s="172"/>
      <c r="J308" s="214"/>
      <c r="K308" s="27"/>
      <c r="L308" s="172"/>
      <c r="M308" s="32"/>
      <c r="N308" s="32"/>
      <c r="O308" s="33"/>
      <c r="P308" s="33"/>
      <c r="Q308" s="32"/>
      <c r="R308" s="42"/>
      <c r="S308" s="42"/>
      <c r="T308" s="42"/>
      <c r="U308" s="32"/>
      <c r="V308" s="33"/>
      <c r="W308" s="33"/>
      <c r="X308" s="32"/>
      <c r="Y308" s="32"/>
      <c r="Z308" s="32"/>
      <c r="AA308" s="33"/>
      <c r="AB308" s="33"/>
      <c r="AC308" s="33"/>
      <c r="AD308" s="32"/>
      <c r="AE308" s="32"/>
      <c r="AF308" s="42"/>
      <c r="AG308" s="5"/>
    </row>
    <row r="309" spans="1:33" x14ac:dyDescent="0.25">
      <c r="A309" s="23"/>
      <c r="B309" s="24"/>
      <c r="C309" s="25"/>
      <c r="D309" s="27"/>
      <c r="E309" s="27"/>
      <c r="F309" s="28"/>
      <c r="G309" s="27"/>
      <c r="H309" s="27"/>
      <c r="I309" s="172"/>
      <c r="J309" s="214"/>
      <c r="K309" s="27"/>
      <c r="L309" s="172"/>
      <c r="M309" s="32"/>
      <c r="N309" s="32"/>
      <c r="O309" s="33"/>
      <c r="P309" s="33"/>
      <c r="Q309" s="32"/>
      <c r="R309" s="42"/>
      <c r="S309" s="42"/>
      <c r="T309" s="42"/>
      <c r="U309" s="32"/>
      <c r="V309" s="33"/>
      <c r="W309" s="33"/>
      <c r="X309" s="32"/>
      <c r="Y309" s="32"/>
      <c r="Z309" s="32"/>
      <c r="AA309" s="33"/>
      <c r="AB309" s="33"/>
      <c r="AC309" s="33"/>
      <c r="AD309" s="32"/>
      <c r="AE309" s="32"/>
      <c r="AF309" s="42"/>
      <c r="AG309" s="5"/>
    </row>
    <row r="310" spans="1:33" x14ac:dyDescent="0.25">
      <c r="A310" s="23"/>
      <c r="B310" s="24"/>
      <c r="C310" s="25"/>
      <c r="D310" s="27"/>
      <c r="E310" s="27"/>
      <c r="F310" s="28"/>
      <c r="G310" s="27"/>
      <c r="H310" s="27"/>
      <c r="I310" s="172"/>
      <c r="J310" s="214"/>
      <c r="K310" s="27"/>
      <c r="L310" s="172"/>
      <c r="M310" s="32"/>
      <c r="N310" s="32"/>
      <c r="O310" s="33"/>
      <c r="P310" s="33"/>
      <c r="Q310" s="32"/>
      <c r="R310" s="42"/>
      <c r="S310" s="42"/>
      <c r="T310" s="42"/>
      <c r="U310" s="32"/>
      <c r="V310" s="33"/>
      <c r="W310" s="33"/>
      <c r="X310" s="32"/>
      <c r="Y310" s="32"/>
      <c r="Z310" s="32"/>
      <c r="AA310" s="33"/>
      <c r="AB310" s="33"/>
      <c r="AC310" s="33"/>
      <c r="AD310" s="32"/>
      <c r="AE310" s="32"/>
      <c r="AF310" s="42"/>
      <c r="AG310" s="5"/>
    </row>
    <row r="311" spans="1:33" x14ac:dyDescent="0.25">
      <c r="A311" s="23"/>
      <c r="B311" s="24"/>
      <c r="C311" s="25"/>
      <c r="D311" s="27"/>
      <c r="E311" s="27"/>
      <c r="F311" s="28"/>
      <c r="G311" s="27"/>
      <c r="H311" s="27"/>
      <c r="I311" s="172"/>
      <c r="J311" s="214"/>
      <c r="K311" s="27"/>
      <c r="L311" s="172"/>
      <c r="M311" s="32"/>
      <c r="N311" s="32"/>
      <c r="O311" s="33"/>
      <c r="P311" s="33"/>
      <c r="Q311" s="32"/>
      <c r="R311" s="42"/>
      <c r="S311" s="42"/>
      <c r="T311" s="42"/>
      <c r="U311" s="32"/>
      <c r="V311" s="33"/>
      <c r="W311" s="33"/>
      <c r="X311" s="32"/>
      <c r="Y311" s="32"/>
      <c r="Z311" s="32"/>
      <c r="AA311" s="33"/>
      <c r="AB311" s="33"/>
      <c r="AC311" s="33"/>
      <c r="AD311" s="32"/>
      <c r="AE311" s="32"/>
      <c r="AF311" s="42"/>
      <c r="AG311" s="5"/>
    </row>
    <row r="312" spans="1:33" x14ac:dyDescent="0.25">
      <c r="A312" s="23"/>
      <c r="B312" s="24"/>
      <c r="C312" s="25"/>
      <c r="D312" s="27"/>
      <c r="E312" s="27"/>
      <c r="F312" s="28"/>
      <c r="G312" s="27"/>
      <c r="H312" s="27"/>
      <c r="I312" s="172"/>
      <c r="J312" s="214"/>
      <c r="K312" s="27"/>
      <c r="L312" s="172"/>
      <c r="M312" s="32"/>
      <c r="N312" s="32"/>
      <c r="O312" s="33"/>
      <c r="P312" s="33"/>
      <c r="Q312" s="32"/>
      <c r="R312" s="42"/>
      <c r="S312" s="42"/>
      <c r="T312" s="42"/>
      <c r="U312" s="32"/>
      <c r="V312" s="33"/>
      <c r="W312" s="33"/>
      <c r="X312" s="32"/>
      <c r="Y312" s="32"/>
      <c r="Z312" s="32"/>
      <c r="AA312" s="33"/>
      <c r="AB312" s="33"/>
      <c r="AC312" s="33"/>
      <c r="AD312" s="32"/>
      <c r="AE312" s="32"/>
      <c r="AF312" s="42"/>
      <c r="AG312" s="5"/>
    </row>
    <row r="313" spans="1:33" x14ac:dyDescent="0.25">
      <c r="A313" s="23"/>
      <c r="B313" s="24"/>
      <c r="C313" s="25"/>
      <c r="D313" s="27"/>
      <c r="E313" s="27"/>
      <c r="F313" s="28"/>
      <c r="G313" s="27"/>
      <c r="H313" s="27"/>
      <c r="I313" s="172"/>
      <c r="J313" s="214"/>
      <c r="K313" s="27"/>
      <c r="L313" s="172"/>
      <c r="M313" s="32"/>
      <c r="N313" s="32"/>
      <c r="O313" s="33"/>
      <c r="P313" s="33"/>
      <c r="Q313" s="32"/>
      <c r="R313" s="42"/>
      <c r="S313" s="42"/>
      <c r="T313" s="42"/>
      <c r="U313" s="32"/>
      <c r="V313" s="33"/>
      <c r="W313" s="33"/>
      <c r="X313" s="32"/>
      <c r="Y313" s="32"/>
      <c r="Z313" s="32"/>
      <c r="AA313" s="33"/>
      <c r="AB313" s="33"/>
      <c r="AC313" s="33"/>
      <c r="AD313" s="32"/>
      <c r="AE313" s="32"/>
      <c r="AF313" s="42"/>
      <c r="AG313" s="5"/>
    </row>
    <row r="314" spans="1:33" x14ac:dyDescent="0.25">
      <c r="A314" s="23"/>
      <c r="B314" s="24"/>
      <c r="C314" s="25"/>
      <c r="D314" s="27"/>
      <c r="E314" s="27"/>
      <c r="F314" s="28"/>
      <c r="G314" s="27"/>
      <c r="H314" s="27"/>
      <c r="I314" s="172"/>
      <c r="J314" s="214"/>
      <c r="K314" s="27"/>
      <c r="L314" s="172"/>
      <c r="M314" s="32"/>
      <c r="N314" s="32"/>
      <c r="O314" s="33"/>
      <c r="P314" s="33"/>
      <c r="Q314" s="32"/>
      <c r="R314" s="42"/>
      <c r="S314" s="42"/>
      <c r="T314" s="42"/>
      <c r="U314" s="32"/>
      <c r="V314" s="33"/>
      <c r="W314" s="33"/>
      <c r="X314" s="32"/>
      <c r="Y314" s="32"/>
      <c r="Z314" s="32"/>
      <c r="AA314" s="33"/>
      <c r="AB314" s="33"/>
      <c r="AC314" s="33"/>
      <c r="AD314" s="32"/>
      <c r="AE314" s="32"/>
      <c r="AF314" s="42"/>
      <c r="AG314" s="5"/>
    </row>
    <row r="315" spans="1:33" x14ac:dyDescent="0.25">
      <c r="A315" s="23"/>
      <c r="B315" s="24"/>
      <c r="C315" s="25"/>
      <c r="D315" s="27"/>
      <c r="E315" s="27"/>
      <c r="F315" s="28"/>
      <c r="G315" s="27"/>
      <c r="H315" s="27"/>
      <c r="I315" s="172"/>
      <c r="J315" s="214"/>
      <c r="K315" s="27"/>
      <c r="L315" s="172"/>
      <c r="M315" s="32"/>
      <c r="N315" s="32"/>
      <c r="O315" s="33"/>
      <c r="P315" s="33"/>
      <c r="Q315" s="32"/>
      <c r="R315" s="42"/>
      <c r="S315" s="42"/>
      <c r="T315" s="42"/>
      <c r="U315" s="32"/>
      <c r="V315" s="33"/>
      <c r="W315" s="33"/>
      <c r="X315" s="32"/>
      <c r="Y315" s="32"/>
      <c r="Z315" s="32"/>
      <c r="AA315" s="33"/>
      <c r="AB315" s="33"/>
      <c r="AC315" s="33"/>
      <c r="AD315" s="32"/>
      <c r="AE315" s="32"/>
      <c r="AF315" s="42"/>
      <c r="AG315" s="5"/>
    </row>
    <row r="316" spans="1:33" x14ac:dyDescent="0.25">
      <c r="A316" s="23"/>
      <c r="B316" s="24"/>
      <c r="C316" s="25"/>
      <c r="D316" s="27"/>
      <c r="E316" s="27"/>
      <c r="F316" s="28"/>
      <c r="G316" s="27"/>
      <c r="H316" s="27"/>
      <c r="I316" s="172"/>
      <c r="J316" s="214"/>
      <c r="K316" s="27"/>
      <c r="L316" s="172"/>
      <c r="M316" s="32"/>
      <c r="N316" s="32"/>
      <c r="O316" s="33"/>
      <c r="P316" s="33"/>
      <c r="Q316" s="32"/>
      <c r="R316" s="42"/>
      <c r="S316" s="42"/>
      <c r="T316" s="42"/>
      <c r="U316" s="32"/>
      <c r="V316" s="33"/>
      <c r="W316" s="33"/>
      <c r="X316" s="32"/>
      <c r="Y316" s="32"/>
      <c r="Z316" s="32"/>
      <c r="AA316" s="33"/>
      <c r="AB316" s="33"/>
      <c r="AC316" s="33"/>
      <c r="AD316" s="32"/>
      <c r="AE316" s="32"/>
      <c r="AF316" s="42"/>
      <c r="AG316" s="5"/>
    </row>
    <row r="317" spans="1:33" x14ac:dyDescent="0.25">
      <c r="A317" s="23"/>
      <c r="B317" s="24"/>
      <c r="C317" s="25"/>
      <c r="D317" s="27"/>
      <c r="E317" s="27"/>
      <c r="F317" s="28"/>
      <c r="G317" s="27"/>
      <c r="H317" s="27"/>
      <c r="I317" s="172"/>
      <c r="J317" s="214"/>
      <c r="K317" s="27"/>
      <c r="L317" s="172"/>
      <c r="M317" s="32"/>
      <c r="N317" s="32"/>
      <c r="O317" s="33"/>
      <c r="P317" s="33"/>
      <c r="Q317" s="32"/>
      <c r="R317" s="42"/>
      <c r="S317" s="42"/>
      <c r="T317" s="42"/>
      <c r="U317" s="32"/>
      <c r="V317" s="33"/>
      <c r="W317" s="33"/>
      <c r="X317" s="32"/>
      <c r="Y317" s="32"/>
      <c r="Z317" s="32"/>
      <c r="AA317" s="33"/>
      <c r="AB317" s="33"/>
      <c r="AC317" s="33"/>
      <c r="AD317" s="32"/>
      <c r="AE317" s="32"/>
      <c r="AF317" s="42"/>
      <c r="AG317" s="5"/>
    </row>
    <row r="318" spans="1:33" x14ac:dyDescent="0.25">
      <c r="A318" s="23"/>
      <c r="B318" s="24"/>
      <c r="C318" s="25"/>
      <c r="D318" s="27"/>
      <c r="E318" s="27"/>
      <c r="F318" s="28"/>
      <c r="G318" s="27"/>
      <c r="H318" s="27"/>
      <c r="I318" s="172"/>
      <c r="J318" s="214"/>
      <c r="K318" s="27"/>
      <c r="L318" s="172"/>
      <c r="M318" s="32"/>
      <c r="N318" s="32"/>
      <c r="O318" s="33"/>
      <c r="P318" s="33"/>
      <c r="Q318" s="32"/>
      <c r="R318" s="42"/>
      <c r="S318" s="42"/>
      <c r="T318" s="42"/>
      <c r="U318" s="32"/>
      <c r="V318" s="33"/>
      <c r="W318" s="33"/>
      <c r="X318" s="32"/>
      <c r="Y318" s="32"/>
      <c r="Z318" s="32"/>
      <c r="AA318" s="33"/>
      <c r="AB318" s="33"/>
      <c r="AC318" s="33"/>
      <c r="AD318" s="32"/>
      <c r="AE318" s="32"/>
      <c r="AF318" s="42"/>
      <c r="AG318" s="5"/>
    </row>
    <row r="319" spans="1:33" x14ac:dyDescent="0.25">
      <c r="A319" s="23"/>
      <c r="B319" s="24"/>
      <c r="C319" s="25"/>
      <c r="D319" s="27"/>
      <c r="E319" s="27"/>
      <c r="F319" s="28"/>
      <c r="G319" s="27"/>
      <c r="H319" s="27"/>
      <c r="I319" s="172"/>
      <c r="J319" s="214"/>
      <c r="K319" s="27"/>
      <c r="L319" s="172"/>
      <c r="M319" s="32"/>
      <c r="N319" s="32"/>
      <c r="O319" s="33"/>
      <c r="P319" s="33"/>
      <c r="Q319" s="32"/>
      <c r="R319" s="42"/>
      <c r="S319" s="42"/>
      <c r="T319" s="42"/>
      <c r="U319" s="32"/>
      <c r="V319" s="33"/>
      <c r="W319" s="33"/>
      <c r="X319" s="32"/>
      <c r="Y319" s="32"/>
      <c r="Z319" s="32"/>
      <c r="AA319" s="33"/>
      <c r="AB319" s="33"/>
      <c r="AC319" s="33"/>
      <c r="AD319" s="32"/>
      <c r="AE319" s="32"/>
      <c r="AF319" s="42"/>
      <c r="AG319" s="5"/>
    </row>
    <row r="320" spans="1:33" x14ac:dyDescent="0.25">
      <c r="A320" s="23"/>
      <c r="B320" s="24"/>
      <c r="C320" s="25"/>
      <c r="D320" s="27"/>
      <c r="E320" s="27"/>
      <c r="F320" s="28"/>
      <c r="G320" s="27"/>
      <c r="H320" s="27"/>
      <c r="I320" s="172"/>
      <c r="J320" s="214"/>
      <c r="K320" s="27"/>
      <c r="L320" s="172"/>
      <c r="M320" s="32"/>
      <c r="N320" s="32"/>
      <c r="O320" s="33"/>
      <c r="P320" s="33"/>
      <c r="Q320" s="32"/>
      <c r="R320" s="42"/>
      <c r="S320" s="42"/>
      <c r="T320" s="42"/>
      <c r="U320" s="32"/>
      <c r="V320" s="33"/>
      <c r="W320" s="33"/>
      <c r="X320" s="32"/>
      <c r="Y320" s="32"/>
      <c r="Z320" s="32"/>
      <c r="AA320" s="33"/>
      <c r="AB320" s="33"/>
      <c r="AC320" s="33"/>
      <c r="AD320" s="32"/>
      <c r="AE320" s="32"/>
      <c r="AF320" s="42"/>
      <c r="AG320" s="5"/>
    </row>
    <row r="321" spans="1:33" x14ac:dyDescent="0.25">
      <c r="A321" s="23"/>
      <c r="B321" s="24"/>
      <c r="C321" s="25"/>
      <c r="D321" s="27"/>
      <c r="E321" s="27"/>
      <c r="F321" s="28"/>
      <c r="G321" s="27"/>
      <c r="H321" s="27"/>
      <c r="I321" s="172"/>
      <c r="J321" s="214"/>
      <c r="K321" s="27"/>
      <c r="L321" s="172"/>
      <c r="M321" s="32"/>
      <c r="N321" s="32"/>
      <c r="O321" s="33"/>
      <c r="P321" s="33"/>
      <c r="Q321" s="32"/>
      <c r="R321" s="42"/>
      <c r="S321" s="42"/>
      <c r="T321" s="42"/>
      <c r="U321" s="32"/>
      <c r="V321" s="33"/>
      <c r="W321" s="33"/>
      <c r="X321" s="32"/>
      <c r="Y321" s="32"/>
      <c r="Z321" s="32"/>
      <c r="AA321" s="33"/>
      <c r="AB321" s="33"/>
      <c r="AC321" s="33"/>
      <c r="AD321" s="32"/>
      <c r="AE321" s="32"/>
      <c r="AF321" s="42"/>
      <c r="AG321" s="5"/>
    </row>
    <row r="322" spans="1:33" x14ac:dyDescent="0.25">
      <c r="A322" s="23"/>
      <c r="B322" s="24"/>
      <c r="C322" s="25"/>
      <c r="D322" s="27"/>
      <c r="E322" s="27"/>
      <c r="F322" s="28"/>
      <c r="G322" s="27"/>
      <c r="H322" s="27"/>
      <c r="I322" s="172"/>
      <c r="J322" s="214"/>
      <c r="K322" s="27"/>
      <c r="L322" s="172"/>
      <c r="M322" s="32"/>
      <c r="N322" s="32"/>
      <c r="O322" s="33"/>
      <c r="P322" s="33"/>
      <c r="Q322" s="32"/>
      <c r="R322" s="42"/>
      <c r="S322" s="42"/>
      <c r="T322" s="42"/>
      <c r="U322" s="32"/>
      <c r="V322" s="33"/>
      <c r="W322" s="33"/>
      <c r="X322" s="32"/>
      <c r="Y322" s="32"/>
      <c r="Z322" s="32"/>
      <c r="AA322" s="33"/>
      <c r="AB322" s="33"/>
      <c r="AC322" s="33"/>
      <c r="AD322" s="32"/>
      <c r="AE322" s="32"/>
      <c r="AF322" s="42"/>
      <c r="AG322" s="5"/>
    </row>
    <row r="323" spans="1:33" x14ac:dyDescent="0.25">
      <c r="A323" s="23"/>
      <c r="B323" s="24"/>
      <c r="C323" s="25"/>
      <c r="D323" s="27"/>
      <c r="E323" s="27"/>
      <c r="F323" s="28"/>
      <c r="G323" s="27"/>
      <c r="H323" s="27"/>
      <c r="I323" s="172"/>
      <c r="J323" s="214"/>
      <c r="K323" s="27"/>
      <c r="L323" s="172"/>
      <c r="M323" s="32"/>
      <c r="N323" s="32"/>
      <c r="O323" s="33"/>
      <c r="P323" s="33"/>
      <c r="Q323" s="32"/>
      <c r="R323" s="42"/>
      <c r="S323" s="42"/>
      <c r="T323" s="42"/>
      <c r="U323" s="32"/>
      <c r="V323" s="33"/>
      <c r="W323" s="33"/>
      <c r="X323" s="32"/>
      <c r="Y323" s="32"/>
      <c r="Z323" s="32"/>
      <c r="AA323" s="33"/>
      <c r="AB323" s="33"/>
      <c r="AC323" s="33"/>
      <c r="AD323" s="32"/>
      <c r="AE323" s="32"/>
      <c r="AF323" s="42"/>
      <c r="AG323" s="5"/>
    </row>
    <row r="324" spans="1:33" x14ac:dyDescent="0.25">
      <c r="A324" s="23"/>
      <c r="B324" s="24"/>
      <c r="C324" s="25"/>
      <c r="D324" s="27"/>
      <c r="E324" s="27"/>
      <c r="F324" s="28"/>
      <c r="G324" s="27"/>
      <c r="H324" s="27"/>
      <c r="I324" s="172"/>
      <c r="J324" s="214"/>
      <c r="K324" s="27"/>
      <c r="L324" s="172"/>
      <c r="M324" s="32"/>
      <c r="N324" s="32"/>
      <c r="O324" s="33"/>
      <c r="P324" s="33"/>
      <c r="Q324" s="32"/>
      <c r="R324" s="42"/>
      <c r="S324" s="42"/>
      <c r="T324" s="42"/>
      <c r="U324" s="32"/>
      <c r="V324" s="33"/>
      <c r="W324" s="33"/>
      <c r="X324" s="32"/>
      <c r="Y324" s="32"/>
      <c r="Z324" s="32"/>
      <c r="AA324" s="33"/>
      <c r="AB324" s="33"/>
      <c r="AC324" s="33"/>
      <c r="AD324" s="32"/>
      <c r="AE324" s="32"/>
      <c r="AF324" s="42"/>
      <c r="AG324" s="5"/>
    </row>
    <row r="325" spans="1:33" x14ac:dyDescent="0.25">
      <c r="A325" s="23"/>
      <c r="B325" s="24"/>
      <c r="C325" s="25"/>
      <c r="D325" s="27"/>
      <c r="E325" s="27"/>
      <c r="F325" s="28"/>
      <c r="G325" s="27"/>
      <c r="H325" s="27"/>
      <c r="I325" s="172"/>
      <c r="J325" s="214"/>
      <c r="K325" s="27"/>
      <c r="L325" s="172"/>
      <c r="M325" s="32"/>
      <c r="N325" s="32"/>
      <c r="O325" s="33"/>
      <c r="P325" s="33"/>
      <c r="Q325" s="32"/>
      <c r="R325" s="42"/>
      <c r="S325" s="42"/>
      <c r="T325" s="42"/>
      <c r="U325" s="32"/>
      <c r="V325" s="33"/>
      <c r="W325" s="33"/>
      <c r="X325" s="32"/>
      <c r="Y325" s="32"/>
      <c r="Z325" s="32"/>
      <c r="AA325" s="33"/>
      <c r="AB325" s="33"/>
      <c r="AC325" s="33"/>
      <c r="AD325" s="32"/>
      <c r="AE325" s="32"/>
      <c r="AF325" s="42"/>
      <c r="AG325" s="5"/>
    </row>
    <row r="326" spans="1:33" x14ac:dyDescent="0.25">
      <c r="A326" s="23"/>
      <c r="B326" s="24"/>
      <c r="C326" s="25"/>
      <c r="D326" s="27"/>
      <c r="E326" s="27"/>
      <c r="F326" s="28"/>
      <c r="G326" s="27"/>
      <c r="H326" s="27"/>
      <c r="I326" s="172"/>
      <c r="J326" s="214"/>
      <c r="K326" s="27"/>
      <c r="L326" s="172"/>
      <c r="M326" s="32"/>
      <c r="N326" s="32"/>
      <c r="O326" s="33"/>
      <c r="P326" s="33"/>
      <c r="Q326" s="32"/>
      <c r="R326" s="42"/>
      <c r="S326" s="42"/>
      <c r="T326" s="42"/>
      <c r="U326" s="32"/>
      <c r="V326" s="33"/>
      <c r="W326" s="33"/>
      <c r="X326" s="32"/>
      <c r="Y326" s="32"/>
      <c r="Z326" s="32"/>
      <c r="AA326" s="33"/>
      <c r="AB326" s="33"/>
      <c r="AC326" s="33"/>
      <c r="AD326" s="32"/>
      <c r="AE326" s="32"/>
      <c r="AF326" s="42"/>
      <c r="AG326" s="5"/>
    </row>
    <row r="327" spans="1:33" x14ac:dyDescent="0.25">
      <c r="A327" s="23"/>
      <c r="B327" s="24"/>
      <c r="C327" s="25"/>
      <c r="D327" s="27"/>
      <c r="E327" s="27"/>
      <c r="F327" s="28"/>
      <c r="G327" s="27"/>
      <c r="H327" s="27"/>
      <c r="I327" s="172"/>
      <c r="J327" s="214"/>
      <c r="K327" s="27"/>
      <c r="L327" s="172"/>
      <c r="M327" s="32"/>
      <c r="N327" s="32"/>
      <c r="O327" s="33"/>
      <c r="P327" s="33"/>
      <c r="Q327" s="32"/>
      <c r="R327" s="42"/>
      <c r="S327" s="42"/>
      <c r="T327" s="42"/>
      <c r="U327" s="32"/>
      <c r="V327" s="33"/>
      <c r="W327" s="33"/>
      <c r="X327" s="32"/>
      <c r="Y327" s="32"/>
      <c r="Z327" s="32"/>
      <c r="AA327" s="33"/>
      <c r="AB327" s="33"/>
      <c r="AC327" s="33"/>
      <c r="AD327" s="32"/>
      <c r="AE327" s="32"/>
      <c r="AF327" s="42"/>
      <c r="AG327" s="5"/>
    </row>
    <row r="328" spans="1:33" x14ac:dyDescent="0.25">
      <c r="A328" s="23"/>
      <c r="B328" s="24"/>
      <c r="C328" s="25"/>
      <c r="D328" s="27"/>
      <c r="E328" s="27"/>
      <c r="F328" s="28"/>
      <c r="G328" s="27"/>
      <c r="H328" s="27"/>
      <c r="I328" s="172"/>
      <c r="J328" s="214"/>
      <c r="K328" s="27"/>
      <c r="L328" s="172"/>
      <c r="M328" s="32"/>
      <c r="N328" s="32"/>
      <c r="O328" s="33"/>
      <c r="P328" s="33"/>
      <c r="Q328" s="32"/>
      <c r="R328" s="42"/>
      <c r="S328" s="42"/>
      <c r="T328" s="42"/>
      <c r="U328" s="32"/>
      <c r="V328" s="33"/>
      <c r="W328" s="33"/>
      <c r="X328" s="32"/>
      <c r="Y328" s="32"/>
      <c r="Z328" s="32"/>
      <c r="AA328" s="33"/>
      <c r="AB328" s="33"/>
      <c r="AC328" s="33"/>
      <c r="AD328" s="32"/>
      <c r="AE328" s="32"/>
      <c r="AF328" s="42"/>
      <c r="AG328" s="5"/>
    </row>
    <row r="329" spans="1:33" x14ac:dyDescent="0.25">
      <c r="A329" s="23"/>
      <c r="B329" s="24"/>
      <c r="C329" s="25"/>
      <c r="D329" s="27"/>
      <c r="E329" s="27"/>
      <c r="F329" s="28"/>
      <c r="G329" s="27"/>
      <c r="H329" s="27"/>
      <c r="I329" s="172"/>
      <c r="J329" s="214"/>
      <c r="K329" s="27"/>
      <c r="L329" s="172"/>
      <c r="M329" s="32"/>
      <c r="N329" s="32"/>
      <c r="O329" s="33"/>
      <c r="P329" s="33"/>
      <c r="Q329" s="32"/>
      <c r="R329" s="42"/>
      <c r="S329" s="42"/>
      <c r="T329" s="42"/>
      <c r="U329" s="32"/>
      <c r="V329" s="33"/>
      <c r="W329" s="33"/>
      <c r="X329" s="32"/>
      <c r="Y329" s="32"/>
      <c r="Z329" s="32"/>
      <c r="AA329" s="33"/>
      <c r="AB329" s="33"/>
      <c r="AC329" s="33"/>
      <c r="AD329" s="32"/>
      <c r="AE329" s="32"/>
      <c r="AF329" s="42"/>
      <c r="AG329" s="5"/>
    </row>
    <row r="330" spans="1:33" x14ac:dyDescent="0.25">
      <c r="A330" s="23"/>
      <c r="B330" s="24"/>
      <c r="C330" s="25"/>
      <c r="D330" s="27"/>
      <c r="E330" s="27"/>
      <c r="F330" s="28"/>
      <c r="G330" s="27"/>
      <c r="H330" s="27"/>
      <c r="I330" s="172"/>
      <c r="J330" s="214"/>
      <c r="K330" s="27"/>
      <c r="L330" s="172"/>
      <c r="M330" s="32"/>
      <c r="N330" s="32"/>
      <c r="O330" s="33"/>
      <c r="P330" s="33"/>
      <c r="Q330" s="32"/>
      <c r="R330" s="42"/>
      <c r="S330" s="42"/>
      <c r="T330" s="42"/>
      <c r="U330" s="32"/>
      <c r="V330" s="33"/>
      <c r="W330" s="33"/>
      <c r="X330" s="32"/>
      <c r="Y330" s="32"/>
      <c r="Z330" s="32"/>
      <c r="AA330" s="33"/>
      <c r="AB330" s="33"/>
      <c r="AC330" s="33"/>
      <c r="AD330" s="32"/>
      <c r="AE330" s="32"/>
      <c r="AF330" s="42"/>
      <c r="AG330" s="5"/>
    </row>
    <row r="331" spans="1:33" x14ac:dyDescent="0.25">
      <c r="A331" s="23"/>
      <c r="B331" s="24"/>
      <c r="C331" s="25"/>
      <c r="D331" s="27"/>
      <c r="E331" s="27"/>
      <c r="F331" s="28"/>
      <c r="G331" s="27"/>
      <c r="H331" s="27"/>
      <c r="I331" s="172"/>
      <c r="J331" s="214"/>
      <c r="K331" s="27"/>
      <c r="L331" s="172"/>
      <c r="M331" s="32"/>
      <c r="N331" s="32"/>
      <c r="O331" s="33"/>
      <c r="P331" s="33"/>
      <c r="Q331" s="32"/>
      <c r="R331" s="42"/>
      <c r="S331" s="42"/>
      <c r="T331" s="42"/>
      <c r="U331" s="32"/>
      <c r="V331" s="33"/>
      <c r="W331" s="33"/>
      <c r="X331" s="32"/>
      <c r="Y331" s="32"/>
      <c r="Z331" s="32"/>
      <c r="AA331" s="33"/>
      <c r="AB331" s="33"/>
      <c r="AC331" s="33"/>
      <c r="AD331" s="32"/>
      <c r="AE331" s="32"/>
      <c r="AF331" s="42"/>
      <c r="AG331" s="5"/>
    </row>
    <row r="332" spans="1:33" x14ac:dyDescent="0.25">
      <c r="A332" s="23"/>
      <c r="B332" s="24"/>
      <c r="C332" s="25"/>
      <c r="D332" s="27"/>
      <c r="E332" s="27"/>
      <c r="F332" s="28"/>
      <c r="G332" s="27"/>
      <c r="H332" s="27"/>
      <c r="I332" s="172"/>
      <c r="J332" s="214"/>
      <c r="K332" s="27"/>
      <c r="L332" s="172"/>
      <c r="M332" s="32"/>
      <c r="N332" s="32"/>
      <c r="O332" s="33"/>
      <c r="P332" s="33"/>
      <c r="Q332" s="32"/>
      <c r="R332" s="42"/>
      <c r="S332" s="42"/>
      <c r="T332" s="42"/>
      <c r="U332" s="32"/>
      <c r="V332" s="33"/>
      <c r="W332" s="33"/>
      <c r="X332" s="32"/>
      <c r="Y332" s="32"/>
      <c r="Z332" s="32"/>
      <c r="AA332" s="33"/>
      <c r="AB332" s="33"/>
      <c r="AC332" s="33"/>
      <c r="AD332" s="32"/>
      <c r="AE332" s="32"/>
      <c r="AF332" s="42"/>
      <c r="AG332" s="5"/>
    </row>
    <row r="333" spans="1:33" x14ac:dyDescent="0.25">
      <c r="A333" s="23"/>
      <c r="B333" s="24"/>
      <c r="C333" s="25"/>
      <c r="D333" s="27"/>
      <c r="E333" s="27"/>
      <c r="F333" s="28"/>
      <c r="G333" s="27"/>
      <c r="H333" s="27"/>
      <c r="I333" s="172"/>
      <c r="J333" s="214"/>
      <c r="K333" s="27"/>
      <c r="L333" s="172"/>
      <c r="M333" s="32"/>
      <c r="N333" s="32"/>
      <c r="O333" s="33"/>
      <c r="P333" s="33"/>
      <c r="Q333" s="32"/>
      <c r="R333" s="42"/>
      <c r="S333" s="42"/>
      <c r="T333" s="42"/>
      <c r="U333" s="32"/>
      <c r="V333" s="33"/>
      <c r="W333" s="33"/>
      <c r="X333" s="32"/>
      <c r="Y333" s="32"/>
      <c r="Z333" s="32"/>
      <c r="AA333" s="33"/>
      <c r="AB333" s="33"/>
      <c r="AC333" s="33"/>
      <c r="AD333" s="32"/>
      <c r="AE333" s="32"/>
      <c r="AF333" s="42"/>
      <c r="AG333" s="5"/>
    </row>
    <row r="334" spans="1:33" x14ac:dyDescent="0.25">
      <c r="A334" s="23"/>
      <c r="B334" s="24"/>
      <c r="C334" s="25"/>
      <c r="D334" s="27"/>
      <c r="E334" s="27"/>
      <c r="F334" s="28"/>
      <c r="G334" s="27"/>
      <c r="H334" s="27"/>
      <c r="I334" s="172"/>
      <c r="J334" s="214"/>
      <c r="K334" s="27"/>
      <c r="L334" s="172"/>
      <c r="M334" s="32"/>
      <c r="N334" s="32"/>
      <c r="O334" s="33"/>
      <c r="P334" s="33"/>
      <c r="Q334" s="32"/>
      <c r="R334" s="42"/>
      <c r="S334" s="42"/>
      <c r="T334" s="42"/>
      <c r="U334" s="32"/>
      <c r="V334" s="33"/>
      <c r="W334" s="33"/>
      <c r="X334" s="32"/>
      <c r="Y334" s="32"/>
      <c r="Z334" s="32"/>
      <c r="AA334" s="33"/>
      <c r="AB334" s="33"/>
      <c r="AC334" s="33"/>
      <c r="AD334" s="32"/>
      <c r="AE334" s="32"/>
      <c r="AF334" s="42"/>
      <c r="AG334" s="5"/>
    </row>
    <row r="335" spans="1:33" x14ac:dyDescent="0.25">
      <c r="A335" s="23"/>
      <c r="B335" s="24"/>
      <c r="C335" s="25"/>
      <c r="D335" s="27"/>
      <c r="E335" s="27"/>
      <c r="F335" s="28"/>
      <c r="G335" s="27"/>
      <c r="H335" s="27"/>
      <c r="I335" s="172"/>
      <c r="J335" s="214"/>
      <c r="K335" s="27"/>
      <c r="L335" s="172"/>
      <c r="M335" s="32"/>
      <c r="N335" s="32"/>
      <c r="O335" s="33"/>
      <c r="P335" s="33"/>
      <c r="Q335" s="32"/>
      <c r="R335" s="42"/>
      <c r="S335" s="42"/>
      <c r="T335" s="42"/>
      <c r="U335" s="32"/>
      <c r="V335" s="33"/>
      <c r="W335" s="33"/>
      <c r="X335" s="32"/>
      <c r="Y335" s="32"/>
      <c r="Z335" s="32"/>
      <c r="AA335" s="33"/>
      <c r="AB335" s="33"/>
      <c r="AC335" s="33"/>
      <c r="AD335" s="32"/>
      <c r="AE335" s="32"/>
      <c r="AF335" s="42"/>
      <c r="AG335" s="5"/>
    </row>
    <row r="336" spans="1:33" x14ac:dyDescent="0.25">
      <c r="A336" s="23"/>
      <c r="B336" s="24"/>
      <c r="C336" s="25"/>
      <c r="D336" s="27"/>
      <c r="E336" s="27"/>
      <c r="F336" s="28"/>
      <c r="G336" s="27"/>
      <c r="H336" s="27"/>
      <c r="I336" s="172"/>
      <c r="J336" s="214"/>
      <c r="K336" s="27"/>
      <c r="L336" s="172"/>
      <c r="M336" s="32"/>
      <c r="N336" s="32"/>
      <c r="O336" s="33"/>
      <c r="P336" s="33"/>
      <c r="Q336" s="32"/>
      <c r="R336" s="42"/>
      <c r="S336" s="42"/>
      <c r="T336" s="42"/>
      <c r="U336" s="32"/>
      <c r="V336" s="33"/>
      <c r="W336" s="33"/>
      <c r="X336" s="32"/>
      <c r="Y336" s="32"/>
      <c r="Z336" s="32"/>
      <c r="AA336" s="33"/>
      <c r="AB336" s="33"/>
      <c r="AC336" s="33"/>
      <c r="AD336" s="32"/>
      <c r="AE336" s="32"/>
      <c r="AF336" s="42"/>
      <c r="AG336" s="5"/>
    </row>
    <row r="337" spans="1:33" x14ac:dyDescent="0.25">
      <c r="A337" s="23"/>
      <c r="B337" s="24"/>
      <c r="C337" s="25"/>
      <c r="D337" s="27"/>
      <c r="E337" s="27"/>
      <c r="F337" s="28"/>
      <c r="G337" s="27"/>
      <c r="H337" s="27"/>
      <c r="I337" s="172"/>
      <c r="J337" s="214"/>
      <c r="K337" s="27"/>
      <c r="L337" s="172"/>
      <c r="M337" s="32"/>
      <c r="N337" s="32"/>
      <c r="O337" s="33"/>
      <c r="P337" s="33"/>
      <c r="Q337" s="32"/>
      <c r="R337" s="42"/>
      <c r="S337" s="42"/>
      <c r="T337" s="42"/>
      <c r="U337" s="32"/>
      <c r="V337" s="33"/>
      <c r="W337" s="33"/>
      <c r="X337" s="32"/>
      <c r="Y337" s="32"/>
      <c r="Z337" s="32"/>
      <c r="AA337" s="33"/>
      <c r="AB337" s="33"/>
      <c r="AC337" s="33"/>
      <c r="AD337" s="32"/>
      <c r="AE337" s="32"/>
      <c r="AF337" s="42"/>
      <c r="AG337" s="5"/>
    </row>
    <row r="338" spans="1:33" x14ac:dyDescent="0.25">
      <c r="A338" s="23"/>
      <c r="B338" s="24"/>
      <c r="C338" s="25"/>
      <c r="D338" s="27"/>
      <c r="E338" s="27"/>
      <c r="F338" s="28"/>
      <c r="G338" s="27"/>
      <c r="H338" s="27"/>
      <c r="I338" s="172"/>
      <c r="J338" s="214"/>
      <c r="K338" s="27"/>
      <c r="L338" s="172"/>
      <c r="M338" s="32"/>
      <c r="N338" s="32"/>
      <c r="O338" s="33"/>
      <c r="P338" s="33"/>
      <c r="Q338" s="32"/>
      <c r="R338" s="42"/>
      <c r="S338" s="42"/>
      <c r="T338" s="42"/>
      <c r="U338" s="32"/>
      <c r="V338" s="33"/>
      <c r="W338" s="33"/>
      <c r="X338" s="32"/>
      <c r="Y338" s="32"/>
      <c r="Z338" s="32"/>
      <c r="AA338" s="33"/>
      <c r="AB338" s="33"/>
      <c r="AC338" s="33"/>
      <c r="AD338" s="32"/>
      <c r="AE338" s="32"/>
      <c r="AF338" s="42"/>
      <c r="AG338" s="5"/>
    </row>
    <row r="339" spans="1:33" x14ac:dyDescent="0.25">
      <c r="A339" s="23"/>
      <c r="B339" s="24"/>
      <c r="C339" s="25"/>
      <c r="D339" s="27"/>
      <c r="E339" s="27"/>
      <c r="F339" s="28"/>
      <c r="G339" s="27"/>
      <c r="H339" s="27"/>
      <c r="I339" s="172"/>
      <c r="J339" s="214"/>
      <c r="K339" s="27"/>
      <c r="L339" s="172"/>
      <c r="M339" s="32"/>
      <c r="N339" s="32"/>
      <c r="O339" s="33"/>
      <c r="P339" s="33"/>
      <c r="Q339" s="32"/>
      <c r="R339" s="42"/>
      <c r="S339" s="42"/>
      <c r="T339" s="42"/>
      <c r="U339" s="32"/>
      <c r="V339" s="33"/>
      <c r="W339" s="33"/>
      <c r="X339" s="32"/>
      <c r="Y339" s="32"/>
      <c r="Z339" s="32"/>
      <c r="AA339" s="33"/>
      <c r="AB339" s="33"/>
      <c r="AC339" s="33"/>
      <c r="AD339" s="32"/>
      <c r="AE339" s="32"/>
      <c r="AF339" s="42"/>
      <c r="AG339" s="5"/>
    </row>
    <row r="340" spans="1:33" x14ac:dyDescent="0.25">
      <c r="A340" s="23"/>
      <c r="B340" s="24"/>
      <c r="C340" s="25"/>
      <c r="D340" s="27"/>
      <c r="E340" s="27"/>
      <c r="F340" s="28"/>
      <c r="G340" s="27"/>
      <c r="H340" s="27"/>
      <c r="I340" s="172"/>
      <c r="J340" s="214"/>
      <c r="K340" s="27"/>
      <c r="L340" s="172"/>
      <c r="M340" s="32"/>
      <c r="N340" s="32"/>
      <c r="O340" s="33"/>
      <c r="P340" s="33"/>
      <c r="Q340" s="32"/>
      <c r="R340" s="42"/>
      <c r="S340" s="42"/>
      <c r="T340" s="42"/>
      <c r="U340" s="32"/>
      <c r="V340" s="33"/>
      <c r="W340" s="33"/>
      <c r="X340" s="32"/>
      <c r="Y340" s="32"/>
      <c r="Z340" s="32"/>
      <c r="AA340" s="33"/>
      <c r="AB340" s="33"/>
      <c r="AC340" s="33"/>
      <c r="AD340" s="32"/>
      <c r="AE340" s="32"/>
      <c r="AF340" s="42"/>
      <c r="AG340" s="5"/>
    </row>
    <row r="341" spans="1:33" x14ac:dyDescent="0.25">
      <c r="A341" s="23"/>
      <c r="B341" s="24"/>
      <c r="C341" s="25"/>
      <c r="D341" s="27"/>
      <c r="E341" s="27"/>
      <c r="F341" s="28"/>
      <c r="G341" s="27"/>
      <c r="H341" s="27"/>
      <c r="I341" s="172"/>
      <c r="J341" s="214"/>
      <c r="K341" s="27"/>
      <c r="L341" s="172"/>
      <c r="M341" s="32"/>
      <c r="N341" s="32"/>
      <c r="O341" s="33"/>
      <c r="P341" s="33"/>
      <c r="Q341" s="32"/>
      <c r="R341" s="42"/>
      <c r="S341" s="42"/>
      <c r="T341" s="42"/>
      <c r="U341" s="32"/>
      <c r="V341" s="33"/>
      <c r="W341" s="33"/>
      <c r="X341" s="32"/>
      <c r="Y341" s="32"/>
      <c r="Z341" s="32"/>
      <c r="AA341" s="33"/>
      <c r="AB341" s="33"/>
      <c r="AC341" s="33"/>
      <c r="AD341" s="32"/>
      <c r="AE341" s="32"/>
      <c r="AF341" s="42"/>
      <c r="AG341" s="5"/>
    </row>
    <row r="342" spans="1:33" x14ac:dyDescent="0.25">
      <c r="A342" s="23"/>
      <c r="B342" s="24"/>
      <c r="C342" s="25"/>
      <c r="D342" s="27"/>
      <c r="E342" s="27"/>
      <c r="F342" s="28"/>
      <c r="G342" s="27"/>
      <c r="H342" s="27"/>
      <c r="I342" s="172"/>
      <c r="J342" s="214"/>
      <c r="K342" s="27"/>
      <c r="L342" s="172"/>
      <c r="M342" s="32"/>
      <c r="N342" s="32"/>
      <c r="O342" s="33"/>
      <c r="P342" s="33"/>
      <c r="Q342" s="32"/>
      <c r="R342" s="42"/>
      <c r="S342" s="42"/>
      <c r="T342" s="42"/>
      <c r="U342" s="32"/>
      <c r="V342" s="33"/>
      <c r="W342" s="33"/>
      <c r="X342" s="32"/>
      <c r="Y342" s="32"/>
      <c r="Z342" s="32"/>
      <c r="AA342" s="33"/>
      <c r="AB342" s="33"/>
      <c r="AC342" s="33"/>
      <c r="AD342" s="32"/>
      <c r="AE342" s="32"/>
      <c r="AF342" s="42"/>
      <c r="AG342" s="5"/>
    </row>
    <row r="343" spans="1:33" x14ac:dyDescent="0.25">
      <c r="A343" s="23"/>
      <c r="B343" s="24"/>
      <c r="C343" s="25"/>
      <c r="D343" s="27"/>
      <c r="E343" s="27"/>
      <c r="F343" s="28"/>
      <c r="G343" s="27"/>
      <c r="H343" s="27"/>
      <c r="I343" s="172"/>
      <c r="J343" s="214"/>
      <c r="K343" s="27"/>
      <c r="L343" s="172"/>
      <c r="M343" s="32"/>
      <c r="N343" s="32"/>
      <c r="O343" s="33"/>
      <c r="P343" s="33"/>
      <c r="Q343" s="32"/>
      <c r="R343" s="42"/>
      <c r="S343" s="42"/>
      <c r="T343" s="42"/>
      <c r="U343" s="32"/>
      <c r="V343" s="33"/>
      <c r="W343" s="33"/>
      <c r="X343" s="32"/>
      <c r="Y343" s="32"/>
      <c r="Z343" s="32"/>
      <c r="AA343" s="33"/>
      <c r="AB343" s="33"/>
      <c r="AC343" s="33"/>
      <c r="AD343" s="32"/>
      <c r="AE343" s="32"/>
      <c r="AF343" s="42"/>
      <c r="AG343" s="5"/>
    </row>
    <row r="344" spans="1:33" x14ac:dyDescent="0.25">
      <c r="A344" s="23"/>
      <c r="B344" s="24"/>
      <c r="C344" s="25"/>
      <c r="D344" s="27"/>
      <c r="E344" s="27"/>
      <c r="F344" s="28"/>
      <c r="G344" s="27"/>
      <c r="H344" s="27"/>
      <c r="I344" s="172"/>
      <c r="J344" s="214"/>
      <c r="K344" s="27"/>
      <c r="L344" s="172"/>
      <c r="M344" s="32"/>
      <c r="N344" s="32"/>
      <c r="O344" s="33"/>
      <c r="P344" s="33"/>
      <c r="Q344" s="32"/>
      <c r="R344" s="42"/>
      <c r="S344" s="42"/>
      <c r="T344" s="42"/>
      <c r="U344" s="32"/>
      <c r="V344" s="33"/>
      <c r="W344" s="33"/>
      <c r="X344" s="32"/>
      <c r="Y344" s="32"/>
      <c r="Z344" s="32"/>
      <c r="AA344" s="33"/>
      <c r="AB344" s="33"/>
      <c r="AC344" s="33"/>
      <c r="AD344" s="32"/>
      <c r="AE344" s="32"/>
      <c r="AF344" s="42"/>
      <c r="AG344" s="5"/>
    </row>
    <row r="345" spans="1:33" x14ac:dyDescent="0.25">
      <c r="A345" s="23"/>
      <c r="B345" s="24"/>
      <c r="C345" s="25"/>
      <c r="D345" s="27"/>
      <c r="E345" s="27"/>
      <c r="F345" s="28"/>
      <c r="G345" s="27"/>
      <c r="H345" s="27"/>
      <c r="I345" s="172"/>
      <c r="J345" s="214"/>
      <c r="K345" s="27"/>
      <c r="L345" s="172"/>
      <c r="M345" s="32"/>
      <c r="N345" s="32"/>
      <c r="O345" s="33"/>
      <c r="P345" s="33"/>
      <c r="Q345" s="32"/>
      <c r="R345" s="42"/>
      <c r="S345" s="42"/>
      <c r="T345" s="42"/>
      <c r="U345" s="32"/>
      <c r="V345" s="33"/>
      <c r="W345" s="33"/>
      <c r="X345" s="32"/>
      <c r="Y345" s="32"/>
      <c r="Z345" s="32"/>
      <c r="AA345" s="33"/>
      <c r="AB345" s="33"/>
      <c r="AC345" s="33"/>
      <c r="AD345" s="32"/>
      <c r="AE345" s="32"/>
      <c r="AF345" s="42"/>
      <c r="AG345" s="5"/>
    </row>
    <row r="346" spans="1:33" x14ac:dyDescent="0.25">
      <c r="A346" s="23"/>
      <c r="B346" s="24"/>
      <c r="C346" s="25"/>
      <c r="D346" s="27"/>
      <c r="E346" s="27"/>
      <c r="F346" s="28"/>
      <c r="G346" s="27"/>
      <c r="H346" s="27"/>
      <c r="I346" s="172"/>
      <c r="J346" s="214"/>
      <c r="K346" s="27"/>
      <c r="L346" s="172"/>
      <c r="M346" s="32"/>
      <c r="N346" s="32"/>
      <c r="O346" s="33"/>
      <c r="P346" s="33"/>
      <c r="Q346" s="32"/>
      <c r="R346" s="42"/>
      <c r="S346" s="42"/>
      <c r="T346" s="42"/>
      <c r="U346" s="32"/>
      <c r="V346" s="33"/>
      <c r="W346" s="33"/>
      <c r="X346" s="32"/>
      <c r="Y346" s="32"/>
      <c r="Z346" s="32"/>
      <c r="AA346" s="33"/>
      <c r="AB346" s="33"/>
      <c r="AC346" s="33"/>
      <c r="AD346" s="32"/>
      <c r="AE346" s="32"/>
      <c r="AF346" s="42"/>
      <c r="AG346" s="5"/>
    </row>
    <row r="347" spans="1:33" x14ac:dyDescent="0.25">
      <c r="A347" s="23"/>
      <c r="B347" s="24"/>
      <c r="C347" s="25"/>
      <c r="D347" s="27"/>
      <c r="E347" s="27"/>
      <c r="F347" s="28"/>
      <c r="G347" s="27"/>
      <c r="H347" s="27"/>
      <c r="I347" s="172"/>
      <c r="J347" s="214"/>
      <c r="K347" s="27"/>
      <c r="L347" s="172"/>
      <c r="M347" s="32"/>
      <c r="N347" s="32"/>
      <c r="O347" s="33"/>
      <c r="P347" s="33"/>
      <c r="Q347" s="32"/>
      <c r="R347" s="42"/>
      <c r="S347" s="42"/>
      <c r="T347" s="42"/>
      <c r="U347" s="32"/>
      <c r="V347" s="33"/>
      <c r="W347" s="33"/>
      <c r="X347" s="32"/>
      <c r="Y347" s="32"/>
      <c r="Z347" s="32"/>
      <c r="AA347" s="33"/>
      <c r="AB347" s="33"/>
      <c r="AC347" s="33"/>
      <c r="AD347" s="32"/>
      <c r="AE347" s="32"/>
      <c r="AF347" s="42"/>
      <c r="AG347" s="5"/>
    </row>
    <row r="348" spans="1:33" x14ac:dyDescent="0.25">
      <c r="A348" s="23"/>
      <c r="B348" s="24"/>
      <c r="C348" s="25"/>
      <c r="D348" s="27"/>
      <c r="E348" s="27"/>
      <c r="F348" s="28"/>
      <c r="G348" s="27"/>
      <c r="H348" s="27"/>
      <c r="I348" s="172"/>
      <c r="J348" s="214"/>
      <c r="K348" s="27"/>
      <c r="L348" s="172"/>
      <c r="M348" s="32"/>
      <c r="N348" s="32"/>
      <c r="O348" s="33"/>
      <c r="P348" s="33"/>
      <c r="Q348" s="32"/>
      <c r="R348" s="42"/>
      <c r="S348" s="42"/>
      <c r="T348" s="42"/>
      <c r="U348" s="32"/>
      <c r="V348" s="33"/>
      <c r="W348" s="33"/>
      <c r="X348" s="32"/>
      <c r="Y348" s="32"/>
      <c r="Z348" s="32"/>
      <c r="AA348" s="33"/>
      <c r="AB348" s="33"/>
      <c r="AC348" s="33"/>
      <c r="AD348" s="32"/>
      <c r="AE348" s="32"/>
      <c r="AF348" s="42"/>
      <c r="AG348" s="5"/>
    </row>
    <row r="349" spans="1:33" x14ac:dyDescent="0.25">
      <c r="A349" s="23"/>
      <c r="B349" s="24"/>
      <c r="C349" s="25"/>
      <c r="D349" s="27"/>
      <c r="E349" s="27"/>
      <c r="F349" s="28"/>
      <c r="G349" s="27"/>
      <c r="H349" s="27"/>
      <c r="I349" s="172"/>
      <c r="J349" s="214"/>
      <c r="K349" s="27"/>
      <c r="L349" s="172"/>
      <c r="M349" s="32"/>
      <c r="N349" s="32"/>
      <c r="O349" s="33"/>
      <c r="P349" s="33"/>
      <c r="Q349" s="32"/>
      <c r="R349" s="42"/>
      <c r="S349" s="42"/>
      <c r="T349" s="42"/>
      <c r="U349" s="32"/>
      <c r="V349" s="33"/>
      <c r="W349" s="33"/>
      <c r="X349" s="32"/>
      <c r="Y349" s="32"/>
      <c r="Z349" s="32"/>
      <c r="AA349" s="33"/>
      <c r="AB349" s="33"/>
      <c r="AC349" s="33"/>
      <c r="AD349" s="32"/>
      <c r="AE349" s="32"/>
      <c r="AF349" s="42"/>
      <c r="AG349" s="5"/>
    </row>
    <row r="350" spans="1:33" x14ac:dyDescent="0.25">
      <c r="A350" s="23"/>
      <c r="B350" s="24"/>
      <c r="C350" s="25"/>
      <c r="D350" s="27"/>
      <c r="E350" s="27"/>
      <c r="F350" s="28"/>
      <c r="G350" s="27"/>
      <c r="H350" s="27"/>
      <c r="I350" s="172"/>
      <c r="J350" s="214"/>
      <c r="K350" s="27"/>
      <c r="L350" s="172"/>
      <c r="M350" s="32"/>
      <c r="N350" s="32"/>
      <c r="O350" s="33"/>
      <c r="P350" s="33"/>
      <c r="Q350" s="32"/>
      <c r="R350" s="42"/>
      <c r="S350" s="42"/>
      <c r="T350" s="42"/>
      <c r="U350" s="32"/>
      <c r="V350" s="33"/>
      <c r="W350" s="33"/>
      <c r="X350" s="32"/>
      <c r="Y350" s="32"/>
      <c r="Z350" s="32"/>
      <c r="AA350" s="33"/>
      <c r="AB350" s="33"/>
      <c r="AC350" s="33"/>
      <c r="AD350" s="32"/>
      <c r="AE350" s="32"/>
      <c r="AF350" s="42"/>
      <c r="AG350" s="5"/>
    </row>
    <row r="351" spans="1:33" x14ac:dyDescent="0.25">
      <c r="A351" s="23"/>
      <c r="B351" s="24"/>
      <c r="C351" s="25"/>
      <c r="D351" s="27"/>
      <c r="E351" s="27"/>
      <c r="F351" s="28"/>
      <c r="G351" s="27"/>
      <c r="H351" s="27"/>
      <c r="I351" s="172"/>
      <c r="J351" s="214"/>
      <c r="K351" s="27"/>
      <c r="L351" s="172"/>
      <c r="M351" s="32"/>
      <c r="N351" s="32"/>
      <c r="O351" s="33"/>
      <c r="P351" s="33"/>
      <c r="Q351" s="32"/>
      <c r="R351" s="42"/>
      <c r="S351" s="42"/>
      <c r="T351" s="42"/>
      <c r="U351" s="32"/>
      <c r="V351" s="33"/>
      <c r="W351" s="33"/>
      <c r="X351" s="32"/>
      <c r="Y351" s="32"/>
      <c r="Z351" s="32"/>
      <c r="AA351" s="33"/>
      <c r="AB351" s="33"/>
      <c r="AC351" s="33"/>
      <c r="AD351" s="32"/>
      <c r="AE351" s="32"/>
      <c r="AF351" s="42"/>
      <c r="AG351" s="5"/>
    </row>
    <row r="352" spans="1:33" x14ac:dyDescent="0.25">
      <c r="A352" s="23"/>
      <c r="B352" s="24"/>
      <c r="C352" s="25"/>
      <c r="D352" s="27"/>
      <c r="E352" s="27"/>
      <c r="F352" s="28"/>
      <c r="G352" s="27"/>
      <c r="H352" s="27"/>
      <c r="I352" s="172"/>
      <c r="J352" s="214"/>
      <c r="K352" s="27"/>
      <c r="L352" s="172"/>
      <c r="M352" s="32"/>
      <c r="N352" s="32"/>
      <c r="O352" s="33"/>
      <c r="P352" s="33"/>
      <c r="Q352" s="32"/>
      <c r="R352" s="42"/>
      <c r="S352" s="42"/>
      <c r="T352" s="42"/>
      <c r="U352" s="32"/>
      <c r="V352" s="33"/>
      <c r="W352" s="33"/>
      <c r="X352" s="32"/>
      <c r="Y352" s="32"/>
      <c r="Z352" s="32"/>
      <c r="AA352" s="33"/>
      <c r="AB352" s="33"/>
      <c r="AC352" s="33"/>
      <c r="AD352" s="32"/>
      <c r="AE352" s="32"/>
      <c r="AF352" s="42"/>
      <c r="AG352" s="5"/>
    </row>
    <row r="353" spans="1:33" x14ac:dyDescent="0.25">
      <c r="A353" s="23"/>
      <c r="B353" s="24"/>
      <c r="C353" s="25"/>
      <c r="D353" s="27"/>
      <c r="E353" s="27"/>
      <c r="F353" s="28"/>
      <c r="G353" s="27"/>
      <c r="H353" s="27"/>
      <c r="I353" s="172"/>
      <c r="J353" s="214"/>
      <c r="K353" s="27"/>
      <c r="L353" s="172"/>
      <c r="M353" s="32"/>
      <c r="N353" s="32"/>
      <c r="O353" s="33"/>
      <c r="P353" s="33"/>
      <c r="Q353" s="32"/>
      <c r="R353" s="42"/>
      <c r="S353" s="42"/>
      <c r="T353" s="42"/>
      <c r="U353" s="32"/>
      <c r="V353" s="33"/>
      <c r="W353" s="33"/>
      <c r="X353" s="32"/>
      <c r="Y353" s="32"/>
      <c r="Z353" s="32"/>
      <c r="AA353" s="33"/>
      <c r="AB353" s="33"/>
      <c r="AC353" s="33"/>
      <c r="AD353" s="32"/>
      <c r="AE353" s="32"/>
      <c r="AF353" s="42"/>
      <c r="AG353" s="5"/>
    </row>
    <row r="354" spans="1:33" x14ac:dyDescent="0.25">
      <c r="A354" s="23"/>
      <c r="B354" s="24"/>
      <c r="C354" s="25"/>
      <c r="D354" s="27"/>
      <c r="E354" s="27"/>
      <c r="F354" s="28"/>
      <c r="G354" s="27"/>
      <c r="H354" s="27"/>
      <c r="I354" s="172"/>
      <c r="J354" s="214"/>
      <c r="K354" s="27"/>
      <c r="L354" s="172"/>
      <c r="M354" s="32"/>
      <c r="N354" s="32"/>
      <c r="O354" s="33"/>
      <c r="P354" s="33"/>
      <c r="Q354" s="32"/>
      <c r="R354" s="42"/>
      <c r="S354" s="42"/>
      <c r="T354" s="42"/>
      <c r="U354" s="32"/>
      <c r="V354" s="33"/>
      <c r="W354" s="33"/>
      <c r="X354" s="32"/>
      <c r="Y354" s="32"/>
      <c r="Z354" s="32"/>
      <c r="AA354" s="33"/>
      <c r="AB354" s="33"/>
      <c r="AC354" s="33"/>
      <c r="AD354" s="32"/>
      <c r="AE354" s="32"/>
      <c r="AF354" s="42"/>
      <c r="AG354" s="5"/>
    </row>
    <row r="355" spans="1:33" x14ac:dyDescent="0.25">
      <c r="A355" s="23"/>
      <c r="B355" s="24"/>
      <c r="C355" s="25"/>
      <c r="D355" s="27"/>
      <c r="E355" s="27"/>
      <c r="F355" s="28"/>
      <c r="G355" s="27"/>
      <c r="H355" s="27"/>
      <c r="I355" s="172"/>
      <c r="J355" s="214"/>
      <c r="K355" s="27"/>
      <c r="L355" s="172"/>
      <c r="M355" s="32"/>
      <c r="N355" s="32"/>
      <c r="O355" s="33"/>
      <c r="P355" s="33"/>
      <c r="Q355" s="32"/>
      <c r="R355" s="42"/>
      <c r="S355" s="42"/>
      <c r="T355" s="42"/>
      <c r="U355" s="32"/>
      <c r="V355" s="33"/>
      <c r="W355" s="33"/>
      <c r="X355" s="32"/>
      <c r="Y355" s="32"/>
      <c r="Z355" s="32"/>
      <c r="AA355" s="33"/>
      <c r="AB355" s="33"/>
      <c r="AC355" s="33"/>
      <c r="AD355" s="32"/>
      <c r="AE355" s="32"/>
      <c r="AF355" s="42"/>
      <c r="AG355" s="5"/>
    </row>
    <row r="356" spans="1:33" x14ac:dyDescent="0.25">
      <c r="A356" s="23"/>
      <c r="B356" s="24"/>
      <c r="C356" s="25"/>
      <c r="D356" s="27"/>
      <c r="E356" s="27"/>
      <c r="F356" s="28"/>
      <c r="G356" s="27"/>
      <c r="H356" s="27"/>
      <c r="I356" s="172"/>
      <c r="J356" s="214"/>
      <c r="K356" s="27"/>
      <c r="L356" s="172"/>
      <c r="M356" s="32"/>
      <c r="N356" s="32"/>
      <c r="O356" s="33"/>
      <c r="P356" s="33"/>
      <c r="Q356" s="32"/>
      <c r="R356" s="42"/>
      <c r="S356" s="42"/>
      <c r="T356" s="42"/>
      <c r="U356" s="32"/>
      <c r="V356" s="33"/>
      <c r="W356" s="33"/>
      <c r="X356" s="32"/>
      <c r="Y356" s="32"/>
      <c r="Z356" s="32"/>
      <c r="AA356" s="33"/>
      <c r="AB356" s="33"/>
      <c r="AC356" s="33"/>
      <c r="AD356" s="32"/>
      <c r="AE356" s="32"/>
      <c r="AF356" s="42"/>
      <c r="AG356" s="5"/>
    </row>
    <row r="357" spans="1:33" x14ac:dyDescent="0.25">
      <c r="A357" s="23"/>
      <c r="B357" s="24"/>
      <c r="C357" s="25"/>
      <c r="D357" s="27"/>
      <c r="E357" s="27"/>
      <c r="F357" s="28"/>
      <c r="G357" s="27"/>
      <c r="H357" s="27"/>
      <c r="I357" s="172"/>
      <c r="J357" s="214"/>
      <c r="K357" s="27"/>
      <c r="L357" s="172"/>
      <c r="M357" s="32"/>
      <c r="N357" s="32"/>
      <c r="O357" s="33"/>
      <c r="P357" s="33"/>
      <c r="Q357" s="32"/>
      <c r="R357" s="42"/>
      <c r="S357" s="42"/>
      <c r="T357" s="42"/>
      <c r="U357" s="32"/>
      <c r="V357" s="33"/>
      <c r="W357" s="33"/>
      <c r="X357" s="32"/>
      <c r="Y357" s="32"/>
      <c r="Z357" s="32"/>
      <c r="AA357" s="33"/>
      <c r="AB357" s="33"/>
      <c r="AC357" s="33"/>
      <c r="AD357" s="32"/>
      <c r="AE357" s="32"/>
      <c r="AF357" s="42"/>
      <c r="AG357" s="5"/>
    </row>
    <row r="358" spans="1:33" x14ac:dyDescent="0.25">
      <c r="A358" s="23"/>
      <c r="B358" s="24"/>
      <c r="C358" s="25"/>
      <c r="D358" s="27"/>
      <c r="E358" s="27"/>
      <c r="F358" s="28"/>
      <c r="G358" s="27"/>
      <c r="H358" s="27"/>
      <c r="I358" s="172"/>
      <c r="J358" s="214"/>
      <c r="K358" s="27"/>
      <c r="L358" s="172"/>
      <c r="M358" s="32"/>
      <c r="N358" s="32"/>
      <c r="O358" s="33"/>
      <c r="P358" s="33"/>
      <c r="Q358" s="32"/>
      <c r="R358" s="42"/>
      <c r="S358" s="42"/>
      <c r="T358" s="42"/>
      <c r="U358" s="32"/>
      <c r="V358" s="33"/>
      <c r="W358" s="33"/>
      <c r="X358" s="32"/>
      <c r="Y358" s="32"/>
      <c r="Z358" s="32"/>
      <c r="AA358" s="33"/>
      <c r="AB358" s="33"/>
      <c r="AC358" s="33"/>
      <c r="AD358" s="32"/>
      <c r="AE358" s="32"/>
      <c r="AF358" s="42"/>
      <c r="AG358" s="5"/>
    </row>
    <row r="359" spans="1:33" x14ac:dyDescent="0.25">
      <c r="A359" s="23"/>
      <c r="B359" s="24"/>
      <c r="C359" s="25"/>
      <c r="D359" s="27"/>
      <c r="E359" s="27"/>
      <c r="F359" s="28"/>
      <c r="G359" s="27"/>
      <c r="H359" s="27"/>
      <c r="I359" s="172"/>
      <c r="J359" s="214"/>
      <c r="K359" s="27"/>
      <c r="L359" s="172"/>
      <c r="M359" s="32"/>
      <c r="N359" s="32"/>
      <c r="O359" s="33"/>
      <c r="P359" s="33"/>
      <c r="Q359" s="32"/>
      <c r="R359" s="42"/>
      <c r="S359" s="42"/>
      <c r="T359" s="42"/>
      <c r="U359" s="32"/>
      <c r="V359" s="33"/>
      <c r="W359" s="33"/>
      <c r="X359" s="32"/>
      <c r="Y359" s="32"/>
      <c r="Z359" s="32"/>
      <c r="AA359" s="33"/>
      <c r="AB359" s="33"/>
      <c r="AC359" s="33"/>
      <c r="AD359" s="32"/>
      <c r="AE359" s="32"/>
      <c r="AF359" s="42"/>
      <c r="AG359" s="5"/>
    </row>
    <row r="360" spans="1:33" x14ac:dyDescent="0.25">
      <c r="A360" s="23"/>
      <c r="B360" s="24"/>
      <c r="C360" s="25"/>
      <c r="D360" s="27"/>
      <c r="E360" s="27"/>
      <c r="F360" s="28"/>
      <c r="G360" s="27"/>
      <c r="H360" s="27"/>
      <c r="I360" s="172"/>
      <c r="J360" s="214"/>
      <c r="K360" s="27"/>
      <c r="L360" s="172"/>
      <c r="M360" s="32"/>
      <c r="N360" s="32"/>
      <c r="O360" s="33"/>
      <c r="P360" s="33"/>
      <c r="Q360" s="32"/>
      <c r="R360" s="42"/>
      <c r="S360" s="42"/>
      <c r="T360" s="42"/>
      <c r="U360" s="32"/>
      <c r="V360" s="33"/>
      <c r="W360" s="33"/>
      <c r="X360" s="32"/>
      <c r="Y360" s="32"/>
      <c r="Z360" s="32"/>
      <c r="AA360" s="33"/>
      <c r="AB360" s="33"/>
      <c r="AC360" s="33"/>
      <c r="AD360" s="32"/>
      <c r="AE360" s="32"/>
      <c r="AF360" s="42"/>
      <c r="AG360" s="5"/>
    </row>
    <row r="361" spans="1:33" x14ac:dyDescent="0.25">
      <c r="A361" s="23"/>
      <c r="B361" s="24"/>
      <c r="C361" s="25"/>
      <c r="D361" s="27"/>
      <c r="E361" s="27"/>
      <c r="F361" s="28"/>
      <c r="G361" s="27"/>
      <c r="H361" s="27"/>
      <c r="I361" s="172"/>
      <c r="J361" s="214"/>
      <c r="K361" s="27"/>
      <c r="L361" s="172"/>
      <c r="M361" s="32"/>
      <c r="N361" s="32"/>
      <c r="O361" s="33"/>
      <c r="P361" s="33"/>
      <c r="Q361" s="32"/>
      <c r="R361" s="42"/>
      <c r="S361" s="42"/>
      <c r="T361" s="42"/>
      <c r="U361" s="32"/>
      <c r="V361" s="33"/>
      <c r="W361" s="33"/>
      <c r="X361" s="32"/>
      <c r="Y361" s="32"/>
      <c r="Z361" s="32"/>
      <c r="AA361" s="33"/>
      <c r="AB361" s="33"/>
      <c r="AC361" s="33"/>
      <c r="AD361" s="32"/>
      <c r="AE361" s="32"/>
      <c r="AF361" s="42"/>
      <c r="AG361" s="5"/>
    </row>
    <row r="362" spans="1:33" x14ac:dyDescent="0.25">
      <c r="A362" s="23"/>
      <c r="B362" s="24"/>
      <c r="C362" s="25"/>
      <c r="D362" s="27"/>
      <c r="E362" s="27"/>
      <c r="F362" s="28"/>
      <c r="G362" s="27"/>
      <c r="H362" s="27"/>
      <c r="I362" s="172"/>
      <c r="J362" s="214"/>
      <c r="K362" s="27"/>
      <c r="L362" s="172"/>
      <c r="M362" s="32"/>
      <c r="N362" s="32"/>
      <c r="O362" s="33"/>
      <c r="P362" s="33"/>
      <c r="Q362" s="32"/>
      <c r="R362" s="42"/>
      <c r="S362" s="42"/>
      <c r="T362" s="42"/>
      <c r="U362" s="32"/>
      <c r="V362" s="33"/>
      <c r="W362" s="33"/>
      <c r="X362" s="32"/>
      <c r="Y362" s="32"/>
      <c r="Z362" s="32"/>
      <c r="AA362" s="33"/>
      <c r="AB362" s="33"/>
      <c r="AC362" s="33"/>
      <c r="AD362" s="32"/>
      <c r="AE362" s="32"/>
      <c r="AF362" s="42"/>
      <c r="AG362" s="5"/>
    </row>
    <row r="363" spans="1:33" x14ac:dyDescent="0.25">
      <c r="A363" s="23"/>
      <c r="B363" s="24"/>
      <c r="C363" s="25"/>
      <c r="D363" s="27"/>
      <c r="E363" s="27"/>
      <c r="F363" s="28"/>
      <c r="G363" s="27"/>
      <c r="H363" s="27"/>
      <c r="I363" s="172"/>
      <c r="J363" s="214"/>
      <c r="K363" s="27"/>
      <c r="L363" s="172"/>
      <c r="M363" s="32"/>
      <c r="N363" s="32"/>
      <c r="O363" s="33"/>
      <c r="P363" s="33"/>
      <c r="Q363" s="32"/>
      <c r="R363" s="42"/>
      <c r="S363" s="42"/>
      <c r="T363" s="42"/>
      <c r="U363" s="32"/>
      <c r="V363" s="33"/>
      <c r="W363" s="33"/>
      <c r="X363" s="32"/>
      <c r="Y363" s="32"/>
      <c r="Z363" s="32"/>
      <c r="AA363" s="33"/>
      <c r="AB363" s="33"/>
      <c r="AC363" s="33"/>
      <c r="AD363" s="32"/>
      <c r="AE363" s="32"/>
      <c r="AF363" s="42"/>
      <c r="AG363" s="5"/>
    </row>
    <row r="364" spans="1:33" x14ac:dyDescent="0.25">
      <c r="A364" s="23"/>
      <c r="B364" s="24"/>
      <c r="C364" s="25"/>
      <c r="D364" s="27"/>
      <c r="E364" s="27"/>
      <c r="F364" s="28"/>
      <c r="G364" s="27"/>
      <c r="H364" s="27"/>
      <c r="I364" s="172"/>
      <c r="J364" s="214"/>
      <c r="K364" s="27"/>
      <c r="L364" s="172"/>
      <c r="M364" s="32"/>
      <c r="N364" s="32"/>
      <c r="O364" s="33"/>
      <c r="P364" s="33"/>
      <c r="Q364" s="32"/>
      <c r="R364" s="42"/>
      <c r="S364" s="42"/>
      <c r="T364" s="42"/>
      <c r="U364" s="32"/>
      <c r="V364" s="33"/>
      <c r="W364" s="33"/>
      <c r="X364" s="32"/>
      <c r="Y364" s="32"/>
      <c r="Z364" s="32"/>
      <c r="AA364" s="33"/>
      <c r="AB364" s="33"/>
      <c r="AC364" s="33"/>
      <c r="AD364" s="32"/>
      <c r="AE364" s="32"/>
      <c r="AF364" s="42"/>
      <c r="AG364" s="5"/>
    </row>
    <row r="365" spans="1:33" x14ac:dyDescent="0.25">
      <c r="A365" s="23"/>
      <c r="B365" s="24"/>
      <c r="C365" s="25"/>
      <c r="D365" s="27"/>
      <c r="E365" s="27"/>
      <c r="F365" s="28"/>
      <c r="G365" s="27"/>
      <c r="H365" s="27"/>
      <c r="I365" s="172"/>
      <c r="J365" s="214"/>
      <c r="K365" s="27"/>
      <c r="L365" s="172"/>
      <c r="M365" s="32"/>
      <c r="N365" s="32"/>
      <c r="O365" s="33"/>
      <c r="P365" s="33"/>
      <c r="Q365" s="32"/>
      <c r="R365" s="42"/>
      <c r="S365" s="42"/>
      <c r="T365" s="42"/>
      <c r="U365" s="32"/>
      <c r="V365" s="33"/>
      <c r="W365" s="33"/>
      <c r="X365" s="32"/>
      <c r="Y365" s="32"/>
      <c r="Z365" s="32"/>
      <c r="AA365" s="33"/>
      <c r="AB365" s="33"/>
      <c r="AC365" s="33"/>
      <c r="AD365" s="32"/>
      <c r="AE365" s="32"/>
      <c r="AF365" s="42"/>
      <c r="AG365" s="5"/>
    </row>
    <row r="366" spans="1:33" x14ac:dyDescent="0.25">
      <c r="A366" s="23"/>
      <c r="B366" s="24"/>
      <c r="C366" s="25"/>
      <c r="D366" s="27"/>
      <c r="E366" s="27"/>
      <c r="F366" s="28"/>
      <c r="G366" s="27"/>
      <c r="H366" s="27"/>
      <c r="I366" s="172"/>
      <c r="J366" s="214"/>
      <c r="K366" s="27"/>
      <c r="L366" s="172"/>
      <c r="M366" s="32"/>
      <c r="N366" s="32"/>
      <c r="O366" s="33"/>
      <c r="P366" s="33"/>
      <c r="Q366" s="32"/>
      <c r="R366" s="42"/>
      <c r="S366" s="42"/>
      <c r="T366" s="42"/>
      <c r="U366" s="32"/>
      <c r="V366" s="33"/>
      <c r="W366" s="33"/>
      <c r="X366" s="32"/>
      <c r="Y366" s="32"/>
      <c r="Z366" s="32"/>
      <c r="AA366" s="33"/>
      <c r="AB366" s="33"/>
      <c r="AC366" s="33"/>
      <c r="AD366" s="32"/>
      <c r="AE366" s="32"/>
      <c r="AF366" s="42"/>
      <c r="AG366" s="5"/>
    </row>
    <row r="367" spans="1:33" x14ac:dyDescent="0.25">
      <c r="A367" s="23"/>
      <c r="B367" s="24"/>
      <c r="C367" s="25"/>
      <c r="D367" s="27"/>
      <c r="E367" s="27"/>
      <c r="F367" s="28"/>
      <c r="G367" s="27"/>
      <c r="H367" s="27"/>
      <c r="I367" s="172"/>
      <c r="J367" s="214"/>
      <c r="K367" s="27"/>
      <c r="L367" s="172"/>
      <c r="M367" s="32"/>
      <c r="N367" s="32"/>
      <c r="O367" s="33"/>
      <c r="P367" s="33"/>
      <c r="Q367" s="32"/>
      <c r="R367" s="42"/>
      <c r="S367" s="42"/>
      <c r="T367" s="42"/>
      <c r="U367" s="32"/>
      <c r="V367" s="33"/>
      <c r="W367" s="33"/>
      <c r="X367" s="32"/>
      <c r="Y367" s="32"/>
      <c r="Z367" s="32"/>
      <c r="AA367" s="33"/>
      <c r="AB367" s="33"/>
      <c r="AC367" s="33"/>
      <c r="AD367" s="32"/>
      <c r="AE367" s="32"/>
      <c r="AF367" s="42"/>
      <c r="AG367" s="5"/>
    </row>
    <row r="368" spans="1:33" x14ac:dyDescent="0.25">
      <c r="A368" s="23"/>
      <c r="B368" s="24"/>
      <c r="C368" s="25"/>
      <c r="D368" s="27"/>
      <c r="E368" s="27"/>
      <c r="F368" s="28"/>
      <c r="G368" s="27"/>
      <c r="H368" s="27"/>
      <c r="I368" s="172"/>
      <c r="J368" s="214"/>
      <c r="K368" s="27"/>
      <c r="L368" s="172"/>
      <c r="M368" s="32"/>
      <c r="N368" s="32"/>
      <c r="O368" s="33"/>
      <c r="P368" s="33"/>
      <c r="Q368" s="32"/>
      <c r="R368" s="42"/>
      <c r="S368" s="42"/>
      <c r="T368" s="42"/>
      <c r="U368" s="32"/>
      <c r="V368" s="33"/>
      <c r="W368" s="33"/>
      <c r="X368" s="32"/>
      <c r="Y368" s="32"/>
      <c r="Z368" s="32"/>
      <c r="AA368" s="33"/>
      <c r="AB368" s="33"/>
      <c r="AC368" s="33"/>
      <c r="AD368" s="32"/>
      <c r="AE368" s="32"/>
      <c r="AF368" s="42"/>
      <c r="AG368" s="5"/>
    </row>
    <row r="369" spans="1:33" x14ac:dyDescent="0.25">
      <c r="A369" s="23"/>
      <c r="B369" s="24"/>
      <c r="C369" s="25"/>
      <c r="D369" s="27"/>
      <c r="E369" s="27"/>
      <c r="F369" s="28"/>
      <c r="G369" s="27"/>
      <c r="H369" s="27"/>
      <c r="I369" s="172"/>
      <c r="J369" s="214"/>
      <c r="K369" s="27"/>
      <c r="L369" s="172"/>
      <c r="M369" s="32"/>
      <c r="N369" s="32"/>
      <c r="O369" s="33"/>
      <c r="P369" s="33"/>
      <c r="Q369" s="32"/>
      <c r="R369" s="42"/>
      <c r="S369" s="42"/>
      <c r="T369" s="42"/>
      <c r="U369" s="32"/>
      <c r="V369" s="33"/>
      <c r="W369" s="33"/>
      <c r="X369" s="32"/>
      <c r="Y369" s="32"/>
      <c r="Z369" s="32"/>
      <c r="AA369" s="33"/>
      <c r="AB369" s="33"/>
      <c r="AC369" s="33"/>
      <c r="AD369" s="32"/>
      <c r="AE369" s="32"/>
      <c r="AF369" s="42"/>
      <c r="AG369" s="5"/>
    </row>
    <row r="370" spans="1:33" x14ac:dyDescent="0.25">
      <c r="A370" s="23"/>
      <c r="B370" s="24"/>
      <c r="C370" s="25"/>
      <c r="D370" s="27"/>
      <c r="E370" s="27"/>
      <c r="F370" s="28"/>
      <c r="G370" s="27"/>
      <c r="H370" s="27"/>
      <c r="I370" s="172"/>
      <c r="J370" s="214"/>
      <c r="K370" s="27"/>
      <c r="L370" s="172"/>
      <c r="M370" s="32"/>
      <c r="N370" s="32"/>
      <c r="O370" s="33"/>
      <c r="P370" s="33"/>
      <c r="Q370" s="32"/>
      <c r="R370" s="42"/>
      <c r="S370" s="42"/>
      <c r="T370" s="42"/>
      <c r="U370" s="32"/>
      <c r="V370" s="33"/>
      <c r="W370" s="33"/>
      <c r="X370" s="32"/>
      <c r="Y370" s="32"/>
      <c r="Z370" s="32"/>
      <c r="AA370" s="33"/>
      <c r="AB370" s="33"/>
      <c r="AC370" s="33"/>
      <c r="AD370" s="32"/>
      <c r="AE370" s="32"/>
      <c r="AF370" s="42"/>
      <c r="AG370" s="5"/>
    </row>
    <row r="371" spans="1:33" x14ac:dyDescent="0.25">
      <c r="A371" s="23"/>
      <c r="B371" s="24"/>
      <c r="C371" s="25"/>
      <c r="D371" s="27"/>
      <c r="E371" s="27"/>
      <c r="F371" s="28"/>
      <c r="G371" s="27"/>
      <c r="H371" s="27"/>
      <c r="I371" s="172"/>
      <c r="J371" s="214"/>
      <c r="K371" s="27"/>
      <c r="L371" s="172"/>
      <c r="M371" s="32"/>
      <c r="N371" s="32"/>
      <c r="O371" s="33"/>
      <c r="P371" s="33"/>
      <c r="Q371" s="32"/>
      <c r="R371" s="42"/>
      <c r="S371" s="42"/>
      <c r="T371" s="42"/>
      <c r="U371" s="32"/>
      <c r="V371" s="33"/>
      <c r="W371" s="33"/>
      <c r="X371" s="32"/>
      <c r="Y371" s="32"/>
      <c r="Z371" s="32"/>
      <c r="AA371" s="33"/>
      <c r="AB371" s="33"/>
      <c r="AC371" s="33"/>
      <c r="AD371" s="32"/>
      <c r="AE371" s="32"/>
      <c r="AF371" s="42"/>
      <c r="AG371" s="5"/>
    </row>
    <row r="372" spans="1:33" x14ac:dyDescent="0.25">
      <c r="A372" s="23"/>
      <c r="B372" s="24"/>
      <c r="C372" s="25"/>
      <c r="D372" s="27"/>
      <c r="E372" s="27"/>
      <c r="F372" s="28"/>
      <c r="G372" s="27"/>
      <c r="H372" s="27"/>
      <c r="I372" s="172"/>
      <c r="J372" s="214"/>
      <c r="K372" s="27"/>
      <c r="L372" s="172"/>
      <c r="M372" s="32"/>
      <c r="N372" s="32"/>
      <c r="O372" s="33"/>
      <c r="P372" s="33"/>
      <c r="Q372" s="32"/>
      <c r="R372" s="42"/>
      <c r="S372" s="42"/>
      <c r="T372" s="42"/>
      <c r="U372" s="32"/>
      <c r="V372" s="33"/>
      <c r="W372" s="33"/>
      <c r="X372" s="32"/>
      <c r="Y372" s="32"/>
      <c r="Z372" s="32"/>
      <c r="AA372" s="33"/>
      <c r="AB372" s="33"/>
      <c r="AC372" s="33"/>
      <c r="AD372" s="32"/>
      <c r="AE372" s="32"/>
      <c r="AF372" s="42"/>
      <c r="AG372" s="5"/>
    </row>
    <row r="373" spans="1:33" x14ac:dyDescent="0.25">
      <c r="A373" s="23"/>
      <c r="B373" s="24"/>
      <c r="C373" s="25"/>
      <c r="D373" s="27"/>
      <c r="E373" s="27"/>
      <c r="F373" s="28"/>
      <c r="G373" s="27"/>
      <c r="H373" s="27"/>
      <c r="I373" s="172"/>
      <c r="J373" s="214"/>
      <c r="K373" s="27"/>
      <c r="L373" s="172"/>
      <c r="M373" s="32"/>
      <c r="N373" s="32"/>
      <c r="O373" s="33"/>
      <c r="P373" s="33"/>
      <c r="Q373" s="32"/>
      <c r="R373" s="42"/>
      <c r="S373" s="42"/>
      <c r="T373" s="42"/>
      <c r="U373" s="32"/>
      <c r="V373" s="33"/>
      <c r="W373" s="33"/>
      <c r="X373" s="32"/>
      <c r="Y373" s="32"/>
      <c r="Z373" s="32"/>
      <c r="AA373" s="33"/>
      <c r="AB373" s="33"/>
      <c r="AC373" s="33"/>
      <c r="AD373" s="32"/>
      <c r="AE373" s="32"/>
      <c r="AF373" s="42"/>
      <c r="AG373" s="5"/>
    </row>
    <row r="374" spans="1:33" x14ac:dyDescent="0.25">
      <c r="A374" s="23"/>
      <c r="B374" s="24"/>
      <c r="C374" s="25"/>
      <c r="D374" s="27"/>
      <c r="E374" s="27"/>
      <c r="F374" s="28"/>
      <c r="G374" s="27"/>
      <c r="H374" s="27"/>
      <c r="I374" s="172"/>
      <c r="J374" s="214"/>
      <c r="K374" s="27"/>
      <c r="L374" s="172"/>
      <c r="M374" s="32"/>
      <c r="N374" s="32"/>
      <c r="O374" s="33"/>
      <c r="P374" s="33"/>
      <c r="Q374" s="32"/>
      <c r="R374" s="42"/>
      <c r="S374" s="42"/>
      <c r="T374" s="42"/>
      <c r="U374" s="32"/>
      <c r="V374" s="33"/>
      <c r="W374" s="33"/>
      <c r="X374" s="32"/>
      <c r="Y374" s="32"/>
      <c r="Z374" s="32"/>
      <c r="AA374" s="33"/>
      <c r="AB374" s="33"/>
      <c r="AC374" s="33"/>
      <c r="AD374" s="32"/>
      <c r="AE374" s="32"/>
      <c r="AF374" s="42"/>
      <c r="AG374" s="5"/>
    </row>
    <row r="375" spans="1:33" x14ac:dyDescent="0.25">
      <c r="A375" s="23"/>
      <c r="B375" s="24"/>
      <c r="C375" s="25"/>
      <c r="D375" s="27"/>
      <c r="E375" s="27"/>
      <c r="F375" s="28"/>
      <c r="G375" s="27"/>
      <c r="H375" s="27"/>
      <c r="I375" s="172"/>
      <c r="J375" s="214"/>
      <c r="K375" s="27"/>
      <c r="L375" s="172"/>
      <c r="M375" s="32"/>
      <c r="N375" s="32"/>
      <c r="O375" s="33"/>
      <c r="P375" s="33"/>
      <c r="Q375" s="32"/>
      <c r="R375" s="42"/>
      <c r="S375" s="42"/>
      <c r="T375" s="42"/>
      <c r="U375" s="32"/>
      <c r="V375" s="33"/>
      <c r="W375" s="33"/>
      <c r="X375" s="32"/>
      <c r="Y375" s="32"/>
      <c r="Z375" s="32"/>
      <c r="AA375" s="33"/>
      <c r="AB375" s="33"/>
      <c r="AC375" s="33"/>
      <c r="AD375" s="32"/>
      <c r="AE375" s="32"/>
      <c r="AF375" s="42"/>
      <c r="AG375" s="5"/>
    </row>
    <row r="376" spans="1:33" x14ac:dyDescent="0.25">
      <c r="A376" s="23"/>
      <c r="B376" s="24"/>
      <c r="C376" s="25"/>
      <c r="D376" s="27"/>
      <c r="E376" s="27"/>
      <c r="F376" s="28"/>
      <c r="G376" s="27"/>
      <c r="H376" s="27"/>
      <c r="I376" s="172"/>
      <c r="J376" s="214"/>
      <c r="K376" s="27"/>
      <c r="L376" s="172"/>
      <c r="M376" s="32"/>
      <c r="N376" s="32"/>
      <c r="O376" s="33"/>
      <c r="P376" s="33"/>
      <c r="Q376" s="32"/>
      <c r="R376" s="42"/>
      <c r="S376" s="42"/>
      <c r="T376" s="42"/>
      <c r="U376" s="32"/>
      <c r="V376" s="33"/>
      <c r="W376" s="33"/>
      <c r="X376" s="32"/>
      <c r="Y376" s="32"/>
      <c r="Z376" s="32"/>
      <c r="AA376" s="33"/>
      <c r="AB376" s="33"/>
      <c r="AC376" s="33"/>
      <c r="AD376" s="32"/>
      <c r="AE376" s="32"/>
      <c r="AF376" s="42"/>
      <c r="AG376" s="5"/>
    </row>
    <row r="377" spans="1:33" x14ac:dyDescent="0.25">
      <c r="A377" s="23"/>
      <c r="B377" s="24"/>
      <c r="C377" s="25"/>
      <c r="D377" s="27"/>
      <c r="E377" s="27"/>
      <c r="F377" s="28"/>
      <c r="G377" s="27"/>
      <c r="H377" s="27"/>
      <c r="I377" s="172"/>
      <c r="J377" s="214"/>
      <c r="K377" s="27"/>
      <c r="L377" s="172"/>
      <c r="M377" s="32"/>
      <c r="N377" s="32"/>
      <c r="O377" s="33"/>
      <c r="P377" s="33"/>
      <c r="Q377" s="32"/>
      <c r="R377" s="42"/>
      <c r="S377" s="42"/>
      <c r="T377" s="42"/>
      <c r="U377" s="32"/>
      <c r="V377" s="33"/>
      <c r="W377" s="33"/>
      <c r="X377" s="32"/>
      <c r="Y377" s="32"/>
      <c r="Z377" s="32"/>
      <c r="AA377" s="33"/>
      <c r="AB377" s="33"/>
      <c r="AC377" s="33"/>
      <c r="AD377" s="32"/>
      <c r="AE377" s="32"/>
      <c r="AF377" s="42"/>
      <c r="AG377" s="5"/>
    </row>
    <row r="378" spans="1:33" x14ac:dyDescent="0.25">
      <c r="A378" s="23"/>
      <c r="B378" s="24"/>
      <c r="C378" s="25"/>
      <c r="D378" s="27"/>
      <c r="E378" s="27"/>
      <c r="F378" s="28"/>
      <c r="G378" s="27"/>
      <c r="H378" s="27"/>
      <c r="I378" s="172"/>
      <c r="J378" s="214"/>
      <c r="K378" s="27"/>
      <c r="L378" s="172"/>
      <c r="M378" s="32"/>
      <c r="N378" s="32"/>
      <c r="O378" s="33"/>
      <c r="P378" s="33"/>
      <c r="Q378" s="32"/>
      <c r="R378" s="42"/>
      <c r="S378" s="42"/>
      <c r="T378" s="42"/>
      <c r="U378" s="32"/>
      <c r="V378" s="33"/>
      <c r="W378" s="33"/>
      <c r="X378" s="32"/>
      <c r="Y378" s="32"/>
      <c r="Z378" s="32"/>
      <c r="AA378" s="33"/>
      <c r="AB378" s="33"/>
      <c r="AC378" s="33"/>
      <c r="AD378" s="32"/>
      <c r="AE378" s="32"/>
      <c r="AF378" s="42"/>
      <c r="AG378" s="5"/>
    </row>
    <row r="379" spans="1:33" x14ac:dyDescent="0.25">
      <c r="A379" s="23"/>
      <c r="B379" s="24"/>
      <c r="C379" s="25"/>
      <c r="D379" s="27"/>
      <c r="E379" s="27"/>
      <c r="F379" s="28"/>
      <c r="G379" s="27"/>
      <c r="H379" s="27"/>
      <c r="I379" s="172"/>
      <c r="J379" s="214"/>
      <c r="K379" s="27"/>
      <c r="L379" s="172"/>
      <c r="M379" s="32"/>
      <c r="N379" s="32"/>
      <c r="O379" s="33"/>
      <c r="P379" s="33"/>
      <c r="Q379" s="32"/>
      <c r="R379" s="42"/>
      <c r="S379" s="42"/>
      <c r="T379" s="42"/>
      <c r="U379" s="32"/>
      <c r="V379" s="33"/>
      <c r="W379" s="33"/>
      <c r="X379" s="32"/>
      <c r="Y379" s="32"/>
      <c r="Z379" s="32"/>
      <c r="AA379" s="33"/>
      <c r="AB379" s="33"/>
      <c r="AC379" s="33"/>
      <c r="AD379" s="32"/>
      <c r="AE379" s="32"/>
      <c r="AF379" s="42"/>
      <c r="AG379" s="5"/>
    </row>
    <row r="380" spans="1:33" x14ac:dyDescent="0.25">
      <c r="A380" s="23"/>
      <c r="B380" s="24"/>
      <c r="C380" s="25"/>
      <c r="D380" s="27"/>
      <c r="E380" s="27"/>
      <c r="F380" s="28"/>
      <c r="G380" s="27"/>
      <c r="H380" s="27"/>
      <c r="I380" s="172"/>
      <c r="J380" s="214"/>
      <c r="K380" s="27"/>
      <c r="L380" s="172"/>
      <c r="M380" s="32"/>
      <c r="N380" s="32"/>
      <c r="O380" s="33"/>
      <c r="P380" s="33"/>
      <c r="Q380" s="32"/>
      <c r="R380" s="42"/>
      <c r="S380" s="42"/>
      <c r="T380" s="42"/>
      <c r="U380" s="32"/>
      <c r="V380" s="33"/>
      <c r="W380" s="33"/>
      <c r="X380" s="32"/>
      <c r="Y380" s="32"/>
      <c r="Z380" s="32"/>
      <c r="AA380" s="33"/>
      <c r="AB380" s="33"/>
      <c r="AC380" s="33"/>
      <c r="AD380" s="32"/>
      <c r="AE380" s="32"/>
      <c r="AF380" s="42"/>
      <c r="AG380" s="5"/>
    </row>
    <row r="381" spans="1:33" x14ac:dyDescent="0.25">
      <c r="A381" s="23"/>
      <c r="B381" s="24"/>
      <c r="C381" s="25"/>
      <c r="D381" s="27"/>
      <c r="E381" s="27"/>
      <c r="F381" s="28"/>
      <c r="G381" s="27"/>
      <c r="H381" s="27"/>
      <c r="I381" s="172"/>
      <c r="J381" s="214"/>
      <c r="K381" s="27"/>
      <c r="L381" s="172"/>
      <c r="M381" s="32"/>
      <c r="N381" s="32"/>
      <c r="O381" s="33"/>
      <c r="P381" s="33"/>
      <c r="Q381" s="32"/>
      <c r="R381" s="42"/>
      <c r="S381" s="42"/>
      <c r="T381" s="42"/>
      <c r="U381" s="32"/>
      <c r="V381" s="33"/>
      <c r="W381" s="33"/>
      <c r="X381" s="32"/>
      <c r="Y381" s="32"/>
      <c r="Z381" s="32"/>
      <c r="AA381" s="33"/>
      <c r="AB381" s="33"/>
      <c r="AC381" s="33"/>
      <c r="AD381" s="32"/>
      <c r="AE381" s="32"/>
      <c r="AF381" s="42"/>
      <c r="AG381" s="5"/>
    </row>
    <row r="382" spans="1:33" x14ac:dyDescent="0.25">
      <c r="A382" s="23"/>
      <c r="B382" s="24"/>
      <c r="C382" s="25"/>
      <c r="D382" s="27"/>
      <c r="E382" s="27"/>
      <c r="F382" s="28"/>
      <c r="G382" s="27"/>
      <c r="H382" s="27"/>
      <c r="I382" s="172"/>
      <c r="J382" s="214"/>
      <c r="K382" s="27"/>
      <c r="L382" s="172"/>
      <c r="M382" s="32"/>
      <c r="N382" s="32"/>
      <c r="O382" s="33"/>
      <c r="P382" s="33"/>
      <c r="Q382" s="32"/>
      <c r="R382" s="42"/>
      <c r="S382" s="42"/>
      <c r="T382" s="42"/>
      <c r="U382" s="32"/>
      <c r="V382" s="33"/>
      <c r="W382" s="33"/>
      <c r="X382" s="32"/>
      <c r="Y382" s="32"/>
      <c r="Z382" s="32"/>
      <c r="AA382" s="33"/>
      <c r="AB382" s="33"/>
      <c r="AC382" s="33"/>
      <c r="AD382" s="32"/>
      <c r="AE382" s="32"/>
      <c r="AF382" s="42"/>
      <c r="AG382" s="5"/>
    </row>
    <row r="383" spans="1:33" x14ac:dyDescent="0.25">
      <c r="A383" s="23"/>
      <c r="B383" s="24"/>
      <c r="C383" s="25"/>
      <c r="D383" s="27"/>
      <c r="E383" s="27"/>
      <c r="F383" s="28"/>
      <c r="G383" s="27"/>
      <c r="H383" s="27"/>
      <c r="I383" s="172"/>
      <c r="J383" s="214"/>
      <c r="K383" s="27"/>
      <c r="L383" s="172"/>
      <c r="M383" s="32"/>
      <c r="N383" s="32"/>
      <c r="O383" s="33"/>
      <c r="P383" s="33"/>
      <c r="Q383" s="32"/>
      <c r="R383" s="42"/>
      <c r="S383" s="42"/>
      <c r="T383" s="42"/>
      <c r="U383" s="32"/>
      <c r="V383" s="33"/>
      <c r="W383" s="33"/>
      <c r="X383" s="32"/>
      <c r="Y383" s="32"/>
      <c r="Z383" s="32"/>
      <c r="AA383" s="33"/>
      <c r="AB383" s="33"/>
      <c r="AC383" s="33"/>
      <c r="AD383" s="32"/>
      <c r="AE383" s="32"/>
      <c r="AF383" s="42"/>
      <c r="AG383" s="5"/>
    </row>
    <row r="384" spans="1:33" x14ac:dyDescent="0.25">
      <c r="A384" s="23"/>
      <c r="B384" s="24"/>
      <c r="C384" s="25"/>
      <c r="D384" s="27"/>
      <c r="E384" s="27"/>
      <c r="F384" s="28"/>
      <c r="G384" s="27"/>
      <c r="H384" s="27"/>
      <c r="I384" s="172"/>
      <c r="J384" s="214"/>
      <c r="K384" s="27"/>
      <c r="L384" s="172"/>
      <c r="M384" s="32"/>
      <c r="N384" s="32"/>
      <c r="O384" s="33"/>
      <c r="P384" s="33"/>
      <c r="Q384" s="32"/>
      <c r="R384" s="42"/>
      <c r="S384" s="42"/>
      <c r="T384" s="42"/>
      <c r="U384" s="32"/>
      <c r="V384" s="33"/>
      <c r="W384" s="33"/>
      <c r="X384" s="32"/>
      <c r="Y384" s="32"/>
      <c r="Z384" s="32"/>
      <c r="AA384" s="33"/>
      <c r="AB384" s="33"/>
      <c r="AC384" s="33"/>
      <c r="AD384" s="32"/>
      <c r="AE384" s="32"/>
      <c r="AF384" s="42"/>
      <c r="AG384" s="5"/>
    </row>
    <row r="385" spans="1:33" x14ac:dyDescent="0.25">
      <c r="A385" s="23"/>
      <c r="B385" s="24"/>
      <c r="C385" s="25"/>
      <c r="D385" s="27"/>
      <c r="E385" s="27"/>
      <c r="F385" s="28"/>
      <c r="G385" s="27"/>
      <c r="H385" s="27"/>
      <c r="I385" s="172"/>
      <c r="J385" s="214"/>
      <c r="K385" s="27"/>
      <c r="L385" s="172"/>
      <c r="M385" s="32"/>
      <c r="N385" s="32"/>
      <c r="O385" s="33"/>
      <c r="P385" s="33"/>
      <c r="Q385" s="32"/>
      <c r="R385" s="42"/>
      <c r="S385" s="42"/>
      <c r="T385" s="42"/>
      <c r="U385" s="32"/>
      <c r="V385" s="33"/>
      <c r="W385" s="33"/>
      <c r="X385" s="32"/>
      <c r="Y385" s="32"/>
      <c r="Z385" s="32"/>
      <c r="AA385" s="33"/>
      <c r="AB385" s="33"/>
      <c r="AC385" s="33"/>
      <c r="AD385" s="32"/>
      <c r="AE385" s="32"/>
      <c r="AF385" s="42"/>
      <c r="AG385" s="5"/>
    </row>
    <row r="386" spans="1:33" x14ac:dyDescent="0.25">
      <c r="A386" s="23"/>
      <c r="B386" s="24"/>
      <c r="C386" s="25"/>
      <c r="D386" s="27"/>
      <c r="E386" s="27"/>
      <c r="F386" s="28"/>
      <c r="G386" s="27"/>
      <c r="H386" s="27"/>
      <c r="I386" s="172"/>
      <c r="J386" s="214"/>
      <c r="K386" s="27"/>
      <c r="L386" s="172"/>
      <c r="M386" s="32"/>
      <c r="N386" s="32"/>
      <c r="O386" s="33"/>
      <c r="P386" s="33"/>
      <c r="Q386" s="32"/>
      <c r="R386" s="42"/>
      <c r="S386" s="42"/>
      <c r="T386" s="42"/>
      <c r="U386" s="32"/>
      <c r="V386" s="33"/>
      <c r="W386" s="33"/>
      <c r="X386" s="32"/>
      <c r="Y386" s="32"/>
      <c r="Z386" s="32"/>
      <c r="AA386" s="33"/>
      <c r="AB386" s="33"/>
      <c r="AC386" s="33"/>
      <c r="AD386" s="32"/>
      <c r="AE386" s="32"/>
      <c r="AF386" s="42"/>
      <c r="AG386" s="5"/>
    </row>
    <row r="387" spans="1:33" x14ac:dyDescent="0.25">
      <c r="A387" s="23"/>
      <c r="B387" s="24"/>
      <c r="C387" s="25"/>
      <c r="D387" s="27"/>
      <c r="E387" s="27"/>
      <c r="F387" s="28"/>
      <c r="G387" s="27"/>
      <c r="H387" s="27"/>
      <c r="I387" s="172"/>
      <c r="J387" s="214"/>
      <c r="K387" s="27"/>
      <c r="L387" s="172"/>
      <c r="M387" s="32"/>
      <c r="N387" s="32"/>
      <c r="O387" s="33"/>
      <c r="P387" s="33"/>
      <c r="Q387" s="32"/>
      <c r="R387" s="42"/>
      <c r="S387" s="42"/>
      <c r="T387" s="42"/>
      <c r="U387" s="32"/>
      <c r="V387" s="33"/>
      <c r="W387" s="33"/>
      <c r="X387" s="32"/>
      <c r="Y387" s="32"/>
      <c r="Z387" s="32"/>
      <c r="AA387" s="33"/>
      <c r="AB387" s="33"/>
      <c r="AC387" s="33"/>
      <c r="AD387" s="32"/>
      <c r="AE387" s="32"/>
      <c r="AF387" s="42"/>
      <c r="AG387" s="5"/>
    </row>
    <row r="388" spans="1:33" x14ac:dyDescent="0.25">
      <c r="A388" s="23"/>
      <c r="B388" s="24"/>
      <c r="C388" s="25"/>
      <c r="D388" s="27"/>
      <c r="E388" s="27"/>
      <c r="F388" s="28"/>
      <c r="G388" s="27"/>
      <c r="H388" s="27"/>
      <c r="I388" s="172"/>
      <c r="J388" s="214"/>
      <c r="K388" s="27"/>
      <c r="L388" s="172"/>
      <c r="M388" s="32"/>
      <c r="N388" s="32"/>
      <c r="O388" s="33"/>
      <c r="P388" s="33"/>
      <c r="Q388" s="32"/>
      <c r="R388" s="42"/>
      <c r="S388" s="42"/>
      <c r="T388" s="42"/>
      <c r="U388" s="32"/>
      <c r="V388" s="33"/>
      <c r="W388" s="33"/>
      <c r="X388" s="32"/>
      <c r="Y388" s="32"/>
      <c r="Z388" s="32"/>
      <c r="AA388" s="33"/>
      <c r="AB388" s="33"/>
      <c r="AC388" s="33"/>
      <c r="AD388" s="32"/>
      <c r="AE388" s="32"/>
      <c r="AF388" s="42"/>
      <c r="AG388" s="5"/>
    </row>
    <row r="389" spans="1:33" x14ac:dyDescent="0.25">
      <c r="A389" s="23"/>
      <c r="B389" s="24"/>
      <c r="C389" s="25"/>
      <c r="D389" s="27"/>
      <c r="E389" s="27"/>
      <c r="F389" s="28"/>
      <c r="G389" s="27"/>
      <c r="H389" s="27"/>
      <c r="I389" s="172"/>
      <c r="J389" s="214"/>
      <c r="K389" s="27"/>
      <c r="L389" s="172"/>
      <c r="M389" s="32"/>
      <c r="N389" s="32"/>
      <c r="O389" s="33"/>
      <c r="P389" s="33"/>
      <c r="Q389" s="32"/>
      <c r="R389" s="42"/>
      <c r="S389" s="42"/>
      <c r="T389" s="42"/>
      <c r="U389" s="32"/>
      <c r="V389" s="33"/>
      <c r="W389" s="33"/>
      <c r="X389" s="32"/>
      <c r="Y389" s="32"/>
      <c r="Z389" s="32"/>
      <c r="AA389" s="33"/>
      <c r="AB389" s="33"/>
      <c r="AC389" s="33"/>
      <c r="AD389" s="32"/>
      <c r="AE389" s="32"/>
      <c r="AF389" s="42"/>
      <c r="AG389" s="5"/>
    </row>
    <row r="390" spans="1:33" x14ac:dyDescent="0.25">
      <c r="A390" s="23"/>
      <c r="B390" s="24"/>
      <c r="C390" s="25"/>
      <c r="D390" s="27"/>
      <c r="E390" s="27"/>
      <c r="F390" s="28"/>
      <c r="G390" s="27"/>
      <c r="H390" s="27"/>
      <c r="I390" s="172"/>
      <c r="J390" s="214"/>
      <c r="K390" s="27"/>
      <c r="L390" s="172"/>
      <c r="M390" s="32"/>
      <c r="N390" s="32"/>
      <c r="O390" s="33"/>
      <c r="P390" s="33"/>
      <c r="Q390" s="32"/>
      <c r="R390" s="42"/>
      <c r="S390" s="42"/>
      <c r="T390" s="42"/>
      <c r="U390" s="32"/>
      <c r="V390" s="33"/>
      <c r="W390" s="33"/>
      <c r="X390" s="32"/>
      <c r="Y390" s="32"/>
      <c r="Z390" s="32"/>
      <c r="AA390" s="33"/>
      <c r="AB390" s="33"/>
      <c r="AC390" s="33"/>
      <c r="AD390" s="32"/>
      <c r="AE390" s="32"/>
      <c r="AF390" s="42"/>
      <c r="AG390" s="5"/>
    </row>
    <row r="391" spans="1:33" x14ac:dyDescent="0.25">
      <c r="A391" s="23"/>
      <c r="B391" s="24"/>
      <c r="C391" s="25"/>
      <c r="D391" s="27"/>
      <c r="E391" s="27"/>
      <c r="F391" s="28"/>
      <c r="G391" s="27"/>
      <c r="H391" s="27"/>
      <c r="I391" s="172"/>
      <c r="J391" s="214"/>
      <c r="K391" s="27"/>
      <c r="L391" s="172"/>
      <c r="M391" s="32"/>
      <c r="N391" s="32"/>
      <c r="O391" s="33"/>
      <c r="P391" s="33"/>
      <c r="Q391" s="32"/>
      <c r="R391" s="42"/>
      <c r="S391" s="42"/>
      <c r="T391" s="42"/>
      <c r="U391" s="32"/>
      <c r="V391" s="33"/>
      <c r="W391" s="33"/>
      <c r="X391" s="32"/>
      <c r="Y391" s="32"/>
      <c r="Z391" s="32"/>
      <c r="AA391" s="33"/>
      <c r="AB391" s="33"/>
      <c r="AC391" s="33"/>
      <c r="AD391" s="32"/>
      <c r="AE391" s="32"/>
      <c r="AF391" s="42"/>
      <c r="AG391" s="5"/>
    </row>
    <row r="392" spans="1:33" x14ac:dyDescent="0.25">
      <c r="A392" s="23"/>
      <c r="B392" s="24"/>
      <c r="C392" s="25"/>
      <c r="D392" s="27"/>
      <c r="E392" s="27"/>
      <c r="F392" s="28"/>
      <c r="G392" s="27"/>
      <c r="H392" s="27"/>
      <c r="I392" s="172"/>
      <c r="J392" s="214"/>
      <c r="K392" s="27"/>
      <c r="L392" s="172"/>
      <c r="M392" s="32"/>
      <c r="N392" s="32"/>
      <c r="O392" s="33"/>
      <c r="P392" s="33"/>
      <c r="Q392" s="32"/>
      <c r="R392" s="42"/>
      <c r="S392" s="42"/>
      <c r="T392" s="42"/>
      <c r="U392" s="32"/>
      <c r="V392" s="33"/>
      <c r="W392" s="33"/>
      <c r="X392" s="32"/>
      <c r="Y392" s="32"/>
      <c r="Z392" s="32"/>
      <c r="AA392" s="33"/>
      <c r="AB392" s="33"/>
      <c r="AC392" s="33"/>
      <c r="AD392" s="32"/>
      <c r="AE392" s="32"/>
      <c r="AF392" s="42"/>
      <c r="AG392" s="5"/>
    </row>
    <row r="393" spans="1:33" x14ac:dyDescent="0.25">
      <c r="A393" s="23"/>
      <c r="B393" s="24"/>
      <c r="C393" s="25"/>
      <c r="D393" s="27"/>
      <c r="E393" s="27"/>
      <c r="F393" s="28"/>
      <c r="G393" s="27"/>
      <c r="H393" s="27"/>
      <c r="I393" s="172"/>
      <c r="J393" s="214"/>
      <c r="K393" s="27"/>
      <c r="L393" s="172"/>
      <c r="M393" s="32"/>
      <c r="N393" s="32"/>
      <c r="O393" s="33"/>
      <c r="P393" s="33"/>
      <c r="Q393" s="32"/>
      <c r="R393" s="42"/>
      <c r="S393" s="42"/>
      <c r="T393" s="42"/>
      <c r="U393" s="32"/>
      <c r="V393" s="33"/>
      <c r="W393" s="33"/>
      <c r="X393" s="32"/>
      <c r="Y393" s="32"/>
      <c r="Z393" s="32"/>
      <c r="AA393" s="33"/>
      <c r="AB393" s="33"/>
      <c r="AC393" s="33"/>
      <c r="AD393" s="32"/>
      <c r="AE393" s="32"/>
      <c r="AF393" s="42"/>
      <c r="AG393" s="5"/>
    </row>
    <row r="394" spans="1:33" x14ac:dyDescent="0.25">
      <c r="A394" s="23"/>
      <c r="B394" s="24"/>
      <c r="C394" s="25"/>
      <c r="D394" s="27"/>
      <c r="E394" s="27"/>
      <c r="F394" s="28"/>
      <c r="G394" s="27"/>
      <c r="H394" s="27"/>
      <c r="I394" s="172"/>
      <c r="J394" s="214"/>
      <c r="K394" s="27"/>
      <c r="L394" s="172"/>
      <c r="M394" s="32"/>
      <c r="N394" s="32"/>
      <c r="O394" s="33"/>
      <c r="P394" s="33"/>
      <c r="Q394" s="32"/>
      <c r="R394" s="42"/>
      <c r="S394" s="42"/>
      <c r="T394" s="42"/>
      <c r="U394" s="32"/>
      <c r="V394" s="33"/>
      <c r="W394" s="33"/>
      <c r="X394" s="32"/>
      <c r="Y394" s="32"/>
      <c r="Z394" s="32"/>
      <c r="AA394" s="33"/>
      <c r="AB394" s="33"/>
      <c r="AC394" s="33"/>
      <c r="AD394" s="32"/>
      <c r="AE394" s="32"/>
      <c r="AF394" s="42"/>
      <c r="AG394" s="5"/>
    </row>
    <row r="395" spans="1:33" x14ac:dyDescent="0.25">
      <c r="A395" s="23"/>
      <c r="B395" s="24"/>
      <c r="C395" s="25"/>
      <c r="D395" s="27"/>
      <c r="E395" s="27"/>
      <c r="F395" s="28"/>
      <c r="G395" s="27"/>
      <c r="H395" s="27"/>
      <c r="I395" s="172"/>
      <c r="J395" s="214"/>
      <c r="K395" s="27"/>
      <c r="L395" s="172"/>
      <c r="M395" s="32"/>
      <c r="N395" s="32"/>
      <c r="O395" s="33"/>
      <c r="P395" s="33"/>
      <c r="Q395" s="32"/>
      <c r="R395" s="42"/>
      <c r="S395" s="42"/>
      <c r="T395" s="42"/>
      <c r="U395" s="32"/>
      <c r="V395" s="33"/>
      <c r="W395" s="33"/>
      <c r="X395" s="32"/>
      <c r="Y395" s="32"/>
      <c r="Z395" s="32"/>
      <c r="AA395" s="33"/>
      <c r="AB395" s="33"/>
      <c r="AC395" s="33"/>
      <c r="AD395" s="32"/>
      <c r="AE395" s="32"/>
      <c r="AF395" s="42"/>
      <c r="AG395" s="5"/>
    </row>
    <row r="396" spans="1:33" x14ac:dyDescent="0.25">
      <c r="A396" s="23"/>
      <c r="B396" s="24"/>
      <c r="C396" s="25"/>
      <c r="D396" s="27"/>
      <c r="E396" s="27"/>
      <c r="F396" s="28"/>
      <c r="G396" s="27"/>
      <c r="H396" s="27"/>
      <c r="I396" s="172"/>
      <c r="J396" s="214"/>
      <c r="K396" s="27"/>
      <c r="L396" s="172"/>
      <c r="M396" s="32"/>
      <c r="N396" s="32"/>
      <c r="O396" s="33"/>
      <c r="P396" s="33"/>
      <c r="Q396" s="32"/>
      <c r="R396" s="42"/>
      <c r="S396" s="42"/>
      <c r="T396" s="42"/>
      <c r="U396" s="32"/>
      <c r="V396" s="33"/>
      <c r="W396" s="33"/>
      <c r="X396" s="32"/>
      <c r="Y396" s="32"/>
      <c r="Z396" s="32"/>
      <c r="AA396" s="33"/>
      <c r="AB396" s="33"/>
      <c r="AC396" s="33"/>
      <c r="AD396" s="32"/>
      <c r="AE396" s="32"/>
      <c r="AF396" s="42"/>
      <c r="AG396" s="5"/>
    </row>
    <row r="397" spans="1:33" x14ac:dyDescent="0.25">
      <c r="A397" s="23"/>
      <c r="B397" s="24"/>
      <c r="C397" s="25"/>
      <c r="D397" s="27"/>
      <c r="E397" s="27"/>
      <c r="F397" s="28"/>
      <c r="G397" s="27"/>
      <c r="H397" s="27"/>
      <c r="I397" s="172"/>
      <c r="J397" s="214"/>
      <c r="K397" s="27"/>
      <c r="L397" s="172"/>
      <c r="M397" s="32"/>
      <c r="N397" s="32"/>
      <c r="O397" s="33"/>
      <c r="P397" s="33"/>
      <c r="Q397" s="32"/>
      <c r="R397" s="42"/>
      <c r="S397" s="42"/>
      <c r="T397" s="42"/>
      <c r="U397" s="32"/>
      <c r="V397" s="33"/>
      <c r="W397" s="33"/>
      <c r="X397" s="32"/>
      <c r="Y397" s="32"/>
      <c r="Z397" s="32"/>
      <c r="AA397" s="33"/>
      <c r="AB397" s="33"/>
      <c r="AC397" s="33"/>
      <c r="AD397" s="32"/>
      <c r="AE397" s="32"/>
      <c r="AF397" s="42"/>
      <c r="AG397" s="5"/>
    </row>
    <row r="398" spans="1:33" x14ac:dyDescent="0.25">
      <c r="A398" s="23"/>
      <c r="B398" s="24"/>
      <c r="C398" s="25"/>
      <c r="D398" s="27"/>
      <c r="E398" s="27"/>
      <c r="F398" s="28"/>
      <c r="G398" s="27"/>
      <c r="H398" s="27"/>
      <c r="I398" s="172"/>
      <c r="J398" s="214"/>
      <c r="K398" s="27"/>
      <c r="L398" s="172"/>
      <c r="M398" s="32"/>
      <c r="N398" s="32"/>
      <c r="O398" s="33"/>
      <c r="P398" s="33"/>
      <c r="Q398" s="32"/>
      <c r="R398" s="42"/>
      <c r="S398" s="42"/>
      <c r="T398" s="42"/>
      <c r="U398" s="32"/>
      <c r="V398" s="33"/>
      <c r="W398" s="33"/>
      <c r="X398" s="32"/>
      <c r="Y398" s="32"/>
      <c r="Z398" s="32"/>
      <c r="AA398" s="33"/>
      <c r="AB398" s="33"/>
      <c r="AC398" s="33"/>
      <c r="AD398" s="32"/>
      <c r="AE398" s="32"/>
      <c r="AF398" s="42"/>
      <c r="AG398" s="5"/>
    </row>
    <row r="399" spans="1:33" x14ac:dyDescent="0.25">
      <c r="A399" s="23"/>
      <c r="B399" s="24"/>
      <c r="C399" s="25"/>
      <c r="D399" s="27"/>
      <c r="E399" s="27"/>
      <c r="F399" s="28"/>
      <c r="G399" s="27"/>
      <c r="H399" s="27"/>
      <c r="I399" s="172"/>
      <c r="J399" s="214"/>
      <c r="K399" s="27"/>
      <c r="L399" s="172"/>
      <c r="M399" s="32"/>
      <c r="N399" s="32"/>
      <c r="O399" s="33"/>
      <c r="P399" s="33"/>
      <c r="Q399" s="32"/>
      <c r="R399" s="42"/>
      <c r="S399" s="42"/>
      <c r="T399" s="42"/>
      <c r="U399" s="32"/>
      <c r="V399" s="33"/>
      <c r="W399" s="33"/>
      <c r="X399" s="32"/>
      <c r="Y399" s="32"/>
      <c r="Z399" s="32"/>
      <c r="AA399" s="33"/>
      <c r="AB399" s="33"/>
      <c r="AC399" s="33"/>
      <c r="AD399" s="32"/>
      <c r="AE399" s="32"/>
      <c r="AF399" s="42"/>
      <c r="AG399" s="5"/>
    </row>
    <row r="400" spans="1:33" x14ac:dyDescent="0.25">
      <c r="A400" s="23"/>
      <c r="B400" s="24"/>
      <c r="C400" s="25"/>
      <c r="D400" s="27"/>
      <c r="E400" s="27"/>
      <c r="F400" s="28"/>
      <c r="G400" s="27"/>
      <c r="H400" s="27"/>
      <c r="I400" s="172"/>
      <c r="J400" s="214"/>
      <c r="K400" s="27"/>
      <c r="L400" s="172"/>
      <c r="M400" s="32"/>
      <c r="N400" s="32"/>
      <c r="O400" s="33"/>
      <c r="P400" s="33"/>
      <c r="Q400" s="32"/>
      <c r="R400" s="42"/>
      <c r="S400" s="42"/>
      <c r="T400" s="42"/>
      <c r="U400" s="32"/>
      <c r="V400" s="33"/>
      <c r="W400" s="33"/>
      <c r="X400" s="32"/>
      <c r="Y400" s="32"/>
      <c r="Z400" s="32"/>
      <c r="AA400" s="33"/>
      <c r="AB400" s="33"/>
      <c r="AC400" s="33"/>
      <c r="AD400" s="32"/>
      <c r="AE400" s="32"/>
      <c r="AF400" s="42"/>
      <c r="AG400" s="5"/>
    </row>
    <row r="401" spans="1:33" x14ac:dyDescent="0.25">
      <c r="A401" s="23"/>
      <c r="B401" s="24"/>
      <c r="C401" s="25"/>
      <c r="D401" s="27"/>
      <c r="E401" s="27"/>
      <c r="F401" s="28"/>
      <c r="G401" s="27"/>
      <c r="H401" s="27"/>
      <c r="I401" s="172"/>
      <c r="J401" s="214"/>
      <c r="K401" s="27"/>
      <c r="L401" s="172"/>
      <c r="M401" s="32"/>
      <c r="N401" s="32"/>
      <c r="O401" s="33"/>
      <c r="P401" s="33"/>
      <c r="Q401" s="32"/>
      <c r="R401" s="42"/>
      <c r="S401" s="42"/>
      <c r="T401" s="42"/>
      <c r="U401" s="32"/>
      <c r="V401" s="33"/>
      <c r="W401" s="33"/>
      <c r="X401" s="32"/>
      <c r="Y401" s="32"/>
      <c r="Z401" s="32"/>
      <c r="AA401" s="33"/>
      <c r="AB401" s="33"/>
      <c r="AC401" s="33"/>
      <c r="AD401" s="32"/>
      <c r="AE401" s="32"/>
      <c r="AF401" s="42"/>
      <c r="AG401" s="5"/>
    </row>
    <row r="402" spans="1:33" x14ac:dyDescent="0.25">
      <c r="A402" s="23"/>
      <c r="B402" s="24"/>
      <c r="C402" s="25"/>
      <c r="D402" s="27"/>
      <c r="E402" s="27"/>
      <c r="F402" s="28"/>
      <c r="G402" s="27"/>
      <c r="H402" s="27"/>
      <c r="I402" s="172"/>
      <c r="J402" s="214"/>
      <c r="K402" s="27"/>
      <c r="L402" s="172"/>
      <c r="M402" s="32"/>
      <c r="N402" s="32"/>
      <c r="O402" s="33"/>
      <c r="P402" s="33"/>
      <c r="Q402" s="32"/>
      <c r="R402" s="42"/>
      <c r="S402" s="42"/>
      <c r="T402" s="42"/>
      <c r="U402" s="32"/>
      <c r="V402" s="33"/>
      <c r="W402" s="33"/>
      <c r="X402" s="32"/>
      <c r="Y402" s="32"/>
      <c r="Z402" s="32"/>
      <c r="AA402" s="33"/>
      <c r="AB402" s="33"/>
      <c r="AC402" s="33"/>
      <c r="AD402" s="32"/>
      <c r="AE402" s="32"/>
      <c r="AF402" s="42"/>
      <c r="AG402" s="5"/>
    </row>
    <row r="403" spans="1:33" x14ac:dyDescent="0.25">
      <c r="A403" s="23"/>
      <c r="B403" s="24"/>
      <c r="C403" s="25"/>
      <c r="D403" s="27"/>
      <c r="E403" s="27"/>
      <c r="F403" s="28"/>
      <c r="G403" s="27"/>
      <c r="H403" s="27"/>
      <c r="I403" s="172"/>
      <c r="J403" s="214"/>
      <c r="K403" s="27"/>
      <c r="L403" s="172"/>
      <c r="M403" s="32"/>
      <c r="N403" s="32"/>
      <c r="O403" s="33"/>
      <c r="P403" s="33"/>
      <c r="Q403" s="32"/>
      <c r="R403" s="42"/>
      <c r="S403" s="42"/>
      <c r="T403" s="42"/>
      <c r="U403" s="32"/>
      <c r="V403" s="33"/>
      <c r="W403" s="33"/>
      <c r="X403" s="32"/>
      <c r="Y403" s="32"/>
      <c r="Z403" s="32"/>
      <c r="AA403" s="33"/>
      <c r="AB403" s="33"/>
      <c r="AC403" s="33"/>
      <c r="AD403" s="32"/>
      <c r="AE403" s="32"/>
      <c r="AF403" s="42"/>
      <c r="AG403" s="5"/>
    </row>
    <row r="404" spans="1:33" x14ac:dyDescent="0.25">
      <c r="A404" s="23"/>
      <c r="B404" s="24"/>
      <c r="C404" s="25"/>
      <c r="D404" s="27"/>
      <c r="E404" s="27"/>
      <c r="F404" s="28"/>
      <c r="G404" s="27"/>
      <c r="H404" s="27"/>
      <c r="I404" s="172"/>
      <c r="J404" s="214"/>
      <c r="K404" s="27"/>
      <c r="L404" s="172"/>
      <c r="M404" s="32"/>
      <c r="N404" s="32"/>
      <c r="O404" s="33"/>
      <c r="P404" s="33"/>
      <c r="Q404" s="32"/>
      <c r="R404" s="42"/>
      <c r="S404" s="42"/>
      <c r="T404" s="42"/>
      <c r="U404" s="32"/>
      <c r="V404" s="33"/>
      <c r="W404" s="33"/>
      <c r="X404" s="32"/>
      <c r="Y404" s="32"/>
      <c r="Z404" s="32"/>
      <c r="AA404" s="33"/>
      <c r="AB404" s="33"/>
      <c r="AC404" s="33"/>
      <c r="AD404" s="32"/>
      <c r="AE404" s="32"/>
      <c r="AF404" s="42"/>
      <c r="AG404" s="5"/>
    </row>
    <row r="405" spans="1:33" x14ac:dyDescent="0.25">
      <c r="A405" s="23"/>
      <c r="B405" s="24"/>
      <c r="C405" s="25"/>
      <c r="D405" s="27"/>
      <c r="E405" s="27"/>
      <c r="F405" s="28"/>
      <c r="G405" s="27"/>
      <c r="H405" s="27"/>
      <c r="I405" s="172"/>
      <c r="J405" s="214"/>
      <c r="K405" s="27"/>
      <c r="L405" s="172"/>
      <c r="M405" s="32"/>
      <c r="N405" s="32"/>
      <c r="O405" s="33"/>
      <c r="P405" s="33"/>
      <c r="Q405" s="32"/>
      <c r="R405" s="42"/>
      <c r="S405" s="42"/>
      <c r="T405" s="42"/>
      <c r="U405" s="32"/>
      <c r="V405" s="33"/>
      <c r="W405" s="33"/>
      <c r="X405" s="32"/>
      <c r="Y405" s="32"/>
      <c r="Z405" s="32"/>
      <c r="AA405" s="33"/>
      <c r="AB405" s="33"/>
      <c r="AC405" s="33"/>
      <c r="AD405" s="32"/>
      <c r="AE405" s="32"/>
      <c r="AF405" s="42"/>
      <c r="AG405" s="5"/>
    </row>
    <row r="406" spans="1:33" x14ac:dyDescent="0.25">
      <c r="A406" s="23"/>
      <c r="B406" s="24"/>
      <c r="C406" s="25"/>
      <c r="D406" s="27"/>
      <c r="E406" s="27"/>
      <c r="F406" s="28"/>
      <c r="G406" s="27"/>
      <c r="H406" s="27"/>
      <c r="I406" s="172"/>
      <c r="J406" s="214"/>
      <c r="K406" s="27"/>
      <c r="L406" s="172"/>
      <c r="M406" s="32"/>
      <c r="N406" s="32"/>
      <c r="O406" s="33"/>
      <c r="P406" s="33"/>
      <c r="Q406" s="32"/>
      <c r="R406" s="42"/>
      <c r="S406" s="42"/>
      <c r="T406" s="42"/>
      <c r="U406" s="32"/>
      <c r="V406" s="33"/>
      <c r="W406" s="33"/>
      <c r="X406" s="32"/>
      <c r="Y406" s="32"/>
      <c r="Z406" s="32"/>
      <c r="AA406" s="33"/>
      <c r="AB406" s="33"/>
      <c r="AC406" s="33"/>
      <c r="AD406" s="32"/>
      <c r="AE406" s="32"/>
      <c r="AF406" s="42"/>
      <c r="AG406" s="5"/>
    </row>
    <row r="407" spans="1:33" x14ac:dyDescent="0.25">
      <c r="A407" s="23"/>
      <c r="B407" s="24"/>
      <c r="C407" s="25"/>
      <c r="D407" s="27"/>
      <c r="E407" s="27"/>
      <c r="F407" s="28"/>
      <c r="G407" s="27"/>
      <c r="H407" s="27"/>
      <c r="I407" s="172"/>
      <c r="J407" s="214"/>
      <c r="K407" s="27"/>
      <c r="L407" s="172"/>
      <c r="M407" s="32"/>
      <c r="N407" s="32"/>
      <c r="O407" s="33"/>
      <c r="P407" s="33"/>
      <c r="Q407" s="32"/>
      <c r="R407" s="42"/>
      <c r="S407" s="42"/>
      <c r="T407" s="42"/>
      <c r="U407" s="32"/>
      <c r="V407" s="33"/>
      <c r="W407" s="33"/>
      <c r="X407" s="32"/>
      <c r="Y407" s="32"/>
      <c r="Z407" s="32"/>
      <c r="AA407" s="33"/>
      <c r="AB407" s="33"/>
      <c r="AC407" s="33"/>
      <c r="AD407" s="32"/>
      <c r="AE407" s="32"/>
      <c r="AF407" s="42"/>
      <c r="AG407" s="5"/>
    </row>
    <row r="408" spans="1:33" x14ac:dyDescent="0.25">
      <c r="A408" s="23"/>
      <c r="B408" s="24"/>
      <c r="C408" s="25"/>
      <c r="D408" s="27"/>
      <c r="E408" s="27"/>
      <c r="F408" s="28"/>
      <c r="G408" s="27"/>
      <c r="H408" s="27"/>
      <c r="I408" s="172"/>
      <c r="J408" s="214"/>
      <c r="K408" s="27"/>
      <c r="L408" s="172"/>
      <c r="M408" s="32"/>
      <c r="N408" s="32"/>
      <c r="O408" s="33"/>
      <c r="P408" s="33"/>
      <c r="Q408" s="32"/>
      <c r="R408" s="42"/>
      <c r="S408" s="42"/>
      <c r="T408" s="42"/>
      <c r="U408" s="32"/>
      <c r="V408" s="33"/>
      <c r="W408" s="33"/>
      <c r="X408" s="32"/>
      <c r="Y408" s="32"/>
      <c r="Z408" s="32"/>
      <c r="AA408" s="33"/>
      <c r="AB408" s="33"/>
      <c r="AC408" s="33"/>
      <c r="AD408" s="32"/>
      <c r="AE408" s="32"/>
      <c r="AF408" s="42"/>
      <c r="AG408" s="5"/>
    </row>
    <row r="409" spans="1:33" x14ac:dyDescent="0.25">
      <c r="A409" s="23"/>
      <c r="B409" s="24"/>
      <c r="C409" s="25"/>
      <c r="D409" s="27"/>
      <c r="E409" s="27"/>
      <c r="F409" s="28"/>
      <c r="G409" s="27"/>
      <c r="H409" s="27"/>
      <c r="I409" s="172"/>
      <c r="J409" s="214"/>
      <c r="K409" s="27"/>
      <c r="L409" s="172"/>
      <c r="M409" s="32"/>
      <c r="N409" s="32"/>
      <c r="O409" s="33"/>
      <c r="P409" s="33"/>
      <c r="Q409" s="32"/>
      <c r="R409" s="42"/>
      <c r="S409" s="42"/>
      <c r="T409" s="42"/>
      <c r="U409" s="32"/>
      <c r="V409" s="33"/>
      <c r="W409" s="33"/>
      <c r="X409" s="32"/>
      <c r="Y409" s="32"/>
      <c r="Z409" s="32"/>
      <c r="AA409" s="33"/>
      <c r="AB409" s="33"/>
      <c r="AC409" s="33"/>
      <c r="AD409" s="32"/>
      <c r="AE409" s="32"/>
      <c r="AF409" s="42"/>
      <c r="AG409" s="5"/>
    </row>
    <row r="410" spans="1:33" x14ac:dyDescent="0.25">
      <c r="A410" s="23"/>
      <c r="B410" s="24"/>
      <c r="C410" s="25"/>
      <c r="D410" s="27"/>
      <c r="E410" s="27"/>
      <c r="F410" s="28"/>
      <c r="G410" s="27"/>
      <c r="H410" s="27"/>
      <c r="I410" s="172"/>
      <c r="J410" s="214"/>
      <c r="K410" s="27"/>
      <c r="L410" s="172"/>
      <c r="M410" s="32"/>
      <c r="N410" s="32"/>
      <c r="O410" s="33"/>
      <c r="P410" s="33"/>
      <c r="Q410" s="32"/>
      <c r="R410" s="42"/>
      <c r="S410" s="42"/>
      <c r="T410" s="42"/>
      <c r="U410" s="32"/>
      <c r="V410" s="33"/>
      <c r="W410" s="33"/>
      <c r="X410" s="32"/>
      <c r="Y410" s="32"/>
      <c r="Z410" s="32"/>
      <c r="AA410" s="33"/>
      <c r="AB410" s="33"/>
      <c r="AC410" s="33"/>
      <c r="AD410" s="32"/>
      <c r="AE410" s="32"/>
      <c r="AF410" s="42"/>
      <c r="AG410" s="5"/>
    </row>
    <row r="411" spans="1:33" x14ac:dyDescent="0.25">
      <c r="A411" s="23"/>
      <c r="B411" s="24"/>
      <c r="C411" s="25"/>
      <c r="D411" s="27"/>
      <c r="E411" s="27"/>
      <c r="F411" s="28"/>
      <c r="G411" s="27"/>
      <c r="H411" s="27"/>
      <c r="I411" s="172"/>
      <c r="J411" s="214"/>
      <c r="K411" s="27"/>
      <c r="L411" s="172"/>
      <c r="M411" s="32"/>
      <c r="N411" s="32"/>
      <c r="O411" s="33"/>
      <c r="P411" s="33"/>
      <c r="Q411" s="32"/>
      <c r="R411" s="42"/>
      <c r="S411" s="42"/>
      <c r="T411" s="42"/>
      <c r="U411" s="32"/>
      <c r="V411" s="33"/>
      <c r="W411" s="33"/>
      <c r="X411" s="32"/>
      <c r="Y411" s="32"/>
      <c r="Z411" s="32"/>
      <c r="AA411" s="33"/>
      <c r="AB411" s="33"/>
      <c r="AC411" s="33"/>
      <c r="AD411" s="32"/>
      <c r="AE411" s="32"/>
      <c r="AF411" s="42"/>
      <c r="AG411" s="5"/>
    </row>
    <row r="412" spans="1:33" x14ac:dyDescent="0.25">
      <c r="A412" s="23"/>
      <c r="B412" s="24"/>
      <c r="C412" s="25"/>
      <c r="D412" s="27"/>
      <c r="E412" s="27"/>
      <c r="F412" s="28"/>
      <c r="G412" s="27"/>
      <c r="H412" s="27"/>
      <c r="I412" s="172"/>
      <c r="J412" s="214"/>
      <c r="K412" s="27"/>
      <c r="L412" s="172"/>
      <c r="M412" s="32"/>
      <c r="N412" s="32"/>
      <c r="O412" s="33"/>
      <c r="P412" s="33"/>
      <c r="Q412" s="32"/>
      <c r="R412" s="42"/>
      <c r="S412" s="42"/>
      <c r="T412" s="42"/>
      <c r="U412" s="32"/>
      <c r="V412" s="33"/>
      <c r="W412" s="33"/>
      <c r="X412" s="32"/>
      <c r="Y412" s="32"/>
      <c r="Z412" s="32"/>
      <c r="AA412" s="33"/>
      <c r="AB412" s="33"/>
      <c r="AC412" s="33"/>
      <c r="AD412" s="32"/>
      <c r="AE412" s="32"/>
      <c r="AF412" s="42"/>
      <c r="AG412" s="5"/>
    </row>
    <row r="413" spans="1:33" x14ac:dyDescent="0.25">
      <c r="A413" s="23"/>
      <c r="B413" s="24"/>
      <c r="C413" s="25"/>
      <c r="D413" s="27"/>
      <c r="E413" s="27"/>
      <c r="F413" s="28"/>
      <c r="G413" s="27"/>
      <c r="H413" s="27"/>
      <c r="I413" s="172"/>
      <c r="J413" s="214"/>
      <c r="K413" s="27"/>
      <c r="L413" s="172"/>
      <c r="M413" s="32"/>
      <c r="N413" s="32"/>
      <c r="O413" s="33"/>
      <c r="P413" s="33"/>
      <c r="Q413" s="32"/>
      <c r="R413" s="42"/>
      <c r="S413" s="42"/>
      <c r="T413" s="42"/>
      <c r="U413" s="32"/>
      <c r="V413" s="33"/>
      <c r="W413" s="33"/>
      <c r="X413" s="32"/>
      <c r="Y413" s="32"/>
      <c r="Z413" s="32"/>
      <c r="AA413" s="33"/>
      <c r="AB413" s="33"/>
      <c r="AC413" s="33"/>
      <c r="AD413" s="32"/>
      <c r="AE413" s="32"/>
      <c r="AF413" s="42"/>
      <c r="AG413" s="5"/>
    </row>
    <row r="414" spans="1:33" x14ac:dyDescent="0.25">
      <c r="A414" s="23"/>
      <c r="B414" s="24"/>
      <c r="C414" s="25"/>
      <c r="D414" s="27"/>
      <c r="E414" s="27"/>
      <c r="F414" s="28"/>
      <c r="G414" s="27"/>
      <c r="H414" s="27"/>
      <c r="I414" s="172"/>
      <c r="J414" s="214"/>
      <c r="K414" s="27"/>
      <c r="L414" s="172"/>
      <c r="M414" s="32"/>
      <c r="N414" s="32"/>
      <c r="O414" s="33"/>
      <c r="P414" s="33"/>
      <c r="Q414" s="32"/>
      <c r="R414" s="42"/>
      <c r="S414" s="42"/>
      <c r="T414" s="42"/>
      <c r="U414" s="32"/>
      <c r="V414" s="33"/>
      <c r="W414" s="33"/>
      <c r="X414" s="32"/>
      <c r="Y414" s="32"/>
      <c r="Z414" s="32"/>
      <c r="AA414" s="33"/>
      <c r="AB414" s="33"/>
      <c r="AC414" s="33"/>
      <c r="AD414" s="32"/>
      <c r="AE414" s="32"/>
      <c r="AF414" s="42"/>
      <c r="AG414" s="5"/>
    </row>
    <row r="415" spans="1:33" x14ac:dyDescent="0.25">
      <c r="A415" s="23"/>
      <c r="B415" s="24"/>
      <c r="C415" s="25"/>
      <c r="D415" s="27"/>
      <c r="E415" s="27"/>
      <c r="F415" s="28"/>
      <c r="G415" s="27"/>
      <c r="H415" s="27"/>
      <c r="I415" s="172"/>
      <c r="J415" s="214"/>
      <c r="K415" s="27"/>
      <c r="L415" s="172"/>
      <c r="M415" s="32"/>
      <c r="N415" s="32"/>
      <c r="O415" s="33"/>
      <c r="P415" s="33"/>
      <c r="Q415" s="32"/>
      <c r="R415" s="42"/>
      <c r="S415" s="42"/>
      <c r="T415" s="42"/>
      <c r="U415" s="32"/>
      <c r="V415" s="33"/>
      <c r="W415" s="33"/>
      <c r="X415" s="32"/>
      <c r="Y415" s="32"/>
      <c r="Z415" s="32"/>
      <c r="AA415" s="33"/>
      <c r="AB415" s="33"/>
      <c r="AC415" s="33"/>
      <c r="AD415" s="32"/>
      <c r="AE415" s="32"/>
      <c r="AF415" s="42"/>
      <c r="AG415" s="5"/>
    </row>
    <row r="416" spans="1:33" x14ac:dyDescent="0.25">
      <c r="A416" s="23"/>
      <c r="B416" s="24"/>
      <c r="C416" s="25"/>
      <c r="D416" s="27"/>
      <c r="E416" s="27"/>
      <c r="F416" s="28"/>
      <c r="G416" s="27"/>
      <c r="H416" s="27"/>
      <c r="I416" s="172"/>
      <c r="J416" s="214"/>
      <c r="K416" s="27"/>
      <c r="L416" s="172"/>
      <c r="M416" s="32"/>
      <c r="N416" s="32"/>
      <c r="O416" s="33"/>
      <c r="P416" s="33"/>
      <c r="Q416" s="32"/>
      <c r="R416" s="42"/>
      <c r="S416" s="42"/>
      <c r="T416" s="42"/>
      <c r="U416" s="32"/>
      <c r="V416" s="33"/>
      <c r="W416" s="33"/>
      <c r="X416" s="32"/>
      <c r="Y416" s="32"/>
      <c r="Z416" s="32"/>
      <c r="AA416" s="33"/>
      <c r="AB416" s="33"/>
      <c r="AC416" s="33"/>
      <c r="AD416" s="32"/>
      <c r="AE416" s="32"/>
      <c r="AF416" s="42"/>
      <c r="AG416" s="5"/>
    </row>
    <row r="417" spans="1:33" x14ac:dyDescent="0.25">
      <c r="A417" s="23"/>
      <c r="B417" s="24"/>
      <c r="C417" s="25"/>
      <c r="D417" s="27"/>
      <c r="E417" s="27"/>
      <c r="F417" s="28"/>
      <c r="G417" s="27"/>
      <c r="H417" s="27"/>
      <c r="I417" s="172"/>
      <c r="J417" s="214"/>
      <c r="K417" s="27"/>
      <c r="L417" s="172"/>
      <c r="M417" s="32"/>
      <c r="N417" s="32"/>
      <c r="O417" s="33"/>
      <c r="P417" s="33"/>
      <c r="Q417" s="32"/>
      <c r="R417" s="42"/>
      <c r="S417" s="42"/>
      <c r="T417" s="42"/>
      <c r="U417" s="32"/>
      <c r="V417" s="33"/>
      <c r="W417" s="33"/>
      <c r="X417" s="32"/>
      <c r="Y417" s="32"/>
      <c r="Z417" s="32"/>
      <c r="AA417" s="33"/>
      <c r="AB417" s="33"/>
      <c r="AC417" s="33"/>
      <c r="AD417" s="32"/>
      <c r="AE417" s="32"/>
      <c r="AF417" s="42"/>
      <c r="AG417" s="5"/>
    </row>
    <row r="418" spans="1:33" x14ac:dyDescent="0.25">
      <c r="A418" s="23"/>
      <c r="B418" s="24"/>
      <c r="C418" s="25"/>
      <c r="D418" s="27"/>
      <c r="E418" s="27"/>
      <c r="F418" s="28"/>
      <c r="G418" s="27"/>
      <c r="H418" s="27"/>
      <c r="I418" s="172"/>
      <c r="J418" s="214"/>
      <c r="K418" s="27"/>
      <c r="L418" s="172"/>
      <c r="M418" s="32"/>
      <c r="N418" s="32"/>
      <c r="O418" s="33"/>
      <c r="P418" s="33"/>
      <c r="Q418" s="32"/>
      <c r="R418" s="42"/>
      <c r="S418" s="42"/>
      <c r="T418" s="42"/>
      <c r="U418" s="32"/>
      <c r="V418" s="33"/>
      <c r="W418" s="33"/>
      <c r="X418" s="32"/>
      <c r="Y418" s="32"/>
      <c r="Z418" s="32"/>
      <c r="AA418" s="33"/>
      <c r="AB418" s="33"/>
      <c r="AC418" s="33"/>
      <c r="AD418" s="32"/>
      <c r="AE418" s="32"/>
      <c r="AF418" s="42"/>
      <c r="AG418" s="5"/>
    </row>
    <row r="419" spans="1:33" x14ac:dyDescent="0.25">
      <c r="A419" s="23"/>
      <c r="B419" s="24"/>
      <c r="C419" s="25"/>
      <c r="D419" s="27"/>
      <c r="E419" s="27"/>
      <c r="F419" s="28"/>
      <c r="G419" s="27"/>
      <c r="H419" s="27"/>
      <c r="I419" s="172"/>
      <c r="J419" s="214"/>
      <c r="K419" s="27"/>
      <c r="L419" s="172"/>
      <c r="M419" s="32"/>
      <c r="N419" s="32"/>
      <c r="O419" s="33"/>
      <c r="P419" s="33"/>
      <c r="Q419" s="32"/>
      <c r="R419" s="42"/>
      <c r="S419" s="42"/>
      <c r="T419" s="42"/>
      <c r="U419" s="32"/>
      <c r="V419" s="33"/>
      <c r="W419" s="33"/>
      <c r="X419" s="32"/>
      <c r="Y419" s="32"/>
      <c r="Z419" s="32"/>
      <c r="AA419" s="33"/>
      <c r="AB419" s="33"/>
      <c r="AC419" s="33"/>
      <c r="AD419" s="32"/>
      <c r="AE419" s="32"/>
      <c r="AF419" s="42"/>
      <c r="AG419" s="5"/>
    </row>
    <row r="420" spans="1:33" x14ac:dyDescent="0.25">
      <c r="A420" s="23"/>
      <c r="B420" s="24"/>
      <c r="C420" s="25"/>
      <c r="D420" s="27"/>
      <c r="E420" s="27"/>
      <c r="F420" s="28"/>
      <c r="G420" s="27"/>
      <c r="H420" s="27"/>
      <c r="I420" s="172"/>
      <c r="J420" s="214"/>
      <c r="K420" s="27"/>
      <c r="L420" s="172"/>
      <c r="M420" s="32"/>
      <c r="N420" s="32"/>
      <c r="O420" s="33"/>
      <c r="P420" s="33"/>
      <c r="Q420" s="32"/>
      <c r="R420" s="42"/>
      <c r="S420" s="42"/>
      <c r="T420" s="42"/>
      <c r="U420" s="32"/>
      <c r="V420" s="33"/>
      <c r="W420" s="33"/>
      <c r="X420" s="32"/>
      <c r="Y420" s="32"/>
      <c r="Z420" s="32"/>
      <c r="AA420" s="33"/>
      <c r="AB420" s="33"/>
      <c r="AC420" s="33"/>
      <c r="AD420" s="32"/>
      <c r="AE420" s="32"/>
      <c r="AF420" s="42"/>
      <c r="AG420" s="5"/>
    </row>
    <row r="421" spans="1:33" x14ac:dyDescent="0.25">
      <c r="A421" s="23"/>
      <c r="B421" s="24"/>
      <c r="C421" s="25"/>
      <c r="D421" s="27"/>
      <c r="E421" s="27"/>
      <c r="F421" s="28"/>
      <c r="G421" s="27"/>
      <c r="H421" s="27"/>
      <c r="I421" s="172"/>
      <c r="J421" s="214"/>
      <c r="K421" s="27"/>
      <c r="L421" s="172"/>
      <c r="M421" s="32"/>
      <c r="N421" s="32"/>
      <c r="O421" s="33"/>
      <c r="P421" s="33"/>
      <c r="Q421" s="32"/>
      <c r="R421" s="42"/>
      <c r="S421" s="42"/>
      <c r="T421" s="42"/>
      <c r="U421" s="32"/>
      <c r="V421" s="33"/>
      <c r="W421" s="33"/>
      <c r="X421" s="32"/>
      <c r="Y421" s="32"/>
      <c r="Z421" s="32"/>
      <c r="AA421" s="33"/>
      <c r="AB421" s="33"/>
      <c r="AC421" s="33"/>
      <c r="AD421" s="32"/>
      <c r="AE421" s="32"/>
      <c r="AF421" s="42"/>
      <c r="AG421" s="5"/>
    </row>
    <row r="422" spans="1:33" x14ac:dyDescent="0.25">
      <c r="A422" s="23"/>
      <c r="B422" s="24"/>
      <c r="C422" s="25"/>
      <c r="D422" s="27"/>
      <c r="E422" s="27"/>
      <c r="F422" s="28"/>
      <c r="G422" s="27"/>
      <c r="H422" s="27"/>
      <c r="I422" s="172"/>
      <c r="J422" s="214"/>
      <c r="K422" s="27"/>
      <c r="L422" s="172"/>
      <c r="M422" s="32"/>
      <c r="N422" s="32"/>
      <c r="O422" s="33"/>
      <c r="P422" s="33"/>
      <c r="Q422" s="32"/>
      <c r="R422" s="42"/>
      <c r="S422" s="42"/>
      <c r="T422" s="42"/>
      <c r="U422" s="32"/>
      <c r="V422" s="33"/>
      <c r="W422" s="33"/>
      <c r="X422" s="32"/>
      <c r="Y422" s="32"/>
      <c r="Z422" s="32"/>
      <c r="AA422" s="33"/>
      <c r="AB422" s="33"/>
      <c r="AC422" s="33"/>
      <c r="AD422" s="32"/>
      <c r="AE422" s="32"/>
      <c r="AF422" s="42"/>
      <c r="AG422" s="5"/>
    </row>
    <row r="423" spans="1:33" x14ac:dyDescent="0.25">
      <c r="A423" s="23"/>
      <c r="B423" s="24"/>
      <c r="C423" s="25"/>
      <c r="D423" s="27"/>
      <c r="E423" s="27"/>
      <c r="F423" s="28"/>
      <c r="G423" s="27"/>
      <c r="H423" s="27"/>
      <c r="I423" s="172"/>
      <c r="J423" s="214"/>
      <c r="K423" s="27"/>
      <c r="L423" s="172"/>
      <c r="M423" s="32"/>
      <c r="N423" s="32"/>
      <c r="O423" s="33"/>
      <c r="P423" s="33"/>
      <c r="Q423" s="32"/>
      <c r="R423" s="42"/>
      <c r="S423" s="42"/>
      <c r="T423" s="42"/>
      <c r="U423" s="32"/>
      <c r="V423" s="33"/>
      <c r="W423" s="33"/>
      <c r="X423" s="32"/>
      <c r="Y423" s="32"/>
      <c r="Z423" s="32"/>
      <c r="AA423" s="33"/>
      <c r="AB423" s="33"/>
      <c r="AC423" s="33"/>
      <c r="AD423" s="32"/>
      <c r="AE423" s="32"/>
      <c r="AF423" s="42"/>
      <c r="AG423" s="5"/>
    </row>
    <row r="424" spans="1:33" x14ac:dyDescent="0.25">
      <c r="A424" s="23"/>
      <c r="B424" s="24"/>
      <c r="C424" s="25"/>
      <c r="D424" s="27"/>
      <c r="E424" s="27"/>
      <c r="F424" s="28"/>
      <c r="G424" s="27"/>
      <c r="H424" s="27"/>
      <c r="I424" s="172"/>
      <c r="J424" s="214"/>
      <c r="K424" s="27"/>
      <c r="L424" s="172"/>
      <c r="M424" s="32"/>
      <c r="N424" s="32"/>
      <c r="O424" s="33"/>
      <c r="P424" s="33"/>
      <c r="Q424" s="32"/>
      <c r="R424" s="42"/>
      <c r="S424" s="42"/>
      <c r="T424" s="42"/>
      <c r="U424" s="32"/>
      <c r="V424" s="33"/>
      <c r="W424" s="33"/>
      <c r="X424" s="32"/>
      <c r="Y424" s="32"/>
      <c r="Z424" s="32"/>
      <c r="AA424" s="33"/>
      <c r="AB424" s="33"/>
      <c r="AC424" s="33"/>
      <c r="AD424" s="32"/>
      <c r="AE424" s="32"/>
      <c r="AF424" s="42"/>
      <c r="AG424" s="5"/>
    </row>
    <row r="425" spans="1:33" x14ac:dyDescent="0.25">
      <c r="A425" s="23"/>
      <c r="B425" s="24"/>
      <c r="C425" s="25"/>
      <c r="D425" s="27"/>
      <c r="E425" s="27"/>
      <c r="F425" s="28"/>
      <c r="G425" s="27"/>
      <c r="H425" s="27"/>
      <c r="I425" s="172"/>
      <c r="J425" s="214"/>
      <c r="K425" s="27"/>
      <c r="L425" s="172"/>
      <c r="M425" s="32"/>
      <c r="N425" s="32"/>
      <c r="O425" s="33"/>
      <c r="P425" s="33"/>
      <c r="Q425" s="32"/>
      <c r="R425" s="42"/>
      <c r="S425" s="42"/>
      <c r="T425" s="42"/>
      <c r="U425" s="32"/>
      <c r="V425" s="33"/>
      <c r="W425" s="33"/>
      <c r="X425" s="32"/>
      <c r="Y425" s="32"/>
      <c r="Z425" s="32"/>
      <c r="AA425" s="33"/>
      <c r="AB425" s="33"/>
      <c r="AC425" s="33"/>
      <c r="AD425" s="32"/>
      <c r="AE425" s="32"/>
      <c r="AF425" s="42"/>
      <c r="AG425" s="5"/>
    </row>
    <row r="426" spans="1:33" x14ac:dyDescent="0.25">
      <c r="A426" s="23"/>
      <c r="B426" s="24"/>
      <c r="C426" s="25"/>
      <c r="D426" s="27"/>
      <c r="E426" s="27"/>
      <c r="F426" s="28"/>
      <c r="G426" s="27"/>
      <c r="H426" s="27"/>
      <c r="I426" s="172"/>
      <c r="J426" s="214"/>
      <c r="K426" s="27"/>
      <c r="L426" s="172"/>
      <c r="M426" s="32"/>
      <c r="N426" s="32"/>
      <c r="O426" s="33"/>
      <c r="P426" s="33"/>
      <c r="Q426" s="32"/>
      <c r="R426" s="42"/>
      <c r="S426" s="42"/>
      <c r="T426" s="42"/>
      <c r="U426" s="32"/>
      <c r="V426" s="33"/>
      <c r="W426" s="33"/>
      <c r="X426" s="32"/>
      <c r="Y426" s="32"/>
      <c r="Z426" s="32"/>
      <c r="AA426" s="33"/>
      <c r="AB426" s="33"/>
      <c r="AC426" s="33"/>
      <c r="AD426" s="32"/>
      <c r="AE426" s="32"/>
      <c r="AF426" s="42"/>
      <c r="AG426" s="5"/>
    </row>
    <row r="427" spans="1:33" x14ac:dyDescent="0.25">
      <c r="A427" s="23"/>
      <c r="B427" s="24"/>
      <c r="C427" s="25"/>
      <c r="D427" s="27"/>
      <c r="E427" s="27"/>
      <c r="F427" s="28"/>
      <c r="G427" s="27"/>
      <c r="H427" s="27"/>
      <c r="I427" s="172"/>
      <c r="J427" s="214"/>
      <c r="K427" s="27"/>
      <c r="L427" s="172"/>
      <c r="M427" s="32"/>
      <c r="N427" s="32"/>
      <c r="O427" s="33"/>
      <c r="P427" s="33"/>
      <c r="Q427" s="32"/>
      <c r="R427" s="42"/>
      <c r="S427" s="42"/>
      <c r="T427" s="42"/>
      <c r="U427" s="32"/>
      <c r="V427" s="33"/>
      <c r="W427" s="33"/>
      <c r="X427" s="32"/>
      <c r="Y427" s="32"/>
      <c r="Z427" s="32"/>
      <c r="AA427" s="33"/>
      <c r="AB427" s="33"/>
      <c r="AC427" s="33"/>
      <c r="AD427" s="32"/>
      <c r="AE427" s="32"/>
      <c r="AF427" s="42"/>
      <c r="AG427" s="5"/>
    </row>
    <row r="428" spans="1:33" x14ac:dyDescent="0.25">
      <c r="A428" s="23"/>
      <c r="B428" s="24"/>
      <c r="C428" s="25"/>
      <c r="D428" s="27"/>
      <c r="E428" s="27"/>
      <c r="F428" s="28"/>
      <c r="G428" s="27"/>
      <c r="H428" s="27"/>
      <c r="I428" s="172"/>
      <c r="J428" s="214"/>
      <c r="K428" s="27"/>
      <c r="L428" s="172"/>
      <c r="M428" s="32"/>
      <c r="N428" s="32"/>
      <c r="O428" s="33"/>
      <c r="P428" s="33"/>
      <c r="Q428" s="32"/>
      <c r="R428" s="42"/>
      <c r="S428" s="42"/>
      <c r="T428" s="42"/>
      <c r="U428" s="32"/>
      <c r="V428" s="33"/>
      <c r="W428" s="33"/>
      <c r="X428" s="32"/>
      <c r="Y428" s="32"/>
      <c r="Z428" s="32"/>
      <c r="AA428" s="33"/>
      <c r="AB428" s="33"/>
      <c r="AC428" s="33"/>
      <c r="AD428" s="32"/>
      <c r="AE428" s="32"/>
      <c r="AF428" s="42"/>
      <c r="AG428" s="5"/>
    </row>
    <row r="429" spans="1:33" x14ac:dyDescent="0.25">
      <c r="A429" s="23"/>
      <c r="B429" s="24"/>
      <c r="C429" s="25"/>
      <c r="D429" s="27"/>
      <c r="E429" s="27"/>
      <c r="F429" s="28"/>
      <c r="G429" s="27"/>
      <c r="H429" s="27"/>
      <c r="I429" s="172"/>
      <c r="J429" s="214"/>
      <c r="K429" s="27"/>
      <c r="L429" s="172"/>
      <c r="M429" s="32"/>
      <c r="N429" s="32"/>
      <c r="O429" s="33"/>
      <c r="P429" s="33"/>
      <c r="Q429" s="32"/>
      <c r="R429" s="42"/>
      <c r="S429" s="42"/>
      <c r="T429" s="42"/>
      <c r="U429" s="32"/>
      <c r="V429" s="33"/>
      <c r="W429" s="33"/>
      <c r="X429" s="32"/>
      <c r="Y429" s="32"/>
      <c r="Z429" s="32"/>
      <c r="AA429" s="33"/>
      <c r="AB429" s="33"/>
      <c r="AC429" s="33"/>
      <c r="AD429" s="32"/>
      <c r="AE429" s="32"/>
      <c r="AF429" s="42"/>
      <c r="AG429" s="5"/>
    </row>
    <row r="430" spans="1:33" x14ac:dyDescent="0.25">
      <c r="A430" s="23"/>
      <c r="B430" s="24"/>
      <c r="C430" s="25"/>
      <c r="D430" s="27"/>
      <c r="E430" s="27"/>
      <c r="F430" s="28"/>
      <c r="G430" s="27"/>
      <c r="H430" s="27"/>
      <c r="I430" s="172"/>
      <c r="J430" s="214"/>
      <c r="K430" s="27"/>
      <c r="L430" s="172"/>
      <c r="M430" s="32"/>
      <c r="N430" s="32"/>
      <c r="O430" s="33"/>
      <c r="P430" s="33"/>
      <c r="Q430" s="32"/>
      <c r="R430" s="42"/>
      <c r="S430" s="42"/>
      <c r="T430" s="42"/>
      <c r="U430" s="32"/>
      <c r="V430" s="33"/>
      <c r="W430" s="33"/>
      <c r="X430" s="32"/>
      <c r="Y430" s="32"/>
      <c r="Z430" s="32"/>
      <c r="AA430" s="33"/>
      <c r="AB430" s="33"/>
      <c r="AC430" s="33"/>
      <c r="AD430" s="32"/>
      <c r="AE430" s="32"/>
      <c r="AF430" s="42"/>
      <c r="AG430" s="5"/>
    </row>
    <row r="431" spans="1:33" x14ac:dyDescent="0.25">
      <c r="A431" s="23"/>
      <c r="B431" s="24"/>
      <c r="C431" s="25"/>
      <c r="D431" s="27"/>
      <c r="E431" s="27"/>
      <c r="F431" s="28"/>
      <c r="G431" s="27"/>
      <c r="H431" s="27"/>
      <c r="I431" s="172"/>
      <c r="J431" s="214"/>
      <c r="K431" s="27"/>
      <c r="L431" s="172"/>
      <c r="M431" s="32"/>
      <c r="N431" s="32"/>
      <c r="O431" s="33"/>
      <c r="P431" s="33"/>
      <c r="Q431" s="32"/>
      <c r="R431" s="42"/>
      <c r="S431" s="42"/>
      <c r="T431" s="42"/>
      <c r="U431" s="32"/>
      <c r="V431" s="33"/>
      <c r="W431" s="33"/>
      <c r="X431" s="32"/>
      <c r="Y431" s="32"/>
      <c r="Z431" s="32"/>
      <c r="AA431" s="33"/>
      <c r="AB431" s="33"/>
      <c r="AC431" s="33"/>
      <c r="AD431" s="32"/>
      <c r="AE431" s="32"/>
      <c r="AF431" s="42"/>
      <c r="AG431" s="5"/>
    </row>
    <row r="432" spans="1:33" x14ac:dyDescent="0.25">
      <c r="A432" s="23"/>
      <c r="B432" s="24"/>
      <c r="C432" s="25"/>
      <c r="D432" s="27"/>
      <c r="E432" s="27"/>
      <c r="F432" s="28"/>
      <c r="G432" s="27"/>
      <c r="H432" s="27"/>
      <c r="I432" s="172"/>
      <c r="J432" s="214"/>
      <c r="K432" s="27"/>
      <c r="L432" s="172"/>
      <c r="M432" s="32"/>
      <c r="N432" s="32"/>
      <c r="O432" s="33"/>
      <c r="P432" s="33"/>
      <c r="Q432" s="32"/>
      <c r="R432" s="42"/>
      <c r="S432" s="42"/>
      <c r="T432" s="42"/>
      <c r="U432" s="32"/>
      <c r="V432" s="33"/>
      <c r="W432" s="33"/>
      <c r="X432" s="32"/>
      <c r="Y432" s="32"/>
      <c r="Z432" s="32"/>
      <c r="AA432" s="33"/>
      <c r="AB432" s="33"/>
      <c r="AC432" s="33"/>
      <c r="AD432" s="32"/>
      <c r="AE432" s="32"/>
      <c r="AF432" s="42"/>
      <c r="AG432" s="5"/>
    </row>
    <row r="433" spans="1:33" x14ac:dyDescent="0.25">
      <c r="A433" s="23"/>
      <c r="B433" s="24"/>
      <c r="C433" s="25"/>
      <c r="D433" s="27"/>
      <c r="E433" s="27"/>
      <c r="F433" s="28"/>
      <c r="G433" s="27"/>
      <c r="H433" s="27"/>
      <c r="I433" s="172"/>
      <c r="J433" s="214"/>
      <c r="K433" s="27"/>
      <c r="L433" s="172"/>
      <c r="M433" s="32"/>
      <c r="N433" s="32"/>
      <c r="O433" s="33"/>
      <c r="P433" s="33"/>
      <c r="Q433" s="32"/>
      <c r="R433" s="42"/>
      <c r="S433" s="42"/>
      <c r="T433" s="42"/>
      <c r="U433" s="32"/>
      <c r="V433" s="33"/>
      <c r="W433" s="33"/>
      <c r="X433" s="32"/>
      <c r="Y433" s="32"/>
      <c r="Z433" s="32"/>
      <c r="AA433" s="33"/>
      <c r="AB433" s="33"/>
      <c r="AC433" s="33"/>
      <c r="AD433" s="32"/>
      <c r="AE433" s="32"/>
      <c r="AF433" s="42"/>
      <c r="AG433" s="5"/>
    </row>
    <row r="434" spans="1:33" x14ac:dyDescent="0.25">
      <c r="A434" s="23"/>
      <c r="B434" s="24"/>
      <c r="C434" s="25"/>
      <c r="D434" s="27"/>
      <c r="E434" s="27"/>
      <c r="F434" s="28"/>
      <c r="G434" s="27"/>
      <c r="H434" s="27"/>
      <c r="I434" s="172"/>
      <c r="J434" s="214"/>
      <c r="K434" s="27"/>
      <c r="L434" s="172"/>
      <c r="M434" s="32"/>
      <c r="N434" s="32"/>
      <c r="O434" s="33"/>
      <c r="P434" s="33"/>
      <c r="Q434" s="32"/>
      <c r="R434" s="42"/>
      <c r="S434" s="42"/>
      <c r="T434" s="42"/>
      <c r="U434" s="32"/>
      <c r="V434" s="33"/>
      <c r="W434" s="33"/>
      <c r="X434" s="32"/>
      <c r="Y434" s="32"/>
      <c r="Z434" s="32"/>
      <c r="AA434" s="33"/>
      <c r="AB434" s="33"/>
      <c r="AC434" s="33"/>
      <c r="AD434" s="32"/>
      <c r="AE434" s="32"/>
      <c r="AF434" s="42"/>
      <c r="AG434" s="5"/>
    </row>
    <row r="435" spans="1:33" x14ac:dyDescent="0.25">
      <c r="A435" s="23"/>
      <c r="B435" s="24"/>
      <c r="C435" s="25"/>
      <c r="D435" s="27"/>
      <c r="E435" s="27"/>
      <c r="F435" s="28"/>
      <c r="G435" s="27"/>
      <c r="H435" s="27"/>
      <c r="I435" s="172"/>
      <c r="J435" s="214"/>
      <c r="K435" s="27"/>
      <c r="L435" s="172"/>
      <c r="M435" s="32"/>
      <c r="N435" s="32"/>
      <c r="O435" s="33"/>
      <c r="P435" s="33"/>
      <c r="Q435" s="32"/>
      <c r="R435" s="42"/>
      <c r="S435" s="42"/>
      <c r="T435" s="42"/>
      <c r="U435" s="32"/>
      <c r="V435" s="33"/>
      <c r="W435" s="33"/>
      <c r="X435" s="32"/>
      <c r="Y435" s="32"/>
      <c r="Z435" s="32"/>
      <c r="AA435" s="33"/>
      <c r="AB435" s="33"/>
      <c r="AC435" s="33"/>
      <c r="AD435" s="32"/>
      <c r="AE435" s="32"/>
      <c r="AF435" s="42"/>
      <c r="AG435" s="5"/>
    </row>
    <row r="436" spans="1:33" x14ac:dyDescent="0.25">
      <c r="A436" s="23"/>
      <c r="B436" s="24"/>
      <c r="C436" s="25"/>
      <c r="D436" s="27"/>
      <c r="E436" s="27"/>
      <c r="F436" s="28"/>
      <c r="G436" s="27"/>
      <c r="H436" s="27"/>
      <c r="I436" s="172"/>
      <c r="J436" s="214"/>
      <c r="K436" s="27"/>
      <c r="L436" s="172"/>
      <c r="M436" s="32"/>
      <c r="N436" s="32"/>
      <c r="O436" s="33"/>
      <c r="P436" s="33"/>
      <c r="Q436" s="32"/>
      <c r="R436" s="42"/>
      <c r="S436" s="42"/>
      <c r="T436" s="42"/>
      <c r="U436" s="32"/>
      <c r="V436" s="33"/>
      <c r="W436" s="33"/>
      <c r="X436" s="32"/>
      <c r="Y436" s="32"/>
      <c r="Z436" s="32"/>
      <c r="AA436" s="33"/>
      <c r="AB436" s="33"/>
      <c r="AC436" s="33"/>
      <c r="AD436" s="32"/>
      <c r="AE436" s="32"/>
      <c r="AF436" s="42"/>
      <c r="AG436" s="5"/>
    </row>
    <row r="437" spans="1:33" x14ac:dyDescent="0.25">
      <c r="A437" s="23"/>
      <c r="B437" s="24"/>
      <c r="C437" s="25"/>
      <c r="D437" s="27"/>
      <c r="E437" s="27"/>
      <c r="F437" s="28"/>
      <c r="G437" s="27"/>
      <c r="H437" s="27"/>
      <c r="I437" s="172"/>
      <c r="J437" s="214"/>
      <c r="K437" s="27"/>
      <c r="L437" s="172"/>
      <c r="M437" s="32"/>
      <c r="N437" s="32"/>
      <c r="O437" s="33"/>
      <c r="P437" s="33"/>
      <c r="Q437" s="32"/>
      <c r="R437" s="42"/>
      <c r="S437" s="42"/>
      <c r="T437" s="42"/>
      <c r="U437" s="32"/>
      <c r="V437" s="33"/>
      <c r="W437" s="33"/>
      <c r="X437" s="32"/>
      <c r="Y437" s="32"/>
      <c r="Z437" s="32"/>
      <c r="AA437" s="33"/>
      <c r="AB437" s="33"/>
      <c r="AC437" s="33"/>
      <c r="AD437" s="32"/>
      <c r="AE437" s="32"/>
      <c r="AF437" s="42"/>
      <c r="AG437" s="5"/>
    </row>
    <row r="438" spans="1:33" x14ac:dyDescent="0.25">
      <c r="A438" s="23"/>
      <c r="B438" s="24"/>
      <c r="C438" s="25"/>
      <c r="D438" s="27"/>
      <c r="E438" s="27"/>
      <c r="F438" s="28"/>
      <c r="G438" s="27"/>
      <c r="H438" s="27"/>
      <c r="I438" s="172"/>
      <c r="J438" s="214"/>
      <c r="K438" s="27"/>
      <c r="L438" s="172"/>
      <c r="M438" s="32"/>
      <c r="N438" s="32"/>
      <c r="O438" s="33"/>
      <c r="P438" s="33"/>
      <c r="Q438" s="32"/>
      <c r="R438" s="42"/>
      <c r="S438" s="42"/>
      <c r="T438" s="42"/>
      <c r="U438" s="32"/>
      <c r="V438" s="33"/>
      <c r="W438" s="33"/>
      <c r="X438" s="32"/>
      <c r="Y438" s="32"/>
      <c r="Z438" s="32"/>
      <c r="AA438" s="33"/>
      <c r="AB438" s="33"/>
      <c r="AC438" s="33"/>
      <c r="AD438" s="32"/>
      <c r="AE438" s="32"/>
      <c r="AF438" s="42"/>
      <c r="AG438" s="5"/>
    </row>
    <row r="439" spans="1:33" x14ac:dyDescent="0.25">
      <c r="A439" s="23"/>
      <c r="B439" s="24"/>
      <c r="C439" s="25"/>
      <c r="D439" s="27"/>
      <c r="E439" s="27"/>
      <c r="F439" s="28"/>
      <c r="G439" s="27"/>
      <c r="H439" s="27"/>
      <c r="I439" s="172"/>
      <c r="J439" s="214"/>
      <c r="K439" s="27"/>
      <c r="L439" s="172"/>
      <c r="M439" s="32"/>
      <c r="N439" s="32"/>
      <c r="O439" s="33"/>
      <c r="P439" s="33"/>
      <c r="Q439" s="32"/>
      <c r="R439" s="42"/>
      <c r="S439" s="42"/>
      <c r="T439" s="42"/>
      <c r="U439" s="32"/>
      <c r="V439" s="33"/>
      <c r="W439" s="33"/>
      <c r="X439" s="32"/>
      <c r="Y439" s="32"/>
      <c r="Z439" s="32"/>
      <c r="AA439" s="33"/>
      <c r="AB439" s="33"/>
      <c r="AC439" s="33"/>
      <c r="AD439" s="32"/>
      <c r="AE439" s="32"/>
      <c r="AF439" s="42"/>
      <c r="AG439" s="5"/>
    </row>
    <row r="440" spans="1:33" x14ac:dyDescent="0.25">
      <c r="A440" s="23"/>
      <c r="B440" s="24"/>
      <c r="C440" s="25"/>
      <c r="D440" s="27"/>
      <c r="E440" s="27"/>
      <c r="F440" s="28"/>
      <c r="G440" s="27"/>
      <c r="H440" s="27"/>
      <c r="I440" s="172"/>
      <c r="J440" s="214"/>
      <c r="K440" s="27"/>
      <c r="L440" s="172"/>
      <c r="M440" s="32"/>
      <c r="N440" s="32"/>
      <c r="O440" s="33"/>
      <c r="P440" s="33"/>
      <c r="Q440" s="32"/>
      <c r="R440" s="42"/>
      <c r="S440" s="42"/>
      <c r="T440" s="42"/>
      <c r="U440" s="32"/>
      <c r="V440" s="33"/>
      <c r="W440" s="33"/>
      <c r="X440" s="32"/>
      <c r="Y440" s="32"/>
      <c r="Z440" s="32"/>
      <c r="AA440" s="33"/>
      <c r="AB440" s="33"/>
      <c r="AC440" s="33"/>
      <c r="AD440" s="32"/>
      <c r="AE440" s="32"/>
      <c r="AF440" s="42"/>
      <c r="AG440" s="5"/>
    </row>
    <row r="441" spans="1:33" x14ac:dyDescent="0.25">
      <c r="A441" s="23"/>
      <c r="B441" s="24"/>
      <c r="C441" s="25"/>
      <c r="D441" s="27"/>
      <c r="E441" s="27"/>
      <c r="F441" s="28"/>
      <c r="G441" s="27"/>
      <c r="H441" s="27"/>
      <c r="I441" s="172"/>
      <c r="J441" s="214"/>
      <c r="K441" s="27"/>
      <c r="L441" s="172"/>
      <c r="M441" s="32"/>
      <c r="N441" s="32"/>
      <c r="O441" s="33"/>
      <c r="P441" s="33"/>
      <c r="Q441" s="32"/>
      <c r="R441" s="42"/>
      <c r="S441" s="42"/>
      <c r="T441" s="42"/>
      <c r="U441" s="32"/>
      <c r="V441" s="33"/>
      <c r="W441" s="33"/>
      <c r="X441" s="32"/>
      <c r="Y441" s="32"/>
      <c r="Z441" s="32"/>
      <c r="AA441" s="33"/>
      <c r="AB441" s="33"/>
      <c r="AC441" s="33"/>
      <c r="AD441" s="32"/>
      <c r="AE441" s="32"/>
      <c r="AF441" s="42"/>
      <c r="AG441" s="5"/>
    </row>
    <row r="442" spans="1:33" x14ac:dyDescent="0.25">
      <c r="A442" s="23"/>
      <c r="B442" s="24"/>
      <c r="C442" s="25"/>
      <c r="D442" s="27"/>
      <c r="E442" s="27"/>
      <c r="F442" s="28"/>
      <c r="G442" s="27"/>
      <c r="H442" s="27"/>
      <c r="I442" s="172"/>
      <c r="J442" s="214"/>
      <c r="K442" s="27"/>
      <c r="L442" s="172"/>
      <c r="M442" s="32"/>
      <c r="N442" s="32"/>
      <c r="O442" s="33"/>
      <c r="P442" s="33"/>
      <c r="Q442" s="32"/>
      <c r="R442" s="42"/>
      <c r="S442" s="42"/>
      <c r="T442" s="42"/>
      <c r="U442" s="32"/>
      <c r="V442" s="33"/>
      <c r="W442" s="33"/>
      <c r="X442" s="32"/>
      <c r="Y442" s="32"/>
      <c r="Z442" s="32"/>
      <c r="AA442" s="33"/>
      <c r="AB442" s="33"/>
      <c r="AC442" s="33"/>
      <c r="AD442" s="32"/>
      <c r="AE442" s="32"/>
      <c r="AF442" s="42"/>
      <c r="AG442" s="5"/>
    </row>
    <row r="443" spans="1:33" x14ac:dyDescent="0.25">
      <c r="A443" s="23"/>
      <c r="B443" s="24"/>
      <c r="C443" s="25"/>
      <c r="D443" s="27"/>
      <c r="E443" s="27"/>
      <c r="F443" s="28"/>
      <c r="G443" s="27"/>
      <c r="H443" s="27"/>
      <c r="I443" s="172"/>
      <c r="J443" s="214"/>
      <c r="K443" s="27"/>
      <c r="L443" s="172"/>
      <c r="M443" s="32"/>
      <c r="N443" s="32"/>
      <c r="O443" s="33"/>
      <c r="P443" s="33"/>
      <c r="Q443" s="32"/>
      <c r="R443" s="42"/>
      <c r="S443" s="42"/>
      <c r="T443" s="42"/>
      <c r="U443" s="32"/>
      <c r="V443" s="33"/>
      <c r="W443" s="33"/>
      <c r="X443" s="32"/>
      <c r="Y443" s="32"/>
      <c r="Z443" s="32"/>
      <c r="AA443" s="33"/>
      <c r="AB443" s="33"/>
      <c r="AC443" s="33"/>
      <c r="AD443" s="32"/>
      <c r="AE443" s="32"/>
      <c r="AF443" s="42"/>
      <c r="AG443" s="5"/>
    </row>
    <row r="444" spans="1:33" x14ac:dyDescent="0.25">
      <c r="A444" s="23"/>
      <c r="B444" s="24"/>
      <c r="C444" s="25"/>
      <c r="D444" s="27"/>
      <c r="E444" s="27"/>
      <c r="F444" s="28"/>
      <c r="G444" s="27"/>
      <c r="H444" s="27"/>
      <c r="I444" s="172"/>
      <c r="J444" s="214"/>
      <c r="K444" s="27"/>
      <c r="L444" s="172"/>
      <c r="M444" s="32"/>
      <c r="N444" s="32"/>
      <c r="O444" s="33"/>
      <c r="P444" s="33"/>
      <c r="Q444" s="32"/>
      <c r="R444" s="42"/>
      <c r="S444" s="42"/>
      <c r="T444" s="42"/>
      <c r="U444" s="32"/>
      <c r="V444" s="33"/>
      <c r="W444" s="33"/>
      <c r="X444" s="32"/>
      <c r="Y444" s="32"/>
      <c r="Z444" s="32"/>
      <c r="AA444" s="33"/>
      <c r="AB444" s="33"/>
      <c r="AC444" s="33"/>
      <c r="AD444" s="32"/>
      <c r="AE444" s="32"/>
      <c r="AF444" s="42"/>
      <c r="AG444" s="5"/>
    </row>
    <row r="445" spans="1:33" x14ac:dyDescent="0.25">
      <c r="A445" s="23"/>
      <c r="B445" s="24"/>
      <c r="C445" s="25"/>
      <c r="D445" s="27"/>
      <c r="E445" s="27"/>
      <c r="F445" s="28"/>
      <c r="G445" s="27"/>
      <c r="H445" s="27"/>
      <c r="I445" s="172"/>
      <c r="J445" s="214"/>
      <c r="K445" s="27"/>
      <c r="L445" s="172"/>
      <c r="M445" s="32"/>
      <c r="N445" s="32"/>
      <c r="O445" s="33"/>
      <c r="P445" s="33"/>
      <c r="Q445" s="32"/>
      <c r="R445" s="42"/>
      <c r="S445" s="42"/>
      <c r="T445" s="42"/>
      <c r="U445" s="32"/>
      <c r="V445" s="33"/>
      <c r="W445" s="33"/>
      <c r="X445" s="32"/>
      <c r="Y445" s="32"/>
      <c r="Z445" s="32"/>
      <c r="AA445" s="33"/>
      <c r="AB445" s="33"/>
      <c r="AC445" s="33"/>
      <c r="AD445" s="32"/>
      <c r="AE445" s="32"/>
      <c r="AF445" s="42"/>
      <c r="AG445" s="5"/>
    </row>
    <row r="446" spans="1:33" x14ac:dyDescent="0.25">
      <c r="A446" s="23"/>
      <c r="B446" s="24"/>
      <c r="C446" s="25"/>
      <c r="D446" s="27"/>
      <c r="E446" s="27"/>
      <c r="F446" s="28"/>
      <c r="G446" s="27"/>
      <c r="H446" s="27"/>
      <c r="I446" s="172"/>
      <c r="J446" s="214"/>
      <c r="K446" s="27"/>
      <c r="L446" s="172"/>
      <c r="M446" s="32"/>
      <c r="N446" s="32"/>
      <c r="O446" s="33"/>
      <c r="P446" s="33"/>
      <c r="Q446" s="32"/>
      <c r="R446" s="42"/>
      <c r="S446" s="42"/>
      <c r="T446" s="42"/>
      <c r="U446" s="32"/>
      <c r="V446" s="33"/>
      <c r="W446" s="33"/>
      <c r="X446" s="32"/>
      <c r="Y446" s="32"/>
      <c r="Z446" s="32"/>
      <c r="AA446" s="33"/>
      <c r="AB446" s="33"/>
      <c r="AC446" s="33"/>
      <c r="AD446" s="32"/>
      <c r="AE446" s="32"/>
      <c r="AF446" s="42"/>
      <c r="AG446" s="5"/>
    </row>
    <row r="447" spans="1:33" x14ac:dyDescent="0.25">
      <c r="A447" s="23"/>
      <c r="B447" s="24"/>
      <c r="C447" s="25"/>
      <c r="D447" s="27"/>
      <c r="E447" s="27"/>
      <c r="F447" s="28"/>
      <c r="G447" s="27"/>
      <c r="H447" s="27"/>
      <c r="I447" s="172"/>
      <c r="J447" s="214"/>
      <c r="K447" s="27"/>
      <c r="L447" s="172"/>
      <c r="M447" s="32"/>
      <c r="N447" s="32"/>
      <c r="O447" s="33"/>
      <c r="P447" s="33"/>
      <c r="Q447" s="32"/>
      <c r="R447" s="42"/>
      <c r="S447" s="42"/>
      <c r="T447" s="42"/>
      <c r="U447" s="32"/>
      <c r="V447" s="33"/>
      <c r="W447" s="33"/>
      <c r="X447" s="32"/>
      <c r="Y447" s="32"/>
      <c r="Z447" s="32"/>
      <c r="AA447" s="33"/>
      <c r="AB447" s="33"/>
      <c r="AC447" s="33"/>
      <c r="AD447" s="32"/>
      <c r="AE447" s="32"/>
      <c r="AF447" s="42"/>
      <c r="AG447" s="5"/>
    </row>
    <row r="448" spans="1:33" x14ac:dyDescent="0.25">
      <c r="A448" s="23"/>
      <c r="B448" s="24"/>
      <c r="C448" s="25"/>
      <c r="D448" s="27"/>
      <c r="E448" s="27"/>
      <c r="F448" s="28"/>
      <c r="G448" s="27"/>
      <c r="H448" s="27"/>
      <c r="I448" s="172"/>
      <c r="J448" s="214"/>
      <c r="K448" s="27"/>
      <c r="L448" s="172"/>
      <c r="M448" s="32"/>
      <c r="N448" s="32"/>
      <c r="O448" s="33"/>
      <c r="P448" s="33"/>
      <c r="Q448" s="32"/>
      <c r="R448" s="42"/>
      <c r="S448" s="42"/>
      <c r="T448" s="42"/>
      <c r="U448" s="32"/>
      <c r="V448" s="33"/>
      <c r="W448" s="33"/>
      <c r="X448" s="32"/>
      <c r="Y448" s="32"/>
      <c r="Z448" s="32"/>
      <c r="AA448" s="33"/>
      <c r="AB448" s="33"/>
      <c r="AC448" s="33"/>
      <c r="AD448" s="32"/>
      <c r="AE448" s="32"/>
      <c r="AF448" s="42"/>
      <c r="AG448" s="5"/>
    </row>
    <row r="449" spans="1:33" x14ac:dyDescent="0.25">
      <c r="A449" s="23"/>
      <c r="B449" s="24"/>
      <c r="C449" s="25"/>
      <c r="D449" s="27"/>
      <c r="E449" s="27"/>
      <c r="F449" s="28"/>
      <c r="G449" s="27"/>
      <c r="H449" s="27"/>
      <c r="I449" s="172"/>
      <c r="J449" s="214"/>
      <c r="K449" s="27"/>
      <c r="L449" s="172"/>
      <c r="M449" s="32"/>
      <c r="N449" s="32"/>
      <c r="O449" s="33"/>
      <c r="P449" s="33"/>
      <c r="Q449" s="32"/>
      <c r="R449" s="42"/>
      <c r="S449" s="42"/>
      <c r="T449" s="42"/>
      <c r="U449" s="32"/>
      <c r="V449" s="33"/>
      <c r="W449" s="33"/>
      <c r="X449" s="32"/>
      <c r="Y449" s="32"/>
      <c r="Z449" s="32"/>
      <c r="AA449" s="33"/>
      <c r="AB449" s="33"/>
      <c r="AC449" s="33"/>
      <c r="AD449" s="32"/>
      <c r="AE449" s="32"/>
      <c r="AF449" s="42"/>
      <c r="AG449" s="5"/>
    </row>
    <row r="450" spans="1:33" x14ac:dyDescent="0.25">
      <c r="A450" s="23"/>
      <c r="B450" s="24"/>
      <c r="C450" s="25"/>
      <c r="D450" s="27"/>
      <c r="E450" s="27"/>
      <c r="F450" s="28"/>
      <c r="G450" s="27"/>
      <c r="H450" s="27"/>
      <c r="I450" s="172"/>
      <c r="J450" s="214"/>
      <c r="K450" s="27"/>
      <c r="L450" s="172"/>
      <c r="M450" s="32"/>
      <c r="N450" s="32"/>
      <c r="O450" s="33"/>
      <c r="P450" s="33"/>
      <c r="Q450" s="32"/>
      <c r="R450" s="42"/>
      <c r="S450" s="42"/>
      <c r="T450" s="42"/>
      <c r="U450" s="32"/>
      <c r="V450" s="33"/>
      <c r="W450" s="33"/>
      <c r="X450" s="32"/>
      <c r="Y450" s="32"/>
      <c r="Z450" s="32"/>
      <c r="AA450" s="33"/>
      <c r="AB450" s="33"/>
      <c r="AC450" s="33"/>
      <c r="AD450" s="32"/>
      <c r="AE450" s="32"/>
      <c r="AF450" s="42"/>
      <c r="AG450" s="5"/>
    </row>
    <row r="451" spans="1:33" x14ac:dyDescent="0.25">
      <c r="A451" s="23"/>
      <c r="B451" s="24"/>
      <c r="C451" s="25"/>
      <c r="D451" s="27"/>
      <c r="E451" s="27"/>
      <c r="F451" s="28"/>
      <c r="G451" s="27"/>
      <c r="H451" s="27"/>
      <c r="I451" s="172"/>
      <c r="J451" s="214"/>
      <c r="K451" s="27"/>
      <c r="L451" s="172"/>
      <c r="M451" s="32"/>
      <c r="N451" s="32"/>
      <c r="O451" s="33"/>
      <c r="P451" s="33"/>
      <c r="Q451" s="32"/>
      <c r="R451" s="42"/>
      <c r="S451" s="42"/>
      <c r="T451" s="42"/>
      <c r="U451" s="32"/>
      <c r="V451" s="33"/>
      <c r="W451" s="33"/>
      <c r="X451" s="32"/>
      <c r="Y451" s="32"/>
      <c r="Z451" s="32"/>
      <c r="AA451" s="33"/>
      <c r="AB451" s="33"/>
      <c r="AC451" s="33"/>
      <c r="AD451" s="32"/>
      <c r="AE451" s="32"/>
      <c r="AF451" s="42"/>
      <c r="AG451" s="5"/>
    </row>
    <row r="452" spans="1:33" x14ac:dyDescent="0.25">
      <c r="A452" s="23"/>
      <c r="B452" s="24"/>
      <c r="C452" s="25"/>
      <c r="D452" s="27"/>
      <c r="E452" s="27"/>
      <c r="F452" s="28"/>
      <c r="G452" s="27"/>
      <c r="H452" s="27"/>
      <c r="I452" s="172"/>
      <c r="J452" s="214"/>
      <c r="K452" s="27"/>
      <c r="L452" s="172"/>
      <c r="M452" s="32"/>
      <c r="N452" s="32"/>
      <c r="O452" s="33"/>
      <c r="P452" s="33"/>
      <c r="Q452" s="32"/>
      <c r="R452" s="42"/>
      <c r="S452" s="42"/>
      <c r="T452" s="42"/>
      <c r="U452" s="32"/>
      <c r="V452" s="33"/>
      <c r="W452" s="33"/>
      <c r="X452" s="32"/>
      <c r="Y452" s="32"/>
      <c r="Z452" s="32"/>
      <c r="AA452" s="33"/>
      <c r="AB452" s="33"/>
      <c r="AC452" s="33"/>
      <c r="AD452" s="32"/>
      <c r="AE452" s="32"/>
      <c r="AF452" s="42"/>
      <c r="AG452" s="5"/>
    </row>
    <row r="453" spans="1:33" x14ac:dyDescent="0.25">
      <c r="A453" s="23"/>
      <c r="B453" s="24"/>
      <c r="C453" s="25"/>
      <c r="D453" s="27"/>
      <c r="E453" s="27"/>
      <c r="F453" s="28"/>
      <c r="G453" s="27"/>
      <c r="H453" s="27"/>
      <c r="I453" s="172"/>
      <c r="J453" s="214"/>
      <c r="K453" s="27"/>
      <c r="L453" s="172"/>
      <c r="M453" s="32"/>
      <c r="N453" s="32"/>
      <c r="O453" s="33"/>
      <c r="P453" s="33"/>
      <c r="Q453" s="32"/>
      <c r="R453" s="42"/>
      <c r="S453" s="42"/>
      <c r="T453" s="42"/>
      <c r="U453" s="32"/>
      <c r="V453" s="33"/>
      <c r="W453" s="33"/>
      <c r="X453" s="32"/>
      <c r="Y453" s="32"/>
      <c r="Z453" s="32"/>
      <c r="AA453" s="33"/>
      <c r="AB453" s="33"/>
      <c r="AC453" s="33"/>
      <c r="AD453" s="32"/>
      <c r="AE453" s="32"/>
      <c r="AF453" s="42"/>
      <c r="AG453" s="5"/>
    </row>
    <row r="454" spans="1:33" x14ac:dyDescent="0.25">
      <c r="A454" s="23"/>
      <c r="B454" s="24"/>
      <c r="C454" s="25"/>
      <c r="D454" s="27"/>
      <c r="E454" s="27"/>
      <c r="F454" s="28"/>
      <c r="G454" s="27"/>
      <c r="H454" s="27"/>
      <c r="I454" s="172"/>
      <c r="J454" s="214"/>
      <c r="K454" s="27"/>
      <c r="L454" s="172"/>
      <c r="M454" s="32"/>
      <c r="N454" s="32"/>
      <c r="O454" s="33"/>
      <c r="P454" s="33"/>
      <c r="Q454" s="32"/>
      <c r="R454" s="42"/>
      <c r="S454" s="42"/>
      <c r="T454" s="42"/>
      <c r="U454" s="32"/>
      <c r="V454" s="33"/>
      <c r="W454" s="33"/>
      <c r="X454" s="32"/>
      <c r="Y454" s="32"/>
      <c r="Z454" s="32"/>
      <c r="AA454" s="33"/>
      <c r="AB454" s="33"/>
      <c r="AC454" s="33"/>
      <c r="AD454" s="32"/>
      <c r="AE454" s="32"/>
      <c r="AF454" s="42"/>
      <c r="AG454" s="5"/>
    </row>
    <row r="455" spans="1:33" x14ac:dyDescent="0.25">
      <c r="A455" s="23"/>
      <c r="B455" s="24"/>
      <c r="C455" s="25"/>
      <c r="D455" s="27"/>
      <c r="E455" s="27"/>
      <c r="F455" s="28"/>
      <c r="G455" s="27"/>
      <c r="H455" s="27"/>
      <c r="I455" s="172"/>
      <c r="J455" s="214"/>
      <c r="K455" s="27"/>
      <c r="L455" s="172"/>
      <c r="M455" s="32"/>
      <c r="N455" s="32"/>
      <c r="O455" s="33"/>
      <c r="P455" s="33"/>
      <c r="Q455" s="32"/>
      <c r="R455" s="42"/>
      <c r="S455" s="42"/>
      <c r="T455" s="42"/>
      <c r="U455" s="32"/>
      <c r="V455" s="33"/>
      <c r="W455" s="33"/>
      <c r="X455" s="32"/>
      <c r="Y455" s="32"/>
      <c r="Z455" s="32"/>
      <c r="AA455" s="33"/>
      <c r="AB455" s="33"/>
      <c r="AC455" s="33"/>
      <c r="AD455" s="32"/>
      <c r="AE455" s="32"/>
      <c r="AF455" s="42"/>
      <c r="AG455" s="5"/>
    </row>
    <row r="456" spans="1:33" x14ac:dyDescent="0.25">
      <c r="A456" s="23"/>
      <c r="B456" s="24"/>
      <c r="C456" s="25"/>
      <c r="D456" s="27"/>
      <c r="E456" s="27"/>
      <c r="F456" s="28"/>
      <c r="G456" s="27"/>
      <c r="H456" s="27"/>
      <c r="I456" s="172"/>
      <c r="J456" s="214"/>
      <c r="K456" s="27"/>
      <c r="L456" s="172"/>
      <c r="M456" s="32"/>
      <c r="N456" s="32"/>
      <c r="O456" s="33"/>
      <c r="P456" s="33"/>
      <c r="Q456" s="32"/>
      <c r="R456" s="42"/>
      <c r="S456" s="42"/>
      <c r="T456" s="42"/>
      <c r="U456" s="32"/>
      <c r="V456" s="33"/>
      <c r="W456" s="33"/>
      <c r="X456" s="32"/>
      <c r="Y456" s="32"/>
      <c r="Z456" s="32"/>
      <c r="AA456" s="33"/>
      <c r="AB456" s="33"/>
      <c r="AC456" s="33"/>
      <c r="AD456" s="32"/>
      <c r="AE456" s="32"/>
      <c r="AF456" s="42"/>
      <c r="AG456" s="5"/>
    </row>
    <row r="457" spans="1:33" x14ac:dyDescent="0.25">
      <c r="A457" s="23"/>
      <c r="B457" s="24"/>
      <c r="C457" s="25"/>
      <c r="D457" s="27"/>
      <c r="E457" s="27"/>
      <c r="F457" s="28"/>
      <c r="G457" s="27"/>
      <c r="H457" s="27"/>
      <c r="I457" s="172"/>
      <c r="J457" s="214"/>
      <c r="K457" s="27"/>
      <c r="L457" s="172"/>
      <c r="M457" s="32"/>
      <c r="N457" s="32"/>
      <c r="O457" s="33"/>
      <c r="P457" s="33"/>
      <c r="Q457" s="32"/>
      <c r="R457" s="42"/>
      <c r="S457" s="42"/>
      <c r="T457" s="42"/>
      <c r="U457" s="32"/>
      <c r="V457" s="33"/>
      <c r="W457" s="33"/>
      <c r="X457" s="32"/>
      <c r="Y457" s="32"/>
      <c r="Z457" s="32"/>
      <c r="AA457" s="33"/>
      <c r="AB457" s="33"/>
      <c r="AC457" s="33"/>
      <c r="AD457" s="32"/>
      <c r="AE457" s="32"/>
      <c r="AF457" s="42"/>
      <c r="AG457" s="5"/>
    </row>
    <row r="458" spans="1:33" x14ac:dyDescent="0.25">
      <c r="A458" s="23"/>
      <c r="B458" s="24"/>
      <c r="C458" s="25"/>
      <c r="D458" s="27"/>
      <c r="E458" s="27"/>
      <c r="F458" s="28"/>
      <c r="G458" s="27"/>
      <c r="H458" s="27"/>
      <c r="I458" s="172"/>
      <c r="J458" s="214"/>
      <c r="K458" s="27"/>
      <c r="L458" s="172"/>
      <c r="M458" s="32"/>
      <c r="N458" s="32"/>
      <c r="O458" s="33"/>
      <c r="P458" s="33"/>
      <c r="Q458" s="32"/>
      <c r="R458" s="42"/>
      <c r="S458" s="42"/>
      <c r="T458" s="42"/>
      <c r="U458" s="32"/>
      <c r="V458" s="33"/>
      <c r="W458" s="33"/>
      <c r="X458" s="32"/>
      <c r="Y458" s="32"/>
      <c r="Z458" s="32"/>
      <c r="AA458" s="33"/>
      <c r="AB458" s="33"/>
      <c r="AC458" s="33"/>
      <c r="AD458" s="32"/>
      <c r="AE458" s="32"/>
      <c r="AF458" s="42"/>
      <c r="AG458" s="5"/>
    </row>
    <row r="459" spans="1:33" x14ac:dyDescent="0.25">
      <c r="A459" s="23"/>
      <c r="B459" s="24"/>
      <c r="C459" s="25"/>
      <c r="D459" s="27"/>
      <c r="E459" s="27"/>
      <c r="F459" s="28"/>
      <c r="G459" s="27"/>
      <c r="H459" s="27"/>
      <c r="I459" s="172"/>
      <c r="J459" s="214"/>
      <c r="K459" s="27"/>
      <c r="L459" s="172"/>
      <c r="M459" s="32"/>
      <c r="N459" s="32"/>
      <c r="O459" s="33"/>
      <c r="P459" s="33"/>
      <c r="Q459" s="32"/>
      <c r="R459" s="42"/>
      <c r="S459" s="42"/>
      <c r="T459" s="42"/>
      <c r="U459" s="32"/>
      <c r="V459" s="33"/>
      <c r="W459" s="33"/>
      <c r="X459" s="32"/>
      <c r="Y459" s="32"/>
      <c r="Z459" s="32"/>
      <c r="AA459" s="33"/>
      <c r="AB459" s="33"/>
      <c r="AC459" s="33"/>
      <c r="AD459" s="32"/>
      <c r="AE459" s="32"/>
      <c r="AF459" s="42"/>
      <c r="AG459" s="5"/>
    </row>
    <row r="460" spans="1:33" x14ac:dyDescent="0.25">
      <c r="A460" s="23"/>
      <c r="B460" s="24"/>
      <c r="C460" s="25"/>
      <c r="D460" s="27"/>
      <c r="E460" s="27"/>
      <c r="F460" s="28"/>
      <c r="G460" s="27"/>
      <c r="H460" s="27"/>
      <c r="I460" s="172"/>
      <c r="J460" s="214"/>
      <c r="K460" s="27"/>
      <c r="L460" s="172"/>
      <c r="M460" s="32"/>
      <c r="N460" s="32"/>
      <c r="O460" s="33"/>
      <c r="P460" s="33"/>
      <c r="Q460" s="32"/>
      <c r="R460" s="42"/>
      <c r="S460" s="42"/>
      <c r="T460" s="42"/>
      <c r="U460" s="32"/>
      <c r="V460" s="33"/>
      <c r="W460" s="33"/>
      <c r="X460" s="32"/>
      <c r="Y460" s="32"/>
      <c r="Z460" s="32"/>
      <c r="AA460" s="33"/>
      <c r="AB460" s="33"/>
      <c r="AC460" s="33"/>
      <c r="AD460" s="32"/>
      <c r="AE460" s="32"/>
      <c r="AF460" s="42"/>
      <c r="AG460" s="5"/>
    </row>
    <row r="461" spans="1:33" x14ac:dyDescent="0.25">
      <c r="A461" s="23"/>
      <c r="B461" s="24"/>
      <c r="C461" s="25"/>
      <c r="D461" s="27"/>
      <c r="E461" s="27"/>
      <c r="F461" s="28"/>
      <c r="G461" s="27"/>
      <c r="H461" s="27"/>
      <c r="I461" s="172"/>
      <c r="J461" s="214"/>
      <c r="K461" s="27"/>
      <c r="L461" s="172"/>
      <c r="M461" s="32"/>
      <c r="N461" s="32"/>
      <c r="O461" s="33"/>
      <c r="P461" s="33"/>
      <c r="Q461" s="32"/>
      <c r="R461" s="42"/>
      <c r="S461" s="42"/>
      <c r="T461" s="42"/>
      <c r="U461" s="32"/>
      <c r="V461" s="33"/>
      <c r="W461" s="33"/>
      <c r="X461" s="32"/>
      <c r="Y461" s="32"/>
      <c r="Z461" s="32"/>
      <c r="AA461" s="33"/>
      <c r="AB461" s="33"/>
      <c r="AC461" s="33"/>
      <c r="AD461" s="32"/>
      <c r="AE461" s="32"/>
      <c r="AF461" s="42"/>
      <c r="AG461" s="5"/>
    </row>
    <row r="462" spans="1:33" x14ac:dyDescent="0.25">
      <c r="A462" s="23"/>
      <c r="B462" s="24"/>
      <c r="C462" s="25"/>
      <c r="D462" s="27"/>
      <c r="E462" s="27"/>
      <c r="F462" s="28"/>
      <c r="G462" s="27"/>
      <c r="H462" s="27"/>
      <c r="I462" s="172"/>
      <c r="J462" s="214"/>
      <c r="K462" s="27"/>
      <c r="L462" s="172"/>
      <c r="M462" s="32"/>
      <c r="N462" s="32"/>
      <c r="O462" s="33"/>
      <c r="P462" s="33"/>
      <c r="Q462" s="32"/>
      <c r="R462" s="42"/>
      <c r="S462" s="42"/>
      <c r="T462" s="42"/>
      <c r="U462" s="32"/>
      <c r="V462" s="33"/>
      <c r="W462" s="33"/>
      <c r="X462" s="32"/>
      <c r="Y462" s="32"/>
      <c r="Z462" s="32"/>
      <c r="AA462" s="33"/>
      <c r="AB462" s="33"/>
      <c r="AC462" s="33"/>
      <c r="AD462" s="32"/>
      <c r="AE462" s="32"/>
      <c r="AF462" s="42"/>
      <c r="AG462" s="5"/>
    </row>
    <row r="463" spans="1:33" x14ac:dyDescent="0.25">
      <c r="A463" s="23"/>
      <c r="B463" s="24"/>
      <c r="C463" s="25"/>
      <c r="D463" s="27"/>
      <c r="E463" s="27"/>
      <c r="F463" s="28"/>
      <c r="G463" s="27"/>
      <c r="H463" s="27"/>
      <c r="I463" s="172"/>
      <c r="J463" s="214"/>
      <c r="K463" s="27"/>
      <c r="L463" s="172"/>
      <c r="M463" s="32"/>
      <c r="N463" s="32"/>
      <c r="O463" s="33"/>
      <c r="P463" s="33"/>
      <c r="Q463" s="32"/>
      <c r="R463" s="42"/>
      <c r="S463" s="42"/>
      <c r="T463" s="42"/>
      <c r="U463" s="32"/>
      <c r="V463" s="33"/>
      <c r="W463" s="33"/>
      <c r="X463" s="32"/>
      <c r="Y463" s="32"/>
      <c r="Z463" s="32"/>
      <c r="AA463" s="33"/>
      <c r="AB463" s="33"/>
      <c r="AC463" s="33"/>
      <c r="AD463" s="32"/>
      <c r="AE463" s="32"/>
      <c r="AF463" s="42"/>
      <c r="AG463" s="5"/>
    </row>
    <row r="464" spans="1:33" x14ac:dyDescent="0.25">
      <c r="A464" s="23"/>
      <c r="B464" s="24"/>
      <c r="C464" s="25"/>
      <c r="D464" s="27"/>
      <c r="E464" s="27"/>
      <c r="F464" s="28"/>
      <c r="G464" s="27"/>
      <c r="H464" s="27"/>
      <c r="I464" s="172"/>
      <c r="J464" s="214"/>
      <c r="K464" s="27"/>
      <c r="L464" s="172"/>
      <c r="M464" s="32"/>
      <c r="N464" s="32"/>
      <c r="O464" s="33"/>
      <c r="P464" s="33"/>
      <c r="Q464" s="32"/>
      <c r="R464" s="42"/>
      <c r="S464" s="42"/>
      <c r="T464" s="42"/>
      <c r="U464" s="32"/>
      <c r="V464" s="33"/>
      <c r="W464" s="33"/>
      <c r="X464" s="32"/>
      <c r="Y464" s="32"/>
      <c r="Z464" s="32"/>
      <c r="AA464" s="33"/>
      <c r="AB464" s="33"/>
      <c r="AC464" s="33"/>
      <c r="AD464" s="32"/>
      <c r="AE464" s="32"/>
      <c r="AF464" s="42"/>
      <c r="AG464" s="5"/>
    </row>
    <row r="465" spans="1:33" x14ac:dyDescent="0.25">
      <c r="A465" s="23"/>
      <c r="B465" s="24"/>
      <c r="C465" s="25"/>
      <c r="D465" s="27"/>
      <c r="E465" s="27"/>
      <c r="F465" s="28"/>
      <c r="G465" s="27"/>
      <c r="H465" s="27"/>
      <c r="I465" s="172"/>
      <c r="J465" s="214"/>
      <c r="K465" s="27"/>
      <c r="L465" s="172"/>
      <c r="M465" s="32"/>
      <c r="N465" s="32"/>
      <c r="O465" s="33"/>
      <c r="P465" s="33"/>
      <c r="Q465" s="32"/>
      <c r="R465" s="42"/>
      <c r="S465" s="42"/>
      <c r="T465" s="42"/>
      <c r="U465" s="32"/>
      <c r="V465" s="33"/>
      <c r="W465" s="33"/>
      <c r="X465" s="32"/>
      <c r="Y465" s="32"/>
      <c r="Z465" s="32"/>
      <c r="AA465" s="33"/>
      <c r="AB465" s="33"/>
      <c r="AC465" s="33"/>
      <c r="AD465" s="32"/>
      <c r="AE465" s="32"/>
      <c r="AF465" s="42"/>
      <c r="AG465" s="5"/>
    </row>
    <row r="466" spans="1:33" x14ac:dyDescent="0.25">
      <c r="A466" s="23"/>
      <c r="B466" s="24"/>
      <c r="C466" s="25"/>
      <c r="D466" s="27"/>
      <c r="E466" s="27"/>
      <c r="F466" s="28"/>
      <c r="G466" s="27"/>
      <c r="H466" s="27"/>
      <c r="I466" s="172"/>
      <c r="J466" s="214"/>
      <c r="K466" s="27"/>
      <c r="L466" s="172"/>
      <c r="M466" s="32"/>
      <c r="N466" s="32"/>
      <c r="O466" s="33"/>
      <c r="P466" s="33"/>
      <c r="Q466" s="32"/>
      <c r="R466" s="42"/>
      <c r="S466" s="42"/>
      <c r="T466" s="42"/>
      <c r="U466" s="32"/>
      <c r="V466" s="33"/>
      <c r="W466" s="33"/>
      <c r="X466" s="32"/>
      <c r="Y466" s="32"/>
      <c r="Z466" s="32"/>
      <c r="AA466" s="33"/>
      <c r="AB466" s="33"/>
      <c r="AC466" s="33"/>
      <c r="AD466" s="32"/>
      <c r="AE466" s="32"/>
      <c r="AF466" s="42"/>
      <c r="AG466" s="5"/>
    </row>
    <row r="467" spans="1:33" x14ac:dyDescent="0.25">
      <c r="A467" s="23"/>
      <c r="B467" s="24"/>
      <c r="C467" s="25"/>
      <c r="D467" s="27"/>
      <c r="E467" s="27"/>
      <c r="F467" s="28"/>
      <c r="G467" s="27"/>
      <c r="H467" s="27"/>
      <c r="I467" s="172"/>
      <c r="J467" s="214"/>
      <c r="K467" s="27"/>
      <c r="L467" s="172"/>
      <c r="M467" s="32"/>
      <c r="N467" s="32"/>
      <c r="O467" s="33"/>
      <c r="P467" s="33"/>
      <c r="Q467" s="32"/>
      <c r="R467" s="42"/>
      <c r="S467" s="42"/>
      <c r="T467" s="42"/>
      <c r="U467" s="32"/>
      <c r="V467" s="33"/>
      <c r="W467" s="33"/>
      <c r="X467" s="32"/>
      <c r="Y467" s="32"/>
      <c r="Z467" s="32"/>
      <c r="AA467" s="33"/>
      <c r="AB467" s="33"/>
      <c r="AC467" s="33"/>
      <c r="AD467" s="32"/>
      <c r="AE467" s="32"/>
      <c r="AF467" s="42"/>
      <c r="AG467" s="5"/>
    </row>
    <row r="468" spans="1:33" x14ac:dyDescent="0.25">
      <c r="A468" s="23"/>
      <c r="B468" s="24"/>
      <c r="C468" s="25"/>
      <c r="D468" s="27"/>
      <c r="E468" s="27"/>
      <c r="F468" s="28"/>
      <c r="G468" s="27"/>
      <c r="H468" s="27"/>
      <c r="I468" s="172"/>
      <c r="J468" s="214"/>
      <c r="K468" s="27"/>
      <c r="L468" s="172"/>
      <c r="M468" s="32"/>
      <c r="N468" s="32"/>
      <c r="O468" s="33"/>
      <c r="P468" s="33"/>
      <c r="Q468" s="32"/>
      <c r="R468" s="42"/>
      <c r="S468" s="42"/>
      <c r="T468" s="42"/>
      <c r="U468" s="32"/>
      <c r="V468" s="33"/>
      <c r="W468" s="33"/>
      <c r="X468" s="32"/>
      <c r="Y468" s="32"/>
      <c r="Z468" s="32"/>
      <c r="AA468" s="33"/>
      <c r="AB468" s="33"/>
      <c r="AC468" s="33"/>
      <c r="AD468" s="32"/>
      <c r="AE468" s="32"/>
      <c r="AF468" s="42"/>
      <c r="AG468" s="5"/>
    </row>
    <row r="469" spans="1:33" x14ac:dyDescent="0.25">
      <c r="A469" s="23"/>
      <c r="B469" s="24"/>
      <c r="C469" s="25"/>
      <c r="D469" s="27"/>
      <c r="E469" s="27"/>
      <c r="F469" s="28"/>
      <c r="G469" s="27"/>
      <c r="H469" s="27"/>
      <c r="I469" s="172"/>
      <c r="J469" s="214"/>
      <c r="K469" s="27"/>
      <c r="L469" s="172"/>
      <c r="M469" s="32"/>
      <c r="N469" s="32"/>
      <c r="O469" s="33"/>
      <c r="P469" s="33"/>
      <c r="Q469" s="32"/>
      <c r="R469" s="42"/>
      <c r="S469" s="42"/>
      <c r="T469" s="42"/>
      <c r="U469" s="32"/>
      <c r="V469" s="33"/>
      <c r="W469" s="33"/>
      <c r="X469" s="32"/>
      <c r="Y469" s="32"/>
      <c r="Z469" s="32"/>
      <c r="AA469" s="33"/>
      <c r="AB469" s="33"/>
      <c r="AC469" s="33"/>
      <c r="AD469" s="32"/>
      <c r="AE469" s="32"/>
      <c r="AF469" s="42"/>
      <c r="AG469" s="5"/>
    </row>
    <row r="470" spans="1:33" x14ac:dyDescent="0.25">
      <c r="A470" s="23"/>
      <c r="B470" s="24"/>
      <c r="C470" s="25"/>
      <c r="D470" s="27"/>
      <c r="E470" s="27"/>
      <c r="F470" s="28"/>
      <c r="G470" s="27"/>
      <c r="H470" s="27"/>
      <c r="I470" s="172"/>
      <c r="J470" s="214"/>
      <c r="K470" s="27"/>
      <c r="L470" s="172"/>
      <c r="M470" s="32"/>
      <c r="N470" s="32"/>
      <c r="O470" s="33"/>
      <c r="P470" s="33"/>
      <c r="Q470" s="32"/>
      <c r="R470" s="42"/>
      <c r="S470" s="42"/>
      <c r="T470" s="42"/>
      <c r="U470" s="32"/>
      <c r="V470" s="33"/>
      <c r="W470" s="33"/>
      <c r="X470" s="32"/>
      <c r="Y470" s="32"/>
      <c r="Z470" s="32"/>
      <c r="AA470" s="33"/>
      <c r="AB470" s="33"/>
      <c r="AC470" s="33"/>
      <c r="AD470" s="32"/>
      <c r="AE470" s="32"/>
      <c r="AF470" s="42"/>
      <c r="AG470" s="5"/>
    </row>
    <row r="471" spans="1:33" x14ac:dyDescent="0.25">
      <c r="A471" s="23"/>
      <c r="B471" s="24"/>
      <c r="C471" s="25"/>
      <c r="D471" s="27"/>
      <c r="E471" s="27"/>
      <c r="F471" s="28"/>
      <c r="G471" s="27"/>
      <c r="H471" s="27"/>
      <c r="I471" s="172"/>
      <c r="J471" s="214"/>
      <c r="K471" s="27"/>
      <c r="L471" s="172"/>
      <c r="M471" s="32"/>
      <c r="N471" s="32"/>
      <c r="O471" s="33"/>
      <c r="P471" s="33"/>
      <c r="Q471" s="32"/>
      <c r="R471" s="42"/>
      <c r="S471" s="42"/>
      <c r="T471" s="42"/>
      <c r="U471" s="32"/>
      <c r="V471" s="33"/>
      <c r="W471" s="33"/>
      <c r="X471" s="32"/>
      <c r="Y471" s="32"/>
      <c r="Z471" s="32"/>
      <c r="AA471" s="33"/>
      <c r="AB471" s="33"/>
      <c r="AC471" s="33"/>
      <c r="AD471" s="32"/>
      <c r="AE471" s="32"/>
      <c r="AF471" s="42"/>
      <c r="AG471" s="5"/>
    </row>
    <row r="472" spans="1:33" x14ac:dyDescent="0.25">
      <c r="A472" s="23"/>
      <c r="B472" s="24"/>
      <c r="C472" s="25"/>
      <c r="D472" s="27"/>
      <c r="E472" s="27"/>
      <c r="F472" s="28"/>
      <c r="G472" s="27"/>
      <c r="H472" s="27"/>
      <c r="I472" s="172"/>
      <c r="J472" s="214"/>
      <c r="K472" s="27"/>
      <c r="L472" s="172"/>
      <c r="M472" s="32"/>
      <c r="N472" s="32"/>
      <c r="O472" s="33"/>
      <c r="P472" s="33"/>
      <c r="Q472" s="32"/>
      <c r="R472" s="42"/>
      <c r="S472" s="42"/>
      <c r="T472" s="42"/>
      <c r="U472" s="32"/>
      <c r="V472" s="33"/>
      <c r="W472" s="33"/>
      <c r="X472" s="32"/>
      <c r="Y472" s="32"/>
      <c r="Z472" s="32"/>
      <c r="AA472" s="33"/>
      <c r="AB472" s="33"/>
      <c r="AC472" s="33"/>
      <c r="AD472" s="32"/>
      <c r="AE472" s="32"/>
      <c r="AF472" s="42"/>
      <c r="AG472" s="5"/>
    </row>
    <row r="473" spans="1:33" x14ac:dyDescent="0.25">
      <c r="A473" s="23"/>
      <c r="B473" s="24"/>
      <c r="C473" s="25"/>
      <c r="D473" s="27"/>
      <c r="E473" s="27"/>
      <c r="F473" s="28"/>
      <c r="G473" s="27"/>
      <c r="H473" s="27"/>
      <c r="I473" s="172"/>
      <c r="J473" s="214"/>
      <c r="K473" s="27"/>
      <c r="L473" s="172"/>
      <c r="M473" s="32"/>
      <c r="N473" s="32"/>
      <c r="O473" s="33"/>
      <c r="P473" s="33"/>
      <c r="Q473" s="32"/>
      <c r="R473" s="42"/>
      <c r="S473" s="42"/>
      <c r="T473" s="42"/>
      <c r="U473" s="32"/>
      <c r="V473" s="33"/>
      <c r="W473" s="33"/>
      <c r="X473" s="32"/>
      <c r="Y473" s="32"/>
      <c r="Z473" s="32"/>
      <c r="AA473" s="33"/>
      <c r="AB473" s="33"/>
      <c r="AC473" s="33"/>
      <c r="AD473" s="32"/>
      <c r="AE473" s="32"/>
      <c r="AF473" s="42"/>
      <c r="AG473" s="5"/>
    </row>
    <row r="474" spans="1:33" x14ac:dyDescent="0.25">
      <c r="A474" s="23"/>
      <c r="B474" s="24"/>
      <c r="C474" s="25"/>
      <c r="D474" s="27"/>
      <c r="E474" s="27"/>
      <c r="F474" s="28"/>
      <c r="G474" s="27"/>
      <c r="H474" s="27"/>
      <c r="I474" s="172"/>
      <c r="J474" s="214"/>
      <c r="K474" s="27"/>
      <c r="L474" s="172"/>
      <c r="M474" s="32"/>
      <c r="N474" s="32"/>
      <c r="O474" s="33"/>
      <c r="P474" s="33"/>
      <c r="Q474" s="32"/>
      <c r="R474" s="42"/>
      <c r="S474" s="42"/>
      <c r="T474" s="42"/>
      <c r="U474" s="32"/>
      <c r="V474" s="33"/>
      <c r="W474" s="33"/>
      <c r="X474" s="32"/>
      <c r="Y474" s="32"/>
      <c r="Z474" s="32"/>
      <c r="AA474" s="33"/>
      <c r="AB474" s="33"/>
      <c r="AC474" s="33"/>
      <c r="AD474" s="32"/>
      <c r="AE474" s="32"/>
      <c r="AF474" s="42"/>
      <c r="AG474" s="5"/>
    </row>
    <row r="475" spans="1:33" x14ac:dyDescent="0.25">
      <c r="A475" s="23"/>
      <c r="B475" s="24"/>
      <c r="C475" s="25"/>
      <c r="D475" s="27"/>
      <c r="E475" s="27"/>
      <c r="F475" s="28"/>
      <c r="G475" s="27"/>
      <c r="H475" s="27"/>
      <c r="I475" s="172"/>
      <c r="J475" s="214"/>
      <c r="K475" s="27"/>
      <c r="L475" s="172"/>
      <c r="M475" s="32"/>
      <c r="N475" s="32"/>
      <c r="O475" s="33"/>
      <c r="P475" s="33"/>
      <c r="Q475" s="32"/>
      <c r="R475" s="42"/>
      <c r="S475" s="42"/>
      <c r="T475" s="42"/>
      <c r="U475" s="32"/>
      <c r="V475" s="33"/>
      <c r="W475" s="33"/>
      <c r="X475" s="32"/>
      <c r="Y475" s="32"/>
      <c r="Z475" s="32"/>
      <c r="AA475" s="33"/>
      <c r="AB475" s="33"/>
      <c r="AC475" s="33"/>
      <c r="AD475" s="32"/>
      <c r="AE475" s="32"/>
      <c r="AF475" s="42"/>
      <c r="AG475" s="5"/>
    </row>
    <row r="476" spans="1:33" x14ac:dyDescent="0.25">
      <c r="A476" s="23"/>
      <c r="B476" s="24"/>
      <c r="C476" s="25"/>
      <c r="D476" s="27"/>
      <c r="E476" s="27"/>
      <c r="F476" s="28"/>
      <c r="G476" s="27"/>
      <c r="H476" s="27"/>
      <c r="I476" s="172"/>
      <c r="J476" s="214"/>
      <c r="K476" s="27"/>
      <c r="L476" s="172"/>
      <c r="M476" s="32"/>
      <c r="N476" s="32"/>
      <c r="O476" s="33"/>
      <c r="P476" s="33"/>
      <c r="Q476" s="32"/>
      <c r="R476" s="42"/>
      <c r="S476" s="42"/>
      <c r="T476" s="42"/>
      <c r="U476" s="32"/>
      <c r="V476" s="33"/>
      <c r="W476" s="33"/>
      <c r="X476" s="32"/>
      <c r="Y476" s="32"/>
      <c r="Z476" s="32"/>
      <c r="AA476" s="33"/>
      <c r="AB476" s="33"/>
      <c r="AC476" s="33"/>
      <c r="AD476" s="32"/>
      <c r="AE476" s="32"/>
      <c r="AF476" s="42"/>
      <c r="AG476" s="5"/>
    </row>
    <row r="477" spans="1:33" x14ac:dyDescent="0.25">
      <c r="A477" s="23"/>
      <c r="B477" s="24"/>
      <c r="C477" s="25"/>
      <c r="D477" s="27"/>
      <c r="E477" s="27"/>
      <c r="F477" s="28"/>
      <c r="G477" s="27"/>
      <c r="H477" s="27"/>
      <c r="I477" s="172"/>
      <c r="J477" s="214"/>
      <c r="K477" s="27"/>
      <c r="L477" s="172"/>
      <c r="M477" s="32"/>
      <c r="N477" s="32"/>
      <c r="O477" s="33"/>
      <c r="P477" s="33"/>
      <c r="Q477" s="32"/>
      <c r="R477" s="42"/>
      <c r="S477" s="42"/>
      <c r="T477" s="42"/>
      <c r="U477" s="32"/>
      <c r="V477" s="33"/>
      <c r="W477" s="33"/>
      <c r="X477" s="32"/>
      <c r="Y477" s="32"/>
      <c r="Z477" s="32"/>
      <c r="AA477" s="33"/>
      <c r="AB477" s="33"/>
      <c r="AC477" s="33"/>
      <c r="AD477" s="32"/>
      <c r="AE477" s="32"/>
      <c r="AF477" s="42"/>
      <c r="AG477" s="5"/>
    </row>
    <row r="478" spans="1:33" x14ac:dyDescent="0.25">
      <c r="A478" s="23"/>
      <c r="B478" s="24"/>
      <c r="C478" s="25"/>
      <c r="D478" s="27"/>
      <c r="E478" s="27"/>
      <c r="F478" s="28"/>
      <c r="G478" s="27"/>
      <c r="H478" s="27"/>
      <c r="I478" s="172"/>
      <c r="J478" s="214"/>
      <c r="K478" s="27"/>
      <c r="L478" s="172"/>
      <c r="M478" s="32"/>
      <c r="N478" s="32"/>
      <c r="O478" s="33"/>
      <c r="P478" s="33"/>
      <c r="Q478" s="32"/>
      <c r="R478" s="42"/>
      <c r="S478" s="42"/>
      <c r="T478" s="42"/>
      <c r="U478" s="32"/>
      <c r="V478" s="33"/>
      <c r="W478" s="33"/>
      <c r="X478" s="32"/>
      <c r="Y478" s="32"/>
      <c r="Z478" s="32"/>
      <c r="AA478" s="33"/>
      <c r="AB478" s="33"/>
      <c r="AC478" s="33"/>
      <c r="AD478" s="32"/>
      <c r="AE478" s="32"/>
      <c r="AF478" s="42"/>
      <c r="AG478" s="5"/>
    </row>
    <row r="479" spans="1:33" x14ac:dyDescent="0.25">
      <c r="A479" s="23"/>
      <c r="B479" s="24"/>
      <c r="C479" s="25"/>
      <c r="D479" s="27"/>
      <c r="E479" s="27"/>
      <c r="F479" s="28"/>
      <c r="G479" s="27"/>
      <c r="H479" s="27"/>
      <c r="I479" s="172"/>
      <c r="J479" s="214"/>
      <c r="K479" s="27"/>
      <c r="L479" s="172"/>
      <c r="M479" s="32"/>
      <c r="N479" s="32"/>
      <c r="O479" s="33"/>
      <c r="P479" s="33"/>
      <c r="Q479" s="32"/>
      <c r="R479" s="42"/>
      <c r="S479" s="42"/>
      <c r="T479" s="42"/>
      <c r="U479" s="32"/>
      <c r="V479" s="33"/>
      <c r="W479" s="33"/>
      <c r="X479" s="32"/>
      <c r="Y479" s="32"/>
      <c r="Z479" s="32"/>
      <c r="AA479" s="33"/>
      <c r="AB479" s="33"/>
      <c r="AC479" s="33"/>
      <c r="AD479" s="32"/>
      <c r="AE479" s="32"/>
      <c r="AF479" s="42"/>
      <c r="AG479" s="5"/>
    </row>
    <row r="480" spans="1:33" x14ac:dyDescent="0.25">
      <c r="A480" s="23"/>
      <c r="B480" s="24"/>
      <c r="C480" s="25"/>
      <c r="D480" s="27"/>
      <c r="E480" s="27"/>
      <c r="F480" s="28"/>
      <c r="G480" s="27"/>
      <c r="H480" s="27"/>
      <c r="I480" s="172"/>
      <c r="J480" s="214"/>
      <c r="K480" s="27"/>
      <c r="L480" s="172"/>
      <c r="M480" s="32"/>
      <c r="N480" s="32"/>
      <c r="O480" s="33"/>
      <c r="P480" s="33"/>
      <c r="Q480" s="32"/>
      <c r="R480" s="42"/>
      <c r="S480" s="42"/>
      <c r="T480" s="42"/>
      <c r="U480" s="32"/>
      <c r="V480" s="33"/>
      <c r="W480" s="33"/>
      <c r="X480" s="32"/>
      <c r="Y480" s="32"/>
      <c r="Z480" s="32"/>
      <c r="AA480" s="33"/>
      <c r="AB480" s="33"/>
      <c r="AC480" s="33"/>
      <c r="AD480" s="32"/>
      <c r="AE480" s="32"/>
      <c r="AF480" s="42"/>
      <c r="AG480" s="5"/>
    </row>
    <row r="481" spans="1:33" x14ac:dyDescent="0.25">
      <c r="A481" s="23"/>
      <c r="B481" s="24"/>
      <c r="C481" s="25"/>
      <c r="D481" s="27"/>
      <c r="E481" s="27"/>
      <c r="F481" s="28"/>
      <c r="G481" s="27"/>
      <c r="H481" s="27"/>
      <c r="I481" s="172"/>
      <c r="J481" s="214"/>
      <c r="K481" s="27"/>
      <c r="L481" s="172"/>
      <c r="M481" s="32"/>
      <c r="N481" s="32"/>
      <c r="O481" s="33"/>
      <c r="P481" s="33"/>
      <c r="Q481" s="32"/>
      <c r="R481" s="42"/>
      <c r="S481" s="42"/>
      <c r="T481" s="42"/>
      <c r="U481" s="32"/>
      <c r="V481" s="33"/>
      <c r="W481" s="33"/>
      <c r="X481" s="32"/>
      <c r="Y481" s="32"/>
      <c r="Z481" s="32"/>
      <c r="AA481" s="33"/>
      <c r="AB481" s="33"/>
      <c r="AC481" s="33"/>
      <c r="AD481" s="32"/>
      <c r="AE481" s="32"/>
      <c r="AF481" s="42"/>
      <c r="AG481" s="5"/>
    </row>
    <row r="482" spans="1:33" x14ac:dyDescent="0.25">
      <c r="A482" s="23"/>
      <c r="B482" s="24"/>
      <c r="C482" s="25"/>
      <c r="D482" s="27"/>
      <c r="E482" s="27"/>
      <c r="F482" s="28"/>
      <c r="G482" s="27"/>
      <c r="H482" s="27"/>
      <c r="I482" s="172"/>
      <c r="J482" s="214"/>
      <c r="K482" s="27"/>
      <c r="L482" s="172"/>
      <c r="M482" s="32"/>
      <c r="N482" s="32"/>
      <c r="O482" s="33"/>
      <c r="P482" s="33"/>
      <c r="Q482" s="32"/>
      <c r="R482" s="42"/>
      <c r="S482" s="42"/>
      <c r="T482" s="42"/>
      <c r="U482" s="32"/>
      <c r="V482" s="33"/>
      <c r="W482" s="33"/>
      <c r="X482" s="32"/>
      <c r="Y482" s="32"/>
      <c r="Z482" s="32"/>
      <c r="AA482" s="33"/>
      <c r="AB482" s="33"/>
      <c r="AC482" s="33"/>
      <c r="AD482" s="32"/>
      <c r="AE482" s="32"/>
      <c r="AF482" s="42"/>
      <c r="AG482" s="5"/>
    </row>
    <row r="483" spans="1:33" x14ac:dyDescent="0.25">
      <c r="A483" s="23"/>
      <c r="B483" s="24"/>
      <c r="C483" s="25"/>
      <c r="D483" s="27"/>
      <c r="E483" s="27"/>
      <c r="F483" s="28"/>
      <c r="G483" s="27"/>
      <c r="H483" s="27"/>
      <c r="I483" s="172"/>
      <c r="J483" s="214"/>
      <c r="K483" s="27"/>
      <c r="L483" s="172"/>
      <c r="M483" s="32"/>
      <c r="N483" s="32"/>
      <c r="O483" s="33"/>
      <c r="P483" s="33"/>
      <c r="Q483" s="32"/>
      <c r="R483" s="42"/>
      <c r="S483" s="42"/>
      <c r="T483" s="42"/>
      <c r="U483" s="32"/>
      <c r="V483" s="33"/>
      <c r="W483" s="33"/>
      <c r="X483" s="32"/>
      <c r="Y483" s="32"/>
      <c r="Z483" s="32"/>
      <c r="AA483" s="33"/>
      <c r="AB483" s="33"/>
      <c r="AC483" s="33"/>
      <c r="AD483" s="32"/>
      <c r="AE483" s="32"/>
      <c r="AF483" s="42"/>
      <c r="AG483" s="5"/>
    </row>
    <row r="484" spans="1:33" x14ac:dyDescent="0.25">
      <c r="A484" s="23"/>
      <c r="B484" s="24"/>
      <c r="C484" s="25"/>
      <c r="D484" s="27"/>
      <c r="E484" s="27"/>
      <c r="F484" s="28"/>
      <c r="G484" s="27"/>
      <c r="H484" s="27"/>
      <c r="I484" s="172"/>
      <c r="J484" s="214"/>
      <c r="K484" s="27"/>
      <c r="L484" s="172"/>
      <c r="M484" s="32"/>
      <c r="N484" s="32"/>
      <c r="O484" s="33"/>
      <c r="P484" s="33"/>
      <c r="Q484" s="32"/>
      <c r="R484" s="42"/>
      <c r="S484" s="42"/>
      <c r="T484" s="42"/>
      <c r="U484" s="32"/>
      <c r="V484" s="33"/>
      <c r="W484" s="33"/>
      <c r="X484" s="32"/>
      <c r="Y484" s="32"/>
      <c r="Z484" s="32"/>
      <c r="AA484" s="33"/>
      <c r="AB484" s="33"/>
      <c r="AC484" s="33"/>
      <c r="AD484" s="32"/>
      <c r="AE484" s="32"/>
      <c r="AF484" s="42"/>
      <c r="AG484" s="5"/>
    </row>
    <row r="485" spans="1:33" x14ac:dyDescent="0.25">
      <c r="A485" s="23"/>
      <c r="B485" s="24"/>
      <c r="C485" s="25"/>
      <c r="D485" s="27"/>
      <c r="E485" s="27"/>
      <c r="F485" s="28"/>
      <c r="G485" s="27"/>
      <c r="H485" s="27"/>
      <c r="I485" s="172"/>
      <c r="J485" s="214"/>
      <c r="K485" s="27"/>
      <c r="L485" s="172"/>
      <c r="M485" s="32"/>
      <c r="N485" s="32"/>
      <c r="O485" s="33"/>
      <c r="P485" s="33"/>
      <c r="Q485" s="32"/>
      <c r="R485" s="42"/>
      <c r="S485" s="42"/>
      <c r="T485" s="42"/>
      <c r="U485" s="32"/>
      <c r="V485" s="33"/>
      <c r="W485" s="33"/>
      <c r="X485" s="32"/>
      <c r="Y485" s="32"/>
      <c r="Z485" s="32"/>
      <c r="AA485" s="33"/>
      <c r="AB485" s="33"/>
      <c r="AC485" s="33"/>
      <c r="AD485" s="32"/>
      <c r="AE485" s="32"/>
      <c r="AF485" s="42"/>
      <c r="AG485" s="5"/>
    </row>
    <row r="486" spans="1:33" x14ac:dyDescent="0.25">
      <c r="A486" s="23"/>
      <c r="B486" s="24"/>
      <c r="C486" s="25"/>
      <c r="D486" s="27"/>
      <c r="E486" s="27"/>
      <c r="F486" s="28"/>
      <c r="G486" s="27"/>
      <c r="H486" s="27"/>
      <c r="I486" s="172"/>
      <c r="J486" s="214"/>
      <c r="K486" s="27"/>
      <c r="L486" s="172"/>
      <c r="M486" s="32"/>
      <c r="N486" s="32"/>
      <c r="O486" s="33"/>
      <c r="P486" s="33"/>
      <c r="Q486" s="32"/>
      <c r="R486" s="42"/>
      <c r="S486" s="42"/>
      <c r="T486" s="42"/>
      <c r="U486" s="32"/>
      <c r="V486" s="33"/>
      <c r="W486" s="33"/>
      <c r="X486" s="32"/>
      <c r="Y486" s="32"/>
      <c r="Z486" s="32"/>
      <c r="AA486" s="33"/>
      <c r="AB486" s="33"/>
      <c r="AC486" s="33"/>
      <c r="AD486" s="32"/>
      <c r="AE486" s="32"/>
      <c r="AF486" s="42"/>
      <c r="AG486" s="5"/>
    </row>
    <row r="487" spans="1:33" x14ac:dyDescent="0.25">
      <c r="A487" s="23"/>
      <c r="B487" s="24"/>
      <c r="C487" s="25"/>
      <c r="D487" s="27"/>
      <c r="E487" s="27"/>
      <c r="F487" s="28"/>
      <c r="G487" s="27"/>
      <c r="H487" s="27"/>
      <c r="I487" s="172"/>
      <c r="J487" s="214"/>
      <c r="K487" s="27"/>
      <c r="L487" s="172"/>
      <c r="M487" s="32"/>
      <c r="N487" s="32"/>
      <c r="O487" s="33"/>
      <c r="P487" s="33"/>
      <c r="Q487" s="32"/>
      <c r="R487" s="42"/>
      <c r="S487" s="42"/>
      <c r="T487" s="42"/>
      <c r="U487" s="32"/>
      <c r="V487" s="33"/>
      <c r="W487" s="33"/>
      <c r="X487" s="32"/>
      <c r="Y487" s="32"/>
      <c r="Z487" s="32"/>
      <c r="AA487" s="33"/>
      <c r="AB487" s="33"/>
      <c r="AC487" s="33"/>
      <c r="AD487" s="32"/>
      <c r="AE487" s="32"/>
      <c r="AF487" s="42"/>
      <c r="AG487" s="5"/>
    </row>
    <row r="488" spans="1:33" x14ac:dyDescent="0.25">
      <c r="A488" s="23"/>
      <c r="B488" s="24"/>
      <c r="C488" s="25"/>
      <c r="D488" s="27"/>
      <c r="E488" s="27"/>
      <c r="F488" s="28"/>
      <c r="G488" s="27"/>
      <c r="H488" s="27"/>
      <c r="I488" s="172"/>
      <c r="J488" s="214"/>
      <c r="K488" s="27"/>
      <c r="L488" s="172"/>
      <c r="M488" s="32"/>
      <c r="N488" s="32"/>
      <c r="O488" s="33"/>
      <c r="P488" s="33"/>
      <c r="Q488" s="32"/>
      <c r="R488" s="42"/>
      <c r="S488" s="42"/>
      <c r="T488" s="42"/>
      <c r="U488" s="32"/>
      <c r="V488" s="33"/>
      <c r="W488" s="33"/>
      <c r="X488" s="32"/>
      <c r="Y488" s="32"/>
      <c r="Z488" s="32"/>
      <c r="AA488" s="33"/>
      <c r="AB488" s="33"/>
      <c r="AC488" s="33"/>
      <c r="AD488" s="32"/>
      <c r="AE488" s="32"/>
      <c r="AF488" s="42"/>
      <c r="AG488" s="5"/>
    </row>
    <row r="489" spans="1:33" x14ac:dyDescent="0.25">
      <c r="A489" s="23"/>
      <c r="B489" s="24"/>
      <c r="C489" s="25"/>
      <c r="D489" s="27"/>
      <c r="E489" s="27"/>
      <c r="F489" s="28"/>
      <c r="G489" s="27"/>
      <c r="H489" s="27"/>
      <c r="I489" s="172"/>
      <c r="J489" s="214"/>
      <c r="K489" s="27"/>
      <c r="L489" s="172"/>
      <c r="M489" s="32"/>
      <c r="N489" s="32"/>
      <c r="O489" s="33"/>
      <c r="P489" s="33"/>
      <c r="Q489" s="32"/>
      <c r="R489" s="42"/>
      <c r="S489" s="42"/>
      <c r="T489" s="42"/>
      <c r="U489" s="32"/>
      <c r="V489" s="33"/>
      <c r="W489" s="33"/>
      <c r="X489" s="32"/>
      <c r="Y489" s="32"/>
      <c r="Z489" s="32"/>
      <c r="AA489" s="33"/>
      <c r="AB489" s="33"/>
      <c r="AC489" s="33"/>
      <c r="AD489" s="32"/>
      <c r="AE489" s="32"/>
      <c r="AF489" s="42"/>
      <c r="AG489" s="5"/>
    </row>
    <row r="490" spans="1:33" x14ac:dyDescent="0.25">
      <c r="A490" s="23"/>
      <c r="B490" s="24"/>
      <c r="C490" s="25"/>
      <c r="D490" s="27"/>
      <c r="E490" s="27"/>
      <c r="F490" s="28"/>
      <c r="G490" s="27"/>
      <c r="H490" s="27"/>
      <c r="I490" s="172"/>
      <c r="J490" s="214"/>
      <c r="K490" s="27"/>
      <c r="L490" s="172"/>
      <c r="M490" s="32"/>
      <c r="N490" s="32"/>
      <c r="O490" s="33"/>
      <c r="P490" s="33"/>
      <c r="Q490" s="32"/>
      <c r="R490" s="42"/>
      <c r="S490" s="42"/>
      <c r="T490" s="42"/>
      <c r="U490" s="32"/>
      <c r="V490" s="33"/>
      <c r="W490" s="33"/>
      <c r="X490" s="32"/>
      <c r="Y490" s="32"/>
      <c r="Z490" s="32"/>
      <c r="AA490" s="33"/>
      <c r="AB490" s="33"/>
      <c r="AC490" s="33"/>
      <c r="AD490" s="32"/>
      <c r="AE490" s="32"/>
      <c r="AF490" s="42"/>
      <c r="AG490" s="5"/>
    </row>
    <row r="491" spans="1:33" x14ac:dyDescent="0.25">
      <c r="A491" s="23"/>
      <c r="B491" s="24"/>
      <c r="C491" s="25"/>
      <c r="D491" s="27"/>
      <c r="E491" s="27"/>
      <c r="F491" s="28"/>
      <c r="G491" s="27"/>
      <c r="H491" s="27"/>
      <c r="I491" s="172"/>
      <c r="J491" s="214"/>
      <c r="K491" s="27"/>
      <c r="L491" s="172"/>
      <c r="M491" s="32"/>
      <c r="N491" s="32"/>
      <c r="O491" s="33"/>
      <c r="P491" s="33"/>
      <c r="Q491" s="32"/>
      <c r="R491" s="42"/>
      <c r="S491" s="42"/>
      <c r="T491" s="42"/>
      <c r="U491" s="32"/>
      <c r="V491" s="33"/>
      <c r="W491" s="33"/>
      <c r="X491" s="32"/>
      <c r="Y491" s="32"/>
      <c r="Z491" s="32"/>
      <c r="AA491" s="33"/>
      <c r="AB491" s="33"/>
      <c r="AC491" s="33"/>
      <c r="AD491" s="32"/>
      <c r="AE491" s="32"/>
      <c r="AF491" s="42"/>
      <c r="AG491" s="5"/>
    </row>
    <row r="492" spans="1:33" x14ac:dyDescent="0.25">
      <c r="A492" s="23"/>
      <c r="B492" s="24"/>
      <c r="C492" s="25"/>
      <c r="D492" s="27"/>
      <c r="E492" s="27"/>
      <c r="F492" s="28"/>
      <c r="G492" s="27"/>
      <c r="H492" s="27"/>
      <c r="I492" s="172"/>
      <c r="J492" s="214"/>
      <c r="K492" s="27"/>
      <c r="L492" s="172"/>
      <c r="M492" s="32"/>
      <c r="N492" s="32"/>
      <c r="O492" s="33"/>
      <c r="P492" s="33"/>
      <c r="Q492" s="32"/>
      <c r="R492" s="42"/>
      <c r="S492" s="42"/>
      <c r="T492" s="42"/>
      <c r="U492" s="32"/>
      <c r="V492" s="33"/>
      <c r="W492" s="33"/>
      <c r="X492" s="32"/>
      <c r="Y492" s="32"/>
      <c r="Z492" s="32"/>
      <c r="AA492" s="33"/>
      <c r="AB492" s="33"/>
      <c r="AC492" s="33"/>
      <c r="AD492" s="32"/>
      <c r="AE492" s="32"/>
      <c r="AF492" s="42"/>
      <c r="AG492" s="5"/>
    </row>
    <row r="493" spans="1:33" x14ac:dyDescent="0.25">
      <c r="A493" s="23"/>
      <c r="B493" s="24"/>
      <c r="C493" s="25"/>
      <c r="D493" s="27"/>
      <c r="E493" s="27"/>
      <c r="F493" s="28"/>
      <c r="G493" s="27"/>
      <c r="H493" s="27"/>
      <c r="I493" s="172"/>
      <c r="J493" s="214"/>
      <c r="K493" s="27"/>
      <c r="L493" s="172"/>
      <c r="M493" s="32"/>
      <c r="N493" s="32"/>
      <c r="O493" s="33"/>
      <c r="P493" s="33"/>
      <c r="Q493" s="32"/>
      <c r="R493" s="42"/>
      <c r="S493" s="42"/>
      <c r="T493" s="42"/>
      <c r="U493" s="32"/>
      <c r="V493" s="33"/>
      <c r="W493" s="33"/>
      <c r="X493" s="32"/>
      <c r="Y493" s="32"/>
      <c r="Z493" s="32"/>
      <c r="AA493" s="33"/>
      <c r="AB493" s="33"/>
      <c r="AC493" s="33"/>
      <c r="AD493" s="32"/>
      <c r="AE493" s="32"/>
      <c r="AF493" s="42"/>
      <c r="AG493" s="5"/>
    </row>
    <row r="494" spans="1:33" x14ac:dyDescent="0.25">
      <c r="A494" s="23"/>
      <c r="B494" s="24"/>
      <c r="C494" s="25"/>
      <c r="D494" s="27"/>
      <c r="E494" s="27"/>
      <c r="F494" s="28"/>
      <c r="G494" s="27"/>
      <c r="H494" s="27"/>
      <c r="I494" s="172"/>
      <c r="J494" s="214"/>
      <c r="K494" s="27"/>
      <c r="L494" s="172"/>
      <c r="M494" s="32"/>
      <c r="N494" s="32"/>
      <c r="O494" s="33"/>
      <c r="P494" s="33"/>
      <c r="Q494" s="32"/>
      <c r="R494" s="42"/>
      <c r="S494" s="42"/>
      <c r="T494" s="42"/>
      <c r="U494" s="32"/>
      <c r="V494" s="33"/>
      <c r="W494" s="33"/>
      <c r="X494" s="32"/>
      <c r="Y494" s="32"/>
      <c r="Z494" s="32"/>
      <c r="AA494" s="33"/>
      <c r="AB494" s="33"/>
      <c r="AC494" s="33"/>
      <c r="AD494" s="32"/>
      <c r="AE494" s="32"/>
      <c r="AF494" s="42"/>
      <c r="AG494" s="5"/>
    </row>
    <row r="495" spans="1:33" x14ac:dyDescent="0.25">
      <c r="A495" s="23"/>
      <c r="B495" s="24"/>
      <c r="C495" s="25"/>
      <c r="D495" s="27"/>
      <c r="E495" s="27"/>
      <c r="F495" s="28"/>
      <c r="G495" s="27"/>
      <c r="H495" s="27"/>
      <c r="I495" s="172"/>
      <c r="J495" s="214"/>
      <c r="K495" s="27"/>
      <c r="L495" s="172"/>
      <c r="M495" s="32"/>
      <c r="N495" s="32"/>
      <c r="O495" s="33"/>
      <c r="P495" s="33"/>
      <c r="Q495" s="32"/>
      <c r="R495" s="42"/>
      <c r="S495" s="42"/>
      <c r="T495" s="42"/>
      <c r="U495" s="32"/>
      <c r="V495" s="33"/>
      <c r="W495" s="33"/>
      <c r="X495" s="32"/>
      <c r="Y495" s="32"/>
      <c r="Z495" s="32"/>
      <c r="AA495" s="33"/>
      <c r="AB495" s="33"/>
      <c r="AC495" s="33"/>
      <c r="AD495" s="32"/>
      <c r="AE495" s="32"/>
      <c r="AF495" s="42"/>
      <c r="AG495" s="5"/>
    </row>
    <row r="496" spans="1:33" x14ac:dyDescent="0.25">
      <c r="A496" s="23"/>
      <c r="B496" s="24"/>
      <c r="C496" s="25"/>
      <c r="D496" s="27"/>
      <c r="E496" s="27"/>
      <c r="F496" s="28"/>
      <c r="G496" s="27"/>
      <c r="H496" s="27"/>
      <c r="I496" s="172"/>
      <c r="J496" s="214"/>
      <c r="K496" s="27"/>
      <c r="L496" s="172"/>
      <c r="M496" s="32"/>
      <c r="N496" s="32"/>
      <c r="O496" s="33"/>
      <c r="P496" s="33"/>
      <c r="Q496" s="32"/>
      <c r="R496" s="42"/>
      <c r="S496" s="42"/>
      <c r="T496" s="42"/>
      <c r="U496" s="32"/>
      <c r="V496" s="33"/>
      <c r="W496" s="33"/>
      <c r="X496" s="32"/>
      <c r="Y496" s="32"/>
      <c r="Z496" s="32"/>
      <c r="AA496" s="33"/>
      <c r="AB496" s="33"/>
      <c r="AC496" s="33"/>
      <c r="AD496" s="32"/>
      <c r="AE496" s="32"/>
      <c r="AF496" s="42"/>
      <c r="AG496" s="5"/>
    </row>
    <row r="497" spans="1:33" x14ac:dyDescent="0.25">
      <c r="A497" s="23"/>
      <c r="B497" s="24"/>
      <c r="C497" s="25"/>
      <c r="D497" s="27"/>
      <c r="E497" s="27"/>
      <c r="F497" s="28"/>
      <c r="G497" s="27"/>
      <c r="H497" s="27"/>
      <c r="I497" s="172"/>
      <c r="J497" s="214"/>
      <c r="K497" s="27"/>
      <c r="L497" s="172"/>
      <c r="M497" s="32"/>
      <c r="N497" s="32"/>
      <c r="O497" s="33"/>
      <c r="P497" s="33"/>
      <c r="Q497" s="32"/>
      <c r="R497" s="42"/>
      <c r="S497" s="42"/>
      <c r="T497" s="42"/>
      <c r="U497" s="32"/>
      <c r="V497" s="33"/>
      <c r="W497" s="33"/>
      <c r="X497" s="32"/>
      <c r="Y497" s="32"/>
      <c r="Z497" s="32"/>
      <c r="AA497" s="33"/>
      <c r="AB497" s="33"/>
      <c r="AC497" s="33"/>
      <c r="AD497" s="32"/>
      <c r="AE497" s="32"/>
      <c r="AF497" s="42"/>
      <c r="AG497" s="5"/>
    </row>
    <row r="498" spans="1:33" x14ac:dyDescent="0.25">
      <c r="A498" s="23"/>
      <c r="B498" s="24"/>
      <c r="C498" s="25"/>
      <c r="D498" s="27"/>
      <c r="E498" s="27"/>
      <c r="F498" s="28"/>
      <c r="G498" s="27"/>
      <c r="H498" s="27"/>
      <c r="I498" s="172"/>
      <c r="J498" s="214"/>
      <c r="K498" s="27"/>
      <c r="L498" s="172"/>
      <c r="M498" s="32"/>
      <c r="N498" s="32"/>
      <c r="O498" s="33"/>
      <c r="P498" s="33"/>
      <c r="Q498" s="32"/>
      <c r="R498" s="42"/>
      <c r="S498" s="42"/>
      <c r="T498" s="42"/>
      <c r="U498" s="32"/>
      <c r="V498" s="33"/>
      <c r="W498" s="33"/>
      <c r="X498" s="32"/>
      <c r="Y498" s="32"/>
      <c r="Z498" s="32"/>
      <c r="AA498" s="33"/>
      <c r="AB498" s="33"/>
      <c r="AC498" s="33"/>
      <c r="AD498" s="32"/>
      <c r="AE498" s="32"/>
      <c r="AF498" s="42"/>
      <c r="AG498" s="5"/>
    </row>
    <row r="499" spans="1:33" x14ac:dyDescent="0.25">
      <c r="A499" s="23"/>
      <c r="B499" s="24"/>
      <c r="C499" s="25"/>
      <c r="D499" s="27"/>
      <c r="E499" s="27"/>
      <c r="F499" s="28"/>
      <c r="G499" s="27"/>
      <c r="H499" s="27"/>
      <c r="I499" s="172"/>
      <c r="J499" s="214"/>
      <c r="K499" s="27"/>
      <c r="L499" s="172"/>
      <c r="M499" s="32"/>
      <c r="N499" s="32"/>
      <c r="O499" s="33"/>
      <c r="P499" s="33"/>
      <c r="Q499" s="32"/>
      <c r="R499" s="42"/>
      <c r="S499" s="42"/>
      <c r="T499" s="42"/>
      <c r="U499" s="32"/>
      <c r="V499" s="33"/>
      <c r="W499" s="33"/>
      <c r="X499" s="32"/>
      <c r="Y499" s="32"/>
      <c r="Z499" s="32"/>
      <c r="AA499" s="33"/>
      <c r="AB499" s="33"/>
      <c r="AC499" s="33"/>
      <c r="AD499" s="32"/>
      <c r="AE499" s="32"/>
      <c r="AF499" s="42"/>
      <c r="AG499" s="5"/>
    </row>
    <row r="500" spans="1:33" x14ac:dyDescent="0.25">
      <c r="A500" s="23"/>
      <c r="B500" s="24"/>
      <c r="C500" s="25"/>
      <c r="D500" s="27"/>
      <c r="E500" s="27"/>
      <c r="F500" s="28"/>
      <c r="G500" s="27"/>
      <c r="H500" s="27"/>
      <c r="I500" s="172"/>
      <c r="J500" s="214"/>
      <c r="K500" s="27"/>
      <c r="L500" s="172"/>
      <c r="M500" s="32"/>
      <c r="N500" s="32"/>
      <c r="O500" s="33"/>
      <c r="P500" s="33"/>
      <c r="Q500" s="32"/>
      <c r="R500" s="42"/>
      <c r="S500" s="42"/>
      <c r="T500" s="42"/>
      <c r="U500" s="32"/>
      <c r="V500" s="33"/>
      <c r="W500" s="33"/>
      <c r="X500" s="32"/>
      <c r="Y500" s="32"/>
      <c r="Z500" s="32"/>
      <c r="AA500" s="33"/>
      <c r="AB500" s="33"/>
      <c r="AC500" s="33"/>
      <c r="AD500" s="32"/>
      <c r="AE500" s="32"/>
      <c r="AF500" s="42"/>
      <c r="AG500" s="5"/>
    </row>
    <row r="501" spans="1:33" x14ac:dyDescent="0.25">
      <c r="A501" s="23"/>
      <c r="B501" s="24"/>
      <c r="C501" s="25"/>
      <c r="D501" s="27"/>
      <c r="E501" s="27"/>
      <c r="F501" s="28"/>
      <c r="G501" s="27"/>
      <c r="H501" s="27"/>
      <c r="I501" s="172"/>
      <c r="J501" s="214"/>
      <c r="K501" s="27"/>
      <c r="L501" s="172"/>
      <c r="M501" s="32"/>
      <c r="N501" s="32"/>
      <c r="O501" s="33"/>
      <c r="P501" s="33"/>
      <c r="Q501" s="32"/>
      <c r="R501" s="42"/>
      <c r="S501" s="42"/>
      <c r="T501" s="42"/>
      <c r="U501" s="32"/>
      <c r="V501" s="33"/>
      <c r="W501" s="33"/>
      <c r="X501" s="32"/>
      <c r="Y501" s="32"/>
      <c r="Z501" s="32"/>
      <c r="AA501" s="33"/>
      <c r="AB501" s="33"/>
      <c r="AC501" s="33"/>
      <c r="AD501" s="32"/>
      <c r="AE501" s="32"/>
      <c r="AF501" s="42"/>
      <c r="AG501" s="5"/>
    </row>
    <row r="502" spans="1:33" x14ac:dyDescent="0.25">
      <c r="A502" s="23"/>
      <c r="B502" s="24"/>
      <c r="C502" s="25"/>
      <c r="D502" s="27"/>
      <c r="E502" s="27"/>
      <c r="F502" s="28"/>
      <c r="G502" s="27"/>
      <c r="H502" s="27"/>
      <c r="I502" s="172"/>
      <c r="J502" s="214"/>
      <c r="K502" s="27"/>
      <c r="L502" s="172"/>
      <c r="M502" s="32"/>
      <c r="N502" s="32"/>
      <c r="O502" s="33"/>
      <c r="P502" s="33"/>
      <c r="Q502" s="32"/>
      <c r="R502" s="42"/>
      <c r="S502" s="42"/>
      <c r="T502" s="42"/>
      <c r="U502" s="32"/>
      <c r="V502" s="33"/>
      <c r="W502" s="33"/>
      <c r="X502" s="32"/>
      <c r="Y502" s="32"/>
      <c r="Z502" s="32"/>
      <c r="AA502" s="33"/>
      <c r="AB502" s="33"/>
      <c r="AC502" s="33"/>
      <c r="AD502" s="32"/>
      <c r="AE502" s="32"/>
      <c r="AF502" s="42"/>
      <c r="AG502" s="5"/>
    </row>
    <row r="503" spans="1:33" x14ac:dyDescent="0.25">
      <c r="A503" s="23"/>
      <c r="B503" s="24"/>
      <c r="C503" s="25"/>
      <c r="D503" s="27"/>
      <c r="E503" s="27"/>
      <c r="F503" s="28"/>
      <c r="G503" s="27"/>
      <c r="H503" s="27"/>
      <c r="I503" s="172"/>
      <c r="J503" s="214"/>
      <c r="K503" s="27"/>
      <c r="L503" s="172"/>
      <c r="M503" s="32"/>
      <c r="N503" s="32"/>
      <c r="O503" s="33"/>
      <c r="P503" s="33"/>
      <c r="Q503" s="32"/>
      <c r="R503" s="42"/>
      <c r="S503" s="42"/>
      <c r="T503" s="42"/>
      <c r="U503" s="32"/>
      <c r="V503" s="33"/>
      <c r="W503" s="33"/>
      <c r="X503" s="32"/>
      <c r="Y503" s="32"/>
      <c r="Z503" s="32"/>
      <c r="AA503" s="33"/>
      <c r="AB503" s="33"/>
      <c r="AC503" s="33"/>
      <c r="AD503" s="32"/>
      <c r="AE503" s="32"/>
      <c r="AF503" s="42"/>
      <c r="AG503" s="5"/>
    </row>
    <row r="504" spans="1:33" x14ac:dyDescent="0.25">
      <c r="A504" s="23"/>
      <c r="B504" s="24"/>
      <c r="C504" s="25"/>
      <c r="D504" s="27"/>
      <c r="E504" s="27"/>
      <c r="F504" s="28"/>
      <c r="G504" s="27"/>
      <c r="H504" s="27"/>
      <c r="I504" s="172"/>
      <c r="J504" s="214"/>
      <c r="K504" s="27"/>
      <c r="L504" s="172"/>
      <c r="M504" s="32"/>
      <c r="N504" s="32"/>
      <c r="O504" s="33"/>
      <c r="P504" s="33"/>
      <c r="Q504" s="32"/>
      <c r="R504" s="42"/>
      <c r="S504" s="42"/>
      <c r="T504" s="42"/>
      <c r="U504" s="32"/>
      <c r="V504" s="33"/>
      <c r="W504" s="33"/>
      <c r="X504" s="32"/>
      <c r="Y504" s="32"/>
      <c r="Z504" s="32"/>
      <c r="AA504" s="33"/>
      <c r="AB504" s="33"/>
      <c r="AC504" s="33"/>
      <c r="AD504" s="32"/>
      <c r="AE504" s="32"/>
      <c r="AF504" s="42"/>
      <c r="AG504" s="5"/>
    </row>
    <row r="505" spans="1:33" x14ac:dyDescent="0.25">
      <c r="A505" s="23"/>
      <c r="B505" s="24"/>
      <c r="C505" s="25"/>
      <c r="D505" s="27"/>
      <c r="E505" s="27"/>
      <c r="F505" s="28"/>
      <c r="G505" s="27"/>
      <c r="H505" s="27"/>
      <c r="I505" s="172"/>
      <c r="J505" s="214"/>
      <c r="K505" s="27"/>
      <c r="L505" s="172"/>
      <c r="M505" s="32"/>
      <c r="N505" s="32"/>
      <c r="O505" s="33"/>
      <c r="P505" s="33"/>
      <c r="Q505" s="32"/>
      <c r="R505" s="42"/>
      <c r="S505" s="42"/>
      <c r="T505" s="42"/>
      <c r="U505" s="32"/>
      <c r="V505" s="33"/>
      <c r="W505" s="33"/>
      <c r="X505" s="32"/>
      <c r="Y505" s="32"/>
      <c r="Z505" s="32"/>
      <c r="AA505" s="33"/>
      <c r="AB505" s="33"/>
      <c r="AC505" s="33"/>
      <c r="AD505" s="32"/>
      <c r="AE505" s="32"/>
      <c r="AF505" s="42"/>
      <c r="AG505" s="5"/>
    </row>
    <row r="506" spans="1:33" x14ac:dyDescent="0.25">
      <c r="A506" s="23"/>
      <c r="B506" s="24"/>
      <c r="C506" s="25"/>
      <c r="D506" s="27"/>
      <c r="E506" s="27"/>
      <c r="F506" s="28"/>
      <c r="G506" s="27"/>
      <c r="H506" s="27"/>
      <c r="I506" s="172"/>
      <c r="J506" s="214"/>
      <c r="K506" s="27"/>
      <c r="L506" s="172"/>
      <c r="M506" s="32"/>
      <c r="N506" s="32"/>
      <c r="O506" s="33"/>
      <c r="P506" s="33"/>
      <c r="Q506" s="32"/>
      <c r="R506" s="42"/>
      <c r="S506" s="42"/>
      <c r="T506" s="42"/>
      <c r="U506" s="32"/>
      <c r="V506" s="33"/>
      <c r="W506" s="33"/>
      <c r="X506" s="32"/>
      <c r="Y506" s="32"/>
      <c r="Z506" s="32"/>
      <c r="AA506" s="33"/>
      <c r="AB506" s="33"/>
      <c r="AC506" s="33"/>
      <c r="AD506" s="32"/>
      <c r="AE506" s="32"/>
      <c r="AF506" s="42"/>
      <c r="AG506" s="5"/>
    </row>
    <row r="507" spans="1:33" x14ac:dyDescent="0.25">
      <c r="A507" s="23"/>
      <c r="B507" s="24"/>
      <c r="C507" s="25"/>
      <c r="D507" s="27"/>
      <c r="E507" s="27"/>
      <c r="F507" s="28"/>
      <c r="G507" s="27"/>
      <c r="H507" s="27"/>
      <c r="I507" s="172"/>
      <c r="J507" s="214"/>
      <c r="K507" s="27"/>
      <c r="L507" s="172"/>
      <c r="M507" s="32"/>
      <c r="N507" s="32"/>
      <c r="O507" s="33"/>
      <c r="P507" s="33"/>
      <c r="Q507" s="32"/>
      <c r="R507" s="42"/>
      <c r="S507" s="42"/>
      <c r="T507" s="42"/>
      <c r="U507" s="32"/>
      <c r="V507" s="33"/>
      <c r="W507" s="33"/>
      <c r="X507" s="32"/>
      <c r="Y507" s="32"/>
      <c r="Z507" s="32"/>
      <c r="AA507" s="33"/>
      <c r="AB507" s="33"/>
      <c r="AC507" s="33"/>
      <c r="AD507" s="32"/>
      <c r="AE507" s="32"/>
      <c r="AF507" s="42"/>
      <c r="AG507" s="5"/>
    </row>
    <row r="508" spans="1:33" x14ac:dyDescent="0.25">
      <c r="A508" s="23"/>
      <c r="B508" s="24"/>
      <c r="C508" s="25"/>
      <c r="D508" s="27"/>
      <c r="E508" s="27"/>
      <c r="F508" s="28"/>
      <c r="G508" s="27"/>
      <c r="H508" s="27"/>
      <c r="I508" s="172"/>
      <c r="J508" s="214"/>
      <c r="K508" s="27"/>
      <c r="L508" s="172"/>
      <c r="M508" s="32"/>
      <c r="N508" s="32"/>
      <c r="O508" s="33"/>
      <c r="P508" s="33"/>
      <c r="Q508" s="32"/>
      <c r="R508" s="42"/>
      <c r="S508" s="42"/>
      <c r="T508" s="42"/>
      <c r="U508" s="32"/>
      <c r="V508" s="33"/>
      <c r="W508" s="33"/>
      <c r="X508" s="32"/>
      <c r="Y508" s="32"/>
      <c r="Z508" s="32"/>
      <c r="AA508" s="33"/>
      <c r="AB508" s="33"/>
      <c r="AC508" s="33"/>
      <c r="AD508" s="32"/>
      <c r="AE508" s="32"/>
      <c r="AF508" s="42"/>
      <c r="AG508" s="5"/>
    </row>
    <row r="509" spans="1:33" x14ac:dyDescent="0.25">
      <c r="A509" s="23"/>
      <c r="B509" s="24"/>
      <c r="C509" s="25"/>
      <c r="D509" s="27"/>
      <c r="E509" s="27"/>
      <c r="F509" s="28"/>
      <c r="G509" s="27"/>
      <c r="H509" s="27"/>
      <c r="I509" s="172"/>
      <c r="J509" s="214"/>
      <c r="K509" s="27"/>
      <c r="L509" s="172"/>
      <c r="M509" s="32"/>
      <c r="N509" s="32"/>
      <c r="O509" s="33"/>
      <c r="P509" s="33"/>
      <c r="Q509" s="32"/>
      <c r="R509" s="42"/>
      <c r="S509" s="42"/>
      <c r="T509" s="42"/>
      <c r="U509" s="32"/>
      <c r="V509" s="33"/>
      <c r="W509" s="33"/>
      <c r="X509" s="32"/>
      <c r="Y509" s="32"/>
      <c r="Z509" s="32"/>
      <c r="AA509" s="33"/>
      <c r="AB509" s="33"/>
      <c r="AC509" s="33"/>
      <c r="AD509" s="32"/>
      <c r="AE509" s="32"/>
      <c r="AF509" s="42"/>
      <c r="AG509" s="5"/>
    </row>
    <row r="510" spans="1:33" x14ac:dyDescent="0.25">
      <c r="A510" s="23"/>
      <c r="B510" s="24"/>
      <c r="C510" s="25"/>
      <c r="D510" s="27"/>
      <c r="E510" s="27"/>
      <c r="F510" s="28"/>
      <c r="G510" s="27"/>
      <c r="H510" s="27"/>
      <c r="I510" s="172"/>
      <c r="J510" s="214"/>
      <c r="K510" s="27"/>
      <c r="L510" s="172"/>
      <c r="M510" s="32"/>
      <c r="N510" s="32"/>
      <c r="O510" s="33"/>
      <c r="P510" s="33"/>
      <c r="Q510" s="32"/>
      <c r="R510" s="42"/>
      <c r="S510" s="42"/>
      <c r="T510" s="42"/>
      <c r="U510" s="32"/>
      <c r="V510" s="33"/>
      <c r="W510" s="33"/>
      <c r="X510" s="32"/>
      <c r="Y510" s="32"/>
      <c r="Z510" s="32"/>
      <c r="AA510" s="33"/>
      <c r="AB510" s="33"/>
      <c r="AC510" s="33"/>
      <c r="AD510" s="32"/>
      <c r="AE510" s="32"/>
      <c r="AF510" s="42"/>
      <c r="AG510" s="5"/>
    </row>
    <row r="511" spans="1:33" x14ac:dyDescent="0.25">
      <c r="A511" s="23"/>
      <c r="B511" s="24"/>
      <c r="C511" s="25"/>
      <c r="D511" s="27"/>
      <c r="E511" s="27"/>
      <c r="F511" s="28"/>
      <c r="G511" s="27"/>
      <c r="H511" s="27"/>
      <c r="I511" s="172"/>
      <c r="J511" s="214"/>
      <c r="K511" s="27"/>
      <c r="L511" s="172"/>
      <c r="M511" s="32"/>
      <c r="N511" s="32"/>
      <c r="O511" s="33"/>
      <c r="P511" s="33"/>
      <c r="Q511" s="32"/>
      <c r="R511" s="42"/>
      <c r="S511" s="42"/>
      <c r="T511" s="42"/>
      <c r="U511" s="32"/>
      <c r="V511" s="33"/>
      <c r="W511" s="33"/>
      <c r="X511" s="32"/>
      <c r="Y511" s="32"/>
      <c r="Z511" s="32"/>
      <c r="AA511" s="33"/>
      <c r="AB511" s="33"/>
      <c r="AC511" s="33"/>
      <c r="AD511" s="32"/>
      <c r="AE511" s="32"/>
      <c r="AF511" s="42"/>
      <c r="AG511" s="5"/>
    </row>
    <row r="512" spans="1:33" x14ac:dyDescent="0.25">
      <c r="A512" s="23"/>
      <c r="B512" s="24"/>
      <c r="C512" s="25"/>
      <c r="D512" s="27"/>
      <c r="E512" s="27"/>
      <c r="F512" s="28"/>
      <c r="G512" s="27"/>
      <c r="H512" s="27"/>
      <c r="I512" s="172"/>
      <c r="J512" s="214"/>
      <c r="K512" s="27"/>
      <c r="L512" s="172"/>
      <c r="M512" s="32"/>
      <c r="N512" s="32"/>
      <c r="O512" s="33"/>
      <c r="P512" s="33"/>
      <c r="Q512" s="32"/>
      <c r="R512" s="42"/>
      <c r="S512" s="42"/>
      <c r="T512" s="42"/>
      <c r="U512" s="32"/>
      <c r="V512" s="33"/>
      <c r="W512" s="33"/>
      <c r="X512" s="32"/>
      <c r="Y512" s="32"/>
      <c r="Z512" s="32"/>
      <c r="AA512" s="33"/>
      <c r="AB512" s="33"/>
      <c r="AC512" s="33"/>
      <c r="AD512" s="32"/>
      <c r="AE512" s="32"/>
      <c r="AF512" s="42"/>
      <c r="AG512" s="5"/>
    </row>
    <row r="513" spans="1:33" x14ac:dyDescent="0.25">
      <c r="A513" s="23"/>
      <c r="B513" s="24"/>
      <c r="C513" s="25"/>
      <c r="D513" s="27"/>
      <c r="E513" s="27"/>
      <c r="F513" s="28"/>
      <c r="G513" s="27"/>
      <c r="H513" s="27"/>
      <c r="I513" s="172"/>
      <c r="J513" s="214"/>
      <c r="K513" s="27"/>
      <c r="L513" s="172"/>
      <c r="M513" s="32"/>
      <c r="N513" s="32"/>
      <c r="O513" s="33"/>
      <c r="P513" s="33"/>
      <c r="Q513" s="32"/>
      <c r="R513" s="42"/>
      <c r="S513" s="42"/>
      <c r="T513" s="42"/>
      <c r="U513" s="32"/>
      <c r="V513" s="33"/>
      <c r="W513" s="33"/>
      <c r="X513" s="32"/>
      <c r="Y513" s="32"/>
      <c r="Z513" s="32"/>
      <c r="AA513" s="33"/>
      <c r="AB513" s="33"/>
      <c r="AC513" s="33"/>
      <c r="AD513" s="32"/>
      <c r="AE513" s="32"/>
      <c r="AF513" s="42"/>
      <c r="AG513" s="5"/>
    </row>
    <row r="514" spans="1:33" x14ac:dyDescent="0.25">
      <c r="A514" s="23"/>
      <c r="B514" s="24"/>
      <c r="C514" s="25"/>
      <c r="D514" s="27"/>
      <c r="E514" s="27"/>
      <c r="F514" s="28"/>
      <c r="G514" s="27"/>
      <c r="H514" s="27"/>
      <c r="I514" s="172"/>
      <c r="J514" s="214"/>
      <c r="K514" s="27"/>
      <c r="L514" s="172"/>
      <c r="M514" s="32"/>
      <c r="N514" s="32"/>
      <c r="O514" s="33"/>
      <c r="P514" s="33"/>
      <c r="Q514" s="32"/>
      <c r="R514" s="42"/>
      <c r="S514" s="42"/>
      <c r="T514" s="42"/>
      <c r="U514" s="32"/>
      <c r="V514" s="33"/>
      <c r="W514" s="33"/>
      <c r="X514" s="32"/>
      <c r="Y514" s="32"/>
      <c r="Z514" s="32"/>
      <c r="AA514" s="33"/>
      <c r="AB514" s="33"/>
      <c r="AC514" s="33"/>
      <c r="AD514" s="32"/>
      <c r="AE514" s="32"/>
      <c r="AF514" s="42"/>
      <c r="AG514" s="5"/>
    </row>
    <row r="515" spans="1:33" x14ac:dyDescent="0.25">
      <c r="A515" s="23"/>
      <c r="B515" s="24"/>
      <c r="C515" s="25"/>
      <c r="D515" s="27"/>
      <c r="E515" s="27"/>
      <c r="F515" s="28"/>
      <c r="G515" s="27"/>
      <c r="H515" s="27"/>
      <c r="I515" s="172"/>
      <c r="J515" s="214"/>
      <c r="K515" s="27"/>
      <c r="L515" s="172"/>
      <c r="M515" s="32"/>
      <c r="N515" s="32"/>
      <c r="O515" s="33"/>
      <c r="P515" s="33"/>
      <c r="Q515" s="32"/>
      <c r="R515" s="42"/>
      <c r="S515" s="42"/>
      <c r="T515" s="42"/>
      <c r="U515" s="32"/>
      <c r="V515" s="33"/>
      <c r="W515" s="33"/>
      <c r="X515" s="32"/>
      <c r="Y515" s="32"/>
      <c r="Z515" s="32"/>
      <c r="AA515" s="33"/>
      <c r="AB515" s="33"/>
      <c r="AC515" s="33"/>
      <c r="AD515" s="32"/>
      <c r="AE515" s="32"/>
      <c r="AF515" s="42"/>
      <c r="AG515" s="5"/>
    </row>
    <row r="516" spans="1:33" x14ac:dyDescent="0.25">
      <c r="A516" s="23"/>
      <c r="B516" s="24"/>
      <c r="C516" s="25"/>
      <c r="D516" s="27"/>
      <c r="E516" s="27"/>
      <c r="F516" s="28"/>
      <c r="G516" s="27"/>
      <c r="H516" s="27"/>
      <c r="I516" s="172"/>
      <c r="J516" s="214"/>
      <c r="K516" s="27"/>
      <c r="L516" s="172"/>
      <c r="M516" s="32"/>
      <c r="N516" s="32"/>
      <c r="O516" s="33"/>
      <c r="P516" s="33"/>
      <c r="Q516" s="32"/>
      <c r="R516" s="42"/>
      <c r="S516" s="42"/>
      <c r="T516" s="42"/>
      <c r="U516" s="32"/>
      <c r="V516" s="33"/>
      <c r="W516" s="33"/>
      <c r="X516" s="32"/>
      <c r="Y516" s="32"/>
      <c r="Z516" s="32"/>
      <c r="AA516" s="33"/>
      <c r="AB516" s="33"/>
      <c r="AC516" s="33"/>
      <c r="AD516" s="32"/>
      <c r="AE516" s="32"/>
      <c r="AF516" s="42"/>
      <c r="AG516" s="5"/>
    </row>
    <row r="517" spans="1:33" x14ac:dyDescent="0.25">
      <c r="A517" s="23"/>
      <c r="B517" s="24"/>
      <c r="C517" s="25"/>
      <c r="D517" s="27"/>
      <c r="E517" s="27"/>
      <c r="F517" s="28"/>
      <c r="G517" s="27"/>
      <c r="H517" s="27"/>
      <c r="I517" s="172"/>
      <c r="J517" s="214"/>
      <c r="K517" s="27"/>
      <c r="L517" s="172"/>
      <c r="M517" s="32"/>
      <c r="N517" s="32"/>
      <c r="O517" s="33"/>
      <c r="P517" s="33"/>
      <c r="Q517" s="32"/>
      <c r="R517" s="42"/>
      <c r="S517" s="42"/>
      <c r="T517" s="42"/>
      <c r="U517" s="32"/>
      <c r="V517" s="33"/>
      <c r="W517" s="33"/>
      <c r="X517" s="32"/>
      <c r="Y517" s="32"/>
      <c r="Z517" s="32"/>
      <c r="AA517" s="33"/>
      <c r="AB517" s="33"/>
      <c r="AC517" s="33"/>
      <c r="AD517" s="32"/>
      <c r="AE517" s="32"/>
      <c r="AF517" s="42"/>
      <c r="AG517" s="5"/>
    </row>
    <row r="518" spans="1:33" x14ac:dyDescent="0.25">
      <c r="A518" s="23"/>
      <c r="B518" s="24"/>
      <c r="C518" s="25"/>
      <c r="D518" s="27"/>
      <c r="E518" s="27"/>
      <c r="F518" s="28"/>
      <c r="G518" s="27"/>
      <c r="H518" s="27"/>
      <c r="I518" s="172"/>
      <c r="J518" s="214"/>
      <c r="K518" s="27"/>
      <c r="L518" s="172"/>
      <c r="M518" s="32"/>
      <c r="N518" s="32"/>
      <c r="O518" s="33"/>
      <c r="P518" s="33"/>
      <c r="Q518" s="32"/>
      <c r="R518" s="42"/>
      <c r="S518" s="42"/>
      <c r="T518" s="42"/>
      <c r="U518" s="32"/>
      <c r="V518" s="33"/>
      <c r="W518" s="33"/>
      <c r="X518" s="32"/>
      <c r="Y518" s="32"/>
      <c r="Z518" s="32"/>
      <c r="AA518" s="33"/>
      <c r="AB518" s="33"/>
      <c r="AC518" s="33"/>
      <c r="AD518" s="32"/>
      <c r="AE518" s="32"/>
      <c r="AF518" s="42"/>
      <c r="AG518" s="5"/>
    </row>
    <row r="519" spans="1:33" x14ac:dyDescent="0.25">
      <c r="A519" s="23"/>
      <c r="B519" s="24"/>
      <c r="C519" s="25"/>
      <c r="D519" s="27"/>
      <c r="E519" s="27"/>
      <c r="F519" s="28"/>
      <c r="G519" s="27"/>
      <c r="H519" s="27"/>
      <c r="I519" s="172"/>
      <c r="J519" s="214"/>
      <c r="K519" s="27"/>
      <c r="L519" s="172"/>
      <c r="M519" s="32"/>
      <c r="N519" s="32"/>
      <c r="O519" s="33"/>
      <c r="P519" s="33"/>
      <c r="Q519" s="32"/>
      <c r="R519" s="42"/>
      <c r="S519" s="42"/>
      <c r="T519" s="42"/>
      <c r="U519" s="32"/>
      <c r="V519" s="33"/>
      <c r="W519" s="33"/>
      <c r="X519" s="32"/>
      <c r="Y519" s="32"/>
      <c r="Z519" s="32"/>
      <c r="AA519" s="33"/>
      <c r="AB519" s="33"/>
      <c r="AC519" s="33"/>
      <c r="AD519" s="32"/>
      <c r="AE519" s="32"/>
      <c r="AF519" s="42"/>
      <c r="AG519" s="5"/>
    </row>
    <row r="520" spans="1:33" x14ac:dyDescent="0.25">
      <c r="A520" s="23"/>
      <c r="B520" s="24"/>
      <c r="C520" s="25"/>
      <c r="D520" s="27"/>
      <c r="E520" s="27"/>
      <c r="F520" s="28"/>
      <c r="G520" s="27"/>
      <c r="H520" s="27"/>
      <c r="I520" s="172"/>
      <c r="J520" s="214"/>
      <c r="K520" s="27"/>
      <c r="L520" s="172"/>
      <c r="M520" s="32"/>
      <c r="N520" s="32"/>
      <c r="O520" s="33"/>
      <c r="P520" s="33"/>
      <c r="Q520" s="32"/>
      <c r="R520" s="42"/>
      <c r="S520" s="42"/>
      <c r="T520" s="42"/>
      <c r="U520" s="32"/>
      <c r="V520" s="33"/>
      <c r="W520" s="33"/>
      <c r="X520" s="32"/>
      <c r="Y520" s="32"/>
      <c r="Z520" s="32"/>
      <c r="AA520" s="33"/>
      <c r="AB520" s="33"/>
      <c r="AC520" s="33"/>
      <c r="AD520" s="32"/>
      <c r="AE520" s="32"/>
      <c r="AF520" s="42"/>
      <c r="AG520" s="5"/>
    </row>
    <row r="521" spans="1:33" x14ac:dyDescent="0.25">
      <c r="A521" s="23"/>
      <c r="B521" s="24"/>
      <c r="C521" s="25"/>
      <c r="D521" s="27"/>
      <c r="E521" s="27"/>
      <c r="F521" s="28"/>
      <c r="G521" s="27"/>
      <c r="H521" s="27"/>
      <c r="I521" s="172"/>
      <c r="J521" s="214"/>
      <c r="K521" s="27"/>
      <c r="L521" s="172"/>
      <c r="M521" s="32"/>
      <c r="N521" s="32"/>
      <c r="O521" s="33"/>
      <c r="P521" s="33"/>
      <c r="Q521" s="32"/>
      <c r="R521" s="42"/>
      <c r="S521" s="42"/>
      <c r="T521" s="42"/>
      <c r="U521" s="32"/>
      <c r="V521" s="33"/>
      <c r="W521" s="33"/>
      <c r="X521" s="32"/>
      <c r="Y521" s="32"/>
      <c r="Z521" s="32"/>
      <c r="AA521" s="33"/>
      <c r="AB521" s="33"/>
      <c r="AC521" s="33"/>
      <c r="AD521" s="32"/>
      <c r="AE521" s="32"/>
      <c r="AF521" s="42"/>
      <c r="AG521" s="5"/>
    </row>
    <row r="522" spans="1:33" x14ac:dyDescent="0.25">
      <c r="A522" s="23"/>
      <c r="B522" s="24"/>
      <c r="C522" s="25"/>
      <c r="D522" s="27"/>
      <c r="E522" s="27"/>
      <c r="F522" s="28"/>
      <c r="G522" s="27"/>
      <c r="H522" s="27"/>
      <c r="I522" s="172"/>
      <c r="J522" s="214"/>
      <c r="K522" s="27"/>
      <c r="L522" s="172"/>
      <c r="M522" s="32"/>
      <c r="N522" s="32"/>
      <c r="O522" s="33"/>
      <c r="P522" s="33"/>
      <c r="Q522" s="32"/>
      <c r="R522" s="42"/>
      <c r="S522" s="42"/>
      <c r="T522" s="42"/>
      <c r="U522" s="32"/>
      <c r="V522" s="33"/>
      <c r="W522" s="33"/>
      <c r="X522" s="32"/>
      <c r="Y522" s="32"/>
      <c r="Z522" s="32"/>
      <c r="AA522" s="33"/>
      <c r="AB522" s="33"/>
      <c r="AC522" s="33"/>
      <c r="AD522" s="32"/>
      <c r="AE522" s="32"/>
      <c r="AF522" s="42"/>
      <c r="AG522" s="5"/>
    </row>
    <row r="523" spans="1:33" x14ac:dyDescent="0.25">
      <c r="A523" s="23"/>
      <c r="B523" s="24"/>
      <c r="C523" s="25"/>
      <c r="D523" s="27"/>
      <c r="E523" s="27"/>
      <c r="F523" s="28"/>
      <c r="G523" s="27"/>
      <c r="H523" s="27"/>
      <c r="I523" s="172"/>
      <c r="J523" s="214"/>
      <c r="K523" s="27"/>
      <c r="L523" s="172"/>
      <c r="M523" s="32"/>
      <c r="N523" s="32"/>
      <c r="O523" s="33"/>
      <c r="P523" s="33"/>
      <c r="Q523" s="32"/>
      <c r="R523" s="42"/>
      <c r="S523" s="42"/>
      <c r="T523" s="42"/>
      <c r="U523" s="32"/>
      <c r="V523" s="33"/>
      <c r="W523" s="33"/>
      <c r="X523" s="32"/>
      <c r="Y523" s="32"/>
      <c r="Z523" s="32"/>
      <c r="AA523" s="33"/>
      <c r="AB523" s="33"/>
      <c r="AC523" s="33"/>
      <c r="AD523" s="32"/>
      <c r="AE523" s="32"/>
      <c r="AF523" s="42"/>
      <c r="AG523" s="5"/>
    </row>
    <row r="524" spans="1:33" x14ac:dyDescent="0.25">
      <c r="A524" s="23"/>
      <c r="B524" s="24"/>
      <c r="C524" s="25"/>
      <c r="D524" s="27"/>
      <c r="E524" s="27"/>
      <c r="F524" s="28"/>
      <c r="G524" s="27"/>
      <c r="H524" s="27"/>
      <c r="I524" s="172"/>
      <c r="J524" s="214"/>
      <c r="K524" s="27"/>
      <c r="L524" s="172"/>
      <c r="M524" s="32"/>
      <c r="N524" s="32"/>
      <c r="O524" s="33"/>
      <c r="P524" s="33"/>
      <c r="Q524" s="32"/>
      <c r="R524" s="42"/>
      <c r="S524" s="42"/>
      <c r="T524" s="42"/>
      <c r="U524" s="32"/>
      <c r="V524" s="33"/>
      <c r="W524" s="33"/>
      <c r="X524" s="32"/>
      <c r="Y524" s="32"/>
      <c r="Z524" s="32"/>
      <c r="AA524" s="33"/>
      <c r="AB524" s="33"/>
      <c r="AC524" s="33"/>
      <c r="AD524" s="32"/>
      <c r="AE524" s="32"/>
      <c r="AF524" s="42"/>
      <c r="AG524" s="5"/>
    </row>
    <row r="525" spans="1:33" x14ac:dyDescent="0.25">
      <c r="A525" s="23"/>
      <c r="B525" s="24"/>
      <c r="C525" s="25"/>
      <c r="D525" s="27"/>
      <c r="E525" s="27"/>
      <c r="F525" s="28"/>
      <c r="G525" s="27"/>
      <c r="H525" s="27"/>
      <c r="I525" s="172"/>
      <c r="J525" s="214"/>
      <c r="K525" s="27"/>
      <c r="L525" s="172"/>
      <c r="M525" s="32"/>
      <c r="N525" s="32"/>
      <c r="O525" s="33"/>
      <c r="P525" s="33"/>
      <c r="Q525" s="32"/>
      <c r="R525" s="42"/>
      <c r="S525" s="42"/>
      <c r="T525" s="42"/>
      <c r="U525" s="32"/>
      <c r="V525" s="33"/>
      <c r="W525" s="33"/>
      <c r="X525" s="32"/>
      <c r="Y525" s="32"/>
      <c r="Z525" s="32"/>
      <c r="AA525" s="33"/>
      <c r="AB525" s="33"/>
      <c r="AC525" s="33"/>
      <c r="AD525" s="32"/>
      <c r="AE525" s="32"/>
      <c r="AF525" s="42"/>
      <c r="AG525" s="5"/>
    </row>
    <row r="526" spans="1:33" x14ac:dyDescent="0.25">
      <c r="A526" s="23"/>
      <c r="B526" s="24"/>
      <c r="C526" s="25"/>
      <c r="D526" s="27"/>
      <c r="E526" s="27"/>
      <c r="F526" s="28"/>
      <c r="G526" s="27"/>
      <c r="H526" s="27"/>
      <c r="I526" s="172"/>
      <c r="J526" s="214"/>
      <c r="K526" s="27"/>
      <c r="L526" s="172"/>
      <c r="M526" s="32"/>
      <c r="N526" s="32"/>
      <c r="O526" s="33"/>
      <c r="P526" s="33"/>
      <c r="Q526" s="32"/>
      <c r="R526" s="42"/>
      <c r="S526" s="42"/>
      <c r="T526" s="42"/>
      <c r="U526" s="32"/>
      <c r="V526" s="33"/>
      <c r="W526" s="33"/>
      <c r="X526" s="32"/>
      <c r="Y526" s="32"/>
      <c r="Z526" s="32"/>
      <c r="AA526" s="33"/>
      <c r="AB526" s="33"/>
      <c r="AC526" s="33"/>
      <c r="AD526" s="32"/>
      <c r="AE526" s="32"/>
      <c r="AF526" s="42"/>
      <c r="AG526" s="5"/>
    </row>
    <row r="527" spans="1:33" x14ac:dyDescent="0.25">
      <c r="A527" s="23"/>
      <c r="B527" s="24"/>
      <c r="C527" s="25"/>
      <c r="D527" s="27"/>
      <c r="E527" s="27"/>
      <c r="F527" s="28"/>
      <c r="G527" s="27"/>
      <c r="H527" s="27"/>
      <c r="I527" s="172"/>
      <c r="J527" s="214"/>
      <c r="K527" s="27"/>
      <c r="L527" s="172"/>
      <c r="M527" s="32"/>
      <c r="N527" s="32"/>
      <c r="O527" s="33"/>
      <c r="P527" s="33"/>
      <c r="Q527" s="32"/>
      <c r="R527" s="42"/>
      <c r="S527" s="42"/>
      <c r="T527" s="42"/>
      <c r="U527" s="32"/>
      <c r="V527" s="33"/>
      <c r="W527" s="33"/>
      <c r="X527" s="32"/>
      <c r="Y527" s="32"/>
      <c r="Z527" s="32"/>
      <c r="AA527" s="33"/>
      <c r="AB527" s="33"/>
      <c r="AC527" s="33"/>
      <c r="AD527" s="32"/>
      <c r="AE527" s="32"/>
      <c r="AF527" s="42"/>
      <c r="AG527" s="5"/>
    </row>
    <row r="528" spans="1:33" x14ac:dyDescent="0.25">
      <c r="A528" s="23"/>
      <c r="B528" s="24"/>
      <c r="C528" s="25"/>
      <c r="D528" s="27"/>
      <c r="E528" s="27"/>
      <c r="F528" s="28"/>
      <c r="G528" s="27"/>
      <c r="H528" s="27"/>
      <c r="I528" s="172"/>
      <c r="J528" s="214"/>
      <c r="K528" s="27"/>
      <c r="L528" s="172"/>
      <c r="M528" s="32"/>
      <c r="N528" s="32"/>
      <c r="O528" s="33"/>
      <c r="P528" s="33"/>
      <c r="Q528" s="32"/>
      <c r="R528" s="42"/>
      <c r="S528" s="42"/>
      <c r="T528" s="42"/>
      <c r="U528" s="32"/>
      <c r="V528" s="33"/>
      <c r="W528" s="33"/>
      <c r="X528" s="32"/>
      <c r="Y528" s="32"/>
      <c r="Z528" s="32"/>
      <c r="AA528" s="33"/>
      <c r="AB528" s="33"/>
      <c r="AC528" s="33"/>
      <c r="AD528" s="32"/>
      <c r="AE528" s="32"/>
      <c r="AF528" s="42"/>
      <c r="AG528" s="5"/>
    </row>
    <row r="529" spans="1:33" x14ac:dyDescent="0.25">
      <c r="A529" s="23"/>
      <c r="B529" s="24"/>
      <c r="C529" s="25"/>
      <c r="D529" s="27"/>
      <c r="E529" s="27"/>
      <c r="F529" s="28"/>
      <c r="G529" s="27"/>
      <c r="H529" s="27"/>
      <c r="I529" s="172"/>
      <c r="J529" s="214"/>
      <c r="K529" s="27"/>
      <c r="L529" s="172"/>
      <c r="M529" s="32"/>
      <c r="N529" s="32"/>
      <c r="O529" s="33"/>
      <c r="P529" s="33"/>
      <c r="Q529" s="32"/>
      <c r="R529" s="42"/>
      <c r="S529" s="42"/>
      <c r="T529" s="42"/>
      <c r="U529" s="32"/>
      <c r="V529" s="33"/>
      <c r="W529" s="33"/>
      <c r="X529" s="32"/>
      <c r="Y529" s="32"/>
      <c r="Z529" s="32"/>
      <c r="AA529" s="33"/>
      <c r="AB529" s="33"/>
      <c r="AC529" s="33"/>
      <c r="AD529" s="32"/>
      <c r="AE529" s="32"/>
      <c r="AF529" s="42"/>
      <c r="AG529" s="5"/>
    </row>
    <row r="530" spans="1:33" x14ac:dyDescent="0.25">
      <c r="A530" s="23"/>
      <c r="B530" s="24"/>
      <c r="C530" s="25"/>
      <c r="D530" s="27"/>
      <c r="E530" s="27"/>
      <c r="F530" s="28"/>
      <c r="G530" s="27"/>
      <c r="H530" s="27"/>
      <c r="I530" s="172"/>
      <c r="J530" s="214"/>
      <c r="K530" s="27"/>
      <c r="L530" s="172"/>
      <c r="M530" s="32"/>
      <c r="N530" s="32"/>
      <c r="O530" s="33"/>
      <c r="P530" s="33"/>
      <c r="Q530" s="32"/>
      <c r="R530" s="42"/>
      <c r="S530" s="42"/>
      <c r="T530" s="42"/>
      <c r="U530" s="32"/>
      <c r="V530" s="33"/>
      <c r="W530" s="33"/>
      <c r="X530" s="32"/>
      <c r="Y530" s="32"/>
      <c r="Z530" s="32"/>
      <c r="AA530" s="33"/>
      <c r="AB530" s="33"/>
      <c r="AC530" s="33"/>
      <c r="AD530" s="32"/>
      <c r="AE530" s="32"/>
      <c r="AF530" s="42"/>
      <c r="AG530" s="5"/>
    </row>
    <row r="531" spans="1:33" x14ac:dyDescent="0.25">
      <c r="A531" s="23"/>
      <c r="B531" s="24"/>
      <c r="C531" s="25"/>
      <c r="D531" s="27"/>
      <c r="E531" s="27"/>
      <c r="F531" s="28"/>
      <c r="G531" s="27"/>
      <c r="H531" s="27"/>
      <c r="I531" s="172"/>
      <c r="J531" s="214"/>
      <c r="K531" s="27"/>
      <c r="L531" s="172"/>
      <c r="M531" s="32"/>
      <c r="N531" s="32"/>
      <c r="O531" s="33"/>
      <c r="P531" s="33"/>
      <c r="Q531" s="32"/>
      <c r="R531" s="42"/>
      <c r="S531" s="42"/>
      <c r="T531" s="42"/>
      <c r="U531" s="32"/>
      <c r="V531" s="33"/>
      <c r="W531" s="33"/>
      <c r="X531" s="32"/>
      <c r="Y531" s="32"/>
      <c r="Z531" s="32"/>
      <c r="AA531" s="33"/>
      <c r="AB531" s="33"/>
      <c r="AC531" s="33"/>
      <c r="AD531" s="32"/>
      <c r="AE531" s="32"/>
      <c r="AF531" s="42"/>
      <c r="AG531" s="5"/>
    </row>
    <row r="532" spans="1:33" x14ac:dyDescent="0.25">
      <c r="A532" s="23"/>
      <c r="B532" s="24"/>
      <c r="C532" s="25"/>
      <c r="D532" s="27"/>
      <c r="E532" s="27"/>
      <c r="F532" s="28"/>
      <c r="G532" s="27"/>
      <c r="H532" s="27"/>
      <c r="I532" s="172"/>
      <c r="J532" s="214"/>
      <c r="K532" s="27"/>
      <c r="L532" s="172"/>
      <c r="M532" s="32"/>
      <c r="N532" s="32"/>
      <c r="O532" s="33"/>
      <c r="P532" s="33"/>
      <c r="Q532" s="32"/>
      <c r="R532" s="42"/>
      <c r="S532" s="42"/>
      <c r="T532" s="42"/>
      <c r="U532" s="32"/>
      <c r="V532" s="33"/>
      <c r="W532" s="33"/>
      <c r="X532" s="32"/>
      <c r="Y532" s="32"/>
      <c r="Z532" s="32"/>
      <c r="AA532" s="33"/>
      <c r="AB532" s="33"/>
      <c r="AC532" s="33"/>
      <c r="AD532" s="32"/>
      <c r="AE532" s="32"/>
      <c r="AF532" s="42"/>
      <c r="AG532" s="5"/>
    </row>
    <row r="533" spans="1:33" x14ac:dyDescent="0.25">
      <c r="A533" s="23"/>
      <c r="B533" s="24"/>
      <c r="C533" s="25"/>
      <c r="D533" s="27"/>
      <c r="E533" s="27"/>
      <c r="F533" s="28"/>
      <c r="G533" s="27"/>
      <c r="H533" s="27"/>
      <c r="I533" s="172"/>
      <c r="J533" s="214"/>
      <c r="K533" s="27"/>
      <c r="L533" s="172"/>
      <c r="M533" s="32"/>
      <c r="N533" s="32"/>
      <c r="O533" s="33"/>
      <c r="P533" s="33"/>
      <c r="Q533" s="32"/>
      <c r="R533" s="42"/>
      <c r="S533" s="42"/>
      <c r="T533" s="42"/>
      <c r="U533" s="32"/>
      <c r="V533" s="33"/>
      <c r="W533" s="33"/>
      <c r="X533" s="32"/>
      <c r="Y533" s="32"/>
      <c r="Z533" s="32"/>
      <c r="AA533" s="33"/>
      <c r="AB533" s="33"/>
      <c r="AC533" s="33"/>
      <c r="AD533" s="32"/>
      <c r="AE533" s="32"/>
      <c r="AF533" s="42"/>
      <c r="AG533" s="5"/>
    </row>
    <row r="534" spans="1:33" x14ac:dyDescent="0.25">
      <c r="A534" s="23"/>
      <c r="B534" s="24"/>
      <c r="C534" s="25"/>
      <c r="D534" s="27"/>
      <c r="E534" s="27"/>
      <c r="F534" s="28"/>
      <c r="G534" s="27"/>
      <c r="H534" s="27"/>
      <c r="I534" s="172"/>
      <c r="J534" s="214"/>
      <c r="K534" s="27"/>
      <c r="L534" s="172"/>
      <c r="M534" s="32"/>
      <c r="N534" s="32"/>
      <c r="O534" s="33"/>
      <c r="P534" s="33"/>
      <c r="Q534" s="32"/>
      <c r="R534" s="42"/>
      <c r="S534" s="42"/>
      <c r="T534" s="42"/>
      <c r="U534" s="32"/>
      <c r="V534" s="33"/>
      <c r="W534" s="33"/>
      <c r="X534" s="32"/>
      <c r="Y534" s="32"/>
      <c r="Z534" s="32"/>
      <c r="AA534" s="33"/>
      <c r="AB534" s="33"/>
      <c r="AC534" s="33"/>
      <c r="AD534" s="32"/>
      <c r="AE534" s="32"/>
      <c r="AF534" s="42"/>
      <c r="AG534" s="5"/>
    </row>
    <row r="535" spans="1:33" x14ac:dyDescent="0.25">
      <c r="A535" s="23"/>
      <c r="B535" s="24"/>
      <c r="C535" s="25"/>
      <c r="D535" s="27"/>
      <c r="E535" s="27"/>
      <c r="F535" s="28"/>
      <c r="G535" s="27"/>
      <c r="H535" s="27"/>
      <c r="I535" s="172"/>
      <c r="J535" s="214"/>
      <c r="K535" s="27"/>
      <c r="L535" s="172"/>
      <c r="M535" s="32"/>
      <c r="N535" s="32"/>
      <c r="O535" s="33"/>
      <c r="P535" s="33"/>
      <c r="Q535" s="32"/>
      <c r="R535" s="42"/>
      <c r="S535" s="42"/>
      <c r="T535" s="42"/>
      <c r="U535" s="32"/>
      <c r="V535" s="33"/>
      <c r="W535" s="33"/>
      <c r="X535" s="32"/>
      <c r="Y535" s="32"/>
      <c r="Z535" s="32"/>
      <c r="AA535" s="33"/>
      <c r="AB535" s="33"/>
      <c r="AC535" s="33"/>
      <c r="AD535" s="32"/>
      <c r="AE535" s="32"/>
      <c r="AF535" s="42"/>
      <c r="AG535" s="5"/>
    </row>
    <row r="536" spans="1:33" x14ac:dyDescent="0.25">
      <c r="A536" s="23"/>
      <c r="B536" s="24"/>
      <c r="C536" s="25"/>
      <c r="D536" s="27"/>
      <c r="E536" s="27"/>
      <c r="F536" s="28"/>
      <c r="G536" s="27"/>
      <c r="H536" s="27"/>
      <c r="I536" s="172"/>
      <c r="J536" s="214"/>
      <c r="K536" s="27"/>
      <c r="L536" s="172"/>
      <c r="M536" s="32"/>
      <c r="N536" s="32"/>
      <c r="O536" s="33"/>
      <c r="P536" s="33"/>
      <c r="Q536" s="32"/>
      <c r="R536" s="42"/>
      <c r="S536" s="42"/>
      <c r="T536" s="42"/>
      <c r="U536" s="32"/>
      <c r="V536" s="33"/>
      <c r="W536" s="33"/>
      <c r="X536" s="32"/>
      <c r="Y536" s="32"/>
      <c r="Z536" s="32"/>
      <c r="AA536" s="33"/>
      <c r="AB536" s="33"/>
      <c r="AC536" s="33"/>
      <c r="AD536" s="32"/>
      <c r="AE536" s="32"/>
      <c r="AF536" s="42"/>
      <c r="AG536" s="5"/>
    </row>
    <row r="537" spans="1:33" x14ac:dyDescent="0.25">
      <c r="A537" s="23"/>
      <c r="B537" s="24"/>
      <c r="C537" s="25"/>
      <c r="D537" s="27"/>
      <c r="E537" s="27"/>
      <c r="F537" s="28"/>
      <c r="G537" s="27"/>
      <c r="H537" s="27"/>
      <c r="I537" s="172"/>
      <c r="J537" s="214"/>
      <c r="K537" s="27"/>
      <c r="L537" s="172"/>
      <c r="M537" s="32"/>
      <c r="N537" s="32"/>
      <c r="O537" s="33"/>
      <c r="P537" s="33"/>
      <c r="Q537" s="32"/>
      <c r="R537" s="42"/>
      <c r="S537" s="42"/>
      <c r="T537" s="42"/>
      <c r="U537" s="32"/>
      <c r="V537" s="33"/>
      <c r="W537" s="33"/>
      <c r="X537" s="32"/>
      <c r="Y537" s="32"/>
      <c r="Z537" s="32"/>
      <c r="AA537" s="33"/>
      <c r="AB537" s="33"/>
      <c r="AC537" s="33"/>
      <c r="AD537" s="32"/>
      <c r="AE537" s="32"/>
      <c r="AF537" s="42"/>
      <c r="AG537" s="5"/>
    </row>
    <row r="538" spans="1:33" x14ac:dyDescent="0.25">
      <c r="A538" s="23"/>
      <c r="B538" s="24"/>
      <c r="C538" s="25"/>
      <c r="D538" s="27"/>
      <c r="E538" s="27"/>
      <c r="F538" s="28"/>
      <c r="G538" s="27"/>
      <c r="H538" s="27"/>
      <c r="I538" s="172"/>
      <c r="J538" s="214"/>
      <c r="K538" s="27"/>
      <c r="L538" s="172"/>
      <c r="M538" s="32"/>
      <c r="N538" s="32"/>
      <c r="O538" s="33"/>
      <c r="P538" s="33"/>
      <c r="Q538" s="32"/>
      <c r="R538" s="42"/>
      <c r="S538" s="42"/>
      <c r="T538" s="42"/>
      <c r="U538" s="32"/>
      <c r="V538" s="33"/>
      <c r="W538" s="33"/>
      <c r="X538" s="32"/>
      <c r="Y538" s="32"/>
      <c r="Z538" s="32"/>
      <c r="AA538" s="33"/>
      <c r="AB538" s="33"/>
      <c r="AC538" s="33"/>
      <c r="AD538" s="32"/>
      <c r="AE538" s="32"/>
      <c r="AF538" s="42"/>
      <c r="AG538" s="5"/>
    </row>
    <row r="539" spans="1:33" x14ac:dyDescent="0.25">
      <c r="A539" s="23"/>
      <c r="B539" s="24"/>
      <c r="C539" s="25"/>
      <c r="D539" s="27"/>
      <c r="E539" s="27"/>
      <c r="F539" s="28"/>
      <c r="G539" s="27"/>
      <c r="H539" s="27"/>
      <c r="I539" s="172"/>
      <c r="J539" s="214"/>
      <c r="K539" s="27"/>
      <c r="L539" s="172"/>
      <c r="M539" s="32"/>
      <c r="N539" s="32"/>
      <c r="O539" s="33"/>
      <c r="P539" s="33"/>
      <c r="Q539" s="32"/>
      <c r="R539" s="42"/>
      <c r="S539" s="42"/>
      <c r="T539" s="42"/>
      <c r="U539" s="32"/>
      <c r="V539" s="33"/>
      <c r="W539" s="33"/>
      <c r="X539" s="32"/>
      <c r="Y539" s="32"/>
      <c r="Z539" s="32"/>
      <c r="AA539" s="33"/>
      <c r="AB539" s="33"/>
      <c r="AC539" s="33"/>
      <c r="AD539" s="32"/>
      <c r="AE539" s="32"/>
      <c r="AF539" s="42"/>
      <c r="AG539" s="5"/>
    </row>
    <row r="540" spans="1:33" x14ac:dyDescent="0.25">
      <c r="A540" s="23"/>
      <c r="B540" s="24"/>
      <c r="C540" s="25"/>
      <c r="D540" s="27"/>
      <c r="E540" s="27"/>
      <c r="F540" s="28"/>
      <c r="G540" s="27"/>
      <c r="H540" s="27"/>
      <c r="I540" s="172"/>
      <c r="J540" s="214"/>
      <c r="K540" s="27"/>
      <c r="L540" s="172"/>
      <c r="M540" s="32"/>
      <c r="N540" s="32"/>
      <c r="O540" s="33"/>
      <c r="P540" s="33"/>
      <c r="Q540" s="32"/>
      <c r="R540" s="42"/>
      <c r="S540" s="42"/>
      <c r="T540" s="42"/>
      <c r="U540" s="32"/>
      <c r="V540" s="33"/>
      <c r="W540" s="33"/>
      <c r="X540" s="32"/>
      <c r="Y540" s="32"/>
      <c r="Z540" s="32"/>
      <c r="AA540" s="33"/>
      <c r="AB540" s="33"/>
      <c r="AC540" s="33"/>
      <c r="AD540" s="32"/>
      <c r="AE540" s="32"/>
      <c r="AF540" s="42"/>
      <c r="AG540" s="5"/>
    </row>
    <row r="541" spans="1:33" x14ac:dyDescent="0.25">
      <c r="A541" s="23"/>
      <c r="B541" s="24"/>
      <c r="C541" s="25"/>
      <c r="D541" s="27"/>
      <c r="E541" s="27"/>
      <c r="F541" s="28"/>
      <c r="G541" s="27"/>
      <c r="H541" s="27"/>
      <c r="I541" s="172"/>
      <c r="J541" s="214"/>
      <c r="K541" s="27"/>
      <c r="L541" s="172"/>
      <c r="M541" s="32"/>
      <c r="N541" s="32"/>
      <c r="O541" s="33"/>
      <c r="P541" s="33"/>
      <c r="Q541" s="32"/>
      <c r="R541" s="42"/>
      <c r="S541" s="42"/>
      <c r="T541" s="42"/>
      <c r="U541" s="32"/>
      <c r="V541" s="33"/>
      <c r="W541" s="33"/>
      <c r="X541" s="32"/>
      <c r="Y541" s="32"/>
      <c r="Z541" s="32"/>
      <c r="AA541" s="33"/>
      <c r="AB541" s="33"/>
      <c r="AC541" s="33"/>
      <c r="AD541" s="32"/>
      <c r="AE541" s="32"/>
      <c r="AF541" s="42"/>
      <c r="AG541" s="5"/>
    </row>
    <row r="542" spans="1:33" x14ac:dyDescent="0.25">
      <c r="A542" s="23"/>
      <c r="B542" s="24"/>
      <c r="C542" s="25"/>
      <c r="D542" s="27"/>
      <c r="E542" s="27"/>
      <c r="F542" s="28"/>
      <c r="G542" s="27"/>
      <c r="H542" s="27"/>
      <c r="I542" s="172"/>
      <c r="J542" s="214"/>
      <c r="K542" s="27"/>
      <c r="L542" s="172"/>
      <c r="M542" s="32"/>
      <c r="N542" s="32"/>
      <c r="O542" s="33"/>
      <c r="P542" s="33"/>
      <c r="Q542" s="32"/>
      <c r="R542" s="42"/>
      <c r="S542" s="42"/>
      <c r="T542" s="42"/>
      <c r="U542" s="32"/>
      <c r="V542" s="33"/>
      <c r="W542" s="33"/>
      <c r="X542" s="32"/>
      <c r="Y542" s="32"/>
      <c r="Z542" s="32"/>
      <c r="AA542" s="33"/>
      <c r="AB542" s="33"/>
      <c r="AC542" s="33"/>
      <c r="AD542" s="32"/>
      <c r="AE542" s="32"/>
      <c r="AF542" s="42"/>
      <c r="AG542" s="5"/>
    </row>
    <row r="543" spans="1:33" x14ac:dyDescent="0.25">
      <c r="A543" s="23"/>
      <c r="B543" s="24"/>
      <c r="C543" s="25"/>
      <c r="D543" s="27"/>
      <c r="E543" s="27"/>
      <c r="F543" s="28"/>
      <c r="G543" s="27"/>
      <c r="H543" s="27"/>
      <c r="I543" s="172"/>
      <c r="J543" s="214"/>
      <c r="K543" s="27"/>
      <c r="L543" s="172"/>
      <c r="M543" s="32"/>
      <c r="N543" s="32"/>
      <c r="O543" s="33"/>
      <c r="P543" s="33"/>
      <c r="Q543" s="32"/>
      <c r="R543" s="42"/>
      <c r="S543" s="42"/>
      <c r="T543" s="42"/>
      <c r="U543" s="32"/>
      <c r="V543" s="33"/>
      <c r="W543" s="33"/>
      <c r="X543" s="32"/>
      <c r="Y543" s="32"/>
      <c r="Z543" s="32"/>
      <c r="AA543" s="33"/>
      <c r="AB543" s="33"/>
      <c r="AC543" s="33"/>
      <c r="AD543" s="32"/>
      <c r="AE543" s="32"/>
      <c r="AF543" s="42"/>
      <c r="AG543" s="5"/>
    </row>
    <row r="544" spans="1:33" x14ac:dyDescent="0.25">
      <c r="A544" s="23"/>
      <c r="B544" s="24"/>
      <c r="C544" s="25"/>
      <c r="D544" s="27"/>
      <c r="E544" s="27"/>
      <c r="F544" s="28"/>
      <c r="G544" s="27"/>
      <c r="H544" s="27"/>
      <c r="I544" s="172"/>
      <c r="J544" s="214"/>
      <c r="K544" s="27"/>
      <c r="L544" s="172"/>
      <c r="M544" s="32"/>
      <c r="N544" s="32"/>
      <c r="O544" s="33"/>
      <c r="P544" s="33"/>
      <c r="Q544" s="32"/>
      <c r="R544" s="42"/>
      <c r="S544" s="42"/>
      <c r="T544" s="42"/>
      <c r="U544" s="32"/>
      <c r="V544" s="33"/>
      <c r="W544" s="33"/>
      <c r="X544" s="32"/>
      <c r="Y544" s="32"/>
      <c r="Z544" s="32"/>
      <c r="AA544" s="33"/>
      <c r="AB544" s="33"/>
      <c r="AC544" s="33"/>
      <c r="AD544" s="32"/>
      <c r="AE544" s="32"/>
      <c r="AF544" s="42"/>
      <c r="AG544" s="5"/>
    </row>
    <row r="545" spans="1:33" x14ac:dyDescent="0.25">
      <c r="A545" s="23"/>
      <c r="B545" s="24"/>
      <c r="C545" s="25"/>
      <c r="D545" s="27"/>
      <c r="E545" s="27"/>
      <c r="F545" s="28"/>
      <c r="G545" s="27"/>
      <c r="H545" s="27"/>
      <c r="I545" s="172"/>
      <c r="J545" s="214"/>
      <c r="K545" s="27"/>
      <c r="L545" s="172"/>
      <c r="M545" s="32"/>
      <c r="N545" s="32"/>
      <c r="O545" s="33"/>
      <c r="P545" s="33"/>
      <c r="Q545" s="32"/>
      <c r="R545" s="42"/>
      <c r="S545" s="42"/>
      <c r="T545" s="42"/>
      <c r="U545" s="32"/>
      <c r="V545" s="33"/>
      <c r="W545" s="33"/>
      <c r="X545" s="32"/>
      <c r="Y545" s="32"/>
      <c r="Z545" s="32"/>
      <c r="AA545" s="33"/>
      <c r="AB545" s="33"/>
      <c r="AC545" s="33"/>
      <c r="AD545" s="32"/>
      <c r="AE545" s="32"/>
      <c r="AF545" s="42"/>
      <c r="AG545" s="5"/>
    </row>
    <row r="546" spans="1:33" x14ac:dyDescent="0.25">
      <c r="A546" s="23"/>
      <c r="B546" s="24"/>
      <c r="C546" s="25"/>
      <c r="D546" s="27"/>
      <c r="E546" s="27"/>
      <c r="F546" s="28"/>
      <c r="G546" s="27"/>
      <c r="H546" s="27"/>
      <c r="I546" s="172"/>
      <c r="J546" s="214"/>
      <c r="K546" s="27"/>
      <c r="L546" s="172"/>
      <c r="M546" s="32"/>
      <c r="N546" s="32"/>
      <c r="O546" s="33"/>
      <c r="P546" s="33"/>
      <c r="Q546" s="32"/>
      <c r="R546" s="42"/>
      <c r="S546" s="42"/>
      <c r="T546" s="42"/>
      <c r="U546" s="32"/>
      <c r="V546" s="33"/>
      <c r="W546" s="33"/>
      <c r="X546" s="32"/>
      <c r="Y546" s="32"/>
      <c r="Z546" s="32"/>
      <c r="AA546" s="33"/>
      <c r="AB546" s="33"/>
      <c r="AC546" s="33"/>
      <c r="AD546" s="32"/>
      <c r="AE546" s="32"/>
      <c r="AF546" s="42"/>
      <c r="AG546" s="5"/>
    </row>
    <row r="547" spans="1:33" x14ac:dyDescent="0.25">
      <c r="A547" s="23"/>
      <c r="B547" s="24"/>
      <c r="C547" s="25"/>
      <c r="D547" s="27"/>
      <c r="E547" s="27"/>
      <c r="F547" s="28"/>
      <c r="G547" s="27"/>
      <c r="H547" s="27"/>
      <c r="I547" s="172"/>
      <c r="J547" s="214"/>
      <c r="K547" s="27"/>
      <c r="L547" s="172"/>
      <c r="M547" s="32"/>
      <c r="N547" s="32"/>
      <c r="O547" s="33"/>
      <c r="P547" s="33"/>
      <c r="Q547" s="32"/>
      <c r="R547" s="42"/>
      <c r="S547" s="42"/>
      <c r="T547" s="42"/>
      <c r="U547" s="32"/>
      <c r="V547" s="33"/>
      <c r="W547" s="33"/>
      <c r="X547" s="32"/>
      <c r="Y547" s="32"/>
      <c r="Z547" s="32"/>
      <c r="AA547" s="33"/>
      <c r="AB547" s="33"/>
      <c r="AC547" s="33"/>
      <c r="AD547" s="32"/>
      <c r="AE547" s="32"/>
      <c r="AF547" s="42"/>
      <c r="AG547" s="5"/>
    </row>
    <row r="548" spans="1:33" x14ac:dyDescent="0.25">
      <c r="A548" s="23"/>
      <c r="B548" s="24"/>
      <c r="C548" s="25"/>
      <c r="D548" s="27"/>
      <c r="E548" s="27"/>
      <c r="F548" s="28"/>
      <c r="G548" s="27"/>
      <c r="H548" s="27"/>
      <c r="I548" s="172"/>
      <c r="J548" s="214"/>
      <c r="K548" s="27"/>
      <c r="L548" s="172"/>
      <c r="M548" s="32"/>
      <c r="N548" s="32"/>
      <c r="O548" s="33"/>
      <c r="P548" s="33"/>
      <c r="Q548" s="32"/>
      <c r="R548" s="42"/>
      <c r="S548" s="42"/>
      <c r="T548" s="42"/>
      <c r="U548" s="32"/>
      <c r="V548" s="33"/>
      <c r="W548" s="33"/>
      <c r="X548" s="32"/>
      <c r="Y548" s="32"/>
      <c r="Z548" s="32"/>
      <c r="AA548" s="33"/>
      <c r="AB548" s="33"/>
      <c r="AC548" s="33"/>
      <c r="AD548" s="32"/>
      <c r="AE548" s="32"/>
      <c r="AF548" s="42"/>
      <c r="AG548" s="5"/>
    </row>
    <row r="549" spans="1:33" x14ac:dyDescent="0.25">
      <c r="A549" s="23"/>
      <c r="B549" s="24"/>
      <c r="C549" s="25"/>
      <c r="D549" s="27"/>
      <c r="E549" s="27"/>
      <c r="F549" s="28"/>
      <c r="G549" s="27"/>
      <c r="H549" s="27"/>
      <c r="I549" s="172"/>
      <c r="J549" s="214"/>
      <c r="K549" s="27"/>
      <c r="L549" s="172"/>
      <c r="M549" s="32"/>
      <c r="N549" s="32"/>
      <c r="O549" s="33"/>
      <c r="P549" s="33"/>
      <c r="Q549" s="32"/>
      <c r="R549" s="42"/>
      <c r="S549" s="42"/>
      <c r="T549" s="42"/>
      <c r="U549" s="32"/>
      <c r="V549" s="33"/>
      <c r="W549" s="33"/>
      <c r="X549" s="32"/>
      <c r="Y549" s="32"/>
      <c r="Z549" s="32"/>
      <c r="AA549" s="33"/>
      <c r="AB549" s="33"/>
      <c r="AC549" s="33"/>
      <c r="AD549" s="32"/>
      <c r="AE549" s="32"/>
      <c r="AF549" s="42"/>
      <c r="AG549" s="5"/>
    </row>
    <row r="550" spans="1:33" x14ac:dyDescent="0.25">
      <c r="A550" s="23"/>
      <c r="B550" s="24"/>
      <c r="C550" s="25"/>
      <c r="D550" s="27"/>
      <c r="E550" s="27"/>
      <c r="F550" s="28"/>
      <c r="G550" s="27"/>
      <c r="H550" s="27"/>
      <c r="I550" s="172"/>
      <c r="J550" s="214"/>
      <c r="K550" s="27"/>
      <c r="L550" s="172"/>
      <c r="M550" s="32"/>
      <c r="N550" s="32"/>
      <c r="O550" s="33"/>
      <c r="P550" s="33"/>
      <c r="Q550" s="32"/>
      <c r="R550" s="42"/>
      <c r="S550" s="42"/>
      <c r="T550" s="42"/>
      <c r="U550" s="32"/>
      <c r="V550" s="33"/>
      <c r="W550" s="33"/>
      <c r="X550" s="32"/>
      <c r="Y550" s="32"/>
      <c r="Z550" s="32"/>
      <c r="AA550" s="33"/>
      <c r="AB550" s="33"/>
      <c r="AC550" s="33"/>
      <c r="AD550" s="32"/>
      <c r="AE550" s="32"/>
      <c r="AF550" s="42"/>
      <c r="AG550" s="5"/>
    </row>
    <row r="551" spans="1:33" x14ac:dyDescent="0.25">
      <c r="A551" s="23"/>
      <c r="B551" s="24"/>
      <c r="C551" s="25"/>
      <c r="D551" s="27"/>
      <c r="E551" s="27"/>
      <c r="F551" s="28"/>
      <c r="G551" s="27"/>
      <c r="H551" s="27"/>
      <c r="I551" s="172"/>
      <c r="J551" s="214"/>
      <c r="K551" s="27"/>
      <c r="L551" s="172"/>
      <c r="M551" s="32"/>
      <c r="N551" s="32"/>
      <c r="O551" s="33"/>
      <c r="P551" s="33"/>
      <c r="Q551" s="32"/>
      <c r="R551" s="42"/>
      <c r="S551" s="42"/>
      <c r="T551" s="42"/>
      <c r="U551" s="32"/>
      <c r="V551" s="33"/>
      <c r="W551" s="33"/>
      <c r="X551" s="32"/>
      <c r="Y551" s="32"/>
      <c r="Z551" s="32"/>
      <c r="AA551" s="33"/>
      <c r="AB551" s="33"/>
      <c r="AC551" s="33"/>
      <c r="AD551" s="32"/>
      <c r="AE551" s="32"/>
      <c r="AF551" s="42"/>
      <c r="AG551" s="5"/>
    </row>
    <row r="552" spans="1:33" x14ac:dyDescent="0.25">
      <c r="A552" s="23"/>
      <c r="B552" s="24"/>
      <c r="C552" s="25"/>
      <c r="D552" s="27"/>
      <c r="E552" s="27"/>
      <c r="F552" s="28"/>
      <c r="G552" s="27"/>
      <c r="H552" s="27"/>
      <c r="I552" s="172"/>
      <c r="J552" s="214"/>
      <c r="K552" s="27"/>
      <c r="L552" s="172"/>
      <c r="M552" s="32"/>
      <c r="N552" s="32"/>
      <c r="O552" s="33"/>
      <c r="P552" s="33"/>
      <c r="Q552" s="32"/>
      <c r="R552" s="42"/>
      <c r="S552" s="42"/>
      <c r="T552" s="42"/>
      <c r="U552" s="32"/>
      <c r="V552" s="33"/>
      <c r="W552" s="33"/>
      <c r="X552" s="32"/>
      <c r="Y552" s="32"/>
      <c r="Z552" s="32"/>
      <c r="AA552" s="33"/>
      <c r="AB552" s="33"/>
      <c r="AC552" s="33"/>
      <c r="AD552" s="32"/>
      <c r="AE552" s="32"/>
      <c r="AF552" s="42"/>
      <c r="AG552" s="5"/>
    </row>
    <row r="553" spans="1:33" x14ac:dyDescent="0.25">
      <c r="A553" s="23"/>
      <c r="B553" s="24"/>
      <c r="C553" s="25"/>
      <c r="D553" s="27"/>
      <c r="E553" s="27"/>
      <c r="F553" s="28"/>
      <c r="G553" s="27"/>
      <c r="H553" s="27"/>
      <c r="I553" s="172"/>
      <c r="J553" s="214"/>
      <c r="K553" s="27"/>
      <c r="L553" s="172"/>
      <c r="M553" s="32"/>
      <c r="N553" s="32"/>
      <c r="O553" s="33"/>
      <c r="P553" s="33"/>
      <c r="Q553" s="32"/>
      <c r="R553" s="42"/>
      <c r="S553" s="42"/>
      <c r="T553" s="42"/>
      <c r="U553" s="32"/>
      <c r="V553" s="33"/>
      <c r="W553" s="33"/>
      <c r="X553" s="32"/>
      <c r="Y553" s="32"/>
      <c r="Z553" s="32"/>
      <c r="AA553" s="33"/>
      <c r="AB553" s="33"/>
      <c r="AC553" s="33"/>
      <c r="AD553" s="32"/>
      <c r="AE553" s="32"/>
      <c r="AF553" s="42"/>
      <c r="AG553" s="5"/>
    </row>
    <row r="554" spans="1:33" x14ac:dyDescent="0.25">
      <c r="A554" s="23"/>
      <c r="B554" s="24"/>
      <c r="C554" s="25"/>
      <c r="D554" s="27"/>
      <c r="E554" s="27"/>
      <c r="F554" s="28"/>
      <c r="G554" s="27"/>
      <c r="H554" s="27"/>
      <c r="I554" s="172"/>
      <c r="J554" s="214"/>
      <c r="K554" s="27"/>
      <c r="L554" s="172"/>
      <c r="M554" s="32"/>
      <c r="N554" s="32"/>
      <c r="O554" s="33"/>
      <c r="P554" s="33"/>
      <c r="Q554" s="32"/>
      <c r="R554" s="42"/>
      <c r="S554" s="42"/>
      <c r="T554" s="42"/>
      <c r="U554" s="32"/>
      <c r="V554" s="33"/>
      <c r="W554" s="33"/>
      <c r="X554" s="32"/>
      <c r="Y554" s="32"/>
      <c r="Z554" s="32"/>
      <c r="AA554" s="33"/>
      <c r="AB554" s="33"/>
      <c r="AC554" s="33"/>
      <c r="AD554" s="32"/>
      <c r="AE554" s="32"/>
      <c r="AF554" s="42"/>
      <c r="AG554" s="5"/>
    </row>
    <row r="555" spans="1:33" x14ac:dyDescent="0.25">
      <c r="A555" s="23"/>
      <c r="B555" s="24"/>
      <c r="C555" s="25"/>
      <c r="D555" s="27"/>
      <c r="E555" s="27"/>
      <c r="F555" s="28"/>
      <c r="G555" s="27"/>
      <c r="H555" s="27"/>
      <c r="I555" s="172"/>
      <c r="J555" s="214"/>
      <c r="K555" s="27"/>
      <c r="L555" s="172"/>
      <c r="M555" s="32"/>
      <c r="N555" s="32"/>
      <c r="O555" s="33"/>
      <c r="P555" s="33"/>
      <c r="Q555" s="32"/>
      <c r="R555" s="42"/>
      <c r="S555" s="42"/>
      <c r="T555" s="42"/>
      <c r="U555" s="32"/>
      <c r="V555" s="33"/>
      <c r="W555" s="33"/>
      <c r="X555" s="32"/>
      <c r="Y555" s="32"/>
      <c r="Z555" s="32"/>
      <c r="AA555" s="33"/>
      <c r="AB555" s="33"/>
      <c r="AC555" s="33"/>
      <c r="AD555" s="32"/>
      <c r="AE555" s="32"/>
      <c r="AF555" s="42"/>
      <c r="AG555" s="5"/>
    </row>
    <row r="556" spans="1:33" x14ac:dyDescent="0.25">
      <c r="A556" s="23"/>
      <c r="B556" s="24"/>
      <c r="C556" s="25"/>
      <c r="D556" s="27"/>
      <c r="E556" s="27"/>
      <c r="F556" s="28"/>
      <c r="G556" s="27"/>
      <c r="H556" s="27"/>
      <c r="I556" s="172"/>
      <c r="J556" s="214"/>
      <c r="K556" s="27"/>
      <c r="L556" s="172"/>
      <c r="M556" s="32"/>
      <c r="N556" s="32"/>
      <c r="O556" s="33"/>
      <c r="P556" s="33"/>
      <c r="Q556" s="32"/>
      <c r="R556" s="42"/>
      <c r="S556" s="42"/>
      <c r="T556" s="42"/>
      <c r="U556" s="32"/>
      <c r="V556" s="33"/>
      <c r="W556" s="33"/>
      <c r="X556" s="32"/>
      <c r="Y556" s="32"/>
      <c r="Z556" s="32"/>
      <c r="AA556" s="33"/>
      <c r="AB556" s="33"/>
      <c r="AC556" s="33"/>
      <c r="AD556" s="32"/>
      <c r="AE556" s="32"/>
      <c r="AF556" s="42"/>
      <c r="AG556" s="5"/>
    </row>
    <row r="557" spans="1:33" x14ac:dyDescent="0.25">
      <c r="A557" s="23"/>
      <c r="B557" s="24"/>
      <c r="C557" s="25"/>
      <c r="D557" s="27"/>
      <c r="E557" s="27"/>
      <c r="F557" s="28"/>
      <c r="G557" s="27"/>
      <c r="H557" s="27"/>
      <c r="I557" s="172"/>
      <c r="J557" s="214"/>
      <c r="K557" s="27"/>
      <c r="L557" s="172"/>
      <c r="M557" s="32"/>
      <c r="N557" s="32"/>
      <c r="O557" s="33"/>
      <c r="P557" s="33"/>
      <c r="Q557" s="32"/>
      <c r="R557" s="42"/>
      <c r="S557" s="42"/>
      <c r="T557" s="42"/>
      <c r="U557" s="32"/>
      <c r="V557" s="33"/>
      <c r="W557" s="33"/>
      <c r="X557" s="32"/>
      <c r="Y557" s="32"/>
      <c r="Z557" s="32"/>
      <c r="AA557" s="33"/>
      <c r="AB557" s="33"/>
      <c r="AC557" s="33"/>
      <c r="AD557" s="32"/>
      <c r="AE557" s="32"/>
      <c r="AF557" s="42"/>
      <c r="AG557" s="5"/>
    </row>
    <row r="558" spans="1:33" x14ac:dyDescent="0.25">
      <c r="A558" s="23"/>
      <c r="B558" s="24"/>
      <c r="C558" s="25"/>
      <c r="D558" s="27"/>
      <c r="E558" s="27"/>
      <c r="F558" s="28"/>
      <c r="G558" s="27"/>
      <c r="H558" s="27"/>
      <c r="I558" s="172"/>
      <c r="J558" s="214"/>
      <c r="K558" s="27"/>
      <c r="L558" s="172"/>
      <c r="M558" s="32"/>
      <c r="N558" s="32"/>
      <c r="O558" s="33"/>
      <c r="P558" s="33"/>
      <c r="Q558" s="32"/>
      <c r="R558" s="42"/>
      <c r="S558" s="42"/>
      <c r="T558" s="42"/>
      <c r="U558" s="32"/>
      <c r="V558" s="33"/>
      <c r="W558" s="33"/>
      <c r="X558" s="32"/>
      <c r="Y558" s="32"/>
      <c r="Z558" s="32"/>
      <c r="AA558" s="33"/>
      <c r="AB558" s="33"/>
      <c r="AC558" s="33"/>
      <c r="AD558" s="32"/>
      <c r="AE558" s="32"/>
      <c r="AF558" s="42"/>
      <c r="AG558" s="5"/>
    </row>
    <row r="559" spans="1:33" x14ac:dyDescent="0.25">
      <c r="A559" s="23"/>
      <c r="B559" s="24"/>
      <c r="C559" s="25"/>
      <c r="D559" s="27"/>
      <c r="E559" s="27"/>
      <c r="F559" s="28"/>
      <c r="G559" s="27"/>
      <c r="H559" s="27"/>
      <c r="I559" s="172"/>
      <c r="J559" s="214"/>
      <c r="K559" s="27"/>
      <c r="L559" s="172"/>
      <c r="M559" s="32"/>
      <c r="N559" s="32"/>
      <c r="O559" s="33"/>
      <c r="P559" s="33"/>
      <c r="Q559" s="32"/>
      <c r="R559" s="42"/>
      <c r="S559" s="42"/>
      <c r="T559" s="42"/>
      <c r="U559" s="32"/>
      <c r="V559" s="33"/>
      <c r="W559" s="33"/>
      <c r="X559" s="32"/>
      <c r="Y559" s="32"/>
      <c r="Z559" s="32"/>
      <c r="AA559" s="33"/>
      <c r="AB559" s="33"/>
      <c r="AC559" s="33"/>
      <c r="AD559" s="32"/>
      <c r="AE559" s="32"/>
      <c r="AF559" s="42"/>
      <c r="AG559" s="5"/>
    </row>
    <row r="560" spans="1:33" x14ac:dyDescent="0.25">
      <c r="A560" s="23"/>
      <c r="B560" s="24"/>
      <c r="C560" s="25"/>
      <c r="D560" s="27"/>
      <c r="E560" s="27"/>
      <c r="F560" s="28"/>
      <c r="G560" s="27"/>
      <c r="H560" s="27"/>
      <c r="I560" s="172"/>
      <c r="J560" s="214"/>
      <c r="K560" s="27"/>
      <c r="L560" s="172"/>
      <c r="M560" s="32"/>
      <c r="N560" s="32"/>
      <c r="O560" s="33"/>
      <c r="P560" s="33"/>
      <c r="Q560" s="32"/>
      <c r="R560" s="42"/>
      <c r="S560" s="42"/>
      <c r="T560" s="42"/>
      <c r="U560" s="32"/>
      <c r="V560" s="33"/>
      <c r="W560" s="33"/>
      <c r="X560" s="32"/>
      <c r="Y560" s="32"/>
      <c r="Z560" s="32"/>
      <c r="AA560" s="33"/>
      <c r="AB560" s="33"/>
      <c r="AC560" s="33"/>
      <c r="AD560" s="32"/>
      <c r="AE560" s="32"/>
      <c r="AF560" s="42"/>
      <c r="AG560" s="5"/>
    </row>
    <row r="561" spans="1:33" x14ac:dyDescent="0.25">
      <c r="A561" s="23"/>
      <c r="B561" s="24"/>
      <c r="C561" s="25"/>
      <c r="D561" s="27"/>
      <c r="E561" s="27"/>
      <c r="F561" s="28"/>
      <c r="G561" s="27"/>
      <c r="H561" s="27"/>
      <c r="I561" s="172"/>
      <c r="J561" s="214"/>
      <c r="K561" s="27"/>
      <c r="L561" s="172"/>
      <c r="M561" s="32"/>
      <c r="N561" s="32"/>
      <c r="O561" s="33"/>
      <c r="P561" s="33"/>
      <c r="Q561" s="32"/>
      <c r="R561" s="42"/>
      <c r="S561" s="42"/>
      <c r="T561" s="42"/>
      <c r="U561" s="32"/>
      <c r="V561" s="33"/>
      <c r="W561" s="33"/>
      <c r="X561" s="32"/>
      <c r="Y561" s="32"/>
      <c r="Z561" s="32"/>
      <c r="AA561" s="33"/>
      <c r="AB561" s="33"/>
      <c r="AC561" s="33"/>
      <c r="AD561" s="32"/>
      <c r="AE561" s="32"/>
      <c r="AF561" s="42"/>
      <c r="AG561" s="5"/>
    </row>
    <row r="562" spans="1:33" x14ac:dyDescent="0.25">
      <c r="A562" s="23"/>
      <c r="B562" s="24"/>
      <c r="C562" s="25"/>
      <c r="D562" s="27"/>
      <c r="E562" s="27"/>
      <c r="F562" s="28"/>
      <c r="G562" s="27"/>
      <c r="H562" s="27"/>
      <c r="I562" s="172"/>
      <c r="J562" s="214"/>
      <c r="K562" s="27"/>
      <c r="L562" s="172"/>
      <c r="M562" s="32"/>
      <c r="N562" s="32"/>
      <c r="O562" s="33"/>
      <c r="P562" s="33"/>
      <c r="Q562" s="32"/>
      <c r="R562" s="42"/>
      <c r="S562" s="42"/>
      <c r="T562" s="42"/>
      <c r="U562" s="32"/>
      <c r="V562" s="33"/>
      <c r="W562" s="33"/>
      <c r="X562" s="32"/>
      <c r="Y562" s="32"/>
      <c r="Z562" s="32"/>
      <c r="AA562" s="33"/>
      <c r="AB562" s="33"/>
      <c r="AC562" s="33"/>
      <c r="AD562" s="32"/>
      <c r="AE562" s="32"/>
      <c r="AF562" s="42"/>
      <c r="AG562" s="5"/>
    </row>
    <row r="563" spans="1:33" x14ac:dyDescent="0.25">
      <c r="A563" s="23"/>
      <c r="B563" s="24"/>
      <c r="C563" s="25"/>
      <c r="D563" s="27"/>
      <c r="E563" s="27"/>
      <c r="F563" s="28"/>
      <c r="G563" s="27"/>
      <c r="H563" s="27"/>
      <c r="I563" s="172"/>
      <c r="J563" s="214"/>
      <c r="K563" s="27"/>
      <c r="L563" s="172"/>
      <c r="M563" s="32"/>
      <c r="N563" s="32"/>
      <c r="O563" s="33"/>
      <c r="P563" s="33"/>
      <c r="Q563" s="32"/>
      <c r="R563" s="42"/>
      <c r="S563" s="42"/>
      <c r="T563" s="42"/>
      <c r="U563" s="32"/>
      <c r="V563" s="33"/>
      <c r="W563" s="33"/>
      <c r="X563" s="32"/>
      <c r="Y563" s="32"/>
      <c r="Z563" s="32"/>
      <c r="AA563" s="33"/>
      <c r="AB563" s="33"/>
      <c r="AC563" s="33"/>
      <c r="AD563" s="32"/>
      <c r="AE563" s="32"/>
      <c r="AF563" s="42"/>
      <c r="AG563" s="5"/>
    </row>
    <row r="564" spans="1:33" x14ac:dyDescent="0.25">
      <c r="A564" s="23"/>
      <c r="B564" s="24"/>
      <c r="C564" s="25"/>
      <c r="D564" s="27"/>
      <c r="E564" s="27"/>
      <c r="F564" s="28"/>
      <c r="G564" s="27"/>
      <c r="H564" s="27"/>
      <c r="I564" s="172"/>
      <c r="J564" s="214"/>
      <c r="K564" s="27"/>
      <c r="L564" s="172"/>
      <c r="M564" s="32"/>
      <c r="N564" s="32"/>
      <c r="O564" s="33"/>
      <c r="P564" s="33"/>
      <c r="Q564" s="32"/>
      <c r="R564" s="42"/>
      <c r="S564" s="42"/>
      <c r="T564" s="42"/>
      <c r="U564" s="32"/>
      <c r="V564" s="33"/>
      <c r="W564" s="33"/>
      <c r="X564" s="32"/>
      <c r="Y564" s="32"/>
      <c r="Z564" s="32"/>
      <c r="AA564" s="33"/>
      <c r="AB564" s="33"/>
      <c r="AC564" s="33"/>
      <c r="AD564" s="32"/>
      <c r="AE564" s="32"/>
      <c r="AF564" s="42"/>
      <c r="AG564" s="5"/>
    </row>
    <row r="565" spans="1:33" x14ac:dyDescent="0.25">
      <c r="A565" s="23"/>
      <c r="B565" s="24"/>
      <c r="C565" s="25"/>
      <c r="D565" s="27"/>
      <c r="E565" s="27"/>
      <c r="F565" s="28"/>
      <c r="G565" s="27"/>
      <c r="H565" s="27"/>
      <c r="I565" s="172"/>
      <c r="J565" s="214"/>
      <c r="K565" s="27"/>
      <c r="L565" s="172"/>
      <c r="M565" s="32"/>
      <c r="N565" s="32"/>
      <c r="O565" s="33"/>
      <c r="P565" s="33"/>
      <c r="Q565" s="32"/>
      <c r="R565" s="42"/>
      <c r="S565" s="42"/>
      <c r="T565" s="42"/>
      <c r="U565" s="32"/>
      <c r="V565" s="33"/>
      <c r="W565" s="33"/>
      <c r="X565" s="32"/>
      <c r="Y565" s="32"/>
      <c r="Z565" s="32"/>
      <c r="AA565" s="33"/>
      <c r="AB565" s="33"/>
      <c r="AC565" s="33"/>
      <c r="AD565" s="32"/>
      <c r="AE565" s="32"/>
      <c r="AF565" s="42"/>
      <c r="AG565" s="5"/>
    </row>
    <row r="566" spans="1:33" x14ac:dyDescent="0.25">
      <c r="A566" s="23"/>
      <c r="B566" s="24"/>
      <c r="C566" s="25"/>
      <c r="D566" s="27"/>
      <c r="E566" s="27"/>
      <c r="F566" s="28"/>
      <c r="G566" s="27"/>
      <c r="H566" s="27"/>
      <c r="I566" s="172"/>
      <c r="J566" s="214"/>
      <c r="K566" s="27"/>
      <c r="L566" s="172"/>
      <c r="M566" s="32"/>
      <c r="N566" s="32"/>
      <c r="O566" s="33"/>
      <c r="P566" s="33"/>
      <c r="Q566" s="32"/>
      <c r="R566" s="42"/>
      <c r="S566" s="42"/>
      <c r="T566" s="42"/>
      <c r="U566" s="32"/>
      <c r="V566" s="33"/>
      <c r="W566" s="33"/>
      <c r="X566" s="32"/>
      <c r="Y566" s="32"/>
      <c r="Z566" s="32"/>
      <c r="AA566" s="33"/>
      <c r="AB566" s="33"/>
      <c r="AC566" s="33"/>
      <c r="AD566" s="32"/>
      <c r="AE566" s="32"/>
      <c r="AF566" s="42"/>
      <c r="AG566" s="5"/>
    </row>
    <row r="567" spans="1:33" x14ac:dyDescent="0.25">
      <c r="A567" s="23"/>
      <c r="B567" s="24"/>
      <c r="C567" s="25"/>
      <c r="D567" s="27"/>
      <c r="E567" s="27"/>
      <c r="F567" s="28"/>
      <c r="G567" s="27"/>
      <c r="H567" s="27"/>
      <c r="I567" s="172"/>
      <c r="J567" s="214"/>
      <c r="K567" s="27"/>
      <c r="L567" s="172"/>
      <c r="M567" s="32"/>
      <c r="N567" s="32"/>
      <c r="O567" s="33"/>
      <c r="P567" s="33"/>
      <c r="Q567" s="32"/>
      <c r="R567" s="42"/>
      <c r="S567" s="42"/>
      <c r="T567" s="42"/>
      <c r="U567" s="32"/>
      <c r="V567" s="33"/>
      <c r="W567" s="33"/>
      <c r="X567" s="32"/>
      <c r="Y567" s="32"/>
      <c r="Z567" s="32"/>
      <c r="AA567" s="33"/>
      <c r="AB567" s="33"/>
      <c r="AC567" s="33"/>
      <c r="AD567" s="32"/>
      <c r="AE567" s="32"/>
      <c r="AF567" s="42"/>
      <c r="AG567" s="5"/>
    </row>
    <row r="568" spans="1:33" x14ac:dyDescent="0.25">
      <c r="A568" s="23"/>
      <c r="B568" s="24"/>
      <c r="C568" s="25"/>
      <c r="D568" s="27"/>
      <c r="E568" s="27"/>
      <c r="F568" s="28"/>
      <c r="G568" s="27"/>
      <c r="H568" s="27"/>
      <c r="I568" s="172"/>
      <c r="J568" s="214"/>
      <c r="K568" s="27"/>
      <c r="L568" s="172"/>
      <c r="M568" s="32"/>
      <c r="N568" s="32"/>
      <c r="O568" s="33"/>
      <c r="P568" s="33"/>
      <c r="Q568" s="32"/>
      <c r="R568" s="42"/>
      <c r="S568" s="42"/>
      <c r="T568" s="42"/>
      <c r="U568" s="32"/>
      <c r="V568" s="33"/>
      <c r="W568" s="33"/>
      <c r="X568" s="32"/>
      <c r="Y568" s="32"/>
      <c r="Z568" s="32"/>
      <c r="AA568" s="33"/>
      <c r="AB568" s="33"/>
      <c r="AC568" s="33"/>
      <c r="AD568" s="32"/>
      <c r="AE568" s="32"/>
      <c r="AF568" s="42"/>
      <c r="AG568" s="5"/>
    </row>
    <row r="569" spans="1:33" x14ac:dyDescent="0.25">
      <c r="A569" s="23"/>
      <c r="B569" s="24"/>
      <c r="C569" s="25"/>
      <c r="D569" s="27"/>
      <c r="E569" s="27"/>
      <c r="F569" s="28"/>
      <c r="G569" s="27"/>
      <c r="H569" s="27"/>
      <c r="I569" s="172"/>
      <c r="J569" s="214"/>
      <c r="K569" s="27"/>
      <c r="L569" s="172"/>
      <c r="M569" s="32"/>
      <c r="N569" s="32"/>
      <c r="O569" s="33"/>
      <c r="P569" s="33"/>
      <c r="Q569" s="32"/>
      <c r="R569" s="42"/>
      <c r="S569" s="42"/>
      <c r="T569" s="42"/>
      <c r="U569" s="32"/>
      <c r="V569" s="33"/>
      <c r="W569" s="33"/>
      <c r="X569" s="32"/>
      <c r="Y569" s="32"/>
      <c r="Z569" s="32"/>
      <c r="AA569" s="33"/>
      <c r="AB569" s="33"/>
      <c r="AC569" s="33"/>
      <c r="AD569" s="32"/>
      <c r="AE569" s="32"/>
      <c r="AF569" s="42"/>
      <c r="AG569" s="5"/>
    </row>
    <row r="570" spans="1:33" x14ac:dyDescent="0.25">
      <c r="A570" s="23"/>
      <c r="B570" s="24"/>
      <c r="C570" s="25"/>
      <c r="D570" s="27"/>
      <c r="E570" s="27"/>
      <c r="F570" s="28"/>
      <c r="G570" s="27"/>
      <c r="H570" s="27"/>
      <c r="I570" s="172"/>
      <c r="J570" s="214"/>
      <c r="K570" s="27"/>
      <c r="L570" s="172"/>
      <c r="M570" s="32"/>
      <c r="N570" s="32"/>
      <c r="O570" s="33"/>
      <c r="P570" s="33"/>
      <c r="Q570" s="32"/>
      <c r="R570" s="42"/>
      <c r="S570" s="42"/>
      <c r="T570" s="42"/>
      <c r="U570" s="32"/>
      <c r="V570" s="33"/>
      <c r="W570" s="33"/>
      <c r="X570" s="32"/>
      <c r="Y570" s="32"/>
      <c r="Z570" s="32"/>
      <c r="AA570" s="33"/>
      <c r="AB570" s="33"/>
      <c r="AC570" s="33"/>
      <c r="AD570" s="32"/>
      <c r="AE570" s="32"/>
      <c r="AF570" s="42"/>
      <c r="AG570" s="5"/>
    </row>
    <row r="571" spans="1:33" x14ac:dyDescent="0.25">
      <c r="A571" s="23"/>
      <c r="B571" s="24"/>
      <c r="C571" s="25"/>
      <c r="D571" s="27"/>
      <c r="E571" s="27"/>
      <c r="F571" s="28"/>
      <c r="G571" s="27"/>
      <c r="H571" s="27"/>
      <c r="I571" s="172"/>
      <c r="J571" s="214"/>
      <c r="K571" s="27"/>
      <c r="L571" s="172"/>
      <c r="M571" s="32"/>
      <c r="N571" s="32"/>
      <c r="O571" s="33"/>
      <c r="P571" s="33"/>
      <c r="Q571" s="32"/>
      <c r="R571" s="42"/>
      <c r="S571" s="42"/>
      <c r="T571" s="42"/>
      <c r="U571" s="32"/>
      <c r="V571" s="33"/>
      <c r="W571" s="33"/>
      <c r="X571" s="32"/>
      <c r="Y571" s="32"/>
      <c r="Z571" s="32"/>
      <c r="AA571" s="33"/>
      <c r="AB571" s="33"/>
      <c r="AC571" s="33"/>
      <c r="AD571" s="32"/>
      <c r="AE571" s="32"/>
      <c r="AF571" s="42"/>
      <c r="AG571" s="5"/>
    </row>
    <row r="572" spans="1:33" x14ac:dyDescent="0.25">
      <c r="A572" s="23"/>
      <c r="B572" s="24"/>
      <c r="C572" s="25"/>
      <c r="D572" s="27"/>
      <c r="E572" s="27"/>
      <c r="F572" s="28"/>
      <c r="G572" s="27"/>
      <c r="H572" s="27"/>
      <c r="I572" s="172"/>
      <c r="J572" s="214"/>
      <c r="K572" s="27"/>
      <c r="L572" s="172"/>
      <c r="M572" s="32"/>
      <c r="N572" s="32"/>
      <c r="O572" s="33"/>
      <c r="P572" s="33"/>
      <c r="Q572" s="32"/>
      <c r="R572" s="42"/>
      <c r="S572" s="42"/>
      <c r="T572" s="42"/>
      <c r="U572" s="32"/>
      <c r="V572" s="33"/>
      <c r="W572" s="33"/>
      <c r="X572" s="32"/>
      <c r="Y572" s="32"/>
      <c r="Z572" s="32"/>
      <c r="AA572" s="33"/>
      <c r="AB572" s="33"/>
      <c r="AC572" s="33"/>
      <c r="AD572" s="32"/>
      <c r="AE572" s="32"/>
      <c r="AF572" s="42"/>
      <c r="AG572" s="5"/>
    </row>
    <row r="573" spans="1:33" x14ac:dyDescent="0.25">
      <c r="A573" s="23"/>
      <c r="B573" s="24"/>
      <c r="C573" s="25"/>
      <c r="D573" s="27"/>
      <c r="E573" s="27"/>
      <c r="F573" s="28"/>
      <c r="G573" s="27"/>
      <c r="H573" s="27"/>
      <c r="I573" s="172"/>
      <c r="J573" s="214"/>
      <c r="K573" s="27"/>
      <c r="L573" s="172"/>
      <c r="M573" s="32"/>
      <c r="N573" s="32"/>
      <c r="O573" s="33"/>
      <c r="P573" s="33"/>
      <c r="Q573" s="32"/>
      <c r="R573" s="42"/>
      <c r="S573" s="42"/>
      <c r="T573" s="42"/>
      <c r="U573" s="32"/>
      <c r="V573" s="33"/>
      <c r="W573" s="33"/>
      <c r="X573" s="32"/>
      <c r="Y573" s="32"/>
      <c r="Z573" s="32"/>
      <c r="AA573" s="33"/>
      <c r="AB573" s="33"/>
      <c r="AC573" s="33"/>
      <c r="AD573" s="32"/>
      <c r="AE573" s="32"/>
      <c r="AF573" s="42"/>
      <c r="AG573" s="5"/>
    </row>
    <row r="574" spans="1:33" x14ac:dyDescent="0.25">
      <c r="A574" s="23"/>
      <c r="B574" s="24"/>
      <c r="C574" s="25"/>
      <c r="D574" s="27"/>
      <c r="E574" s="27"/>
      <c r="F574" s="28"/>
      <c r="G574" s="27"/>
      <c r="H574" s="27"/>
      <c r="I574" s="172"/>
      <c r="J574" s="214"/>
      <c r="K574" s="27"/>
      <c r="L574" s="172"/>
      <c r="M574" s="32"/>
      <c r="N574" s="32"/>
      <c r="O574" s="33"/>
      <c r="P574" s="33"/>
      <c r="Q574" s="32"/>
      <c r="R574" s="42"/>
      <c r="S574" s="42"/>
      <c r="T574" s="42"/>
      <c r="U574" s="32"/>
      <c r="V574" s="33"/>
      <c r="W574" s="33"/>
      <c r="X574" s="32"/>
      <c r="Y574" s="32"/>
      <c r="Z574" s="32"/>
      <c r="AA574" s="33"/>
      <c r="AB574" s="33"/>
      <c r="AC574" s="33"/>
      <c r="AD574" s="32"/>
      <c r="AE574" s="32"/>
      <c r="AF574" s="42"/>
      <c r="AG574" s="5"/>
    </row>
    <row r="575" spans="1:33" x14ac:dyDescent="0.25">
      <c r="A575" s="23"/>
      <c r="B575" s="24"/>
      <c r="C575" s="25"/>
      <c r="D575" s="27"/>
      <c r="E575" s="27"/>
      <c r="F575" s="28"/>
      <c r="G575" s="27"/>
      <c r="H575" s="27"/>
      <c r="I575" s="172"/>
      <c r="J575" s="214"/>
      <c r="K575" s="27"/>
      <c r="L575" s="172"/>
      <c r="M575" s="32"/>
      <c r="N575" s="32"/>
      <c r="O575" s="33"/>
      <c r="P575" s="33"/>
      <c r="Q575" s="32"/>
      <c r="R575" s="42"/>
      <c r="S575" s="42"/>
      <c r="T575" s="42"/>
      <c r="U575" s="32"/>
      <c r="V575" s="33"/>
      <c r="W575" s="33"/>
      <c r="X575" s="32"/>
      <c r="Y575" s="32"/>
      <c r="Z575" s="32"/>
      <c r="AA575" s="33"/>
      <c r="AB575" s="33"/>
      <c r="AC575" s="33"/>
      <c r="AD575" s="32"/>
      <c r="AE575" s="32"/>
      <c r="AF575" s="42"/>
      <c r="AG575" s="5"/>
    </row>
    <row r="576" spans="1:33" x14ac:dyDescent="0.25">
      <c r="A576" s="23"/>
      <c r="B576" s="24"/>
      <c r="C576" s="25"/>
      <c r="D576" s="27"/>
      <c r="E576" s="27"/>
      <c r="F576" s="28"/>
      <c r="G576" s="27"/>
      <c r="H576" s="27"/>
      <c r="I576" s="172"/>
      <c r="J576" s="214"/>
      <c r="K576" s="27"/>
      <c r="L576" s="172"/>
      <c r="M576" s="32"/>
      <c r="N576" s="32"/>
      <c r="O576" s="33"/>
      <c r="P576" s="33"/>
      <c r="Q576" s="32"/>
      <c r="R576" s="42"/>
      <c r="S576" s="42"/>
      <c r="T576" s="42"/>
      <c r="U576" s="32"/>
      <c r="V576" s="33"/>
      <c r="W576" s="33"/>
      <c r="X576" s="32"/>
      <c r="Y576" s="32"/>
      <c r="Z576" s="32"/>
      <c r="AA576" s="33"/>
      <c r="AB576" s="33"/>
      <c r="AC576" s="33"/>
      <c r="AD576" s="32"/>
      <c r="AE576" s="32"/>
      <c r="AF576" s="42"/>
      <c r="AG576" s="5"/>
    </row>
    <row r="577" spans="1:33" x14ac:dyDescent="0.25">
      <c r="A577" s="23"/>
      <c r="B577" s="24"/>
      <c r="C577" s="25"/>
      <c r="D577" s="27"/>
      <c r="E577" s="27"/>
      <c r="F577" s="28"/>
      <c r="G577" s="27"/>
      <c r="H577" s="27"/>
      <c r="I577" s="172"/>
      <c r="J577" s="214"/>
      <c r="K577" s="27"/>
      <c r="L577" s="172"/>
      <c r="M577" s="32"/>
      <c r="N577" s="32"/>
      <c r="O577" s="33"/>
      <c r="P577" s="33"/>
      <c r="Q577" s="32"/>
      <c r="R577" s="42"/>
      <c r="S577" s="42"/>
      <c r="T577" s="42"/>
      <c r="U577" s="32"/>
      <c r="V577" s="33"/>
      <c r="W577" s="33"/>
      <c r="X577" s="32"/>
      <c r="Y577" s="32"/>
      <c r="Z577" s="32"/>
      <c r="AA577" s="33"/>
      <c r="AB577" s="33"/>
      <c r="AC577" s="33"/>
      <c r="AD577" s="32"/>
      <c r="AE577" s="32"/>
      <c r="AF577" s="42"/>
      <c r="AG577" s="5"/>
    </row>
    <row r="578" spans="1:33" x14ac:dyDescent="0.25">
      <c r="A578" s="23"/>
      <c r="B578" s="24"/>
      <c r="C578" s="25"/>
      <c r="D578" s="27"/>
      <c r="E578" s="27"/>
      <c r="F578" s="28"/>
      <c r="G578" s="27"/>
      <c r="H578" s="27"/>
      <c r="I578" s="172"/>
      <c r="J578" s="214"/>
      <c r="K578" s="27"/>
      <c r="L578" s="172"/>
      <c r="M578" s="32"/>
      <c r="N578" s="32"/>
      <c r="O578" s="33"/>
      <c r="P578" s="33"/>
      <c r="Q578" s="32"/>
      <c r="R578" s="42"/>
      <c r="S578" s="42"/>
      <c r="T578" s="42"/>
      <c r="U578" s="32"/>
      <c r="V578" s="33"/>
      <c r="W578" s="33"/>
      <c r="X578" s="32"/>
      <c r="Y578" s="32"/>
      <c r="Z578" s="32"/>
      <c r="AA578" s="33"/>
      <c r="AB578" s="33"/>
      <c r="AC578" s="33"/>
      <c r="AD578" s="32"/>
      <c r="AE578" s="32"/>
      <c r="AF578" s="42"/>
      <c r="AG578" s="5"/>
    </row>
    <row r="579" spans="1:33" x14ac:dyDescent="0.25">
      <c r="A579" s="23"/>
      <c r="B579" s="24"/>
      <c r="C579" s="25"/>
      <c r="D579" s="27"/>
      <c r="E579" s="27"/>
      <c r="F579" s="28"/>
      <c r="G579" s="27"/>
      <c r="H579" s="27"/>
      <c r="I579" s="172"/>
      <c r="J579" s="214"/>
      <c r="K579" s="27"/>
      <c r="L579" s="172"/>
      <c r="M579" s="32"/>
      <c r="N579" s="32"/>
      <c r="O579" s="33"/>
      <c r="P579" s="33"/>
      <c r="Q579" s="32"/>
      <c r="R579" s="42"/>
      <c r="S579" s="42"/>
      <c r="T579" s="42"/>
      <c r="U579" s="32"/>
      <c r="V579" s="33"/>
      <c r="W579" s="33"/>
      <c r="X579" s="32"/>
      <c r="Y579" s="32"/>
      <c r="Z579" s="32"/>
      <c r="AA579" s="33"/>
      <c r="AB579" s="33"/>
      <c r="AC579" s="33"/>
      <c r="AD579" s="32"/>
      <c r="AE579" s="32"/>
      <c r="AF579" s="42"/>
      <c r="AG579" s="5"/>
    </row>
    <row r="580" spans="1:33" x14ac:dyDescent="0.25">
      <c r="A580" s="23"/>
      <c r="B580" s="24"/>
      <c r="C580" s="25"/>
      <c r="D580" s="27"/>
      <c r="E580" s="27"/>
      <c r="F580" s="28"/>
      <c r="G580" s="27"/>
      <c r="H580" s="27"/>
      <c r="I580" s="172"/>
      <c r="J580" s="214"/>
      <c r="K580" s="27"/>
      <c r="L580" s="172"/>
      <c r="M580" s="32"/>
      <c r="N580" s="32"/>
      <c r="O580" s="33"/>
      <c r="P580" s="33"/>
      <c r="Q580" s="32"/>
      <c r="R580" s="42"/>
      <c r="S580" s="42"/>
      <c r="T580" s="42"/>
      <c r="U580" s="32"/>
      <c r="V580" s="33"/>
      <c r="W580" s="33"/>
      <c r="X580" s="32"/>
      <c r="Y580" s="32"/>
      <c r="Z580" s="32"/>
      <c r="AA580" s="33"/>
      <c r="AB580" s="33"/>
      <c r="AC580" s="33"/>
      <c r="AD580" s="32"/>
      <c r="AE580" s="32"/>
      <c r="AF580" s="42"/>
      <c r="AG580" s="5"/>
    </row>
    <row r="581" spans="1:33" x14ac:dyDescent="0.25">
      <c r="A581" s="23"/>
      <c r="B581" s="24"/>
      <c r="C581" s="25"/>
      <c r="D581" s="27"/>
      <c r="E581" s="27"/>
      <c r="F581" s="28"/>
      <c r="G581" s="27"/>
      <c r="H581" s="27"/>
      <c r="I581" s="172"/>
      <c r="J581" s="214"/>
      <c r="K581" s="27"/>
      <c r="L581" s="172"/>
      <c r="M581" s="32"/>
      <c r="N581" s="32"/>
      <c r="O581" s="33"/>
      <c r="P581" s="33"/>
      <c r="Q581" s="32"/>
      <c r="R581" s="42"/>
      <c r="S581" s="42"/>
      <c r="T581" s="42"/>
      <c r="U581" s="32"/>
      <c r="V581" s="33"/>
      <c r="W581" s="33"/>
      <c r="X581" s="32"/>
      <c r="Y581" s="32"/>
      <c r="Z581" s="32"/>
      <c r="AA581" s="33"/>
      <c r="AB581" s="33"/>
      <c r="AC581" s="33"/>
      <c r="AD581" s="32"/>
      <c r="AE581" s="32"/>
      <c r="AF581" s="42"/>
      <c r="AG581" s="5"/>
    </row>
    <row r="582" spans="1:33" x14ac:dyDescent="0.25">
      <c r="A582" s="23"/>
      <c r="B582" s="24"/>
      <c r="C582" s="25"/>
      <c r="D582" s="27"/>
      <c r="E582" s="27"/>
      <c r="F582" s="28"/>
      <c r="G582" s="27"/>
      <c r="H582" s="27"/>
      <c r="I582" s="172"/>
      <c r="J582" s="214"/>
      <c r="K582" s="27"/>
      <c r="L582" s="172"/>
      <c r="M582" s="32"/>
      <c r="N582" s="32"/>
      <c r="O582" s="33"/>
      <c r="P582" s="33"/>
      <c r="Q582" s="32"/>
      <c r="R582" s="42"/>
      <c r="S582" s="42"/>
      <c r="T582" s="42"/>
      <c r="U582" s="32"/>
      <c r="V582" s="33"/>
      <c r="W582" s="33"/>
      <c r="X582" s="32"/>
      <c r="Y582" s="32"/>
      <c r="Z582" s="32"/>
      <c r="AA582" s="33"/>
      <c r="AB582" s="33"/>
      <c r="AC582" s="33"/>
      <c r="AD582" s="32"/>
      <c r="AE582" s="32"/>
      <c r="AF582" s="42"/>
      <c r="AG582" s="5"/>
    </row>
    <row r="583" spans="1:33" x14ac:dyDescent="0.25">
      <c r="A583" s="23"/>
      <c r="B583" s="24"/>
      <c r="C583" s="25"/>
      <c r="D583" s="27"/>
      <c r="E583" s="27"/>
      <c r="F583" s="28"/>
      <c r="G583" s="27"/>
      <c r="H583" s="27"/>
      <c r="I583" s="172"/>
      <c r="J583" s="214"/>
      <c r="K583" s="27"/>
      <c r="L583" s="172"/>
      <c r="M583" s="32"/>
      <c r="N583" s="32"/>
      <c r="O583" s="33"/>
      <c r="P583" s="33"/>
      <c r="Q583" s="32"/>
      <c r="R583" s="42"/>
      <c r="S583" s="42"/>
      <c r="T583" s="42"/>
      <c r="U583" s="32"/>
      <c r="V583" s="33"/>
      <c r="W583" s="33"/>
      <c r="X583" s="32"/>
      <c r="Y583" s="32"/>
      <c r="Z583" s="32"/>
      <c r="AA583" s="33"/>
      <c r="AB583" s="33"/>
      <c r="AC583" s="33"/>
      <c r="AD583" s="32"/>
      <c r="AE583" s="32"/>
      <c r="AF583" s="42"/>
      <c r="AG583" s="5"/>
    </row>
    <row r="584" spans="1:33" x14ac:dyDescent="0.25">
      <c r="A584" s="23"/>
      <c r="B584" s="24"/>
      <c r="C584" s="25"/>
      <c r="D584" s="27"/>
      <c r="E584" s="27"/>
      <c r="F584" s="28"/>
      <c r="G584" s="27"/>
      <c r="H584" s="27"/>
      <c r="I584" s="172"/>
      <c r="J584" s="214"/>
      <c r="K584" s="27"/>
      <c r="L584" s="172"/>
      <c r="M584" s="32"/>
      <c r="N584" s="32"/>
      <c r="O584" s="33"/>
      <c r="P584" s="33"/>
      <c r="Q584" s="32"/>
      <c r="R584" s="42"/>
      <c r="S584" s="42"/>
      <c r="T584" s="42"/>
      <c r="U584" s="32"/>
      <c r="V584" s="33"/>
      <c r="W584" s="33"/>
      <c r="X584" s="32"/>
      <c r="Y584" s="32"/>
      <c r="Z584" s="32"/>
      <c r="AA584" s="33"/>
      <c r="AB584" s="33"/>
      <c r="AC584" s="33"/>
      <c r="AD584" s="32"/>
      <c r="AE584" s="32"/>
      <c r="AF584" s="42"/>
      <c r="AG584" s="5"/>
    </row>
    <row r="585" spans="1:33" x14ac:dyDescent="0.25">
      <c r="A585" s="23"/>
      <c r="B585" s="24"/>
      <c r="C585" s="25"/>
      <c r="D585" s="27"/>
      <c r="E585" s="27"/>
      <c r="F585" s="28"/>
      <c r="G585" s="27"/>
      <c r="H585" s="27"/>
      <c r="I585" s="172"/>
      <c r="J585" s="214"/>
      <c r="K585" s="27"/>
      <c r="L585" s="172"/>
      <c r="M585" s="32"/>
      <c r="N585" s="32"/>
      <c r="O585" s="33"/>
      <c r="P585" s="33"/>
      <c r="Q585" s="32"/>
      <c r="R585" s="42"/>
      <c r="S585" s="42"/>
      <c r="T585" s="42"/>
      <c r="U585" s="32"/>
      <c r="V585" s="33"/>
      <c r="W585" s="33"/>
      <c r="X585" s="32"/>
      <c r="Y585" s="32"/>
      <c r="Z585" s="32"/>
      <c r="AA585" s="33"/>
      <c r="AB585" s="33"/>
      <c r="AC585" s="33"/>
      <c r="AD585" s="32"/>
      <c r="AE585" s="32"/>
      <c r="AF585" s="42"/>
      <c r="AG585" s="5"/>
    </row>
    <row r="586" spans="1:33" x14ac:dyDescent="0.25">
      <c r="A586" s="23"/>
      <c r="B586" s="24"/>
      <c r="C586" s="25"/>
      <c r="D586" s="27"/>
      <c r="E586" s="27"/>
      <c r="F586" s="28"/>
      <c r="G586" s="27"/>
      <c r="H586" s="27"/>
      <c r="I586" s="172"/>
      <c r="J586" s="214"/>
      <c r="K586" s="27"/>
      <c r="L586" s="172"/>
      <c r="M586" s="32"/>
      <c r="N586" s="32"/>
      <c r="O586" s="33"/>
      <c r="P586" s="33"/>
      <c r="Q586" s="32"/>
      <c r="R586" s="42"/>
      <c r="S586" s="42"/>
      <c r="T586" s="42"/>
      <c r="U586" s="32"/>
      <c r="V586" s="33"/>
      <c r="W586" s="33"/>
      <c r="X586" s="32"/>
      <c r="Y586" s="32"/>
      <c r="Z586" s="32"/>
      <c r="AA586" s="33"/>
      <c r="AB586" s="33"/>
      <c r="AC586" s="33"/>
      <c r="AD586" s="32"/>
      <c r="AE586" s="32"/>
      <c r="AF586" s="42"/>
      <c r="AG586" s="5"/>
    </row>
    <row r="587" spans="1:33" x14ac:dyDescent="0.25">
      <c r="A587" s="23"/>
      <c r="B587" s="24"/>
      <c r="C587" s="25"/>
      <c r="D587" s="27"/>
      <c r="E587" s="27"/>
      <c r="F587" s="28"/>
      <c r="G587" s="27"/>
      <c r="H587" s="27"/>
      <c r="I587" s="172"/>
      <c r="J587" s="214"/>
      <c r="K587" s="27"/>
      <c r="L587" s="172"/>
      <c r="M587" s="32"/>
      <c r="N587" s="32"/>
      <c r="O587" s="33"/>
      <c r="P587" s="33"/>
      <c r="Q587" s="32"/>
      <c r="R587" s="42"/>
      <c r="S587" s="42"/>
      <c r="T587" s="42"/>
      <c r="U587" s="32"/>
      <c r="V587" s="33"/>
      <c r="W587" s="33"/>
      <c r="X587" s="32"/>
      <c r="Y587" s="32"/>
      <c r="Z587" s="32"/>
      <c r="AA587" s="33"/>
      <c r="AB587" s="33"/>
      <c r="AC587" s="33"/>
      <c r="AD587" s="32"/>
      <c r="AE587" s="32"/>
      <c r="AF587" s="42"/>
      <c r="AG587" s="5"/>
    </row>
    <row r="588" spans="1:33" x14ac:dyDescent="0.25">
      <c r="A588" s="23"/>
      <c r="B588" s="24"/>
      <c r="C588" s="25"/>
      <c r="D588" s="27"/>
      <c r="E588" s="27"/>
      <c r="F588" s="28"/>
      <c r="G588" s="27"/>
      <c r="H588" s="27"/>
      <c r="I588" s="172"/>
      <c r="J588" s="214"/>
      <c r="K588" s="27"/>
      <c r="L588" s="172"/>
      <c r="M588" s="32"/>
      <c r="N588" s="32"/>
      <c r="O588" s="33"/>
      <c r="P588" s="33"/>
      <c r="Q588" s="32"/>
      <c r="R588" s="42"/>
      <c r="S588" s="42"/>
      <c r="T588" s="42"/>
      <c r="U588" s="32"/>
      <c r="V588" s="33"/>
      <c r="W588" s="33"/>
      <c r="X588" s="32"/>
      <c r="Y588" s="32"/>
      <c r="Z588" s="32"/>
      <c r="AA588" s="33"/>
      <c r="AB588" s="33"/>
      <c r="AC588" s="33"/>
      <c r="AD588" s="32"/>
      <c r="AE588" s="32"/>
      <c r="AF588" s="42"/>
      <c r="AG588" s="5"/>
    </row>
    <row r="589" spans="1:33" x14ac:dyDescent="0.25">
      <c r="A589" s="23"/>
      <c r="B589" s="24"/>
      <c r="C589" s="25"/>
      <c r="D589" s="27"/>
      <c r="E589" s="27"/>
      <c r="F589" s="28"/>
      <c r="G589" s="27"/>
      <c r="H589" s="27"/>
      <c r="I589" s="172"/>
      <c r="J589" s="214"/>
      <c r="K589" s="27"/>
      <c r="L589" s="172"/>
      <c r="M589" s="32"/>
      <c r="N589" s="32"/>
      <c r="O589" s="33"/>
      <c r="P589" s="33"/>
      <c r="Q589" s="32"/>
      <c r="R589" s="42"/>
      <c r="S589" s="42"/>
      <c r="T589" s="42"/>
      <c r="U589" s="32"/>
      <c r="V589" s="33"/>
      <c r="W589" s="33"/>
      <c r="X589" s="32"/>
      <c r="Y589" s="32"/>
      <c r="Z589" s="32"/>
      <c r="AA589" s="33"/>
      <c r="AB589" s="33"/>
      <c r="AC589" s="33"/>
      <c r="AD589" s="32"/>
      <c r="AE589" s="32"/>
      <c r="AF589" s="42"/>
      <c r="AG589" s="5"/>
    </row>
    <row r="590" spans="1:33" x14ac:dyDescent="0.25">
      <c r="A590" s="23"/>
      <c r="B590" s="24"/>
      <c r="C590" s="25"/>
      <c r="D590" s="27"/>
      <c r="E590" s="27"/>
      <c r="F590" s="28"/>
      <c r="G590" s="27"/>
      <c r="H590" s="27"/>
      <c r="I590" s="172"/>
      <c r="J590" s="214"/>
      <c r="K590" s="27"/>
      <c r="L590" s="172"/>
      <c r="M590" s="32"/>
      <c r="N590" s="32"/>
      <c r="O590" s="33"/>
      <c r="P590" s="33"/>
      <c r="Q590" s="32"/>
      <c r="R590" s="42"/>
      <c r="S590" s="42"/>
      <c r="T590" s="42"/>
      <c r="U590" s="32"/>
      <c r="V590" s="33"/>
      <c r="W590" s="33"/>
      <c r="X590" s="32"/>
      <c r="Y590" s="32"/>
      <c r="Z590" s="32"/>
      <c r="AA590" s="33"/>
      <c r="AB590" s="33"/>
      <c r="AC590" s="33"/>
      <c r="AD590" s="32"/>
      <c r="AE590" s="32"/>
      <c r="AF590" s="42"/>
      <c r="AG590" s="5"/>
    </row>
    <row r="591" spans="1:33" x14ac:dyDescent="0.25">
      <c r="A591" s="23"/>
      <c r="B591" s="24"/>
      <c r="C591" s="25"/>
      <c r="D591" s="27"/>
      <c r="E591" s="27"/>
      <c r="F591" s="28"/>
      <c r="G591" s="27"/>
      <c r="H591" s="27"/>
      <c r="I591" s="172"/>
      <c r="J591" s="214"/>
      <c r="K591" s="27"/>
      <c r="L591" s="172"/>
      <c r="M591" s="32"/>
      <c r="N591" s="32"/>
      <c r="O591" s="33"/>
      <c r="P591" s="33"/>
      <c r="Q591" s="32"/>
      <c r="R591" s="42"/>
      <c r="S591" s="42"/>
      <c r="T591" s="42"/>
      <c r="U591" s="32"/>
      <c r="V591" s="33"/>
      <c r="W591" s="33"/>
      <c r="X591" s="32"/>
      <c r="Y591" s="32"/>
      <c r="Z591" s="32"/>
      <c r="AA591" s="33"/>
      <c r="AB591" s="33"/>
      <c r="AC591" s="33"/>
      <c r="AD591" s="32"/>
      <c r="AE591" s="32"/>
      <c r="AF591" s="42"/>
      <c r="AG591" s="5"/>
    </row>
    <row r="592" spans="1:33" x14ac:dyDescent="0.25">
      <c r="A592" s="23"/>
      <c r="B592" s="24"/>
      <c r="C592" s="25"/>
      <c r="D592" s="27"/>
      <c r="E592" s="27"/>
      <c r="F592" s="28"/>
      <c r="G592" s="27"/>
      <c r="H592" s="27"/>
      <c r="I592" s="172"/>
      <c r="J592" s="214"/>
      <c r="K592" s="27"/>
      <c r="L592" s="172"/>
      <c r="M592" s="32"/>
      <c r="N592" s="32"/>
      <c r="O592" s="33"/>
      <c r="P592" s="33"/>
      <c r="Q592" s="32"/>
      <c r="R592" s="42"/>
      <c r="S592" s="42"/>
      <c r="T592" s="42"/>
      <c r="U592" s="32"/>
      <c r="V592" s="33"/>
      <c r="W592" s="33"/>
      <c r="X592" s="32"/>
      <c r="Y592" s="32"/>
      <c r="Z592" s="32"/>
      <c r="AA592" s="33"/>
      <c r="AB592" s="33"/>
      <c r="AC592" s="33"/>
      <c r="AD592" s="32"/>
      <c r="AE592" s="32"/>
      <c r="AF592" s="42"/>
      <c r="AG592" s="5"/>
    </row>
    <row r="593" spans="1:33" x14ac:dyDescent="0.25">
      <c r="A593" s="23"/>
      <c r="B593" s="24"/>
      <c r="C593" s="25"/>
      <c r="D593" s="27"/>
      <c r="E593" s="27"/>
      <c r="F593" s="28"/>
      <c r="G593" s="27"/>
      <c r="H593" s="27"/>
      <c r="I593" s="172"/>
      <c r="J593" s="214"/>
      <c r="K593" s="27"/>
      <c r="L593" s="172"/>
      <c r="M593" s="32"/>
      <c r="N593" s="32"/>
      <c r="O593" s="33"/>
      <c r="P593" s="33"/>
      <c r="Q593" s="32"/>
      <c r="R593" s="42"/>
      <c r="S593" s="42"/>
      <c r="T593" s="42"/>
      <c r="U593" s="32"/>
      <c r="V593" s="33"/>
      <c r="W593" s="33"/>
      <c r="X593" s="32"/>
      <c r="Y593" s="32"/>
      <c r="Z593" s="32"/>
      <c r="AA593" s="33"/>
      <c r="AB593" s="33"/>
      <c r="AC593" s="33"/>
      <c r="AD593" s="32"/>
      <c r="AE593" s="32"/>
      <c r="AF593" s="42"/>
      <c r="AG593" s="5"/>
    </row>
    <row r="594" spans="1:33" x14ac:dyDescent="0.25">
      <c r="A594" s="23"/>
      <c r="B594" s="24"/>
      <c r="C594" s="25"/>
      <c r="D594" s="27"/>
      <c r="E594" s="27"/>
      <c r="F594" s="28"/>
      <c r="G594" s="27"/>
      <c r="H594" s="27"/>
      <c r="I594" s="172"/>
      <c r="J594" s="214"/>
      <c r="K594" s="27"/>
      <c r="L594" s="172"/>
      <c r="M594" s="32"/>
      <c r="N594" s="32"/>
      <c r="O594" s="33"/>
      <c r="P594" s="33"/>
      <c r="Q594" s="32"/>
      <c r="R594" s="42"/>
      <c r="S594" s="42"/>
      <c r="T594" s="42"/>
      <c r="U594" s="32"/>
      <c r="V594" s="33"/>
      <c r="W594" s="33"/>
      <c r="X594" s="32"/>
      <c r="Y594" s="32"/>
      <c r="Z594" s="32"/>
      <c r="AA594" s="33"/>
      <c r="AB594" s="33"/>
      <c r="AC594" s="33"/>
      <c r="AD594" s="32"/>
      <c r="AE594" s="32"/>
      <c r="AF594" s="42"/>
      <c r="AG594" s="5"/>
    </row>
    <row r="595" spans="1:33" x14ac:dyDescent="0.25">
      <c r="A595" s="23"/>
      <c r="B595" s="24"/>
      <c r="C595" s="25"/>
      <c r="D595" s="27"/>
      <c r="E595" s="27"/>
      <c r="F595" s="28"/>
      <c r="G595" s="27"/>
      <c r="H595" s="27"/>
      <c r="I595" s="172"/>
      <c r="J595" s="214"/>
      <c r="K595" s="27"/>
      <c r="L595" s="172"/>
      <c r="M595" s="32"/>
      <c r="N595" s="32"/>
      <c r="O595" s="33"/>
      <c r="P595" s="33"/>
      <c r="Q595" s="32"/>
      <c r="R595" s="42"/>
      <c r="S595" s="42"/>
      <c r="T595" s="42"/>
      <c r="U595" s="32"/>
      <c r="V595" s="33"/>
      <c r="W595" s="33"/>
      <c r="X595" s="32"/>
      <c r="Y595" s="32"/>
      <c r="Z595" s="32"/>
      <c r="AA595" s="33"/>
      <c r="AB595" s="33"/>
      <c r="AC595" s="33"/>
      <c r="AD595" s="32"/>
      <c r="AE595" s="32"/>
      <c r="AF595" s="42"/>
      <c r="AG595" s="5"/>
    </row>
    <row r="596" spans="1:33" x14ac:dyDescent="0.25">
      <c r="A596" s="23"/>
      <c r="B596" s="24"/>
      <c r="C596" s="25"/>
      <c r="D596" s="27"/>
      <c r="E596" s="27"/>
      <c r="F596" s="28"/>
      <c r="G596" s="27"/>
      <c r="H596" s="27"/>
      <c r="I596" s="172"/>
      <c r="J596" s="214"/>
      <c r="K596" s="27"/>
      <c r="L596" s="172"/>
      <c r="M596" s="32"/>
      <c r="N596" s="32"/>
      <c r="O596" s="33"/>
      <c r="P596" s="33"/>
      <c r="Q596" s="32"/>
      <c r="R596" s="42"/>
      <c r="S596" s="42"/>
      <c r="T596" s="42"/>
      <c r="U596" s="32"/>
      <c r="V596" s="33"/>
      <c r="W596" s="33"/>
      <c r="X596" s="32"/>
      <c r="Y596" s="32"/>
      <c r="Z596" s="32"/>
      <c r="AA596" s="33"/>
      <c r="AB596" s="33"/>
      <c r="AC596" s="33"/>
      <c r="AD596" s="32"/>
      <c r="AE596" s="32"/>
      <c r="AF596" s="42"/>
      <c r="AG596" s="5"/>
    </row>
    <row r="597" spans="1:33" x14ac:dyDescent="0.25">
      <c r="A597" s="23"/>
      <c r="B597" s="24"/>
      <c r="C597" s="25"/>
      <c r="D597" s="27"/>
      <c r="E597" s="27"/>
      <c r="F597" s="28"/>
      <c r="G597" s="27"/>
      <c r="H597" s="27"/>
      <c r="I597" s="172"/>
      <c r="J597" s="214"/>
      <c r="K597" s="27"/>
      <c r="L597" s="172"/>
      <c r="M597" s="32"/>
      <c r="N597" s="32"/>
      <c r="O597" s="33"/>
      <c r="P597" s="33"/>
      <c r="Q597" s="32"/>
      <c r="R597" s="42"/>
      <c r="S597" s="42"/>
      <c r="T597" s="42"/>
      <c r="U597" s="32"/>
      <c r="V597" s="33"/>
      <c r="W597" s="33"/>
      <c r="X597" s="32"/>
      <c r="Y597" s="32"/>
      <c r="Z597" s="32"/>
      <c r="AA597" s="33"/>
      <c r="AB597" s="33"/>
      <c r="AC597" s="33"/>
      <c r="AD597" s="32"/>
      <c r="AE597" s="32"/>
      <c r="AF597" s="42"/>
      <c r="AG597" s="5"/>
    </row>
    <row r="598" spans="1:33" x14ac:dyDescent="0.25">
      <c r="A598" s="23"/>
      <c r="B598" s="24"/>
      <c r="C598" s="25"/>
      <c r="D598" s="27"/>
      <c r="E598" s="27"/>
      <c r="F598" s="28"/>
      <c r="G598" s="27"/>
      <c r="H598" s="27"/>
      <c r="I598" s="172"/>
      <c r="J598" s="214"/>
      <c r="K598" s="27"/>
      <c r="L598" s="172"/>
      <c r="M598" s="32"/>
      <c r="N598" s="32"/>
      <c r="O598" s="33"/>
      <c r="P598" s="33"/>
      <c r="Q598" s="32"/>
      <c r="R598" s="42"/>
      <c r="S598" s="42"/>
      <c r="T598" s="42"/>
      <c r="U598" s="32"/>
      <c r="V598" s="33"/>
      <c r="W598" s="33"/>
      <c r="X598" s="32"/>
      <c r="Y598" s="32"/>
      <c r="Z598" s="32"/>
      <c r="AA598" s="33"/>
      <c r="AB598" s="33"/>
      <c r="AC598" s="33"/>
      <c r="AD598" s="32"/>
      <c r="AE598" s="32"/>
      <c r="AF598" s="42"/>
      <c r="AG598" s="5"/>
    </row>
    <row r="599" spans="1:33" x14ac:dyDescent="0.25">
      <c r="A599" s="23"/>
      <c r="B599" s="24"/>
      <c r="C599" s="25"/>
      <c r="D599" s="27"/>
      <c r="E599" s="27"/>
      <c r="F599" s="28"/>
      <c r="G599" s="27"/>
      <c r="H599" s="27"/>
      <c r="I599" s="172"/>
      <c r="J599" s="214"/>
      <c r="K599" s="27"/>
      <c r="L599" s="172"/>
      <c r="M599" s="32"/>
      <c r="N599" s="32"/>
      <c r="O599" s="33"/>
      <c r="P599" s="33"/>
      <c r="Q599" s="32"/>
      <c r="R599" s="42"/>
      <c r="S599" s="42"/>
      <c r="T599" s="42"/>
      <c r="U599" s="32"/>
      <c r="V599" s="33"/>
      <c r="W599" s="33"/>
      <c r="X599" s="32"/>
      <c r="Y599" s="32"/>
      <c r="Z599" s="32"/>
      <c r="AA599" s="33"/>
      <c r="AB599" s="33"/>
      <c r="AC599" s="33"/>
      <c r="AD599" s="32"/>
      <c r="AE599" s="32"/>
      <c r="AF599" s="42"/>
      <c r="AG599" s="5"/>
    </row>
    <row r="600" spans="1:33" x14ac:dyDescent="0.25">
      <c r="A600" s="23"/>
      <c r="B600" s="24"/>
      <c r="C600" s="25"/>
      <c r="D600" s="27"/>
      <c r="E600" s="27"/>
      <c r="F600" s="28"/>
      <c r="G600" s="27"/>
      <c r="H600" s="27"/>
      <c r="I600" s="172"/>
      <c r="J600" s="214"/>
      <c r="K600" s="27"/>
      <c r="L600" s="172"/>
      <c r="M600" s="32"/>
      <c r="N600" s="32"/>
      <c r="O600" s="33"/>
      <c r="P600" s="33"/>
      <c r="Q600" s="32"/>
      <c r="R600" s="42"/>
      <c r="S600" s="42"/>
      <c r="T600" s="42"/>
      <c r="U600" s="32"/>
      <c r="V600" s="33"/>
      <c r="W600" s="33"/>
      <c r="X600" s="32"/>
      <c r="Y600" s="32"/>
      <c r="Z600" s="32"/>
      <c r="AA600" s="33"/>
      <c r="AB600" s="33"/>
      <c r="AC600" s="33"/>
      <c r="AD600" s="32"/>
      <c r="AE600" s="32"/>
      <c r="AF600" s="42"/>
      <c r="AG600" s="5"/>
    </row>
    <row r="601" spans="1:33" x14ac:dyDescent="0.25">
      <c r="A601" s="23"/>
      <c r="B601" s="24"/>
      <c r="C601" s="25"/>
      <c r="D601" s="27"/>
      <c r="E601" s="27"/>
      <c r="F601" s="28"/>
      <c r="G601" s="27"/>
      <c r="H601" s="27"/>
      <c r="I601" s="172"/>
      <c r="J601" s="214"/>
      <c r="K601" s="27"/>
      <c r="L601" s="172"/>
      <c r="M601" s="32"/>
      <c r="N601" s="32"/>
      <c r="O601" s="33"/>
      <c r="P601" s="33"/>
      <c r="Q601" s="32"/>
      <c r="R601" s="42"/>
      <c r="S601" s="42"/>
      <c r="T601" s="42"/>
      <c r="U601" s="32"/>
      <c r="V601" s="33"/>
      <c r="W601" s="33"/>
      <c r="X601" s="32"/>
      <c r="Y601" s="32"/>
      <c r="Z601" s="32"/>
      <c r="AA601" s="33"/>
      <c r="AB601" s="33"/>
      <c r="AC601" s="33"/>
      <c r="AD601" s="32"/>
      <c r="AE601" s="32"/>
      <c r="AF601" s="42"/>
      <c r="AG601" s="5"/>
    </row>
    <row r="602" spans="1:33" x14ac:dyDescent="0.25">
      <c r="A602" s="23"/>
      <c r="B602" s="24"/>
      <c r="C602" s="25"/>
      <c r="D602" s="27"/>
      <c r="E602" s="27"/>
      <c r="F602" s="28"/>
      <c r="G602" s="27"/>
      <c r="H602" s="27"/>
      <c r="I602" s="172"/>
      <c r="J602" s="214"/>
      <c r="K602" s="27"/>
      <c r="L602" s="172"/>
      <c r="M602" s="32"/>
      <c r="N602" s="32"/>
      <c r="O602" s="33"/>
      <c r="P602" s="33"/>
      <c r="Q602" s="32"/>
      <c r="R602" s="42"/>
      <c r="S602" s="42"/>
      <c r="T602" s="42"/>
      <c r="U602" s="32"/>
      <c r="V602" s="33"/>
      <c r="W602" s="33"/>
      <c r="X602" s="32"/>
      <c r="Y602" s="32"/>
      <c r="Z602" s="32"/>
      <c r="AA602" s="33"/>
      <c r="AB602" s="33"/>
      <c r="AC602" s="33"/>
      <c r="AD602" s="32"/>
      <c r="AE602" s="32"/>
      <c r="AF602" s="42"/>
      <c r="AG602" s="5"/>
    </row>
    <row r="603" spans="1:33" x14ac:dyDescent="0.25">
      <c r="A603" s="23"/>
      <c r="B603" s="24"/>
      <c r="C603" s="25"/>
      <c r="D603" s="27"/>
      <c r="E603" s="27"/>
      <c r="F603" s="28"/>
      <c r="G603" s="27"/>
      <c r="H603" s="27"/>
      <c r="I603" s="172"/>
      <c r="J603" s="214"/>
      <c r="K603" s="27"/>
      <c r="L603" s="172"/>
      <c r="M603" s="32"/>
      <c r="N603" s="32"/>
      <c r="O603" s="33"/>
      <c r="P603" s="33"/>
      <c r="Q603" s="32"/>
      <c r="R603" s="42"/>
      <c r="S603" s="42"/>
      <c r="T603" s="42"/>
      <c r="U603" s="32"/>
      <c r="V603" s="33"/>
      <c r="W603" s="33"/>
      <c r="X603" s="32"/>
      <c r="Y603" s="32"/>
      <c r="Z603" s="32"/>
      <c r="AA603" s="33"/>
      <c r="AB603" s="33"/>
      <c r="AC603" s="33"/>
      <c r="AD603" s="32"/>
      <c r="AE603" s="32"/>
      <c r="AF603" s="42"/>
      <c r="AG603" s="5"/>
    </row>
    <row r="604" spans="1:33" x14ac:dyDescent="0.25">
      <c r="A604" s="23"/>
      <c r="B604" s="24"/>
      <c r="C604" s="25"/>
      <c r="D604" s="27"/>
      <c r="E604" s="27"/>
      <c r="F604" s="28"/>
      <c r="G604" s="27"/>
      <c r="H604" s="27"/>
      <c r="I604" s="172"/>
      <c r="J604" s="214"/>
      <c r="K604" s="27"/>
      <c r="L604" s="172"/>
      <c r="M604" s="32"/>
      <c r="N604" s="32"/>
      <c r="O604" s="33"/>
      <c r="P604" s="33"/>
      <c r="Q604" s="32"/>
      <c r="R604" s="42"/>
      <c r="S604" s="42"/>
      <c r="T604" s="42"/>
      <c r="U604" s="32"/>
      <c r="V604" s="33"/>
      <c r="W604" s="33"/>
      <c r="X604" s="32"/>
      <c r="Y604" s="32"/>
      <c r="Z604" s="32"/>
      <c r="AA604" s="33"/>
      <c r="AB604" s="33"/>
      <c r="AC604" s="33"/>
      <c r="AD604" s="32"/>
      <c r="AE604" s="32"/>
      <c r="AF604" s="42"/>
      <c r="AG604" s="5"/>
    </row>
    <row r="605" spans="1:33" x14ac:dyDescent="0.25">
      <c r="A605" s="23"/>
      <c r="B605" s="24"/>
      <c r="C605" s="25"/>
      <c r="D605" s="27"/>
      <c r="E605" s="27"/>
      <c r="F605" s="28"/>
      <c r="G605" s="27"/>
      <c r="H605" s="27"/>
      <c r="I605" s="172"/>
      <c r="J605" s="214"/>
      <c r="K605" s="27"/>
      <c r="L605" s="172"/>
      <c r="M605" s="32"/>
      <c r="N605" s="32"/>
      <c r="O605" s="33"/>
      <c r="P605" s="33"/>
      <c r="Q605" s="32"/>
      <c r="R605" s="42"/>
      <c r="S605" s="42"/>
      <c r="T605" s="42"/>
      <c r="U605" s="32"/>
      <c r="V605" s="33"/>
      <c r="W605" s="33"/>
      <c r="X605" s="32"/>
      <c r="Y605" s="32"/>
      <c r="Z605" s="32"/>
      <c r="AA605" s="33"/>
      <c r="AB605" s="33"/>
      <c r="AC605" s="33"/>
      <c r="AD605" s="32"/>
      <c r="AE605" s="32"/>
      <c r="AF605" s="42"/>
      <c r="AG605" s="5"/>
    </row>
    <row r="606" spans="1:33" x14ac:dyDescent="0.25">
      <c r="A606" s="23"/>
      <c r="B606" s="24"/>
      <c r="C606" s="25"/>
      <c r="D606" s="27"/>
      <c r="E606" s="27"/>
      <c r="F606" s="28"/>
      <c r="G606" s="27"/>
      <c r="H606" s="27"/>
      <c r="I606" s="172"/>
      <c r="J606" s="214"/>
      <c r="K606" s="27"/>
      <c r="L606" s="172"/>
      <c r="M606" s="32"/>
      <c r="N606" s="32"/>
      <c r="O606" s="33"/>
      <c r="P606" s="33"/>
      <c r="Q606" s="32"/>
      <c r="R606" s="42"/>
      <c r="S606" s="42"/>
      <c r="T606" s="42"/>
      <c r="U606" s="32"/>
      <c r="V606" s="33"/>
      <c r="W606" s="33"/>
      <c r="X606" s="32"/>
      <c r="Y606" s="32"/>
      <c r="Z606" s="32"/>
      <c r="AA606" s="33"/>
      <c r="AB606" s="33"/>
      <c r="AC606" s="33"/>
      <c r="AD606" s="32"/>
      <c r="AE606" s="32"/>
      <c r="AF606" s="42"/>
      <c r="AG606" s="5"/>
    </row>
    <row r="607" spans="1:33" x14ac:dyDescent="0.25">
      <c r="A607" s="23"/>
      <c r="B607" s="24"/>
      <c r="C607" s="25"/>
      <c r="D607" s="27"/>
      <c r="E607" s="27"/>
      <c r="F607" s="28"/>
      <c r="G607" s="27"/>
      <c r="H607" s="27"/>
      <c r="I607" s="172"/>
      <c r="J607" s="214"/>
      <c r="K607" s="27"/>
      <c r="L607" s="172"/>
      <c r="M607" s="32"/>
      <c r="N607" s="32"/>
      <c r="O607" s="33"/>
      <c r="P607" s="33"/>
      <c r="Q607" s="32"/>
      <c r="R607" s="42"/>
      <c r="S607" s="42"/>
      <c r="T607" s="42"/>
      <c r="U607" s="32"/>
      <c r="V607" s="33"/>
      <c r="W607" s="33"/>
      <c r="X607" s="32"/>
      <c r="Y607" s="32"/>
      <c r="Z607" s="32"/>
      <c r="AA607" s="33"/>
      <c r="AB607" s="33"/>
      <c r="AC607" s="33"/>
      <c r="AD607" s="32"/>
      <c r="AE607" s="32"/>
      <c r="AF607" s="42"/>
      <c r="AG607" s="5"/>
    </row>
    <row r="608" spans="1:33" x14ac:dyDescent="0.25">
      <c r="A608" s="23"/>
      <c r="B608" s="24"/>
      <c r="C608" s="25"/>
      <c r="D608" s="27"/>
      <c r="E608" s="27"/>
      <c r="F608" s="28"/>
      <c r="G608" s="27"/>
      <c r="H608" s="27"/>
      <c r="I608" s="172"/>
      <c r="J608" s="214"/>
      <c r="K608" s="27"/>
      <c r="L608" s="172"/>
      <c r="M608" s="32"/>
      <c r="N608" s="32"/>
      <c r="O608" s="33"/>
      <c r="P608" s="33"/>
      <c r="Q608" s="32"/>
      <c r="R608" s="42"/>
      <c r="S608" s="42"/>
      <c r="T608" s="42"/>
      <c r="U608" s="32"/>
      <c r="V608" s="33"/>
      <c r="W608" s="33"/>
      <c r="X608" s="32"/>
      <c r="Y608" s="32"/>
      <c r="Z608" s="32"/>
      <c r="AA608" s="33"/>
      <c r="AB608" s="33"/>
      <c r="AC608" s="33"/>
      <c r="AD608" s="32"/>
      <c r="AE608" s="32"/>
      <c r="AF608" s="42"/>
      <c r="AG608" s="5"/>
    </row>
    <row r="609" spans="1:33" x14ac:dyDescent="0.25">
      <c r="A609" s="23"/>
      <c r="B609" s="24"/>
      <c r="C609" s="25"/>
      <c r="D609" s="27"/>
      <c r="E609" s="27"/>
      <c r="F609" s="28"/>
      <c r="G609" s="27"/>
      <c r="H609" s="27"/>
      <c r="I609" s="172"/>
      <c r="J609" s="214"/>
      <c r="K609" s="27"/>
      <c r="L609" s="172"/>
      <c r="M609" s="32"/>
      <c r="N609" s="32"/>
      <c r="O609" s="33"/>
      <c r="P609" s="33"/>
      <c r="Q609" s="32"/>
      <c r="R609" s="42"/>
      <c r="S609" s="42"/>
      <c r="T609" s="42"/>
      <c r="U609" s="32"/>
      <c r="V609" s="33"/>
      <c r="W609" s="33"/>
      <c r="X609" s="32"/>
      <c r="Y609" s="32"/>
      <c r="Z609" s="32"/>
      <c r="AA609" s="33"/>
      <c r="AB609" s="33"/>
      <c r="AC609" s="33"/>
      <c r="AD609" s="32"/>
      <c r="AE609" s="32"/>
      <c r="AF609" s="42"/>
      <c r="AG609" s="5"/>
    </row>
    <row r="610" spans="1:33" x14ac:dyDescent="0.25">
      <c r="A610" s="23"/>
      <c r="B610" s="24"/>
      <c r="C610" s="25"/>
      <c r="D610" s="27"/>
      <c r="E610" s="27"/>
      <c r="F610" s="28"/>
      <c r="G610" s="27"/>
      <c r="H610" s="27"/>
      <c r="I610" s="172"/>
      <c r="J610" s="214"/>
      <c r="K610" s="27"/>
      <c r="L610" s="172"/>
      <c r="M610" s="32"/>
      <c r="N610" s="32"/>
      <c r="O610" s="33"/>
      <c r="P610" s="33"/>
      <c r="Q610" s="32"/>
      <c r="R610" s="42"/>
      <c r="S610" s="42"/>
      <c r="T610" s="42"/>
      <c r="U610" s="32"/>
      <c r="V610" s="33"/>
      <c r="W610" s="33"/>
      <c r="X610" s="32"/>
      <c r="Y610" s="32"/>
      <c r="Z610" s="32"/>
      <c r="AA610" s="33"/>
      <c r="AB610" s="33"/>
      <c r="AC610" s="33"/>
      <c r="AD610" s="32"/>
      <c r="AE610" s="32"/>
      <c r="AF610" s="42"/>
      <c r="AG610" s="5"/>
    </row>
    <row r="611" spans="1:33" x14ac:dyDescent="0.25">
      <c r="A611" s="23"/>
      <c r="B611" s="24"/>
      <c r="C611" s="25"/>
      <c r="D611" s="27"/>
      <c r="E611" s="27"/>
      <c r="F611" s="28"/>
      <c r="G611" s="27"/>
      <c r="H611" s="27"/>
      <c r="I611" s="172"/>
      <c r="J611" s="214"/>
      <c r="K611" s="27"/>
      <c r="L611" s="172"/>
      <c r="M611" s="32"/>
      <c r="N611" s="32"/>
      <c r="O611" s="33"/>
      <c r="P611" s="33"/>
      <c r="Q611" s="32"/>
      <c r="R611" s="42"/>
      <c r="S611" s="42"/>
      <c r="T611" s="42"/>
      <c r="U611" s="32"/>
      <c r="V611" s="33"/>
      <c r="W611" s="33"/>
      <c r="X611" s="32"/>
      <c r="Y611" s="32"/>
      <c r="Z611" s="32"/>
      <c r="AA611" s="33"/>
      <c r="AB611" s="33"/>
      <c r="AC611" s="33"/>
      <c r="AD611" s="32"/>
      <c r="AE611" s="32"/>
      <c r="AF611" s="42"/>
      <c r="AG611" s="5"/>
    </row>
    <row r="612" spans="1:33" x14ac:dyDescent="0.25">
      <c r="A612" s="23"/>
      <c r="B612" s="24"/>
      <c r="C612" s="25"/>
      <c r="D612" s="27"/>
      <c r="E612" s="27"/>
      <c r="F612" s="28"/>
      <c r="G612" s="27"/>
      <c r="H612" s="27"/>
      <c r="I612" s="172"/>
      <c r="J612" s="214"/>
      <c r="K612" s="27"/>
      <c r="L612" s="172"/>
      <c r="M612" s="32"/>
      <c r="N612" s="32"/>
      <c r="O612" s="33"/>
      <c r="P612" s="33"/>
      <c r="Q612" s="32"/>
      <c r="R612" s="42"/>
      <c r="S612" s="42"/>
      <c r="T612" s="42"/>
      <c r="U612" s="32"/>
      <c r="V612" s="33"/>
      <c r="W612" s="33"/>
      <c r="X612" s="32"/>
      <c r="Y612" s="32"/>
      <c r="Z612" s="32"/>
      <c r="AA612" s="33"/>
      <c r="AB612" s="33"/>
      <c r="AC612" s="33"/>
      <c r="AD612" s="32"/>
      <c r="AE612" s="32"/>
      <c r="AF612" s="42"/>
      <c r="AG612" s="5"/>
    </row>
    <row r="613" spans="1:33" x14ac:dyDescent="0.25">
      <c r="A613" s="23"/>
      <c r="B613" s="24"/>
      <c r="C613" s="25"/>
      <c r="D613" s="27"/>
      <c r="E613" s="27"/>
      <c r="F613" s="28"/>
      <c r="G613" s="27"/>
      <c r="H613" s="27"/>
      <c r="I613" s="172"/>
      <c r="J613" s="214"/>
      <c r="K613" s="27"/>
      <c r="L613" s="172"/>
      <c r="M613" s="32"/>
      <c r="N613" s="32"/>
      <c r="O613" s="33"/>
      <c r="P613" s="33"/>
      <c r="Q613" s="32"/>
      <c r="R613" s="42"/>
      <c r="S613" s="42"/>
      <c r="T613" s="42"/>
      <c r="U613" s="32"/>
      <c r="V613" s="33"/>
      <c r="W613" s="33"/>
      <c r="X613" s="32"/>
      <c r="Y613" s="32"/>
      <c r="Z613" s="32"/>
      <c r="AA613" s="33"/>
      <c r="AB613" s="33"/>
      <c r="AC613" s="33"/>
      <c r="AD613" s="32"/>
      <c r="AE613" s="32"/>
      <c r="AF613" s="42"/>
      <c r="AG613" s="5"/>
    </row>
    <row r="614" spans="1:33" x14ac:dyDescent="0.25">
      <c r="A614" s="23"/>
      <c r="B614" s="24"/>
      <c r="C614" s="25"/>
      <c r="D614" s="27"/>
      <c r="E614" s="27"/>
      <c r="F614" s="28"/>
      <c r="G614" s="27"/>
      <c r="H614" s="27"/>
      <c r="I614" s="172"/>
      <c r="J614" s="214"/>
      <c r="K614" s="27"/>
      <c r="L614" s="172"/>
      <c r="M614" s="32"/>
      <c r="N614" s="32"/>
      <c r="O614" s="33"/>
      <c r="P614" s="33"/>
      <c r="Q614" s="32"/>
      <c r="R614" s="42"/>
      <c r="S614" s="42"/>
      <c r="T614" s="42"/>
      <c r="U614" s="32"/>
      <c r="V614" s="33"/>
      <c r="W614" s="33"/>
      <c r="X614" s="32"/>
      <c r="Y614" s="32"/>
      <c r="Z614" s="32"/>
      <c r="AA614" s="33"/>
      <c r="AB614" s="33"/>
      <c r="AC614" s="33"/>
      <c r="AD614" s="32"/>
      <c r="AE614" s="32"/>
      <c r="AF614" s="42"/>
      <c r="AG614" s="5"/>
    </row>
    <row r="615" spans="1:33" x14ac:dyDescent="0.25">
      <c r="A615" s="23"/>
      <c r="B615" s="24"/>
      <c r="C615" s="25"/>
      <c r="D615" s="27"/>
      <c r="E615" s="27"/>
      <c r="F615" s="28"/>
      <c r="G615" s="27"/>
      <c r="H615" s="27"/>
      <c r="I615" s="172"/>
      <c r="J615" s="214"/>
      <c r="K615" s="27"/>
      <c r="L615" s="172"/>
      <c r="M615" s="32"/>
      <c r="N615" s="32"/>
      <c r="O615" s="33"/>
      <c r="P615" s="33"/>
      <c r="Q615" s="32"/>
      <c r="R615" s="42"/>
      <c r="S615" s="42"/>
      <c r="T615" s="42"/>
      <c r="U615" s="32"/>
      <c r="V615" s="33"/>
      <c r="W615" s="33"/>
      <c r="X615" s="32"/>
      <c r="Y615" s="32"/>
      <c r="Z615" s="32"/>
      <c r="AA615" s="33"/>
      <c r="AB615" s="33"/>
      <c r="AC615" s="33"/>
      <c r="AD615" s="32"/>
      <c r="AE615" s="32"/>
      <c r="AF615" s="42"/>
      <c r="AG615" s="5"/>
    </row>
    <row r="616" spans="1:33" x14ac:dyDescent="0.25">
      <c r="A616" s="23"/>
      <c r="B616" s="24"/>
      <c r="C616" s="25"/>
      <c r="D616" s="27"/>
      <c r="E616" s="27"/>
      <c r="F616" s="28"/>
      <c r="G616" s="27"/>
      <c r="H616" s="27"/>
      <c r="I616" s="172"/>
      <c r="J616" s="214"/>
      <c r="K616" s="27"/>
      <c r="L616" s="172"/>
      <c r="M616" s="32"/>
      <c r="N616" s="32"/>
      <c r="O616" s="33"/>
      <c r="P616" s="33"/>
      <c r="Q616" s="32"/>
      <c r="R616" s="42"/>
      <c r="S616" s="42"/>
      <c r="T616" s="42"/>
      <c r="U616" s="32"/>
      <c r="V616" s="33"/>
      <c r="W616" s="33"/>
      <c r="X616" s="32"/>
      <c r="Y616" s="32"/>
      <c r="Z616" s="32"/>
      <c r="AA616" s="33"/>
      <c r="AB616" s="33"/>
      <c r="AC616" s="33"/>
      <c r="AD616" s="32"/>
      <c r="AE616" s="32"/>
      <c r="AF616" s="42"/>
      <c r="AG616" s="5"/>
    </row>
    <row r="617" spans="1:33" x14ac:dyDescent="0.25">
      <c r="A617" s="23"/>
      <c r="B617" s="24"/>
      <c r="C617" s="25"/>
      <c r="D617" s="27"/>
      <c r="E617" s="27"/>
      <c r="F617" s="28"/>
      <c r="G617" s="27"/>
      <c r="H617" s="27"/>
      <c r="I617" s="172"/>
      <c r="J617" s="214"/>
      <c r="K617" s="27"/>
      <c r="L617" s="172"/>
      <c r="M617" s="32"/>
      <c r="N617" s="32"/>
      <c r="O617" s="33"/>
      <c r="P617" s="33"/>
      <c r="Q617" s="32"/>
      <c r="R617" s="42"/>
      <c r="S617" s="42"/>
      <c r="T617" s="42"/>
      <c r="U617" s="32"/>
      <c r="V617" s="33"/>
      <c r="W617" s="33"/>
      <c r="X617" s="32"/>
      <c r="Y617" s="32"/>
      <c r="Z617" s="32"/>
      <c r="AA617" s="33"/>
      <c r="AB617" s="33"/>
      <c r="AC617" s="33"/>
      <c r="AD617" s="32"/>
      <c r="AE617" s="32"/>
      <c r="AF617" s="42"/>
      <c r="AG617" s="5"/>
    </row>
    <row r="618" spans="1:33" x14ac:dyDescent="0.25">
      <c r="A618" s="23"/>
      <c r="B618" s="24"/>
      <c r="C618" s="25"/>
      <c r="D618" s="27"/>
      <c r="E618" s="27"/>
      <c r="F618" s="28"/>
      <c r="G618" s="27"/>
      <c r="H618" s="27"/>
      <c r="I618" s="172"/>
      <c r="J618" s="214"/>
      <c r="K618" s="27"/>
      <c r="L618" s="172"/>
      <c r="M618" s="32"/>
      <c r="N618" s="32"/>
      <c r="O618" s="33"/>
      <c r="P618" s="33"/>
      <c r="Q618" s="32"/>
      <c r="R618" s="42"/>
      <c r="S618" s="42"/>
      <c r="T618" s="42"/>
      <c r="U618" s="32"/>
      <c r="V618" s="33"/>
      <c r="W618" s="33"/>
      <c r="X618" s="32"/>
      <c r="Y618" s="32"/>
      <c r="Z618" s="32"/>
      <c r="AA618" s="33"/>
      <c r="AB618" s="33"/>
      <c r="AC618" s="33"/>
      <c r="AD618" s="32"/>
      <c r="AE618" s="32"/>
      <c r="AF618" s="42"/>
      <c r="AG618" s="5"/>
    </row>
    <row r="619" spans="1:33" x14ac:dyDescent="0.25">
      <c r="A619" s="23"/>
      <c r="B619" s="24"/>
      <c r="C619" s="25"/>
      <c r="D619" s="27"/>
      <c r="E619" s="27"/>
      <c r="F619" s="28"/>
      <c r="G619" s="27"/>
      <c r="H619" s="27"/>
      <c r="I619" s="172"/>
      <c r="J619" s="214"/>
      <c r="K619" s="27"/>
      <c r="L619" s="172"/>
      <c r="M619" s="32"/>
      <c r="N619" s="32"/>
      <c r="O619" s="33"/>
      <c r="P619" s="33"/>
      <c r="Q619" s="32"/>
      <c r="R619" s="42"/>
      <c r="S619" s="42"/>
      <c r="T619" s="42"/>
      <c r="U619" s="32"/>
      <c r="V619" s="33"/>
      <c r="W619" s="33"/>
      <c r="X619" s="32"/>
      <c r="Y619" s="32"/>
      <c r="Z619" s="32"/>
      <c r="AA619" s="33"/>
      <c r="AB619" s="33"/>
      <c r="AC619" s="33"/>
      <c r="AD619" s="32"/>
      <c r="AE619" s="32"/>
      <c r="AF619" s="42"/>
      <c r="AG619" s="5"/>
    </row>
    <row r="620" spans="1:33" x14ac:dyDescent="0.25">
      <c r="A620" s="23"/>
      <c r="B620" s="24"/>
      <c r="C620" s="25"/>
      <c r="D620" s="27"/>
      <c r="E620" s="27"/>
      <c r="F620" s="28"/>
      <c r="G620" s="27"/>
      <c r="H620" s="27"/>
      <c r="I620" s="172"/>
      <c r="J620" s="214"/>
      <c r="K620" s="27"/>
      <c r="L620" s="172"/>
      <c r="M620" s="32"/>
      <c r="N620" s="32"/>
      <c r="O620" s="33"/>
      <c r="P620" s="33"/>
      <c r="Q620" s="32"/>
      <c r="R620" s="42"/>
      <c r="S620" s="42"/>
      <c r="T620" s="42"/>
      <c r="U620" s="32"/>
      <c r="V620" s="33"/>
      <c r="W620" s="33"/>
      <c r="X620" s="32"/>
      <c r="Y620" s="32"/>
      <c r="Z620" s="32"/>
      <c r="AA620" s="33"/>
      <c r="AB620" s="33"/>
      <c r="AC620" s="33"/>
      <c r="AD620" s="32"/>
      <c r="AE620" s="32"/>
      <c r="AF620" s="42"/>
      <c r="AG620" s="5"/>
    </row>
    <row r="621" spans="1:33" x14ac:dyDescent="0.25">
      <c r="A621" s="23"/>
      <c r="B621" s="24"/>
      <c r="C621" s="25"/>
      <c r="D621" s="27"/>
      <c r="E621" s="27"/>
      <c r="F621" s="28"/>
      <c r="G621" s="27"/>
      <c r="H621" s="27"/>
      <c r="I621" s="172"/>
      <c r="J621" s="214"/>
      <c r="K621" s="27"/>
      <c r="L621" s="172"/>
      <c r="M621" s="32"/>
      <c r="N621" s="32"/>
      <c r="O621" s="33"/>
      <c r="P621" s="33"/>
      <c r="Q621" s="32"/>
      <c r="R621" s="42"/>
      <c r="S621" s="42"/>
      <c r="T621" s="42"/>
      <c r="U621" s="32"/>
      <c r="V621" s="33"/>
      <c r="W621" s="33"/>
      <c r="X621" s="32"/>
      <c r="Y621" s="32"/>
      <c r="Z621" s="32"/>
      <c r="AA621" s="33"/>
      <c r="AB621" s="33"/>
      <c r="AC621" s="33"/>
      <c r="AD621" s="32"/>
      <c r="AE621" s="32"/>
      <c r="AF621" s="42"/>
      <c r="AG621" s="5"/>
    </row>
    <row r="622" spans="1:33" x14ac:dyDescent="0.25">
      <c r="A622" s="23"/>
      <c r="B622" s="24"/>
      <c r="C622" s="25"/>
      <c r="D622" s="27"/>
      <c r="E622" s="27"/>
      <c r="F622" s="28"/>
      <c r="G622" s="27"/>
      <c r="H622" s="27"/>
      <c r="I622" s="172"/>
      <c r="J622" s="214"/>
      <c r="K622" s="27"/>
      <c r="L622" s="172"/>
      <c r="M622" s="32"/>
      <c r="N622" s="32"/>
      <c r="O622" s="33"/>
      <c r="P622" s="33"/>
      <c r="Q622" s="32"/>
      <c r="R622" s="42"/>
      <c r="S622" s="42"/>
      <c r="T622" s="42"/>
      <c r="U622" s="32"/>
      <c r="V622" s="33"/>
      <c r="W622" s="33"/>
      <c r="X622" s="32"/>
      <c r="Y622" s="32"/>
      <c r="Z622" s="32"/>
      <c r="AA622" s="33"/>
      <c r="AB622" s="33"/>
      <c r="AC622" s="33"/>
      <c r="AD622" s="32"/>
      <c r="AE622" s="32"/>
      <c r="AF622" s="42"/>
      <c r="AG622" s="5"/>
    </row>
    <row r="623" spans="1:33" x14ac:dyDescent="0.25">
      <c r="A623" s="23"/>
      <c r="B623" s="24"/>
      <c r="C623" s="25"/>
      <c r="D623" s="27"/>
      <c r="E623" s="27"/>
      <c r="F623" s="28"/>
      <c r="G623" s="27"/>
      <c r="H623" s="27"/>
      <c r="I623" s="172"/>
      <c r="J623" s="214"/>
      <c r="K623" s="27"/>
      <c r="L623" s="172"/>
      <c r="M623" s="32"/>
      <c r="N623" s="32"/>
      <c r="O623" s="33"/>
      <c r="P623" s="33"/>
      <c r="Q623" s="32"/>
      <c r="R623" s="42"/>
      <c r="S623" s="42"/>
      <c r="T623" s="42"/>
      <c r="U623" s="32"/>
      <c r="V623" s="33"/>
      <c r="W623" s="33"/>
      <c r="X623" s="32"/>
      <c r="Y623" s="32"/>
      <c r="Z623" s="32"/>
      <c r="AA623" s="33"/>
      <c r="AB623" s="33"/>
      <c r="AC623" s="33"/>
      <c r="AD623" s="32"/>
      <c r="AE623" s="32"/>
      <c r="AF623" s="42"/>
      <c r="AG623" s="5"/>
    </row>
    <row r="624" spans="1:33" x14ac:dyDescent="0.25">
      <c r="A624" s="23"/>
      <c r="B624" s="24"/>
      <c r="C624" s="25"/>
      <c r="D624" s="27"/>
      <c r="E624" s="27"/>
      <c r="F624" s="28"/>
      <c r="G624" s="27"/>
      <c r="H624" s="27"/>
      <c r="I624" s="172"/>
      <c r="J624" s="214"/>
      <c r="K624" s="27"/>
      <c r="L624" s="172"/>
      <c r="M624" s="32"/>
      <c r="N624" s="32"/>
      <c r="O624" s="33"/>
      <c r="P624" s="33"/>
      <c r="Q624" s="32"/>
      <c r="R624" s="42"/>
      <c r="S624" s="42"/>
      <c r="T624" s="42"/>
      <c r="U624" s="32"/>
      <c r="V624" s="33"/>
      <c r="W624" s="33"/>
      <c r="X624" s="32"/>
      <c r="Y624" s="32"/>
      <c r="Z624" s="32"/>
      <c r="AA624" s="33"/>
      <c r="AB624" s="33"/>
      <c r="AC624" s="33"/>
      <c r="AD624" s="32"/>
      <c r="AE624" s="32"/>
      <c r="AF624" s="42"/>
      <c r="AG624" s="5"/>
    </row>
    <row r="625" spans="1:33" x14ac:dyDescent="0.25">
      <c r="A625" s="23"/>
      <c r="B625" s="24"/>
      <c r="C625" s="25"/>
      <c r="D625" s="27"/>
      <c r="E625" s="27"/>
      <c r="F625" s="28"/>
      <c r="G625" s="27"/>
      <c r="H625" s="27"/>
      <c r="I625" s="172"/>
      <c r="J625" s="214"/>
      <c r="K625" s="27"/>
      <c r="L625" s="172"/>
      <c r="M625" s="32"/>
      <c r="N625" s="32"/>
      <c r="O625" s="33"/>
      <c r="P625" s="33"/>
      <c r="Q625" s="32"/>
      <c r="R625" s="42"/>
      <c r="S625" s="42"/>
      <c r="T625" s="42"/>
      <c r="U625" s="32"/>
      <c r="V625" s="33"/>
      <c r="W625" s="33"/>
      <c r="X625" s="32"/>
      <c r="Y625" s="32"/>
      <c r="Z625" s="32"/>
      <c r="AA625" s="33"/>
      <c r="AB625" s="33"/>
      <c r="AC625" s="33"/>
      <c r="AD625" s="32"/>
      <c r="AE625" s="32"/>
      <c r="AF625" s="42"/>
      <c r="AG625" s="5"/>
    </row>
    <row r="626" spans="1:33" x14ac:dyDescent="0.25">
      <c r="A626" s="23"/>
      <c r="B626" s="24"/>
      <c r="C626" s="25"/>
      <c r="D626" s="27"/>
      <c r="E626" s="27"/>
      <c r="F626" s="28"/>
      <c r="G626" s="27"/>
      <c r="H626" s="27"/>
      <c r="I626" s="172"/>
      <c r="J626" s="214"/>
      <c r="K626" s="27"/>
      <c r="L626" s="172"/>
      <c r="M626" s="32"/>
      <c r="N626" s="32"/>
      <c r="O626" s="33"/>
      <c r="P626" s="33"/>
      <c r="Q626" s="32"/>
      <c r="R626" s="42"/>
      <c r="S626" s="42"/>
      <c r="T626" s="42"/>
      <c r="U626" s="32"/>
      <c r="V626" s="33"/>
      <c r="W626" s="33"/>
      <c r="X626" s="32"/>
      <c r="Y626" s="32"/>
      <c r="Z626" s="32"/>
      <c r="AA626" s="33"/>
      <c r="AB626" s="33"/>
      <c r="AC626" s="33"/>
      <c r="AD626" s="32"/>
      <c r="AE626" s="32"/>
      <c r="AF626" s="42"/>
      <c r="AG626" s="5"/>
    </row>
    <row r="627" spans="1:33" x14ac:dyDescent="0.25">
      <c r="A627" s="23"/>
      <c r="B627" s="24"/>
      <c r="C627" s="25"/>
      <c r="D627" s="27"/>
      <c r="E627" s="27"/>
      <c r="F627" s="28"/>
      <c r="G627" s="27"/>
      <c r="H627" s="27"/>
      <c r="I627" s="172"/>
      <c r="J627" s="214"/>
      <c r="K627" s="27"/>
      <c r="L627" s="172"/>
      <c r="M627" s="32"/>
      <c r="N627" s="32"/>
      <c r="O627" s="33"/>
      <c r="P627" s="33"/>
      <c r="Q627" s="32"/>
      <c r="R627" s="42"/>
      <c r="S627" s="42"/>
      <c r="T627" s="42"/>
      <c r="U627" s="32"/>
      <c r="V627" s="33"/>
      <c r="W627" s="33"/>
      <c r="X627" s="32"/>
      <c r="Y627" s="32"/>
      <c r="Z627" s="32"/>
      <c r="AA627" s="33"/>
      <c r="AB627" s="33"/>
      <c r="AC627" s="33"/>
      <c r="AD627" s="32"/>
      <c r="AE627" s="32"/>
      <c r="AF627" s="42"/>
      <c r="AG627" s="5"/>
    </row>
    <row r="628" spans="1:33" x14ac:dyDescent="0.25">
      <c r="A628" s="23"/>
      <c r="B628" s="24"/>
      <c r="C628" s="25"/>
      <c r="D628" s="27"/>
      <c r="E628" s="27"/>
      <c r="F628" s="28"/>
      <c r="G628" s="27"/>
      <c r="H628" s="27"/>
      <c r="I628" s="172"/>
      <c r="J628" s="214"/>
      <c r="K628" s="27"/>
      <c r="L628" s="172"/>
      <c r="M628" s="32"/>
      <c r="N628" s="32"/>
      <c r="O628" s="33"/>
      <c r="P628" s="33"/>
      <c r="Q628" s="32"/>
      <c r="R628" s="42"/>
      <c r="S628" s="42"/>
      <c r="T628" s="42"/>
      <c r="U628" s="32"/>
      <c r="V628" s="33"/>
      <c r="W628" s="33"/>
      <c r="X628" s="32"/>
      <c r="Y628" s="32"/>
      <c r="Z628" s="32"/>
      <c r="AA628" s="33"/>
      <c r="AB628" s="33"/>
      <c r="AC628" s="33"/>
      <c r="AD628" s="32"/>
      <c r="AE628" s="32"/>
      <c r="AF628" s="42"/>
      <c r="AG628" s="5"/>
    </row>
    <row r="629" spans="1:33" x14ac:dyDescent="0.25">
      <c r="A629" s="23"/>
      <c r="B629" s="24"/>
      <c r="C629" s="25"/>
      <c r="D629" s="27"/>
      <c r="E629" s="27"/>
      <c r="F629" s="28"/>
      <c r="G629" s="27"/>
      <c r="H629" s="27"/>
      <c r="I629" s="172"/>
      <c r="J629" s="214"/>
      <c r="K629" s="27"/>
      <c r="L629" s="172"/>
      <c r="M629" s="32"/>
      <c r="N629" s="32"/>
      <c r="O629" s="33"/>
      <c r="P629" s="33"/>
      <c r="Q629" s="32"/>
      <c r="R629" s="42"/>
      <c r="S629" s="42"/>
      <c r="T629" s="42"/>
      <c r="U629" s="32"/>
      <c r="V629" s="33"/>
      <c r="W629" s="33"/>
      <c r="X629" s="32"/>
      <c r="Y629" s="32"/>
      <c r="Z629" s="32"/>
      <c r="AA629" s="33"/>
      <c r="AB629" s="33"/>
      <c r="AC629" s="33"/>
      <c r="AD629" s="32"/>
      <c r="AE629" s="32"/>
      <c r="AF629" s="42"/>
      <c r="AG629" s="5"/>
    </row>
    <row r="630" spans="1:33" x14ac:dyDescent="0.25">
      <c r="A630" s="23"/>
      <c r="B630" s="24"/>
      <c r="C630" s="25"/>
      <c r="D630" s="27"/>
      <c r="E630" s="27"/>
      <c r="F630" s="28"/>
      <c r="G630" s="27"/>
      <c r="H630" s="27"/>
      <c r="I630" s="172"/>
      <c r="J630" s="214"/>
      <c r="K630" s="27"/>
      <c r="L630" s="172"/>
      <c r="M630" s="32"/>
      <c r="N630" s="32"/>
      <c r="O630" s="33"/>
      <c r="P630" s="33"/>
      <c r="Q630" s="32"/>
      <c r="R630" s="42"/>
      <c r="S630" s="42"/>
      <c r="T630" s="42"/>
      <c r="U630" s="32"/>
      <c r="V630" s="33"/>
      <c r="W630" s="33"/>
      <c r="X630" s="32"/>
      <c r="Y630" s="32"/>
      <c r="Z630" s="32"/>
      <c r="AA630" s="33"/>
      <c r="AB630" s="33"/>
      <c r="AC630" s="33"/>
      <c r="AD630" s="32"/>
      <c r="AE630" s="32"/>
      <c r="AF630" s="42"/>
      <c r="AG630" s="5"/>
    </row>
    <row r="631" spans="1:33" x14ac:dyDescent="0.25">
      <c r="A631" s="23"/>
      <c r="B631" s="24"/>
      <c r="C631" s="25"/>
      <c r="D631" s="27"/>
      <c r="E631" s="27"/>
      <c r="F631" s="28"/>
      <c r="G631" s="27"/>
      <c r="H631" s="27"/>
      <c r="I631" s="172"/>
      <c r="J631" s="214"/>
      <c r="K631" s="27"/>
      <c r="L631" s="172"/>
      <c r="M631" s="32"/>
      <c r="N631" s="32"/>
      <c r="O631" s="33"/>
      <c r="P631" s="33"/>
      <c r="Q631" s="32"/>
      <c r="R631" s="42"/>
      <c r="S631" s="42"/>
      <c r="T631" s="42"/>
      <c r="U631" s="32"/>
      <c r="V631" s="33"/>
      <c r="W631" s="33"/>
      <c r="X631" s="32"/>
      <c r="Y631" s="32"/>
      <c r="Z631" s="32"/>
      <c r="AA631" s="33"/>
      <c r="AB631" s="33"/>
      <c r="AC631" s="33"/>
      <c r="AD631" s="32"/>
      <c r="AE631" s="32"/>
      <c r="AF631" s="42"/>
      <c r="AG631" s="5"/>
    </row>
    <row r="632" spans="1:33" x14ac:dyDescent="0.25">
      <c r="A632" s="23"/>
      <c r="B632" s="24"/>
      <c r="C632" s="25"/>
      <c r="D632" s="27"/>
      <c r="E632" s="27"/>
      <c r="F632" s="28"/>
      <c r="G632" s="27"/>
      <c r="H632" s="27"/>
      <c r="I632" s="172"/>
      <c r="J632" s="214"/>
      <c r="K632" s="27"/>
      <c r="L632" s="172"/>
      <c r="M632" s="32"/>
      <c r="N632" s="32"/>
      <c r="O632" s="33"/>
      <c r="P632" s="33"/>
      <c r="Q632" s="32"/>
      <c r="R632" s="42"/>
      <c r="S632" s="42"/>
      <c r="T632" s="42"/>
      <c r="U632" s="32"/>
      <c r="V632" s="33"/>
      <c r="W632" s="33"/>
      <c r="X632" s="32"/>
      <c r="Y632" s="32"/>
      <c r="Z632" s="32"/>
      <c r="AA632" s="33"/>
      <c r="AB632" s="33"/>
      <c r="AC632" s="33"/>
      <c r="AD632" s="32"/>
      <c r="AE632" s="32"/>
      <c r="AF632" s="42"/>
      <c r="AG632" s="5"/>
    </row>
    <row r="633" spans="1:33" x14ac:dyDescent="0.25">
      <c r="A633" s="23"/>
      <c r="B633" s="24"/>
      <c r="C633" s="25"/>
      <c r="D633" s="27"/>
      <c r="E633" s="27"/>
      <c r="F633" s="28"/>
      <c r="G633" s="27"/>
      <c r="H633" s="27"/>
      <c r="I633" s="172"/>
      <c r="J633" s="214"/>
      <c r="K633" s="27"/>
      <c r="L633" s="172"/>
      <c r="M633" s="32"/>
      <c r="N633" s="32"/>
      <c r="O633" s="33"/>
      <c r="P633" s="33"/>
      <c r="Q633" s="32"/>
      <c r="R633" s="42"/>
      <c r="S633" s="42"/>
      <c r="T633" s="42"/>
      <c r="U633" s="32"/>
      <c r="V633" s="33"/>
      <c r="W633" s="33"/>
      <c r="X633" s="32"/>
      <c r="Y633" s="32"/>
      <c r="Z633" s="32"/>
      <c r="AA633" s="33"/>
      <c r="AB633" s="33"/>
      <c r="AC633" s="33"/>
      <c r="AD633" s="32"/>
      <c r="AE633" s="32"/>
      <c r="AF633" s="42"/>
      <c r="AG633" s="5"/>
    </row>
    <row r="634" spans="1:33" x14ac:dyDescent="0.25">
      <c r="A634" s="23"/>
      <c r="B634" s="24"/>
      <c r="C634" s="25"/>
      <c r="D634" s="27"/>
      <c r="E634" s="27"/>
      <c r="F634" s="28"/>
      <c r="G634" s="27"/>
      <c r="H634" s="27"/>
      <c r="I634" s="172"/>
      <c r="J634" s="214"/>
      <c r="K634" s="27"/>
      <c r="L634" s="172"/>
      <c r="M634" s="32"/>
      <c r="N634" s="32"/>
      <c r="O634" s="33"/>
      <c r="P634" s="33"/>
      <c r="Q634" s="32"/>
      <c r="R634" s="42"/>
      <c r="S634" s="42"/>
      <c r="T634" s="42"/>
      <c r="U634" s="32"/>
      <c r="V634" s="33"/>
      <c r="W634" s="33"/>
      <c r="X634" s="32"/>
      <c r="Y634" s="32"/>
      <c r="Z634" s="32"/>
      <c r="AA634" s="33"/>
      <c r="AB634" s="33"/>
      <c r="AC634" s="33"/>
      <c r="AD634" s="32"/>
      <c r="AE634" s="32"/>
      <c r="AF634" s="42"/>
      <c r="AG634" s="5"/>
    </row>
    <row r="635" spans="1:33" x14ac:dyDescent="0.25">
      <c r="A635" s="23"/>
      <c r="B635" s="24"/>
      <c r="C635" s="25"/>
      <c r="D635" s="27"/>
      <c r="E635" s="27"/>
      <c r="F635" s="28"/>
      <c r="G635" s="27"/>
      <c r="H635" s="27"/>
      <c r="I635" s="172"/>
      <c r="J635" s="214"/>
      <c r="K635" s="27"/>
      <c r="L635" s="172"/>
      <c r="M635" s="32"/>
      <c r="N635" s="32"/>
      <c r="O635" s="33"/>
      <c r="P635" s="33"/>
      <c r="Q635" s="32"/>
      <c r="R635" s="42"/>
      <c r="S635" s="42"/>
      <c r="T635" s="42"/>
      <c r="U635" s="32"/>
      <c r="V635" s="33"/>
      <c r="W635" s="33"/>
      <c r="X635" s="32"/>
      <c r="Y635" s="32"/>
      <c r="Z635" s="32"/>
      <c r="AA635" s="33"/>
      <c r="AB635" s="33"/>
      <c r="AC635" s="33"/>
      <c r="AD635" s="32"/>
      <c r="AE635" s="32"/>
      <c r="AF635" s="42"/>
      <c r="AG635" s="5"/>
    </row>
    <row r="636" spans="1:33" x14ac:dyDescent="0.25">
      <c r="A636" s="23"/>
      <c r="B636" s="24"/>
      <c r="C636" s="25"/>
      <c r="D636" s="27"/>
      <c r="E636" s="27"/>
      <c r="F636" s="28"/>
      <c r="G636" s="27"/>
      <c r="H636" s="27"/>
      <c r="I636" s="172"/>
      <c r="J636" s="214"/>
      <c r="K636" s="27"/>
      <c r="L636" s="172"/>
      <c r="M636" s="32"/>
      <c r="N636" s="32"/>
      <c r="O636" s="33"/>
      <c r="P636" s="33"/>
      <c r="Q636" s="32"/>
      <c r="R636" s="42"/>
      <c r="S636" s="42"/>
      <c r="T636" s="42"/>
      <c r="U636" s="32"/>
      <c r="V636" s="33"/>
      <c r="W636" s="33"/>
      <c r="X636" s="32"/>
      <c r="Y636" s="32"/>
      <c r="Z636" s="32"/>
      <c r="AA636" s="33"/>
      <c r="AB636" s="33"/>
      <c r="AC636" s="33"/>
      <c r="AD636" s="32"/>
      <c r="AE636" s="32"/>
      <c r="AF636" s="42"/>
      <c r="AG636" s="5"/>
    </row>
    <row r="637" spans="1:33" x14ac:dyDescent="0.25">
      <c r="A637" s="23"/>
      <c r="B637" s="24"/>
      <c r="C637" s="25"/>
      <c r="D637" s="27"/>
      <c r="E637" s="27"/>
      <c r="F637" s="28"/>
      <c r="G637" s="27"/>
      <c r="H637" s="27"/>
      <c r="I637" s="172"/>
      <c r="J637" s="214"/>
      <c r="K637" s="27"/>
      <c r="L637" s="172"/>
      <c r="M637" s="32"/>
      <c r="N637" s="32"/>
      <c r="O637" s="33"/>
      <c r="P637" s="33"/>
      <c r="Q637" s="32"/>
      <c r="R637" s="42"/>
      <c r="S637" s="42"/>
      <c r="T637" s="42"/>
      <c r="U637" s="32"/>
      <c r="V637" s="33"/>
      <c r="W637" s="33"/>
      <c r="X637" s="32"/>
      <c r="Y637" s="32"/>
      <c r="Z637" s="32"/>
      <c r="AA637" s="33"/>
      <c r="AB637" s="33"/>
      <c r="AC637" s="33"/>
      <c r="AD637" s="32"/>
      <c r="AE637" s="32"/>
      <c r="AF637" s="42"/>
      <c r="AG637" s="5"/>
    </row>
    <row r="638" spans="1:33" x14ac:dyDescent="0.25">
      <c r="A638" s="23"/>
      <c r="B638" s="24"/>
      <c r="C638" s="25"/>
      <c r="D638" s="27"/>
      <c r="E638" s="27"/>
      <c r="F638" s="28"/>
      <c r="G638" s="27"/>
      <c r="H638" s="27"/>
      <c r="I638" s="172"/>
      <c r="J638" s="214"/>
      <c r="K638" s="27"/>
      <c r="L638" s="172"/>
      <c r="M638" s="32"/>
      <c r="N638" s="32"/>
      <c r="O638" s="33"/>
      <c r="P638" s="33"/>
      <c r="Q638" s="32"/>
      <c r="R638" s="42"/>
      <c r="S638" s="42"/>
      <c r="T638" s="42"/>
      <c r="U638" s="32"/>
      <c r="V638" s="33"/>
      <c r="W638" s="33"/>
      <c r="X638" s="32"/>
      <c r="Y638" s="32"/>
      <c r="Z638" s="32"/>
      <c r="AA638" s="33"/>
      <c r="AB638" s="33"/>
      <c r="AC638" s="33"/>
      <c r="AD638" s="32"/>
      <c r="AE638" s="32"/>
      <c r="AF638" s="42"/>
      <c r="AG638" s="5"/>
    </row>
    <row r="639" spans="1:33" x14ac:dyDescent="0.25">
      <c r="A639" s="23"/>
      <c r="B639" s="24"/>
      <c r="C639" s="25"/>
      <c r="D639" s="27"/>
      <c r="E639" s="27"/>
      <c r="F639" s="28"/>
      <c r="G639" s="27"/>
      <c r="H639" s="27"/>
      <c r="I639" s="172"/>
      <c r="J639" s="214"/>
      <c r="K639" s="27"/>
      <c r="L639" s="172"/>
      <c r="M639" s="32"/>
      <c r="N639" s="32"/>
      <c r="O639" s="33"/>
      <c r="P639" s="33"/>
      <c r="Q639" s="32"/>
      <c r="R639" s="42"/>
      <c r="S639" s="42"/>
      <c r="T639" s="42"/>
      <c r="U639" s="32"/>
      <c r="V639" s="33"/>
      <c r="W639" s="33"/>
      <c r="X639" s="32"/>
      <c r="Y639" s="32"/>
      <c r="Z639" s="32"/>
      <c r="AA639" s="33"/>
      <c r="AB639" s="33"/>
      <c r="AC639" s="33"/>
      <c r="AD639" s="32"/>
      <c r="AE639" s="32"/>
      <c r="AF639" s="42"/>
      <c r="AG639" s="5"/>
    </row>
    <row r="640" spans="1:33" x14ac:dyDescent="0.25">
      <c r="A640" s="23"/>
      <c r="B640" s="24"/>
      <c r="C640" s="25"/>
      <c r="D640" s="27"/>
      <c r="E640" s="27"/>
      <c r="F640" s="28"/>
      <c r="G640" s="27"/>
      <c r="H640" s="27"/>
      <c r="I640" s="172"/>
      <c r="J640" s="214"/>
      <c r="K640" s="27"/>
      <c r="L640" s="172"/>
      <c r="M640" s="32"/>
      <c r="N640" s="32"/>
      <c r="O640" s="33"/>
      <c r="P640" s="33"/>
      <c r="Q640" s="32"/>
      <c r="R640" s="42"/>
      <c r="S640" s="42"/>
      <c r="T640" s="42"/>
      <c r="U640" s="32"/>
      <c r="V640" s="33"/>
      <c r="W640" s="33"/>
      <c r="X640" s="32"/>
      <c r="Y640" s="32"/>
      <c r="Z640" s="32"/>
      <c r="AA640" s="33"/>
      <c r="AB640" s="33"/>
      <c r="AC640" s="33"/>
      <c r="AD640" s="32"/>
      <c r="AE640" s="32"/>
      <c r="AF640" s="42"/>
      <c r="AG640" s="5"/>
    </row>
    <row r="641" spans="1:33" x14ac:dyDescent="0.25">
      <c r="A641" s="23"/>
      <c r="B641" s="24"/>
      <c r="C641" s="25"/>
      <c r="D641" s="27"/>
      <c r="E641" s="27"/>
      <c r="F641" s="28"/>
      <c r="G641" s="27"/>
      <c r="H641" s="27"/>
      <c r="I641" s="172"/>
      <c r="J641" s="214"/>
      <c r="K641" s="27"/>
      <c r="L641" s="172"/>
      <c r="M641" s="32"/>
      <c r="N641" s="32"/>
      <c r="O641" s="33"/>
      <c r="P641" s="33"/>
      <c r="Q641" s="32"/>
      <c r="R641" s="42"/>
      <c r="S641" s="42"/>
      <c r="T641" s="42"/>
      <c r="U641" s="32"/>
      <c r="V641" s="33"/>
      <c r="W641" s="33"/>
      <c r="X641" s="32"/>
      <c r="Y641" s="32"/>
      <c r="Z641" s="32"/>
      <c r="AA641" s="33"/>
      <c r="AB641" s="33"/>
      <c r="AC641" s="33"/>
      <c r="AD641" s="32"/>
      <c r="AE641" s="32"/>
      <c r="AF641" s="42"/>
      <c r="AG641" s="5"/>
    </row>
    <row r="642" spans="1:33" x14ac:dyDescent="0.25">
      <c r="A642" s="23"/>
      <c r="B642" s="24"/>
      <c r="C642" s="25"/>
      <c r="D642" s="27"/>
      <c r="E642" s="27"/>
      <c r="F642" s="28"/>
      <c r="G642" s="27"/>
      <c r="H642" s="27"/>
      <c r="I642" s="172"/>
      <c r="J642" s="214"/>
      <c r="K642" s="27"/>
      <c r="L642" s="172"/>
      <c r="M642" s="32"/>
      <c r="N642" s="32"/>
      <c r="O642" s="33"/>
      <c r="P642" s="33"/>
      <c r="Q642" s="32"/>
      <c r="R642" s="42"/>
      <c r="S642" s="42"/>
      <c r="T642" s="42"/>
      <c r="U642" s="32"/>
      <c r="V642" s="33"/>
      <c r="W642" s="33"/>
      <c r="X642" s="32"/>
      <c r="Y642" s="32"/>
      <c r="Z642" s="32"/>
      <c r="AA642" s="33"/>
      <c r="AB642" s="33"/>
      <c r="AC642" s="33"/>
      <c r="AD642" s="32"/>
      <c r="AE642" s="32"/>
      <c r="AF642" s="42"/>
      <c r="AG642" s="5"/>
    </row>
    <row r="643" spans="1:33" x14ac:dyDescent="0.25">
      <c r="A643" s="23"/>
      <c r="B643" s="24"/>
      <c r="C643" s="25"/>
      <c r="D643" s="27"/>
      <c r="E643" s="27"/>
      <c r="F643" s="28"/>
      <c r="G643" s="27"/>
      <c r="H643" s="27"/>
      <c r="I643" s="172"/>
      <c r="J643" s="214"/>
      <c r="K643" s="27"/>
      <c r="L643" s="172"/>
      <c r="M643" s="32"/>
      <c r="N643" s="32"/>
      <c r="O643" s="33"/>
      <c r="P643" s="33"/>
      <c r="Q643" s="32"/>
      <c r="R643" s="42"/>
      <c r="S643" s="42"/>
      <c r="T643" s="42"/>
      <c r="U643" s="32"/>
      <c r="V643" s="33"/>
      <c r="W643" s="33"/>
      <c r="X643" s="32"/>
      <c r="Y643" s="32"/>
      <c r="Z643" s="32"/>
      <c r="AA643" s="33"/>
      <c r="AB643" s="33"/>
      <c r="AC643" s="33"/>
      <c r="AD643" s="32"/>
      <c r="AE643" s="32"/>
      <c r="AF643" s="42"/>
      <c r="AG643" s="5"/>
    </row>
    <row r="644" spans="1:33" x14ac:dyDescent="0.25">
      <c r="A644" s="23"/>
      <c r="B644" s="24"/>
      <c r="C644" s="25"/>
      <c r="D644" s="27"/>
      <c r="E644" s="27"/>
      <c r="F644" s="28"/>
      <c r="G644" s="27"/>
      <c r="H644" s="27"/>
      <c r="I644" s="172"/>
      <c r="J644" s="214"/>
      <c r="K644" s="27"/>
      <c r="L644" s="172"/>
      <c r="M644" s="32"/>
      <c r="N644" s="32"/>
      <c r="O644" s="33"/>
      <c r="P644" s="33"/>
      <c r="Q644" s="32"/>
      <c r="R644" s="42"/>
      <c r="S644" s="42"/>
      <c r="T644" s="42"/>
      <c r="U644" s="32"/>
      <c r="V644" s="33"/>
      <c r="W644" s="33"/>
      <c r="X644" s="32"/>
      <c r="Y644" s="32"/>
      <c r="Z644" s="32"/>
      <c r="AA644" s="33"/>
      <c r="AB644" s="33"/>
      <c r="AC644" s="33"/>
      <c r="AD644" s="32"/>
      <c r="AE644" s="32"/>
      <c r="AF644" s="42"/>
      <c r="AG644" s="5"/>
    </row>
    <row r="645" spans="1:33" x14ac:dyDescent="0.25">
      <c r="A645" s="23"/>
      <c r="B645" s="24"/>
      <c r="C645" s="25"/>
      <c r="D645" s="27"/>
      <c r="E645" s="27"/>
      <c r="F645" s="28"/>
      <c r="G645" s="27"/>
      <c r="H645" s="27"/>
      <c r="I645" s="172"/>
      <c r="J645" s="214"/>
      <c r="K645" s="27"/>
      <c r="L645" s="172"/>
      <c r="M645" s="32"/>
      <c r="N645" s="32"/>
      <c r="O645" s="33"/>
      <c r="P645" s="33"/>
      <c r="Q645" s="32"/>
      <c r="R645" s="42"/>
      <c r="S645" s="42"/>
      <c r="T645" s="42"/>
      <c r="U645" s="32"/>
      <c r="V645" s="33"/>
      <c r="W645" s="33"/>
      <c r="X645" s="32"/>
      <c r="Y645" s="32"/>
      <c r="Z645" s="32"/>
      <c r="AA645" s="33"/>
      <c r="AB645" s="33"/>
      <c r="AC645" s="33"/>
      <c r="AD645" s="32"/>
      <c r="AE645" s="32"/>
      <c r="AF645" s="42"/>
      <c r="AG645" s="5"/>
    </row>
    <row r="646" spans="1:33" x14ac:dyDescent="0.25">
      <c r="A646" s="23"/>
      <c r="B646" s="24"/>
      <c r="C646" s="25"/>
      <c r="D646" s="27"/>
      <c r="E646" s="27"/>
      <c r="F646" s="28"/>
      <c r="G646" s="27"/>
      <c r="H646" s="27"/>
      <c r="I646" s="172"/>
      <c r="J646" s="214"/>
      <c r="K646" s="27"/>
      <c r="L646" s="172"/>
      <c r="M646" s="32"/>
      <c r="N646" s="32"/>
      <c r="O646" s="33"/>
      <c r="P646" s="33"/>
      <c r="Q646" s="32"/>
      <c r="R646" s="42"/>
      <c r="S646" s="42"/>
      <c r="T646" s="42"/>
      <c r="U646" s="32"/>
      <c r="V646" s="33"/>
      <c r="W646" s="33"/>
      <c r="X646" s="32"/>
      <c r="Y646" s="32"/>
      <c r="Z646" s="32"/>
      <c r="AA646" s="33"/>
      <c r="AB646" s="33"/>
      <c r="AC646" s="33"/>
      <c r="AD646" s="32"/>
      <c r="AE646" s="32"/>
      <c r="AF646" s="42"/>
      <c r="AG646" s="5"/>
    </row>
    <row r="647" spans="1:33" x14ac:dyDescent="0.25">
      <c r="A647" s="23"/>
      <c r="B647" s="24"/>
      <c r="C647" s="25"/>
      <c r="D647" s="27"/>
      <c r="E647" s="27"/>
      <c r="F647" s="28"/>
      <c r="G647" s="27"/>
      <c r="H647" s="27"/>
      <c r="I647" s="172"/>
      <c r="J647" s="214"/>
      <c r="K647" s="27"/>
      <c r="L647" s="172"/>
      <c r="M647" s="32"/>
      <c r="N647" s="32"/>
      <c r="O647" s="33"/>
      <c r="P647" s="33"/>
      <c r="Q647" s="32"/>
      <c r="R647" s="42"/>
      <c r="S647" s="42"/>
      <c r="T647" s="42"/>
      <c r="U647" s="32"/>
      <c r="V647" s="33"/>
      <c r="W647" s="33"/>
      <c r="X647" s="32"/>
      <c r="Y647" s="32"/>
      <c r="Z647" s="32"/>
      <c r="AA647" s="33"/>
      <c r="AB647" s="33"/>
      <c r="AC647" s="33"/>
      <c r="AD647" s="32"/>
      <c r="AE647" s="32"/>
      <c r="AF647" s="42"/>
      <c r="AG647" s="5"/>
    </row>
    <row r="648" spans="1:33" x14ac:dyDescent="0.25">
      <c r="A648" s="23"/>
      <c r="B648" s="24"/>
      <c r="C648" s="25"/>
      <c r="D648" s="27"/>
      <c r="E648" s="27"/>
      <c r="F648" s="28"/>
      <c r="G648" s="27"/>
      <c r="H648" s="27"/>
      <c r="I648" s="172"/>
      <c r="J648" s="214"/>
      <c r="K648" s="27"/>
      <c r="L648" s="172"/>
      <c r="M648" s="32"/>
      <c r="N648" s="32"/>
      <c r="O648" s="33"/>
      <c r="P648" s="33"/>
      <c r="Q648" s="32"/>
      <c r="R648" s="42"/>
      <c r="S648" s="42"/>
      <c r="T648" s="42"/>
      <c r="U648" s="32"/>
      <c r="V648" s="33"/>
      <c r="W648" s="33"/>
      <c r="X648" s="32"/>
      <c r="Y648" s="32"/>
      <c r="Z648" s="32"/>
      <c r="AA648" s="33"/>
      <c r="AB648" s="33"/>
      <c r="AC648" s="33"/>
      <c r="AD648" s="32"/>
      <c r="AE648" s="32"/>
      <c r="AF648" s="42"/>
      <c r="AG648" s="5"/>
    </row>
    <row r="649" spans="1:33" x14ac:dyDescent="0.25">
      <c r="A649" s="23"/>
      <c r="B649" s="24"/>
      <c r="C649" s="25"/>
      <c r="D649" s="27"/>
      <c r="E649" s="27"/>
      <c r="F649" s="28"/>
      <c r="G649" s="27"/>
      <c r="H649" s="27"/>
      <c r="I649" s="172"/>
      <c r="J649" s="214"/>
      <c r="K649" s="27"/>
      <c r="L649" s="172"/>
      <c r="M649" s="32"/>
      <c r="N649" s="32"/>
      <c r="O649" s="33"/>
      <c r="P649" s="33"/>
      <c r="Q649" s="32"/>
      <c r="R649" s="42"/>
      <c r="S649" s="42"/>
      <c r="T649" s="42"/>
      <c r="U649" s="32"/>
      <c r="V649" s="33"/>
      <c r="W649" s="33"/>
      <c r="X649" s="32"/>
      <c r="Y649" s="32"/>
      <c r="Z649" s="32"/>
      <c r="AA649" s="33"/>
      <c r="AB649" s="33"/>
      <c r="AC649" s="33"/>
      <c r="AD649" s="32"/>
      <c r="AE649" s="32"/>
      <c r="AF649" s="42"/>
      <c r="AG649" s="5"/>
    </row>
    <row r="650" spans="1:33" x14ac:dyDescent="0.25">
      <c r="A650" s="23"/>
      <c r="B650" s="24"/>
      <c r="C650" s="25"/>
      <c r="D650" s="27"/>
      <c r="E650" s="27"/>
      <c r="F650" s="28"/>
      <c r="G650" s="27"/>
      <c r="H650" s="27"/>
      <c r="I650" s="172"/>
      <c r="J650" s="214"/>
      <c r="K650" s="27"/>
      <c r="L650" s="172"/>
      <c r="M650" s="32"/>
      <c r="N650" s="32"/>
      <c r="O650" s="33"/>
      <c r="P650" s="33"/>
      <c r="Q650" s="32"/>
      <c r="R650" s="42"/>
      <c r="S650" s="42"/>
      <c r="T650" s="42"/>
      <c r="U650" s="32"/>
      <c r="V650" s="33"/>
      <c r="W650" s="33"/>
      <c r="X650" s="32"/>
      <c r="Y650" s="32"/>
      <c r="Z650" s="32"/>
      <c r="AA650" s="33"/>
      <c r="AB650" s="33"/>
      <c r="AC650" s="33"/>
      <c r="AD650" s="32"/>
      <c r="AE650" s="32"/>
      <c r="AF650" s="42"/>
      <c r="AG650" s="5"/>
    </row>
    <row r="651" spans="1:33" x14ac:dyDescent="0.25">
      <c r="A651" s="23"/>
      <c r="B651" s="24"/>
      <c r="C651" s="25"/>
      <c r="D651" s="27"/>
      <c r="E651" s="27"/>
      <c r="F651" s="28"/>
      <c r="G651" s="27"/>
      <c r="H651" s="27"/>
      <c r="I651" s="172"/>
      <c r="J651" s="214"/>
      <c r="K651" s="27"/>
      <c r="L651" s="172"/>
      <c r="M651" s="32"/>
      <c r="N651" s="32"/>
      <c r="O651" s="33"/>
      <c r="P651" s="33"/>
      <c r="Q651" s="32"/>
      <c r="R651" s="42"/>
      <c r="S651" s="42"/>
      <c r="T651" s="42"/>
      <c r="U651" s="32"/>
      <c r="V651" s="33"/>
      <c r="W651" s="33"/>
      <c r="X651" s="32"/>
      <c r="Y651" s="32"/>
      <c r="Z651" s="32"/>
      <c r="AA651" s="33"/>
      <c r="AB651" s="33"/>
      <c r="AC651" s="33"/>
      <c r="AD651" s="32"/>
      <c r="AE651" s="32"/>
      <c r="AF651" s="42"/>
      <c r="AG651" s="5"/>
    </row>
    <row r="652" spans="1:33" x14ac:dyDescent="0.25">
      <c r="A652" s="23"/>
      <c r="B652" s="24"/>
      <c r="C652" s="25"/>
      <c r="D652" s="27"/>
      <c r="E652" s="27"/>
      <c r="F652" s="28"/>
      <c r="G652" s="27"/>
      <c r="H652" s="27"/>
      <c r="I652" s="172"/>
      <c r="J652" s="214"/>
      <c r="K652" s="27"/>
      <c r="L652" s="172"/>
      <c r="M652" s="32"/>
      <c r="N652" s="32"/>
      <c r="O652" s="33"/>
      <c r="P652" s="33"/>
      <c r="Q652" s="32"/>
      <c r="R652" s="42"/>
      <c r="S652" s="42"/>
      <c r="T652" s="42"/>
      <c r="U652" s="32"/>
      <c r="V652" s="33"/>
      <c r="W652" s="33"/>
      <c r="X652" s="32"/>
      <c r="Y652" s="32"/>
      <c r="Z652" s="32"/>
      <c r="AA652" s="33"/>
      <c r="AB652" s="33"/>
      <c r="AC652" s="33"/>
      <c r="AD652" s="32"/>
      <c r="AE652" s="32"/>
      <c r="AF652" s="42"/>
      <c r="AG652" s="5"/>
    </row>
    <row r="653" spans="1:33" x14ac:dyDescent="0.25">
      <c r="A653" s="23"/>
      <c r="B653" s="24"/>
      <c r="C653" s="25"/>
      <c r="D653" s="27"/>
      <c r="E653" s="27"/>
      <c r="F653" s="28"/>
      <c r="G653" s="27"/>
      <c r="H653" s="27"/>
      <c r="I653" s="172"/>
      <c r="J653" s="214"/>
      <c r="K653" s="27"/>
      <c r="L653" s="172"/>
      <c r="M653" s="32"/>
      <c r="N653" s="32"/>
      <c r="O653" s="33"/>
      <c r="P653" s="33"/>
      <c r="Q653" s="32"/>
      <c r="R653" s="42"/>
      <c r="S653" s="42"/>
      <c r="T653" s="42"/>
      <c r="U653" s="32"/>
      <c r="V653" s="33"/>
      <c r="W653" s="33"/>
      <c r="X653" s="32"/>
      <c r="Y653" s="32"/>
      <c r="Z653" s="32"/>
      <c r="AA653" s="33"/>
      <c r="AB653" s="33"/>
      <c r="AC653" s="33"/>
      <c r="AD653" s="32"/>
      <c r="AE653" s="32"/>
      <c r="AF653" s="42"/>
      <c r="AG653" s="5"/>
    </row>
    <row r="654" spans="1:33" x14ac:dyDescent="0.25">
      <c r="A654" s="23"/>
      <c r="B654" s="24"/>
      <c r="C654" s="25"/>
      <c r="D654" s="27"/>
      <c r="E654" s="27"/>
      <c r="F654" s="28"/>
      <c r="G654" s="27"/>
      <c r="H654" s="27"/>
      <c r="I654" s="172"/>
      <c r="J654" s="214"/>
      <c r="K654" s="27"/>
      <c r="L654" s="172"/>
      <c r="M654" s="32"/>
      <c r="N654" s="32"/>
      <c r="O654" s="33"/>
      <c r="P654" s="33"/>
      <c r="Q654" s="32"/>
      <c r="R654" s="42"/>
      <c r="S654" s="42"/>
      <c r="T654" s="42"/>
      <c r="U654" s="32"/>
      <c r="V654" s="33"/>
      <c r="W654" s="33"/>
      <c r="X654" s="32"/>
      <c r="Y654" s="32"/>
      <c r="Z654" s="32"/>
      <c r="AA654" s="33"/>
      <c r="AB654" s="33"/>
      <c r="AC654" s="33"/>
      <c r="AD654" s="32"/>
      <c r="AE654" s="32"/>
      <c r="AF654" s="42"/>
      <c r="AG654" s="5"/>
    </row>
    <row r="655" spans="1:33" x14ac:dyDescent="0.25">
      <c r="A655" s="23"/>
      <c r="B655" s="24"/>
      <c r="C655" s="25"/>
      <c r="D655" s="27"/>
      <c r="E655" s="27"/>
      <c r="F655" s="28"/>
      <c r="G655" s="27"/>
      <c r="H655" s="27"/>
      <c r="I655" s="172"/>
      <c r="J655" s="214"/>
      <c r="K655" s="27"/>
      <c r="L655" s="172"/>
      <c r="M655" s="32"/>
      <c r="N655" s="32"/>
      <c r="O655" s="33"/>
      <c r="P655" s="33"/>
      <c r="Q655" s="32"/>
      <c r="R655" s="42"/>
      <c r="S655" s="42"/>
      <c r="T655" s="42"/>
      <c r="U655" s="32"/>
      <c r="V655" s="33"/>
      <c r="W655" s="33"/>
      <c r="X655" s="32"/>
      <c r="Y655" s="32"/>
      <c r="Z655" s="32"/>
      <c r="AA655" s="33"/>
      <c r="AB655" s="33"/>
      <c r="AC655" s="33"/>
      <c r="AD655" s="32"/>
      <c r="AE655" s="32"/>
      <c r="AF655" s="42"/>
      <c r="AG655" s="5"/>
    </row>
    <row r="656" spans="1:33" x14ac:dyDescent="0.25">
      <c r="A656" s="23"/>
      <c r="B656" s="24"/>
      <c r="C656" s="25"/>
      <c r="D656" s="27"/>
      <c r="E656" s="27"/>
      <c r="F656" s="28"/>
      <c r="G656" s="27"/>
      <c r="H656" s="27"/>
      <c r="I656" s="172"/>
      <c r="J656" s="214"/>
      <c r="K656" s="27"/>
      <c r="L656" s="172"/>
      <c r="M656" s="32"/>
      <c r="N656" s="32"/>
      <c r="O656" s="33"/>
      <c r="P656" s="33"/>
      <c r="Q656" s="32"/>
      <c r="R656" s="42"/>
      <c r="S656" s="42"/>
      <c r="T656" s="42"/>
      <c r="U656" s="32"/>
      <c r="V656" s="33"/>
      <c r="W656" s="33"/>
      <c r="X656" s="32"/>
      <c r="Y656" s="32"/>
      <c r="Z656" s="32"/>
      <c r="AA656" s="33"/>
      <c r="AB656" s="33"/>
      <c r="AC656" s="33"/>
      <c r="AD656" s="32"/>
      <c r="AE656" s="32"/>
      <c r="AF656" s="42"/>
      <c r="AG656" s="5"/>
    </row>
    <row r="657" spans="1:33" x14ac:dyDescent="0.25">
      <c r="A657" s="23"/>
      <c r="B657" s="24"/>
      <c r="C657" s="25"/>
      <c r="D657" s="27"/>
      <c r="E657" s="27"/>
      <c r="F657" s="28"/>
      <c r="G657" s="27"/>
      <c r="H657" s="27"/>
      <c r="I657" s="172"/>
      <c r="J657" s="214"/>
      <c r="K657" s="27"/>
      <c r="L657" s="172"/>
      <c r="M657" s="32"/>
      <c r="N657" s="32"/>
      <c r="O657" s="33"/>
      <c r="P657" s="33"/>
      <c r="Q657" s="32"/>
      <c r="R657" s="42"/>
      <c r="S657" s="42"/>
      <c r="T657" s="42"/>
      <c r="U657" s="32"/>
      <c r="V657" s="33"/>
      <c r="W657" s="33"/>
      <c r="X657" s="32"/>
      <c r="Y657" s="32"/>
      <c r="Z657" s="32"/>
      <c r="AA657" s="33"/>
      <c r="AB657" s="33"/>
      <c r="AC657" s="33"/>
      <c r="AD657" s="32"/>
      <c r="AE657" s="32"/>
      <c r="AF657" s="42"/>
      <c r="AG657" s="5"/>
    </row>
    <row r="658" spans="1:33" x14ac:dyDescent="0.25">
      <c r="A658" s="23"/>
      <c r="B658" s="24"/>
      <c r="C658" s="25"/>
      <c r="D658" s="27"/>
      <c r="E658" s="27"/>
      <c r="F658" s="28"/>
      <c r="G658" s="27"/>
      <c r="H658" s="27"/>
      <c r="I658" s="172"/>
      <c r="J658" s="214"/>
      <c r="K658" s="27"/>
      <c r="L658" s="172"/>
      <c r="M658" s="32"/>
      <c r="N658" s="32"/>
      <c r="O658" s="33"/>
      <c r="P658" s="33"/>
      <c r="Q658" s="32"/>
      <c r="R658" s="42"/>
      <c r="S658" s="42"/>
      <c r="T658" s="42"/>
      <c r="U658" s="32"/>
      <c r="V658" s="33"/>
      <c r="W658" s="33"/>
      <c r="X658" s="32"/>
      <c r="Y658" s="32"/>
      <c r="Z658" s="32"/>
      <c r="AA658" s="33"/>
      <c r="AB658" s="33"/>
      <c r="AC658" s="33"/>
      <c r="AD658" s="32"/>
      <c r="AE658" s="32"/>
      <c r="AF658" s="42"/>
      <c r="AG658" s="5"/>
    </row>
    <row r="659" spans="1:33" x14ac:dyDescent="0.25">
      <c r="A659" s="23"/>
      <c r="B659" s="24"/>
      <c r="C659" s="25"/>
      <c r="D659" s="27"/>
      <c r="E659" s="27"/>
      <c r="F659" s="28"/>
      <c r="G659" s="27"/>
      <c r="H659" s="27"/>
      <c r="I659" s="172"/>
      <c r="J659" s="214"/>
      <c r="K659" s="27"/>
      <c r="L659" s="172"/>
      <c r="M659" s="32"/>
      <c r="N659" s="32"/>
      <c r="O659" s="33"/>
      <c r="P659" s="33"/>
      <c r="Q659" s="32"/>
      <c r="R659" s="42"/>
      <c r="S659" s="42"/>
      <c r="T659" s="42"/>
      <c r="U659" s="32"/>
      <c r="V659" s="33"/>
      <c r="W659" s="33"/>
      <c r="X659" s="32"/>
      <c r="Y659" s="32"/>
      <c r="Z659" s="32"/>
      <c r="AA659" s="33"/>
      <c r="AB659" s="33"/>
      <c r="AC659" s="33"/>
      <c r="AD659" s="32"/>
      <c r="AE659" s="32"/>
      <c r="AF659" s="42"/>
      <c r="AG659" s="5"/>
    </row>
    <row r="660" spans="1:33" x14ac:dyDescent="0.25">
      <c r="A660" s="23"/>
      <c r="B660" s="24"/>
      <c r="C660" s="25"/>
      <c r="D660" s="27"/>
      <c r="E660" s="27"/>
      <c r="F660" s="28"/>
      <c r="G660" s="27"/>
      <c r="H660" s="27"/>
      <c r="I660" s="172"/>
      <c r="J660" s="214"/>
      <c r="K660" s="27"/>
      <c r="L660" s="172"/>
      <c r="M660" s="32"/>
      <c r="N660" s="32"/>
      <c r="O660" s="33"/>
      <c r="P660" s="33"/>
      <c r="Q660" s="32"/>
      <c r="R660" s="42"/>
      <c r="S660" s="42"/>
      <c r="T660" s="42"/>
      <c r="U660" s="32"/>
      <c r="V660" s="33"/>
      <c r="W660" s="33"/>
      <c r="X660" s="32"/>
      <c r="Y660" s="32"/>
      <c r="Z660" s="32"/>
      <c r="AA660" s="33"/>
      <c r="AB660" s="33"/>
      <c r="AC660" s="33"/>
      <c r="AD660" s="32"/>
      <c r="AE660" s="32"/>
      <c r="AF660" s="42"/>
      <c r="AG660" s="5"/>
    </row>
    <row r="661" spans="1:33" x14ac:dyDescent="0.25">
      <c r="A661" s="23"/>
      <c r="B661" s="24"/>
      <c r="C661" s="25"/>
      <c r="D661" s="27"/>
      <c r="E661" s="27"/>
      <c r="F661" s="28"/>
      <c r="G661" s="27"/>
      <c r="H661" s="27"/>
      <c r="I661" s="172"/>
      <c r="J661" s="214"/>
      <c r="K661" s="27"/>
      <c r="L661" s="172"/>
      <c r="M661" s="32"/>
      <c r="N661" s="32"/>
      <c r="O661" s="33"/>
      <c r="P661" s="33"/>
      <c r="Q661" s="32"/>
      <c r="R661" s="42"/>
      <c r="S661" s="42"/>
      <c r="T661" s="42"/>
      <c r="U661" s="32"/>
      <c r="V661" s="33"/>
      <c r="W661" s="33"/>
      <c r="X661" s="32"/>
      <c r="Y661" s="32"/>
      <c r="Z661" s="32"/>
      <c r="AA661" s="33"/>
      <c r="AB661" s="33"/>
      <c r="AC661" s="33"/>
      <c r="AD661" s="32"/>
      <c r="AE661" s="32"/>
      <c r="AF661" s="42"/>
      <c r="AG661" s="5"/>
    </row>
    <row r="662" spans="1:33" x14ac:dyDescent="0.25">
      <c r="A662" s="23"/>
      <c r="B662" s="24"/>
      <c r="C662" s="25"/>
      <c r="D662" s="27"/>
      <c r="E662" s="27"/>
      <c r="F662" s="28"/>
      <c r="G662" s="27"/>
      <c r="H662" s="27"/>
      <c r="I662" s="172"/>
      <c r="J662" s="214"/>
      <c r="K662" s="27"/>
      <c r="L662" s="172"/>
      <c r="M662" s="32"/>
      <c r="N662" s="32"/>
      <c r="O662" s="33"/>
      <c r="P662" s="33"/>
      <c r="Q662" s="32"/>
      <c r="R662" s="42"/>
      <c r="S662" s="42"/>
      <c r="T662" s="42"/>
      <c r="U662" s="32"/>
      <c r="V662" s="33"/>
      <c r="W662" s="33"/>
      <c r="X662" s="32"/>
      <c r="Y662" s="32"/>
      <c r="Z662" s="32"/>
      <c r="AA662" s="33"/>
      <c r="AB662" s="33"/>
      <c r="AC662" s="33"/>
      <c r="AD662" s="32"/>
      <c r="AE662" s="32"/>
      <c r="AF662" s="42"/>
      <c r="AG662" s="5"/>
    </row>
    <row r="663" spans="1:33" x14ac:dyDescent="0.25">
      <c r="A663" s="23"/>
      <c r="B663" s="24"/>
      <c r="C663" s="25"/>
      <c r="D663" s="27"/>
      <c r="E663" s="27"/>
      <c r="F663" s="28"/>
      <c r="G663" s="27"/>
      <c r="H663" s="27"/>
      <c r="I663" s="172"/>
      <c r="J663" s="214"/>
      <c r="K663" s="27"/>
      <c r="L663" s="172"/>
      <c r="M663" s="32"/>
      <c r="N663" s="32"/>
      <c r="O663" s="33"/>
      <c r="P663" s="33"/>
      <c r="Q663" s="32"/>
      <c r="R663" s="42"/>
      <c r="S663" s="42"/>
      <c r="T663" s="42"/>
      <c r="U663" s="32"/>
      <c r="V663" s="33"/>
      <c r="W663" s="33"/>
      <c r="X663" s="32"/>
      <c r="Y663" s="32"/>
      <c r="Z663" s="32"/>
      <c r="AA663" s="33"/>
      <c r="AB663" s="33"/>
      <c r="AC663" s="33"/>
      <c r="AD663" s="32"/>
      <c r="AE663" s="32"/>
      <c r="AF663" s="42"/>
      <c r="AG663" s="5"/>
    </row>
    <row r="664" spans="1:33" x14ac:dyDescent="0.25">
      <c r="A664" s="23"/>
      <c r="B664" s="24"/>
      <c r="C664" s="25"/>
      <c r="D664" s="27"/>
      <c r="E664" s="27"/>
      <c r="F664" s="28"/>
      <c r="G664" s="27"/>
      <c r="H664" s="27"/>
      <c r="I664" s="172"/>
      <c r="J664" s="214"/>
      <c r="K664" s="27"/>
      <c r="L664" s="172"/>
      <c r="M664" s="32"/>
      <c r="N664" s="32"/>
      <c r="O664" s="33"/>
      <c r="P664" s="33"/>
      <c r="Q664" s="32"/>
      <c r="R664" s="42"/>
      <c r="S664" s="42"/>
      <c r="T664" s="42"/>
      <c r="U664" s="32"/>
      <c r="V664" s="33"/>
      <c r="W664" s="33"/>
      <c r="X664" s="32"/>
      <c r="Y664" s="32"/>
      <c r="Z664" s="32"/>
      <c r="AA664" s="33"/>
      <c r="AB664" s="33"/>
      <c r="AC664" s="33"/>
      <c r="AD664" s="32"/>
      <c r="AE664" s="32"/>
      <c r="AF664" s="42"/>
      <c r="AG664" s="5"/>
    </row>
    <row r="665" spans="1:33" x14ac:dyDescent="0.25">
      <c r="A665" s="23"/>
      <c r="B665" s="24"/>
      <c r="C665" s="25"/>
      <c r="D665" s="27"/>
      <c r="E665" s="27"/>
      <c r="F665" s="28"/>
      <c r="G665" s="27"/>
      <c r="H665" s="27"/>
      <c r="I665" s="172"/>
      <c r="J665" s="214"/>
      <c r="K665" s="27"/>
      <c r="L665" s="172"/>
      <c r="M665" s="32"/>
      <c r="N665" s="32"/>
      <c r="O665" s="33"/>
      <c r="P665" s="33"/>
      <c r="Q665" s="32"/>
      <c r="R665" s="42"/>
      <c r="S665" s="42"/>
      <c r="T665" s="42"/>
      <c r="U665" s="32"/>
      <c r="V665" s="33"/>
      <c r="W665" s="33"/>
      <c r="X665" s="32"/>
      <c r="Y665" s="32"/>
      <c r="Z665" s="32"/>
      <c r="AA665" s="33"/>
      <c r="AB665" s="33"/>
      <c r="AC665" s="33"/>
      <c r="AD665" s="32"/>
      <c r="AE665" s="32"/>
      <c r="AF665" s="42"/>
      <c r="AG665" s="5"/>
    </row>
    <row r="666" spans="1:33" x14ac:dyDescent="0.25">
      <c r="A666" s="23"/>
      <c r="B666" s="24"/>
      <c r="C666" s="25"/>
      <c r="D666" s="27"/>
      <c r="E666" s="27"/>
      <c r="F666" s="28"/>
      <c r="G666" s="27"/>
      <c r="H666" s="27"/>
      <c r="I666" s="172"/>
      <c r="J666" s="214"/>
      <c r="K666" s="27"/>
      <c r="L666" s="172"/>
      <c r="M666" s="32"/>
      <c r="N666" s="32"/>
      <c r="O666" s="33"/>
      <c r="P666" s="33"/>
      <c r="Q666" s="32"/>
      <c r="R666" s="42"/>
      <c r="S666" s="42"/>
      <c r="T666" s="42"/>
      <c r="U666" s="32"/>
      <c r="V666" s="33"/>
      <c r="W666" s="33"/>
      <c r="X666" s="32"/>
      <c r="Y666" s="32"/>
      <c r="Z666" s="32"/>
      <c r="AA666" s="33"/>
      <c r="AB666" s="33"/>
      <c r="AC666" s="33"/>
      <c r="AD666" s="32"/>
      <c r="AE666" s="32"/>
      <c r="AF666" s="42"/>
      <c r="AG666" s="5"/>
    </row>
    <row r="667" spans="1:33" x14ac:dyDescent="0.25">
      <c r="A667" s="23"/>
      <c r="B667" s="24"/>
      <c r="C667" s="25"/>
      <c r="D667" s="27"/>
      <c r="E667" s="27"/>
      <c r="F667" s="28"/>
      <c r="G667" s="27"/>
      <c r="H667" s="27"/>
      <c r="I667" s="172"/>
      <c r="J667" s="214"/>
      <c r="K667" s="27"/>
      <c r="L667" s="172"/>
      <c r="M667" s="32"/>
      <c r="N667" s="32"/>
      <c r="O667" s="33"/>
      <c r="P667" s="33"/>
      <c r="Q667" s="32"/>
      <c r="R667" s="42"/>
      <c r="S667" s="42"/>
      <c r="T667" s="42"/>
      <c r="U667" s="32"/>
      <c r="V667" s="33"/>
      <c r="W667" s="33"/>
      <c r="X667" s="32"/>
      <c r="Y667" s="32"/>
      <c r="Z667" s="32"/>
      <c r="AA667" s="33"/>
      <c r="AB667" s="33"/>
      <c r="AC667" s="33"/>
      <c r="AD667" s="32"/>
      <c r="AE667" s="32"/>
      <c r="AF667" s="42"/>
      <c r="AG667" s="5"/>
    </row>
    <row r="668" spans="1:33" x14ac:dyDescent="0.25">
      <c r="A668" s="23"/>
      <c r="B668" s="24"/>
      <c r="C668" s="25"/>
      <c r="D668" s="27"/>
      <c r="E668" s="27"/>
      <c r="F668" s="28"/>
      <c r="G668" s="27"/>
      <c r="H668" s="27"/>
      <c r="I668" s="172"/>
      <c r="J668" s="214"/>
      <c r="K668" s="27"/>
      <c r="L668" s="172"/>
      <c r="M668" s="32"/>
      <c r="N668" s="32"/>
      <c r="O668" s="33"/>
      <c r="P668" s="33"/>
      <c r="Q668" s="32"/>
      <c r="R668" s="42"/>
      <c r="S668" s="42"/>
      <c r="T668" s="42"/>
      <c r="U668" s="32"/>
      <c r="V668" s="33"/>
      <c r="W668" s="33"/>
      <c r="X668" s="32"/>
      <c r="Y668" s="32"/>
      <c r="Z668" s="32"/>
      <c r="AA668" s="33"/>
      <c r="AB668" s="33"/>
      <c r="AC668" s="33"/>
      <c r="AD668" s="32"/>
      <c r="AE668" s="32"/>
      <c r="AF668" s="42"/>
      <c r="AG668" s="5"/>
    </row>
    <row r="669" spans="1:33" x14ac:dyDescent="0.25">
      <c r="A669" s="23"/>
      <c r="B669" s="24"/>
      <c r="C669" s="25"/>
      <c r="D669" s="27"/>
      <c r="E669" s="27"/>
      <c r="F669" s="28"/>
      <c r="G669" s="27"/>
      <c r="H669" s="27"/>
      <c r="I669" s="172"/>
      <c r="J669" s="214"/>
      <c r="K669" s="27"/>
      <c r="L669" s="172"/>
      <c r="M669" s="32"/>
      <c r="N669" s="32"/>
      <c r="O669" s="33"/>
      <c r="P669" s="33"/>
      <c r="Q669" s="32"/>
      <c r="R669" s="42"/>
      <c r="S669" s="42"/>
      <c r="T669" s="42"/>
      <c r="U669" s="32"/>
      <c r="V669" s="33"/>
      <c r="W669" s="33"/>
      <c r="X669" s="32"/>
      <c r="Y669" s="32"/>
      <c r="Z669" s="32"/>
      <c r="AA669" s="33"/>
      <c r="AB669" s="33"/>
      <c r="AC669" s="33"/>
      <c r="AD669" s="32"/>
      <c r="AE669" s="32"/>
      <c r="AF669" s="42"/>
      <c r="AG669" s="5"/>
    </row>
    <row r="670" spans="1:33" x14ac:dyDescent="0.25">
      <c r="A670" s="23"/>
      <c r="B670" s="24"/>
      <c r="C670" s="25"/>
      <c r="D670" s="27"/>
      <c r="E670" s="27"/>
      <c r="F670" s="28"/>
      <c r="G670" s="27"/>
      <c r="H670" s="27"/>
      <c r="I670" s="172"/>
      <c r="J670" s="214"/>
      <c r="K670" s="27"/>
      <c r="L670" s="172"/>
      <c r="M670" s="32"/>
      <c r="N670" s="32"/>
      <c r="O670" s="33"/>
      <c r="P670" s="33"/>
      <c r="Q670" s="32"/>
      <c r="R670" s="42"/>
      <c r="S670" s="42"/>
      <c r="T670" s="42"/>
      <c r="U670" s="32"/>
      <c r="V670" s="33"/>
      <c r="W670" s="33"/>
      <c r="X670" s="32"/>
      <c r="Y670" s="32"/>
      <c r="Z670" s="32"/>
      <c r="AA670" s="33"/>
      <c r="AB670" s="33"/>
      <c r="AC670" s="33"/>
      <c r="AD670" s="32"/>
      <c r="AE670" s="32"/>
      <c r="AF670" s="42"/>
      <c r="AG670" s="5"/>
    </row>
    <row r="671" spans="1:33" x14ac:dyDescent="0.25">
      <c r="A671" s="23"/>
      <c r="B671" s="24"/>
      <c r="C671" s="25"/>
      <c r="D671" s="27"/>
      <c r="E671" s="27"/>
      <c r="F671" s="28"/>
      <c r="G671" s="27"/>
      <c r="H671" s="27"/>
      <c r="I671" s="172"/>
      <c r="J671" s="214"/>
      <c r="K671" s="27"/>
      <c r="L671" s="172"/>
      <c r="M671" s="32"/>
      <c r="N671" s="32"/>
      <c r="O671" s="33"/>
      <c r="P671" s="33"/>
      <c r="Q671" s="32"/>
      <c r="R671" s="42"/>
      <c r="S671" s="42"/>
      <c r="T671" s="42"/>
      <c r="U671" s="32"/>
      <c r="V671" s="33"/>
      <c r="W671" s="33"/>
      <c r="X671" s="32"/>
      <c r="Y671" s="32"/>
      <c r="Z671" s="32"/>
      <c r="AA671" s="33"/>
      <c r="AB671" s="33"/>
      <c r="AC671" s="33"/>
      <c r="AD671" s="32"/>
      <c r="AE671" s="32"/>
      <c r="AF671" s="42"/>
      <c r="AG671" s="5"/>
    </row>
    <row r="672" spans="1:33" x14ac:dyDescent="0.25">
      <c r="A672" s="23"/>
      <c r="B672" s="24"/>
      <c r="C672" s="25"/>
      <c r="D672" s="27"/>
      <c r="E672" s="27"/>
      <c r="F672" s="28"/>
      <c r="G672" s="27"/>
      <c r="H672" s="27"/>
      <c r="I672" s="172"/>
      <c r="J672" s="214"/>
      <c r="K672" s="27"/>
      <c r="L672" s="172"/>
      <c r="M672" s="32"/>
      <c r="N672" s="32"/>
      <c r="O672" s="33"/>
      <c r="P672" s="33"/>
      <c r="Q672" s="32"/>
      <c r="R672" s="42"/>
      <c r="S672" s="42"/>
      <c r="T672" s="42"/>
      <c r="U672" s="32"/>
      <c r="V672" s="33"/>
      <c r="W672" s="33"/>
      <c r="X672" s="32"/>
      <c r="Y672" s="32"/>
      <c r="Z672" s="32"/>
      <c r="AA672" s="33"/>
      <c r="AB672" s="33"/>
      <c r="AC672" s="33"/>
      <c r="AD672" s="32"/>
      <c r="AE672" s="32"/>
      <c r="AF672" s="42"/>
      <c r="AG672" s="5"/>
    </row>
    <row r="673" spans="1:33" x14ac:dyDescent="0.25">
      <c r="A673" s="23"/>
      <c r="B673" s="24"/>
      <c r="C673" s="25"/>
      <c r="D673" s="27"/>
      <c r="E673" s="27"/>
      <c r="F673" s="28"/>
      <c r="G673" s="27"/>
      <c r="H673" s="27"/>
      <c r="I673" s="172"/>
      <c r="J673" s="214"/>
      <c r="K673" s="27"/>
      <c r="L673" s="172"/>
      <c r="M673" s="32"/>
      <c r="N673" s="32"/>
      <c r="O673" s="33"/>
      <c r="P673" s="33"/>
      <c r="Q673" s="32"/>
      <c r="R673" s="42"/>
      <c r="S673" s="42"/>
      <c r="T673" s="42"/>
      <c r="U673" s="32"/>
      <c r="V673" s="33"/>
      <c r="W673" s="33"/>
      <c r="X673" s="32"/>
      <c r="Y673" s="32"/>
      <c r="Z673" s="32"/>
      <c r="AA673" s="33"/>
      <c r="AB673" s="33"/>
      <c r="AC673" s="33"/>
      <c r="AD673" s="32"/>
      <c r="AE673" s="32"/>
      <c r="AF673" s="42"/>
      <c r="AG673" s="5"/>
    </row>
    <row r="674" spans="1:33" x14ac:dyDescent="0.25">
      <c r="A674" s="23"/>
      <c r="B674" s="24"/>
      <c r="C674" s="25"/>
      <c r="D674" s="27"/>
      <c r="E674" s="27"/>
      <c r="F674" s="28"/>
      <c r="G674" s="27"/>
      <c r="H674" s="27"/>
      <c r="I674" s="172"/>
      <c r="J674" s="214"/>
      <c r="K674" s="27"/>
      <c r="L674" s="172"/>
      <c r="M674" s="32"/>
      <c r="N674" s="32"/>
      <c r="O674" s="33"/>
      <c r="P674" s="33"/>
      <c r="Q674" s="32"/>
      <c r="R674" s="42"/>
      <c r="S674" s="42"/>
      <c r="T674" s="42"/>
      <c r="U674" s="32"/>
      <c r="V674" s="33"/>
      <c r="W674" s="33"/>
      <c r="X674" s="32"/>
      <c r="Y674" s="32"/>
      <c r="Z674" s="32"/>
      <c r="AA674" s="33"/>
      <c r="AB674" s="33"/>
      <c r="AC674" s="33"/>
      <c r="AD674" s="32"/>
      <c r="AE674" s="32"/>
      <c r="AF674" s="42"/>
      <c r="AG674" s="5"/>
    </row>
    <row r="675" spans="1:33" x14ac:dyDescent="0.25">
      <c r="A675" s="23"/>
      <c r="B675" s="24"/>
      <c r="C675" s="25"/>
      <c r="D675" s="27"/>
      <c r="E675" s="27"/>
      <c r="F675" s="28"/>
      <c r="G675" s="27"/>
      <c r="H675" s="27"/>
      <c r="I675" s="172"/>
      <c r="J675" s="214"/>
      <c r="K675" s="27"/>
      <c r="L675" s="172"/>
      <c r="M675" s="32"/>
      <c r="N675" s="32"/>
      <c r="O675" s="33"/>
      <c r="P675" s="33"/>
      <c r="Q675" s="32"/>
      <c r="R675" s="42"/>
      <c r="S675" s="42"/>
      <c r="T675" s="42"/>
      <c r="U675" s="32"/>
      <c r="V675" s="33"/>
      <c r="W675" s="33"/>
      <c r="X675" s="32"/>
      <c r="Y675" s="32"/>
      <c r="Z675" s="32"/>
      <c r="AA675" s="33"/>
      <c r="AB675" s="33"/>
      <c r="AC675" s="33"/>
      <c r="AD675" s="32"/>
      <c r="AE675" s="32"/>
      <c r="AF675" s="42"/>
      <c r="AG675" s="5"/>
    </row>
    <row r="676" spans="1:33" x14ac:dyDescent="0.25">
      <c r="A676" s="23"/>
      <c r="B676" s="24"/>
      <c r="C676" s="25"/>
      <c r="D676" s="27"/>
      <c r="E676" s="27"/>
      <c r="F676" s="28"/>
      <c r="G676" s="27"/>
      <c r="H676" s="27"/>
      <c r="I676" s="172"/>
      <c r="J676" s="214"/>
      <c r="K676" s="27"/>
      <c r="L676" s="172"/>
      <c r="M676" s="32"/>
      <c r="N676" s="32"/>
      <c r="O676" s="33"/>
      <c r="P676" s="33"/>
      <c r="Q676" s="32"/>
      <c r="R676" s="42"/>
      <c r="S676" s="42"/>
      <c r="T676" s="42"/>
      <c r="U676" s="32"/>
      <c r="V676" s="33"/>
      <c r="W676" s="33"/>
      <c r="X676" s="32"/>
      <c r="Y676" s="32"/>
      <c r="Z676" s="32"/>
      <c r="AA676" s="33"/>
      <c r="AB676" s="33"/>
      <c r="AC676" s="33"/>
      <c r="AD676" s="32"/>
      <c r="AE676" s="32"/>
      <c r="AF676" s="42"/>
      <c r="AG676" s="5"/>
    </row>
    <row r="677" spans="1:33" x14ac:dyDescent="0.25">
      <c r="A677" s="23"/>
      <c r="B677" s="24"/>
      <c r="C677" s="25"/>
      <c r="D677" s="27"/>
      <c r="E677" s="27"/>
      <c r="F677" s="28"/>
      <c r="G677" s="27"/>
      <c r="H677" s="27"/>
      <c r="I677" s="172"/>
      <c r="J677" s="214"/>
      <c r="K677" s="27"/>
      <c r="L677" s="172"/>
      <c r="M677" s="32"/>
      <c r="N677" s="32"/>
      <c r="O677" s="33"/>
      <c r="P677" s="33"/>
      <c r="Q677" s="32"/>
      <c r="R677" s="42"/>
      <c r="S677" s="42"/>
      <c r="T677" s="42"/>
      <c r="U677" s="32"/>
      <c r="V677" s="33"/>
      <c r="W677" s="33"/>
      <c r="X677" s="32"/>
      <c r="Y677" s="32"/>
      <c r="Z677" s="32"/>
      <c r="AA677" s="33"/>
      <c r="AB677" s="33"/>
      <c r="AC677" s="33"/>
      <c r="AD677" s="32"/>
      <c r="AE677" s="32"/>
      <c r="AF677" s="42"/>
      <c r="AG677" s="5"/>
    </row>
    <row r="678" spans="1:33" x14ac:dyDescent="0.25">
      <c r="A678" s="23"/>
      <c r="B678" s="24"/>
      <c r="C678" s="25"/>
      <c r="D678" s="27"/>
      <c r="E678" s="27"/>
      <c r="F678" s="28"/>
      <c r="G678" s="27"/>
      <c r="H678" s="27"/>
      <c r="I678" s="172"/>
      <c r="J678" s="214"/>
      <c r="K678" s="27"/>
      <c r="L678" s="172"/>
      <c r="M678" s="32"/>
      <c r="N678" s="32"/>
      <c r="O678" s="33"/>
      <c r="P678" s="33"/>
      <c r="Q678" s="32"/>
      <c r="R678" s="42"/>
      <c r="S678" s="42"/>
      <c r="T678" s="42"/>
      <c r="U678" s="32"/>
      <c r="V678" s="33"/>
      <c r="W678" s="33"/>
      <c r="X678" s="32"/>
      <c r="Y678" s="32"/>
      <c r="Z678" s="32"/>
      <c r="AA678" s="33"/>
      <c r="AB678" s="33"/>
      <c r="AC678" s="33"/>
      <c r="AD678" s="32"/>
      <c r="AE678" s="32"/>
      <c r="AF678" s="42"/>
      <c r="AG678" s="5"/>
    </row>
    <row r="679" spans="1:33" x14ac:dyDescent="0.25">
      <c r="A679" s="23"/>
      <c r="B679" s="24"/>
      <c r="C679" s="25"/>
      <c r="D679" s="27"/>
      <c r="E679" s="27"/>
      <c r="F679" s="28"/>
      <c r="G679" s="27"/>
      <c r="H679" s="27"/>
      <c r="I679" s="172"/>
      <c r="J679" s="214"/>
      <c r="K679" s="27"/>
      <c r="L679" s="172"/>
      <c r="M679" s="32"/>
      <c r="N679" s="32"/>
      <c r="O679" s="33"/>
      <c r="P679" s="33"/>
      <c r="Q679" s="32"/>
      <c r="R679" s="42"/>
      <c r="S679" s="42"/>
      <c r="T679" s="42"/>
      <c r="U679" s="32"/>
      <c r="V679" s="33"/>
      <c r="W679" s="33"/>
      <c r="X679" s="32"/>
      <c r="Y679" s="32"/>
      <c r="Z679" s="32"/>
      <c r="AA679" s="33"/>
      <c r="AB679" s="33"/>
      <c r="AC679" s="33"/>
      <c r="AD679" s="32"/>
      <c r="AE679" s="32"/>
      <c r="AF679" s="42"/>
      <c r="AG679" s="5"/>
    </row>
    <row r="680" spans="1:33" x14ac:dyDescent="0.25">
      <c r="A680" s="23"/>
      <c r="B680" s="24"/>
      <c r="C680" s="25"/>
      <c r="D680" s="27"/>
      <c r="E680" s="27"/>
      <c r="F680" s="28"/>
      <c r="G680" s="27"/>
      <c r="H680" s="27"/>
      <c r="I680" s="172"/>
      <c r="J680" s="214"/>
      <c r="K680" s="27"/>
      <c r="L680" s="172"/>
      <c r="M680" s="32"/>
      <c r="N680" s="32"/>
      <c r="O680" s="33"/>
      <c r="P680" s="33"/>
      <c r="Q680" s="32"/>
      <c r="R680" s="42"/>
      <c r="S680" s="42"/>
      <c r="T680" s="42"/>
      <c r="U680" s="32"/>
      <c r="V680" s="33"/>
      <c r="W680" s="33"/>
      <c r="X680" s="32"/>
      <c r="Y680" s="32"/>
      <c r="Z680" s="32"/>
      <c r="AA680" s="33"/>
      <c r="AB680" s="33"/>
      <c r="AC680" s="33"/>
      <c r="AD680" s="32"/>
      <c r="AE680" s="32"/>
      <c r="AF680" s="42"/>
      <c r="AG680" s="5"/>
    </row>
    <row r="681" spans="1:33" x14ac:dyDescent="0.25">
      <c r="A681" s="23"/>
      <c r="B681" s="24"/>
      <c r="C681" s="25"/>
      <c r="D681" s="27"/>
      <c r="E681" s="27"/>
      <c r="F681" s="28"/>
      <c r="G681" s="27"/>
      <c r="H681" s="27"/>
      <c r="I681" s="172"/>
      <c r="J681" s="214"/>
      <c r="K681" s="27"/>
      <c r="L681" s="172"/>
      <c r="M681" s="32"/>
      <c r="N681" s="32"/>
      <c r="O681" s="33"/>
      <c r="P681" s="33"/>
      <c r="Q681" s="32"/>
      <c r="R681" s="42"/>
      <c r="S681" s="42"/>
      <c r="T681" s="42"/>
      <c r="U681" s="32"/>
      <c r="V681" s="33"/>
      <c r="W681" s="33"/>
      <c r="X681" s="32"/>
      <c r="Y681" s="32"/>
      <c r="Z681" s="32"/>
      <c r="AA681" s="33"/>
      <c r="AB681" s="33"/>
      <c r="AC681" s="33"/>
      <c r="AD681" s="32"/>
      <c r="AE681" s="32"/>
      <c r="AF681" s="42"/>
      <c r="AG681" s="5"/>
    </row>
    <row r="682" spans="1:33" x14ac:dyDescent="0.25">
      <c r="A682" s="23"/>
      <c r="B682" s="24"/>
      <c r="C682" s="25"/>
      <c r="D682" s="27"/>
      <c r="E682" s="27"/>
      <c r="F682" s="28"/>
      <c r="G682" s="27"/>
      <c r="H682" s="27"/>
      <c r="I682" s="172"/>
      <c r="J682" s="214"/>
      <c r="K682" s="27"/>
      <c r="L682" s="172"/>
      <c r="M682" s="32"/>
      <c r="N682" s="32"/>
      <c r="O682" s="33"/>
      <c r="P682" s="33"/>
      <c r="Q682" s="32"/>
      <c r="R682" s="42"/>
      <c r="S682" s="42"/>
      <c r="T682" s="42"/>
      <c r="U682" s="32"/>
      <c r="V682" s="33"/>
      <c r="W682" s="33"/>
      <c r="X682" s="32"/>
      <c r="Y682" s="32"/>
      <c r="Z682" s="32"/>
      <c r="AA682" s="33"/>
      <c r="AB682" s="33"/>
      <c r="AC682" s="33"/>
      <c r="AD682" s="32"/>
      <c r="AE682" s="32"/>
      <c r="AF682" s="42"/>
      <c r="AG682" s="5"/>
    </row>
    <row r="683" spans="1:33" x14ac:dyDescent="0.25">
      <c r="A683" s="23"/>
      <c r="B683" s="24"/>
      <c r="C683" s="25"/>
      <c r="D683" s="27"/>
      <c r="E683" s="27"/>
      <c r="F683" s="28"/>
      <c r="G683" s="27"/>
      <c r="H683" s="27"/>
      <c r="I683" s="172"/>
      <c r="J683" s="214"/>
      <c r="K683" s="27"/>
      <c r="L683" s="172"/>
      <c r="M683" s="32"/>
      <c r="N683" s="32"/>
      <c r="O683" s="33"/>
      <c r="P683" s="33"/>
      <c r="Q683" s="32"/>
      <c r="R683" s="42"/>
      <c r="S683" s="42"/>
      <c r="T683" s="42"/>
      <c r="U683" s="32"/>
      <c r="V683" s="33"/>
      <c r="W683" s="33"/>
      <c r="X683" s="32"/>
      <c r="Y683" s="32"/>
      <c r="Z683" s="32"/>
      <c r="AA683" s="33"/>
      <c r="AB683" s="33"/>
      <c r="AC683" s="33"/>
      <c r="AD683" s="32"/>
      <c r="AE683" s="32"/>
      <c r="AF683" s="42"/>
      <c r="AG683" s="5"/>
    </row>
    <row r="684" spans="1:33" x14ac:dyDescent="0.25">
      <c r="A684" s="23"/>
      <c r="B684" s="24"/>
      <c r="C684" s="25"/>
      <c r="D684" s="27"/>
      <c r="E684" s="27"/>
      <c r="F684" s="28"/>
      <c r="G684" s="27"/>
      <c r="H684" s="27"/>
      <c r="I684" s="172"/>
      <c r="J684" s="214"/>
      <c r="K684" s="27"/>
      <c r="L684" s="172"/>
      <c r="M684" s="32"/>
      <c r="N684" s="32"/>
      <c r="O684" s="33"/>
      <c r="P684" s="33"/>
      <c r="Q684" s="32"/>
      <c r="R684" s="42"/>
      <c r="S684" s="42"/>
      <c r="T684" s="42"/>
      <c r="U684" s="32"/>
      <c r="V684" s="33"/>
      <c r="W684" s="33"/>
      <c r="X684" s="32"/>
      <c r="Y684" s="32"/>
      <c r="Z684" s="32"/>
      <c r="AA684" s="33"/>
      <c r="AB684" s="33"/>
      <c r="AC684" s="33"/>
      <c r="AD684" s="32"/>
      <c r="AE684" s="32"/>
      <c r="AF684" s="42"/>
      <c r="AG684" s="5"/>
    </row>
    <row r="685" spans="1:33" x14ac:dyDescent="0.25">
      <c r="A685" s="23"/>
      <c r="B685" s="24"/>
      <c r="C685" s="25"/>
      <c r="D685" s="27"/>
      <c r="E685" s="27"/>
      <c r="F685" s="28"/>
      <c r="G685" s="27"/>
      <c r="H685" s="27"/>
      <c r="I685" s="172"/>
      <c r="J685" s="214"/>
      <c r="K685" s="27"/>
      <c r="L685" s="172"/>
      <c r="M685" s="32"/>
      <c r="N685" s="32"/>
      <c r="O685" s="33"/>
      <c r="P685" s="33"/>
      <c r="Q685" s="32"/>
      <c r="R685" s="42"/>
      <c r="S685" s="42"/>
      <c r="T685" s="42"/>
      <c r="U685" s="32"/>
      <c r="V685" s="33"/>
      <c r="W685" s="33"/>
      <c r="X685" s="32"/>
      <c r="Y685" s="32"/>
      <c r="Z685" s="32"/>
      <c r="AA685" s="33"/>
      <c r="AB685" s="33"/>
      <c r="AC685" s="33"/>
      <c r="AD685" s="32"/>
      <c r="AE685" s="32"/>
      <c r="AF685" s="42"/>
      <c r="AG685" s="5"/>
    </row>
    <row r="686" spans="1:33" x14ac:dyDescent="0.25">
      <c r="A686" s="23"/>
      <c r="B686" s="24"/>
      <c r="C686" s="25"/>
      <c r="D686" s="27"/>
      <c r="E686" s="27"/>
      <c r="F686" s="28"/>
      <c r="G686" s="27"/>
      <c r="H686" s="27"/>
      <c r="I686" s="172"/>
      <c r="J686" s="214"/>
      <c r="K686" s="27"/>
      <c r="L686" s="172"/>
      <c r="M686" s="32"/>
      <c r="N686" s="32"/>
      <c r="O686" s="33"/>
      <c r="P686" s="33"/>
      <c r="Q686" s="32"/>
      <c r="R686" s="42"/>
      <c r="S686" s="42"/>
      <c r="T686" s="42"/>
      <c r="U686" s="32"/>
      <c r="V686" s="33"/>
      <c r="W686" s="33"/>
      <c r="X686" s="32"/>
      <c r="Y686" s="32"/>
      <c r="Z686" s="32"/>
      <c r="AA686" s="33"/>
      <c r="AB686" s="33"/>
      <c r="AC686" s="33"/>
      <c r="AD686" s="32"/>
      <c r="AE686" s="32"/>
      <c r="AF686" s="42"/>
      <c r="AG686" s="5"/>
    </row>
    <row r="687" spans="1:33" x14ac:dyDescent="0.25">
      <c r="A687" s="23"/>
      <c r="B687" s="24"/>
      <c r="C687" s="25"/>
      <c r="D687" s="27"/>
      <c r="E687" s="27"/>
      <c r="F687" s="28"/>
      <c r="G687" s="27"/>
      <c r="H687" s="27"/>
      <c r="I687" s="172"/>
      <c r="J687" s="214"/>
      <c r="K687" s="27"/>
      <c r="L687" s="172"/>
      <c r="M687" s="32"/>
      <c r="N687" s="32"/>
      <c r="O687" s="33"/>
      <c r="P687" s="33"/>
      <c r="Q687" s="32"/>
      <c r="R687" s="42"/>
      <c r="S687" s="42"/>
      <c r="T687" s="42"/>
      <c r="U687" s="32"/>
      <c r="V687" s="33"/>
      <c r="W687" s="33"/>
      <c r="X687" s="32"/>
      <c r="Y687" s="32"/>
      <c r="Z687" s="32"/>
      <c r="AA687" s="33"/>
      <c r="AB687" s="33"/>
      <c r="AC687" s="33"/>
      <c r="AD687" s="32"/>
      <c r="AE687" s="32"/>
      <c r="AF687" s="42"/>
      <c r="AG687" s="5"/>
    </row>
    <row r="688" spans="1:33" x14ac:dyDescent="0.25">
      <c r="A688" s="23"/>
      <c r="B688" s="24"/>
      <c r="C688" s="25"/>
      <c r="D688" s="27"/>
      <c r="E688" s="27"/>
      <c r="F688" s="28"/>
      <c r="G688" s="27"/>
      <c r="H688" s="27"/>
      <c r="I688" s="172"/>
      <c r="J688" s="214"/>
      <c r="K688" s="27"/>
      <c r="L688" s="172"/>
      <c r="M688" s="32"/>
      <c r="N688" s="32"/>
      <c r="O688" s="33"/>
      <c r="P688" s="33"/>
      <c r="Q688" s="32"/>
      <c r="R688" s="42"/>
      <c r="S688" s="42"/>
      <c r="T688" s="42"/>
      <c r="U688" s="32"/>
      <c r="V688" s="33"/>
      <c r="W688" s="33"/>
      <c r="X688" s="32"/>
      <c r="Y688" s="32"/>
      <c r="Z688" s="32"/>
      <c r="AA688" s="33"/>
      <c r="AB688" s="33"/>
      <c r="AC688" s="33"/>
      <c r="AD688" s="32"/>
      <c r="AE688" s="32"/>
      <c r="AF688" s="42"/>
      <c r="AG688" s="5"/>
    </row>
    <row r="689" spans="1:33" x14ac:dyDescent="0.25">
      <c r="A689" s="23"/>
      <c r="B689" s="24"/>
      <c r="C689" s="25"/>
      <c r="D689" s="27"/>
      <c r="E689" s="27"/>
      <c r="F689" s="28"/>
      <c r="G689" s="27"/>
      <c r="H689" s="27"/>
      <c r="I689" s="172"/>
      <c r="J689" s="214"/>
      <c r="K689" s="27"/>
      <c r="L689" s="172"/>
      <c r="M689" s="32"/>
      <c r="N689" s="32"/>
      <c r="O689" s="33"/>
      <c r="P689" s="33"/>
      <c r="Q689" s="32"/>
      <c r="R689" s="42"/>
      <c r="S689" s="42"/>
      <c r="T689" s="42"/>
      <c r="U689" s="32"/>
      <c r="V689" s="33"/>
      <c r="W689" s="33"/>
      <c r="X689" s="32"/>
      <c r="Y689" s="32"/>
      <c r="Z689" s="32"/>
      <c r="AA689" s="33"/>
      <c r="AB689" s="33"/>
      <c r="AC689" s="33"/>
      <c r="AD689" s="32"/>
      <c r="AE689" s="32"/>
      <c r="AF689" s="42"/>
      <c r="AG689" s="5"/>
    </row>
    <row r="690" spans="1:33" x14ac:dyDescent="0.25">
      <c r="A690" s="23"/>
      <c r="B690" s="24"/>
      <c r="C690" s="25"/>
      <c r="D690" s="27"/>
      <c r="E690" s="27"/>
      <c r="F690" s="28"/>
      <c r="G690" s="27"/>
      <c r="H690" s="27"/>
      <c r="I690" s="172"/>
      <c r="J690" s="214"/>
      <c r="K690" s="27"/>
      <c r="L690" s="172"/>
      <c r="M690" s="32"/>
      <c r="N690" s="32"/>
      <c r="O690" s="33"/>
      <c r="P690" s="33"/>
      <c r="Q690" s="32"/>
      <c r="R690" s="42"/>
      <c r="S690" s="42"/>
      <c r="T690" s="42"/>
      <c r="U690" s="32"/>
      <c r="V690" s="33"/>
      <c r="W690" s="33"/>
      <c r="X690" s="32"/>
      <c r="Y690" s="32"/>
      <c r="Z690" s="32"/>
      <c r="AA690" s="33"/>
      <c r="AB690" s="33"/>
      <c r="AC690" s="33"/>
      <c r="AD690" s="32"/>
      <c r="AE690" s="32"/>
      <c r="AF690" s="42"/>
      <c r="AG690" s="5"/>
    </row>
    <row r="691" spans="1:33" x14ac:dyDescent="0.25">
      <c r="A691" s="23"/>
      <c r="B691" s="24"/>
      <c r="C691" s="25"/>
      <c r="D691" s="27"/>
      <c r="E691" s="27"/>
      <c r="F691" s="28"/>
      <c r="G691" s="27"/>
      <c r="H691" s="27"/>
      <c r="I691" s="172"/>
      <c r="J691" s="214"/>
      <c r="K691" s="27"/>
      <c r="L691" s="172"/>
      <c r="M691" s="32"/>
      <c r="N691" s="32"/>
      <c r="O691" s="33"/>
      <c r="P691" s="33"/>
      <c r="Q691" s="32"/>
      <c r="R691" s="42"/>
      <c r="S691" s="42"/>
      <c r="T691" s="42"/>
      <c r="U691" s="32"/>
      <c r="V691" s="33"/>
      <c r="W691" s="33"/>
      <c r="X691" s="32"/>
      <c r="Y691" s="32"/>
      <c r="Z691" s="32"/>
      <c r="AA691" s="33"/>
      <c r="AB691" s="33"/>
      <c r="AC691" s="33"/>
      <c r="AD691" s="32"/>
      <c r="AE691" s="32"/>
      <c r="AF691" s="42"/>
      <c r="AG691" s="5"/>
    </row>
    <row r="692" spans="1:33" x14ac:dyDescent="0.25">
      <c r="A692" s="23"/>
      <c r="B692" s="24"/>
      <c r="C692" s="25"/>
      <c r="D692" s="27"/>
      <c r="E692" s="27"/>
      <c r="F692" s="28"/>
      <c r="G692" s="27"/>
      <c r="H692" s="27"/>
      <c r="I692" s="172"/>
      <c r="J692" s="214"/>
      <c r="K692" s="27"/>
      <c r="L692" s="172"/>
      <c r="M692" s="32"/>
      <c r="N692" s="32"/>
      <c r="O692" s="33"/>
      <c r="P692" s="33"/>
      <c r="Q692" s="32"/>
      <c r="R692" s="42"/>
      <c r="S692" s="42"/>
      <c r="T692" s="42"/>
      <c r="U692" s="32"/>
      <c r="V692" s="33"/>
      <c r="W692" s="33"/>
      <c r="X692" s="32"/>
      <c r="Y692" s="32"/>
      <c r="Z692" s="32"/>
      <c r="AA692" s="33"/>
      <c r="AB692" s="33"/>
      <c r="AC692" s="33"/>
      <c r="AD692" s="32"/>
      <c r="AE692" s="32"/>
      <c r="AF692" s="42"/>
      <c r="AG692" s="5"/>
    </row>
    <row r="693" spans="1:33" x14ac:dyDescent="0.25">
      <c r="A693" s="23"/>
      <c r="B693" s="24"/>
      <c r="C693" s="25"/>
      <c r="D693" s="27"/>
      <c r="E693" s="27"/>
      <c r="F693" s="28"/>
      <c r="G693" s="27"/>
      <c r="H693" s="27"/>
      <c r="I693" s="172"/>
      <c r="J693" s="214"/>
      <c r="K693" s="27"/>
      <c r="L693" s="172"/>
      <c r="M693" s="32"/>
      <c r="N693" s="32"/>
      <c r="O693" s="33"/>
      <c r="P693" s="33"/>
      <c r="Q693" s="32"/>
      <c r="R693" s="42"/>
      <c r="S693" s="42"/>
      <c r="T693" s="42"/>
      <c r="U693" s="32"/>
      <c r="V693" s="33"/>
      <c r="W693" s="33"/>
      <c r="X693" s="32"/>
      <c r="Y693" s="32"/>
      <c r="Z693" s="32"/>
      <c r="AA693" s="33"/>
      <c r="AB693" s="33"/>
      <c r="AC693" s="33"/>
      <c r="AD693" s="32"/>
      <c r="AE693" s="32"/>
      <c r="AF693" s="42"/>
      <c r="AG693" s="5"/>
    </row>
    <row r="694" spans="1:33" x14ac:dyDescent="0.25">
      <c r="A694" s="23"/>
      <c r="B694" s="24"/>
      <c r="C694" s="25"/>
      <c r="D694" s="27"/>
      <c r="E694" s="27"/>
      <c r="F694" s="28"/>
      <c r="G694" s="27"/>
      <c r="H694" s="27"/>
      <c r="I694" s="172"/>
      <c r="J694" s="214"/>
      <c r="K694" s="27"/>
      <c r="L694" s="172"/>
      <c r="M694" s="32"/>
      <c r="N694" s="32"/>
      <c r="O694" s="33"/>
      <c r="P694" s="33"/>
      <c r="Q694" s="32"/>
      <c r="R694" s="42"/>
      <c r="S694" s="42"/>
      <c r="T694" s="42"/>
      <c r="U694" s="32"/>
      <c r="V694" s="33"/>
      <c r="W694" s="33"/>
      <c r="X694" s="32"/>
      <c r="Y694" s="32"/>
      <c r="Z694" s="32"/>
      <c r="AA694" s="33"/>
      <c r="AB694" s="33"/>
      <c r="AC694" s="33"/>
      <c r="AD694" s="32"/>
      <c r="AE694" s="32"/>
      <c r="AF694" s="42"/>
      <c r="AG694" s="5"/>
    </row>
    <row r="695" spans="1:33" x14ac:dyDescent="0.25">
      <c r="A695" s="23"/>
      <c r="B695" s="24"/>
      <c r="C695" s="25"/>
      <c r="D695" s="27"/>
      <c r="E695" s="27"/>
      <c r="F695" s="28"/>
      <c r="G695" s="27"/>
      <c r="H695" s="27"/>
      <c r="I695" s="172"/>
      <c r="J695" s="214"/>
      <c r="K695" s="27"/>
      <c r="L695" s="172"/>
      <c r="M695" s="32"/>
      <c r="N695" s="32"/>
      <c r="O695" s="33"/>
      <c r="P695" s="33"/>
      <c r="Q695" s="32"/>
      <c r="R695" s="42"/>
      <c r="S695" s="42"/>
      <c r="T695" s="42"/>
      <c r="U695" s="32"/>
      <c r="V695" s="33"/>
      <c r="W695" s="33"/>
      <c r="X695" s="32"/>
      <c r="Y695" s="32"/>
      <c r="Z695" s="32"/>
      <c r="AA695" s="33"/>
      <c r="AB695" s="33"/>
      <c r="AC695" s="33"/>
      <c r="AD695" s="32"/>
      <c r="AE695" s="32"/>
      <c r="AF695" s="42"/>
      <c r="AG695" s="5"/>
    </row>
    <row r="696" spans="1:33" x14ac:dyDescent="0.25">
      <c r="A696" s="23"/>
      <c r="B696" s="24"/>
      <c r="C696" s="25"/>
      <c r="D696" s="27"/>
      <c r="E696" s="27"/>
      <c r="F696" s="28"/>
      <c r="G696" s="27"/>
      <c r="H696" s="27"/>
      <c r="I696" s="172"/>
      <c r="J696" s="214"/>
      <c r="K696" s="27"/>
      <c r="L696" s="172"/>
      <c r="M696" s="32"/>
      <c r="N696" s="32"/>
      <c r="O696" s="33"/>
      <c r="P696" s="33"/>
      <c r="Q696" s="32"/>
      <c r="R696" s="42"/>
      <c r="S696" s="42"/>
      <c r="T696" s="42"/>
      <c r="U696" s="32"/>
      <c r="V696" s="33"/>
      <c r="W696" s="33"/>
      <c r="X696" s="32"/>
      <c r="Y696" s="32"/>
      <c r="Z696" s="32"/>
      <c r="AA696" s="33"/>
      <c r="AB696" s="33"/>
      <c r="AC696" s="33"/>
      <c r="AD696" s="32"/>
      <c r="AE696" s="32"/>
      <c r="AF696" s="42"/>
      <c r="AG696" s="5"/>
    </row>
    <row r="697" spans="1:33" x14ac:dyDescent="0.25">
      <c r="A697" s="23"/>
      <c r="B697" s="24"/>
      <c r="C697" s="25"/>
      <c r="D697" s="27"/>
      <c r="E697" s="27"/>
      <c r="F697" s="28"/>
      <c r="G697" s="27"/>
      <c r="H697" s="27"/>
      <c r="I697" s="172"/>
      <c r="J697" s="214"/>
      <c r="K697" s="27"/>
      <c r="L697" s="172"/>
      <c r="M697" s="32"/>
      <c r="N697" s="32"/>
      <c r="O697" s="33"/>
      <c r="P697" s="33"/>
      <c r="Q697" s="32"/>
      <c r="R697" s="42"/>
      <c r="S697" s="42"/>
      <c r="T697" s="42"/>
      <c r="U697" s="32"/>
      <c r="V697" s="33"/>
      <c r="W697" s="33"/>
      <c r="X697" s="32"/>
      <c r="Y697" s="32"/>
      <c r="Z697" s="32"/>
      <c r="AA697" s="33"/>
      <c r="AB697" s="33"/>
      <c r="AC697" s="33"/>
      <c r="AD697" s="32"/>
      <c r="AE697" s="32"/>
      <c r="AF697" s="42"/>
      <c r="AG697" s="5"/>
    </row>
    <row r="698" spans="1:33" x14ac:dyDescent="0.25">
      <c r="A698" s="23"/>
      <c r="B698" s="24"/>
      <c r="C698" s="25"/>
      <c r="D698" s="27"/>
      <c r="E698" s="27"/>
      <c r="F698" s="28"/>
      <c r="G698" s="27"/>
      <c r="H698" s="27"/>
      <c r="I698" s="172"/>
      <c r="J698" s="214"/>
      <c r="K698" s="27"/>
      <c r="L698" s="172"/>
      <c r="M698" s="32"/>
      <c r="N698" s="32"/>
      <c r="O698" s="33"/>
      <c r="P698" s="33"/>
      <c r="Q698" s="32"/>
      <c r="R698" s="42"/>
      <c r="S698" s="42"/>
      <c r="T698" s="42"/>
      <c r="U698" s="32"/>
      <c r="V698" s="33"/>
      <c r="W698" s="33"/>
      <c r="X698" s="32"/>
      <c r="Y698" s="32"/>
      <c r="Z698" s="32"/>
      <c r="AA698" s="33"/>
      <c r="AB698" s="33"/>
      <c r="AC698" s="33"/>
      <c r="AD698" s="32"/>
      <c r="AE698" s="32"/>
      <c r="AF698" s="42"/>
      <c r="AG698" s="5"/>
    </row>
    <row r="699" spans="1:33" x14ac:dyDescent="0.25">
      <c r="A699" s="23"/>
      <c r="B699" s="24"/>
      <c r="C699" s="25"/>
      <c r="D699" s="27"/>
      <c r="E699" s="27"/>
      <c r="F699" s="28"/>
      <c r="G699" s="27"/>
      <c r="H699" s="27"/>
      <c r="I699" s="172"/>
      <c r="J699" s="214"/>
      <c r="K699" s="27"/>
      <c r="L699" s="172"/>
      <c r="M699" s="32"/>
      <c r="N699" s="32"/>
      <c r="O699" s="33"/>
      <c r="P699" s="33"/>
      <c r="Q699" s="32"/>
      <c r="R699" s="42"/>
      <c r="S699" s="42"/>
      <c r="T699" s="42"/>
      <c r="U699" s="32"/>
      <c r="V699" s="33"/>
      <c r="W699" s="33"/>
      <c r="X699" s="32"/>
      <c r="Y699" s="32"/>
      <c r="Z699" s="32"/>
      <c r="AA699" s="33"/>
      <c r="AB699" s="33"/>
      <c r="AC699" s="33"/>
      <c r="AD699" s="32"/>
      <c r="AE699" s="32"/>
      <c r="AF699" s="42"/>
      <c r="AG699" s="5"/>
    </row>
    <row r="700" spans="1:33" x14ac:dyDescent="0.25">
      <c r="A700" s="23"/>
      <c r="B700" s="24"/>
      <c r="C700" s="25"/>
      <c r="D700" s="27"/>
      <c r="E700" s="27"/>
      <c r="F700" s="28"/>
      <c r="G700" s="27"/>
      <c r="H700" s="27"/>
      <c r="I700" s="172"/>
      <c r="J700" s="214"/>
      <c r="K700" s="27"/>
      <c r="L700" s="172"/>
      <c r="M700" s="32"/>
      <c r="N700" s="32"/>
      <c r="O700" s="33"/>
      <c r="P700" s="33"/>
      <c r="Q700" s="32"/>
      <c r="R700" s="42"/>
      <c r="S700" s="42"/>
      <c r="T700" s="42"/>
      <c r="U700" s="32"/>
      <c r="V700" s="33"/>
      <c r="W700" s="33"/>
      <c r="X700" s="32"/>
      <c r="Y700" s="32"/>
      <c r="Z700" s="32"/>
      <c r="AA700" s="33"/>
      <c r="AB700" s="33"/>
      <c r="AC700" s="33"/>
      <c r="AD700" s="32"/>
      <c r="AE700" s="32"/>
      <c r="AF700" s="42"/>
      <c r="AG700" s="5"/>
    </row>
    <row r="701" spans="1:33" x14ac:dyDescent="0.25">
      <c r="A701" s="23"/>
      <c r="B701" s="24"/>
      <c r="C701" s="25"/>
      <c r="D701" s="27"/>
      <c r="E701" s="27"/>
      <c r="F701" s="28"/>
      <c r="G701" s="27"/>
      <c r="H701" s="27"/>
      <c r="I701" s="172"/>
      <c r="J701" s="214"/>
      <c r="K701" s="27"/>
      <c r="L701" s="172"/>
      <c r="M701" s="32"/>
      <c r="N701" s="32"/>
      <c r="O701" s="33"/>
      <c r="P701" s="33"/>
      <c r="Q701" s="32"/>
      <c r="R701" s="42"/>
      <c r="S701" s="42"/>
      <c r="T701" s="42"/>
      <c r="U701" s="32"/>
      <c r="V701" s="33"/>
      <c r="W701" s="33"/>
      <c r="X701" s="32"/>
      <c r="Y701" s="32"/>
      <c r="Z701" s="32"/>
      <c r="AA701" s="33"/>
      <c r="AB701" s="33"/>
      <c r="AC701" s="33"/>
      <c r="AD701" s="32"/>
      <c r="AE701" s="32"/>
      <c r="AF701" s="42"/>
      <c r="AG701" s="5"/>
    </row>
    <row r="702" spans="1:33" x14ac:dyDescent="0.25">
      <c r="A702" s="23"/>
      <c r="B702" s="24"/>
      <c r="C702" s="25"/>
      <c r="D702" s="27"/>
      <c r="E702" s="27"/>
      <c r="F702" s="28"/>
      <c r="G702" s="27"/>
      <c r="H702" s="27"/>
      <c r="I702" s="172"/>
      <c r="J702" s="214"/>
      <c r="K702" s="27"/>
      <c r="L702" s="172"/>
      <c r="M702" s="32"/>
      <c r="N702" s="32"/>
      <c r="O702" s="33"/>
      <c r="P702" s="33"/>
      <c r="Q702" s="32"/>
      <c r="R702" s="42"/>
      <c r="S702" s="42"/>
      <c r="T702" s="42"/>
      <c r="U702" s="32"/>
      <c r="V702" s="33"/>
      <c r="W702" s="33"/>
      <c r="X702" s="32"/>
      <c r="Y702" s="32"/>
      <c r="Z702" s="32"/>
      <c r="AA702" s="33"/>
      <c r="AB702" s="33"/>
      <c r="AC702" s="33"/>
      <c r="AD702" s="32"/>
      <c r="AE702" s="32"/>
      <c r="AF702" s="42"/>
      <c r="AG702" s="5"/>
    </row>
    <row r="703" spans="1:33" x14ac:dyDescent="0.25">
      <c r="A703" s="23"/>
      <c r="B703" s="24"/>
      <c r="C703" s="25"/>
      <c r="D703" s="27"/>
      <c r="E703" s="27"/>
      <c r="F703" s="28"/>
      <c r="G703" s="27"/>
      <c r="H703" s="27"/>
      <c r="I703" s="172"/>
      <c r="J703" s="214"/>
      <c r="K703" s="27"/>
      <c r="L703" s="172"/>
      <c r="M703" s="32"/>
      <c r="N703" s="32"/>
      <c r="O703" s="33"/>
      <c r="P703" s="33"/>
      <c r="Q703" s="32"/>
      <c r="R703" s="42"/>
      <c r="S703" s="42"/>
      <c r="T703" s="42"/>
      <c r="U703" s="32"/>
      <c r="V703" s="33"/>
      <c r="W703" s="33"/>
      <c r="X703" s="32"/>
      <c r="Y703" s="32"/>
      <c r="Z703" s="32"/>
      <c r="AA703" s="33"/>
      <c r="AB703" s="33"/>
      <c r="AC703" s="33"/>
      <c r="AD703" s="32"/>
      <c r="AE703" s="32"/>
      <c r="AF703" s="42"/>
      <c r="AG703" s="5"/>
    </row>
    <row r="704" spans="1:33" x14ac:dyDescent="0.25">
      <c r="A704" s="23"/>
      <c r="B704" s="24"/>
      <c r="C704" s="25"/>
      <c r="D704" s="27"/>
      <c r="E704" s="27"/>
      <c r="F704" s="28"/>
      <c r="G704" s="27"/>
      <c r="H704" s="27"/>
      <c r="I704" s="172"/>
      <c r="J704" s="214"/>
      <c r="K704" s="27"/>
      <c r="L704" s="172"/>
      <c r="M704" s="32"/>
      <c r="N704" s="32"/>
      <c r="O704" s="33"/>
      <c r="P704" s="33"/>
      <c r="Q704" s="32"/>
      <c r="R704" s="42"/>
      <c r="S704" s="42"/>
      <c r="T704" s="42"/>
      <c r="U704" s="32"/>
      <c r="V704" s="33"/>
      <c r="W704" s="33"/>
      <c r="X704" s="32"/>
      <c r="Y704" s="32"/>
      <c r="Z704" s="32"/>
      <c r="AA704" s="33"/>
      <c r="AB704" s="33"/>
      <c r="AC704" s="33"/>
      <c r="AD704" s="32"/>
      <c r="AE704" s="32"/>
      <c r="AF704" s="42"/>
      <c r="AG704" s="5"/>
    </row>
    <row r="705" spans="1:33" x14ac:dyDescent="0.25">
      <c r="A705" s="23"/>
      <c r="B705" s="24"/>
      <c r="C705" s="25"/>
      <c r="D705" s="27"/>
      <c r="E705" s="27"/>
      <c r="F705" s="28"/>
      <c r="G705" s="27"/>
      <c r="H705" s="27"/>
      <c r="I705" s="172"/>
      <c r="J705" s="214"/>
      <c r="K705" s="27"/>
      <c r="L705" s="172"/>
      <c r="M705" s="32"/>
      <c r="N705" s="32"/>
      <c r="O705" s="33"/>
      <c r="P705" s="33"/>
      <c r="Q705" s="32"/>
      <c r="R705" s="42"/>
      <c r="S705" s="42"/>
      <c r="T705" s="42"/>
      <c r="U705" s="32"/>
      <c r="V705" s="33"/>
      <c r="W705" s="33"/>
      <c r="X705" s="32"/>
      <c r="Y705" s="32"/>
      <c r="Z705" s="32"/>
      <c r="AA705" s="33"/>
      <c r="AB705" s="33"/>
      <c r="AC705" s="33"/>
      <c r="AD705" s="32"/>
      <c r="AE705" s="32"/>
      <c r="AF705" s="42"/>
      <c r="AG705" s="5"/>
    </row>
    <row r="706" spans="1:33" x14ac:dyDescent="0.25">
      <c r="A706" s="23"/>
      <c r="B706" s="24"/>
      <c r="C706" s="25"/>
      <c r="D706" s="27"/>
      <c r="E706" s="27"/>
      <c r="F706" s="28"/>
      <c r="G706" s="27"/>
      <c r="H706" s="27"/>
      <c r="I706" s="172"/>
      <c r="J706" s="214"/>
      <c r="K706" s="27"/>
      <c r="L706" s="172"/>
      <c r="M706" s="32"/>
      <c r="N706" s="32"/>
      <c r="O706" s="33"/>
      <c r="P706" s="33"/>
      <c r="Q706" s="32"/>
      <c r="R706" s="42"/>
      <c r="S706" s="42"/>
      <c r="T706" s="42"/>
      <c r="U706" s="32"/>
      <c r="V706" s="33"/>
      <c r="W706" s="33"/>
      <c r="X706" s="32"/>
      <c r="Y706" s="32"/>
      <c r="Z706" s="32"/>
      <c r="AA706" s="33"/>
      <c r="AB706" s="33"/>
      <c r="AC706" s="33"/>
      <c r="AD706" s="32"/>
      <c r="AE706" s="32"/>
      <c r="AF706" s="42"/>
      <c r="AG706" s="5"/>
    </row>
    <row r="707" spans="1:33" x14ac:dyDescent="0.25">
      <c r="A707" s="23"/>
      <c r="B707" s="24"/>
      <c r="C707" s="25"/>
      <c r="D707" s="27"/>
      <c r="E707" s="27"/>
      <c r="F707" s="28"/>
      <c r="G707" s="27"/>
      <c r="H707" s="27"/>
      <c r="I707" s="172"/>
      <c r="J707" s="214"/>
      <c r="K707" s="27"/>
      <c r="L707" s="172"/>
      <c r="M707" s="32"/>
      <c r="N707" s="32"/>
      <c r="O707" s="33"/>
      <c r="P707" s="33"/>
      <c r="Q707" s="32"/>
      <c r="R707" s="42"/>
      <c r="S707" s="42"/>
      <c r="T707" s="42"/>
      <c r="U707" s="32"/>
      <c r="V707" s="33"/>
      <c r="W707" s="33"/>
      <c r="X707" s="32"/>
      <c r="Y707" s="32"/>
      <c r="Z707" s="32"/>
      <c r="AA707" s="33"/>
      <c r="AB707" s="33"/>
      <c r="AC707" s="33"/>
      <c r="AD707" s="32"/>
      <c r="AE707" s="32"/>
      <c r="AF707" s="42"/>
      <c r="AG707" s="5"/>
    </row>
    <row r="708" spans="1:33" x14ac:dyDescent="0.25">
      <c r="A708" s="23"/>
      <c r="B708" s="24"/>
      <c r="C708" s="25"/>
      <c r="D708" s="27"/>
      <c r="E708" s="27"/>
      <c r="F708" s="28"/>
      <c r="G708" s="27"/>
      <c r="H708" s="27"/>
      <c r="I708" s="172"/>
      <c r="J708" s="214"/>
      <c r="K708" s="27"/>
      <c r="L708" s="172"/>
      <c r="M708" s="32"/>
      <c r="N708" s="32"/>
      <c r="O708" s="33"/>
      <c r="P708" s="33"/>
      <c r="Q708" s="32"/>
      <c r="R708" s="42"/>
      <c r="S708" s="42"/>
      <c r="T708" s="42"/>
      <c r="U708" s="32"/>
      <c r="V708" s="33"/>
      <c r="W708" s="33"/>
      <c r="X708" s="32"/>
      <c r="Y708" s="32"/>
      <c r="Z708" s="32"/>
      <c r="AA708" s="33"/>
      <c r="AB708" s="33"/>
      <c r="AC708" s="33"/>
      <c r="AD708" s="32"/>
      <c r="AE708" s="32"/>
      <c r="AF708" s="42"/>
      <c r="AG708" s="5"/>
    </row>
    <row r="709" spans="1:33" x14ac:dyDescent="0.25">
      <c r="A709" s="23"/>
      <c r="B709" s="24"/>
      <c r="C709" s="25"/>
      <c r="D709" s="27"/>
      <c r="E709" s="27"/>
      <c r="F709" s="28"/>
      <c r="G709" s="27"/>
      <c r="H709" s="27"/>
      <c r="I709" s="172"/>
      <c r="J709" s="214"/>
      <c r="K709" s="27"/>
      <c r="L709" s="172"/>
      <c r="M709" s="32"/>
      <c r="N709" s="32"/>
      <c r="O709" s="33"/>
      <c r="P709" s="33"/>
      <c r="Q709" s="32"/>
      <c r="R709" s="42"/>
      <c r="S709" s="42"/>
      <c r="T709" s="42"/>
      <c r="U709" s="32"/>
      <c r="V709" s="33"/>
      <c r="W709" s="33"/>
      <c r="X709" s="32"/>
      <c r="Y709" s="32"/>
      <c r="Z709" s="32"/>
      <c r="AA709" s="33"/>
      <c r="AB709" s="33"/>
      <c r="AC709" s="33"/>
      <c r="AD709" s="32"/>
      <c r="AE709" s="32"/>
      <c r="AF709" s="42"/>
      <c r="AG709" s="5"/>
    </row>
    <row r="710" spans="1:33" x14ac:dyDescent="0.25">
      <c r="A710" s="23"/>
      <c r="B710" s="24"/>
      <c r="C710" s="25"/>
      <c r="D710" s="27"/>
      <c r="E710" s="27"/>
      <c r="F710" s="28"/>
      <c r="G710" s="27"/>
      <c r="H710" s="27"/>
      <c r="I710" s="172"/>
      <c r="J710" s="214"/>
      <c r="K710" s="27"/>
      <c r="L710" s="172"/>
      <c r="M710" s="32"/>
      <c r="N710" s="32"/>
      <c r="O710" s="33"/>
      <c r="P710" s="33"/>
      <c r="Q710" s="32"/>
      <c r="R710" s="42"/>
      <c r="S710" s="42"/>
      <c r="T710" s="42"/>
      <c r="U710" s="32"/>
      <c r="V710" s="33"/>
      <c r="W710" s="33"/>
      <c r="X710" s="32"/>
      <c r="Y710" s="32"/>
      <c r="Z710" s="32"/>
      <c r="AA710" s="33"/>
      <c r="AB710" s="33"/>
      <c r="AC710" s="33"/>
      <c r="AD710" s="32"/>
      <c r="AE710" s="32"/>
      <c r="AF710" s="42"/>
      <c r="AG710" s="5"/>
    </row>
    <row r="711" spans="1:33" x14ac:dyDescent="0.25">
      <c r="A711" s="23"/>
      <c r="B711" s="24"/>
      <c r="C711" s="25"/>
      <c r="D711" s="27"/>
      <c r="E711" s="27"/>
      <c r="F711" s="28"/>
      <c r="G711" s="27"/>
      <c r="H711" s="27"/>
      <c r="I711" s="172"/>
      <c r="J711" s="214"/>
      <c r="K711" s="27"/>
      <c r="L711" s="172"/>
      <c r="M711" s="32"/>
      <c r="N711" s="32"/>
      <c r="O711" s="33"/>
      <c r="P711" s="33"/>
      <c r="Q711" s="32"/>
      <c r="R711" s="42"/>
      <c r="S711" s="42"/>
      <c r="T711" s="42"/>
      <c r="U711" s="32"/>
      <c r="V711" s="33"/>
      <c r="W711" s="33"/>
      <c r="X711" s="32"/>
      <c r="Y711" s="32"/>
      <c r="Z711" s="32"/>
      <c r="AA711" s="33"/>
      <c r="AB711" s="33"/>
      <c r="AC711" s="33"/>
      <c r="AD711" s="32"/>
      <c r="AE711" s="32"/>
      <c r="AF711" s="42"/>
      <c r="AG711" s="5"/>
    </row>
    <row r="712" spans="1:33" x14ac:dyDescent="0.25">
      <c r="A712" s="23"/>
      <c r="B712" s="24"/>
      <c r="C712" s="25"/>
      <c r="D712" s="27"/>
      <c r="E712" s="27"/>
      <c r="F712" s="28"/>
      <c r="G712" s="27"/>
      <c r="H712" s="27"/>
      <c r="I712" s="172"/>
      <c r="J712" s="214"/>
      <c r="K712" s="27"/>
      <c r="L712" s="172"/>
      <c r="M712" s="32"/>
      <c r="N712" s="32"/>
      <c r="O712" s="33"/>
      <c r="P712" s="33"/>
      <c r="Q712" s="32"/>
      <c r="R712" s="42"/>
      <c r="S712" s="42"/>
      <c r="T712" s="42"/>
      <c r="U712" s="32"/>
      <c r="V712" s="33"/>
      <c r="W712" s="33"/>
      <c r="X712" s="32"/>
      <c r="Y712" s="32"/>
      <c r="Z712" s="32"/>
      <c r="AA712" s="33"/>
      <c r="AB712" s="33"/>
      <c r="AC712" s="33"/>
      <c r="AD712" s="32"/>
      <c r="AE712" s="32"/>
      <c r="AF712" s="42"/>
      <c r="AG712" s="5"/>
    </row>
    <row r="713" spans="1:33" x14ac:dyDescent="0.25">
      <c r="A713" s="23"/>
      <c r="B713" s="24"/>
      <c r="C713" s="25"/>
      <c r="D713" s="27"/>
      <c r="E713" s="27"/>
      <c r="F713" s="28"/>
      <c r="G713" s="27"/>
      <c r="H713" s="27"/>
      <c r="I713" s="172"/>
      <c r="J713" s="214"/>
      <c r="K713" s="27"/>
      <c r="L713" s="172"/>
      <c r="M713" s="32"/>
      <c r="N713" s="32"/>
      <c r="O713" s="33"/>
      <c r="P713" s="33"/>
      <c r="Q713" s="32"/>
      <c r="R713" s="42"/>
      <c r="S713" s="42"/>
      <c r="T713" s="42"/>
      <c r="U713" s="32"/>
      <c r="V713" s="33"/>
      <c r="W713" s="33"/>
      <c r="X713" s="32"/>
      <c r="Y713" s="32"/>
      <c r="Z713" s="32"/>
      <c r="AA713" s="33"/>
      <c r="AB713" s="33"/>
      <c r="AC713" s="33"/>
      <c r="AD713" s="32"/>
      <c r="AE713" s="32"/>
      <c r="AF713" s="42"/>
      <c r="AG713" s="5"/>
    </row>
    <row r="714" spans="1:33" x14ac:dyDescent="0.25">
      <c r="A714" s="23"/>
      <c r="B714" s="24"/>
      <c r="C714" s="25"/>
      <c r="D714" s="27"/>
      <c r="E714" s="27"/>
      <c r="F714" s="28"/>
      <c r="G714" s="27"/>
      <c r="H714" s="27"/>
      <c r="I714" s="172"/>
      <c r="J714" s="214"/>
      <c r="K714" s="27"/>
      <c r="L714" s="172"/>
      <c r="M714" s="32"/>
      <c r="N714" s="32"/>
      <c r="O714" s="33"/>
      <c r="P714" s="33"/>
      <c r="Q714" s="32"/>
      <c r="R714" s="42"/>
      <c r="S714" s="42"/>
      <c r="T714" s="42"/>
      <c r="U714" s="32"/>
      <c r="V714" s="33"/>
      <c r="W714" s="33"/>
      <c r="X714" s="32"/>
      <c r="Y714" s="32"/>
      <c r="Z714" s="32"/>
      <c r="AA714" s="33"/>
      <c r="AB714" s="33"/>
      <c r="AC714" s="33"/>
      <c r="AD714" s="32"/>
      <c r="AE714" s="32"/>
      <c r="AF714" s="42"/>
      <c r="AG714" s="5"/>
    </row>
    <row r="715" spans="1:33" x14ac:dyDescent="0.25">
      <c r="A715" s="23"/>
      <c r="B715" s="24"/>
      <c r="C715" s="25"/>
      <c r="D715" s="27"/>
      <c r="E715" s="27"/>
      <c r="F715" s="28"/>
      <c r="G715" s="27"/>
      <c r="H715" s="27"/>
      <c r="I715" s="172"/>
      <c r="J715" s="214"/>
      <c r="K715" s="27"/>
      <c r="L715" s="172"/>
      <c r="M715" s="32"/>
      <c r="N715" s="32"/>
      <c r="O715" s="33"/>
      <c r="P715" s="33"/>
      <c r="Q715" s="32"/>
      <c r="R715" s="42"/>
      <c r="S715" s="42"/>
      <c r="T715" s="42"/>
      <c r="U715" s="32"/>
      <c r="V715" s="33"/>
      <c r="W715" s="33"/>
      <c r="X715" s="32"/>
      <c r="Y715" s="32"/>
      <c r="Z715" s="32"/>
      <c r="AA715" s="33"/>
      <c r="AB715" s="33"/>
      <c r="AC715" s="33"/>
      <c r="AD715" s="32"/>
      <c r="AE715" s="32"/>
      <c r="AF715" s="42"/>
      <c r="AG715" s="5"/>
    </row>
    <row r="716" spans="1:33" x14ac:dyDescent="0.25">
      <c r="A716" s="23"/>
      <c r="B716" s="24"/>
      <c r="C716" s="25"/>
      <c r="D716" s="27"/>
      <c r="E716" s="27"/>
      <c r="F716" s="28"/>
      <c r="G716" s="27"/>
      <c r="H716" s="27"/>
      <c r="I716" s="172"/>
      <c r="J716" s="214"/>
      <c r="K716" s="27"/>
      <c r="L716" s="172"/>
      <c r="M716" s="32"/>
      <c r="N716" s="32"/>
      <c r="O716" s="33"/>
      <c r="P716" s="33"/>
      <c r="Q716" s="32"/>
      <c r="R716" s="42"/>
      <c r="S716" s="42"/>
      <c r="T716" s="42"/>
      <c r="U716" s="32"/>
      <c r="V716" s="33"/>
      <c r="W716" s="33"/>
      <c r="X716" s="32"/>
      <c r="Y716" s="32"/>
      <c r="Z716" s="32"/>
      <c r="AA716" s="33"/>
      <c r="AB716" s="33"/>
      <c r="AC716" s="33"/>
      <c r="AD716" s="32"/>
      <c r="AE716" s="32"/>
      <c r="AF716" s="42"/>
      <c r="AG716" s="5"/>
    </row>
    <row r="717" spans="1:33" x14ac:dyDescent="0.25">
      <c r="A717" s="23"/>
      <c r="B717" s="24"/>
      <c r="C717" s="25"/>
      <c r="D717" s="27"/>
      <c r="E717" s="27"/>
      <c r="F717" s="28"/>
      <c r="G717" s="27"/>
      <c r="H717" s="27"/>
      <c r="I717" s="172"/>
      <c r="J717" s="214"/>
      <c r="K717" s="27"/>
      <c r="L717" s="172"/>
      <c r="M717" s="32"/>
      <c r="N717" s="32"/>
      <c r="O717" s="33"/>
      <c r="P717" s="33"/>
      <c r="Q717" s="32"/>
      <c r="R717" s="42"/>
      <c r="S717" s="42"/>
      <c r="T717" s="42"/>
      <c r="U717" s="32"/>
      <c r="V717" s="33"/>
      <c r="W717" s="33"/>
      <c r="X717" s="32"/>
      <c r="Y717" s="32"/>
      <c r="Z717" s="32"/>
      <c r="AA717" s="33"/>
      <c r="AB717" s="33"/>
      <c r="AC717" s="33"/>
      <c r="AD717" s="32"/>
      <c r="AE717" s="32"/>
      <c r="AF717" s="42"/>
      <c r="AG717" s="5"/>
    </row>
    <row r="718" spans="1:33" x14ac:dyDescent="0.25">
      <c r="A718" s="23"/>
      <c r="B718" s="24"/>
      <c r="C718" s="25"/>
      <c r="D718" s="27"/>
      <c r="E718" s="27"/>
      <c r="F718" s="28"/>
      <c r="G718" s="27"/>
      <c r="H718" s="27"/>
      <c r="I718" s="172"/>
      <c r="J718" s="214"/>
      <c r="K718" s="27"/>
      <c r="L718" s="172"/>
      <c r="M718" s="32"/>
      <c r="N718" s="32"/>
      <c r="O718" s="33"/>
      <c r="P718" s="33"/>
      <c r="Q718" s="32"/>
      <c r="R718" s="42"/>
      <c r="S718" s="42"/>
      <c r="T718" s="42"/>
      <c r="U718" s="32"/>
      <c r="V718" s="33"/>
      <c r="W718" s="33"/>
      <c r="X718" s="32"/>
      <c r="Y718" s="32"/>
      <c r="Z718" s="32"/>
      <c r="AA718" s="33"/>
      <c r="AB718" s="33"/>
      <c r="AC718" s="33"/>
      <c r="AD718" s="32"/>
      <c r="AE718" s="32"/>
      <c r="AF718" s="42"/>
      <c r="AG718" s="5"/>
    </row>
    <row r="719" spans="1:33" x14ac:dyDescent="0.25">
      <c r="A719" s="23"/>
      <c r="B719" s="24"/>
      <c r="C719" s="25"/>
      <c r="D719" s="27"/>
      <c r="E719" s="27"/>
      <c r="F719" s="28"/>
      <c r="G719" s="27"/>
      <c r="H719" s="27"/>
      <c r="I719" s="172"/>
      <c r="J719" s="214"/>
      <c r="K719" s="27"/>
      <c r="L719" s="172"/>
      <c r="M719" s="32"/>
      <c r="N719" s="32"/>
      <c r="O719" s="33"/>
      <c r="P719" s="33"/>
      <c r="Q719" s="32"/>
      <c r="R719" s="42"/>
      <c r="S719" s="42"/>
      <c r="T719" s="42"/>
      <c r="U719" s="32"/>
      <c r="V719" s="33"/>
      <c r="W719" s="33"/>
      <c r="X719" s="32"/>
      <c r="Y719" s="32"/>
      <c r="Z719" s="32"/>
      <c r="AA719" s="33"/>
      <c r="AB719" s="33"/>
      <c r="AC719" s="33"/>
      <c r="AD719" s="32"/>
      <c r="AE719" s="32"/>
      <c r="AF719" s="42"/>
      <c r="AG719" s="5"/>
    </row>
    <row r="720" spans="1:33" x14ac:dyDescent="0.25">
      <c r="A720" s="23"/>
      <c r="B720" s="24"/>
      <c r="C720" s="25"/>
      <c r="D720" s="27"/>
      <c r="E720" s="27"/>
      <c r="F720" s="28"/>
      <c r="G720" s="27"/>
      <c r="H720" s="27"/>
      <c r="I720" s="172"/>
      <c r="J720" s="214"/>
      <c r="K720" s="27"/>
      <c r="L720" s="172"/>
      <c r="M720" s="32"/>
      <c r="N720" s="32"/>
      <c r="O720" s="33"/>
      <c r="P720" s="33"/>
      <c r="Q720" s="32"/>
      <c r="R720" s="42"/>
      <c r="S720" s="42"/>
      <c r="T720" s="42"/>
      <c r="U720" s="32"/>
      <c r="V720" s="33"/>
      <c r="W720" s="33"/>
      <c r="X720" s="32"/>
      <c r="Y720" s="32"/>
      <c r="Z720" s="32"/>
      <c r="AA720" s="33"/>
      <c r="AB720" s="33"/>
      <c r="AC720" s="33"/>
      <c r="AD720" s="32"/>
      <c r="AE720" s="32"/>
      <c r="AF720" s="42"/>
      <c r="AG720" s="5"/>
    </row>
    <row r="721" spans="1:33" x14ac:dyDescent="0.25">
      <c r="A721" s="23"/>
      <c r="B721" s="24"/>
      <c r="C721" s="25"/>
      <c r="D721" s="27"/>
      <c r="E721" s="27"/>
      <c r="F721" s="28"/>
      <c r="G721" s="27"/>
      <c r="H721" s="27"/>
      <c r="I721" s="172"/>
      <c r="J721" s="214"/>
      <c r="K721" s="27"/>
      <c r="L721" s="172"/>
      <c r="M721" s="32"/>
      <c r="N721" s="32"/>
      <c r="O721" s="33"/>
      <c r="P721" s="33"/>
      <c r="Q721" s="32"/>
      <c r="R721" s="42"/>
      <c r="S721" s="42"/>
      <c r="T721" s="42"/>
      <c r="U721" s="32"/>
      <c r="V721" s="33"/>
      <c r="W721" s="33"/>
      <c r="X721" s="32"/>
      <c r="Y721" s="32"/>
      <c r="Z721" s="32"/>
      <c r="AA721" s="33"/>
      <c r="AB721" s="33"/>
      <c r="AC721" s="33"/>
      <c r="AD721" s="32"/>
      <c r="AE721" s="32"/>
      <c r="AF721" s="42"/>
      <c r="AG721" s="5"/>
    </row>
    <row r="722" spans="1:33" x14ac:dyDescent="0.25">
      <c r="A722" s="23"/>
      <c r="B722" s="24"/>
      <c r="C722" s="25"/>
      <c r="D722" s="27"/>
      <c r="E722" s="27"/>
      <c r="F722" s="28"/>
      <c r="G722" s="27"/>
      <c r="H722" s="27"/>
      <c r="I722" s="172"/>
      <c r="J722" s="214"/>
      <c r="K722" s="27"/>
      <c r="L722" s="172"/>
      <c r="M722" s="32"/>
      <c r="N722" s="32"/>
      <c r="O722" s="33"/>
      <c r="P722" s="33"/>
      <c r="Q722" s="32"/>
      <c r="R722" s="42"/>
      <c r="S722" s="42"/>
      <c r="T722" s="42"/>
      <c r="U722" s="32"/>
      <c r="V722" s="33"/>
      <c r="W722" s="33"/>
      <c r="X722" s="32"/>
      <c r="Y722" s="32"/>
      <c r="Z722" s="32"/>
      <c r="AA722" s="33"/>
      <c r="AB722" s="33"/>
      <c r="AC722" s="33"/>
      <c r="AD722" s="32"/>
      <c r="AE722" s="32"/>
      <c r="AF722" s="42"/>
      <c r="AG722" s="5"/>
    </row>
    <row r="723" spans="1:33" x14ac:dyDescent="0.25">
      <c r="A723" s="23"/>
      <c r="B723" s="24"/>
      <c r="C723" s="25"/>
      <c r="D723" s="27"/>
      <c r="E723" s="27"/>
      <c r="F723" s="28"/>
      <c r="G723" s="27"/>
      <c r="H723" s="27"/>
      <c r="I723" s="172"/>
      <c r="J723" s="214"/>
      <c r="K723" s="27"/>
      <c r="L723" s="172"/>
      <c r="M723" s="32"/>
      <c r="N723" s="32"/>
      <c r="O723" s="33"/>
      <c r="P723" s="33"/>
      <c r="Q723" s="32"/>
      <c r="R723" s="42"/>
      <c r="S723" s="42"/>
      <c r="T723" s="42"/>
      <c r="U723" s="32"/>
      <c r="V723" s="33"/>
      <c r="W723" s="33"/>
      <c r="X723" s="32"/>
      <c r="Y723" s="32"/>
      <c r="Z723" s="32"/>
      <c r="AA723" s="33"/>
      <c r="AB723" s="33"/>
      <c r="AC723" s="33"/>
      <c r="AD723" s="32"/>
      <c r="AE723" s="32"/>
      <c r="AF723" s="42"/>
      <c r="AG723" s="5"/>
    </row>
    <row r="724" spans="1:33" x14ac:dyDescent="0.25">
      <c r="A724" s="23"/>
      <c r="B724" s="24"/>
      <c r="C724" s="25"/>
      <c r="D724" s="27"/>
      <c r="E724" s="27"/>
      <c r="F724" s="28"/>
      <c r="G724" s="27"/>
      <c r="H724" s="27"/>
      <c r="I724" s="172"/>
      <c r="J724" s="214"/>
      <c r="K724" s="27"/>
      <c r="L724" s="172"/>
      <c r="M724" s="32"/>
      <c r="N724" s="32"/>
      <c r="O724" s="33"/>
      <c r="P724" s="33"/>
      <c r="Q724" s="32"/>
      <c r="R724" s="42"/>
      <c r="S724" s="42"/>
      <c r="T724" s="42"/>
      <c r="U724" s="32"/>
      <c r="V724" s="33"/>
      <c r="W724" s="33"/>
      <c r="X724" s="32"/>
      <c r="Y724" s="32"/>
      <c r="Z724" s="32"/>
      <c r="AA724" s="33"/>
      <c r="AB724" s="33"/>
      <c r="AC724" s="33"/>
      <c r="AD724" s="32"/>
      <c r="AE724" s="32"/>
      <c r="AF724" s="42"/>
      <c r="AG724" s="5"/>
    </row>
    <row r="725" spans="1:33" x14ac:dyDescent="0.25">
      <c r="A725" s="23"/>
      <c r="B725" s="24"/>
      <c r="C725" s="25"/>
      <c r="D725" s="27"/>
      <c r="E725" s="27"/>
      <c r="F725" s="28"/>
      <c r="G725" s="27"/>
      <c r="H725" s="27"/>
      <c r="I725" s="172"/>
      <c r="J725" s="214"/>
      <c r="K725" s="27"/>
      <c r="L725" s="172"/>
      <c r="M725" s="32"/>
      <c r="N725" s="32"/>
      <c r="O725" s="33"/>
      <c r="P725" s="33"/>
      <c r="Q725" s="32"/>
      <c r="R725" s="42"/>
      <c r="S725" s="42"/>
      <c r="T725" s="42"/>
      <c r="U725" s="32"/>
      <c r="V725" s="33"/>
      <c r="W725" s="33"/>
      <c r="X725" s="32"/>
      <c r="Y725" s="32"/>
      <c r="Z725" s="32"/>
      <c r="AA725" s="33"/>
      <c r="AB725" s="33"/>
      <c r="AC725" s="33"/>
      <c r="AD725" s="32"/>
      <c r="AE725" s="32"/>
      <c r="AF725" s="42"/>
      <c r="AG725" s="5"/>
    </row>
    <row r="726" spans="1:33" x14ac:dyDescent="0.25">
      <c r="A726" s="23"/>
      <c r="B726" s="24"/>
      <c r="C726" s="25"/>
      <c r="D726" s="27"/>
      <c r="E726" s="27"/>
      <c r="F726" s="28"/>
      <c r="G726" s="27"/>
      <c r="H726" s="27"/>
      <c r="I726" s="172"/>
      <c r="J726" s="214"/>
      <c r="K726" s="27"/>
      <c r="L726" s="172"/>
      <c r="M726" s="32"/>
      <c r="N726" s="32"/>
      <c r="O726" s="33"/>
      <c r="P726" s="33"/>
      <c r="Q726" s="32"/>
      <c r="R726" s="42"/>
      <c r="S726" s="42"/>
      <c r="T726" s="42"/>
      <c r="U726" s="32"/>
      <c r="V726" s="33"/>
      <c r="W726" s="33"/>
      <c r="X726" s="32"/>
      <c r="Y726" s="32"/>
      <c r="Z726" s="32"/>
      <c r="AA726" s="33"/>
      <c r="AB726" s="33"/>
      <c r="AC726" s="33"/>
      <c r="AD726" s="32"/>
      <c r="AE726" s="32"/>
      <c r="AF726" s="42"/>
      <c r="AG726" s="5"/>
    </row>
    <row r="727" spans="1:33" x14ac:dyDescent="0.25">
      <c r="A727" s="23"/>
      <c r="B727" s="24"/>
      <c r="C727" s="25"/>
      <c r="D727" s="27"/>
      <c r="E727" s="27"/>
      <c r="F727" s="28"/>
      <c r="G727" s="27"/>
      <c r="H727" s="27"/>
      <c r="I727" s="172"/>
      <c r="J727" s="214"/>
      <c r="K727" s="27"/>
      <c r="L727" s="172"/>
      <c r="M727" s="32"/>
      <c r="N727" s="32"/>
      <c r="O727" s="33"/>
      <c r="P727" s="33"/>
      <c r="Q727" s="32"/>
      <c r="R727" s="42"/>
      <c r="S727" s="42"/>
      <c r="T727" s="42"/>
      <c r="U727" s="32"/>
      <c r="V727" s="33"/>
      <c r="W727" s="33"/>
      <c r="X727" s="32"/>
      <c r="Y727" s="32"/>
      <c r="Z727" s="32"/>
      <c r="AA727" s="33"/>
      <c r="AB727" s="33"/>
      <c r="AC727" s="33"/>
      <c r="AD727" s="32"/>
      <c r="AE727" s="32"/>
      <c r="AF727" s="42"/>
      <c r="AG727" s="5"/>
    </row>
    <row r="728" spans="1:33" x14ac:dyDescent="0.25">
      <c r="A728" s="23"/>
      <c r="B728" s="24"/>
      <c r="C728" s="25"/>
      <c r="D728" s="27"/>
      <c r="E728" s="27"/>
      <c r="F728" s="28"/>
      <c r="G728" s="27"/>
      <c r="H728" s="27"/>
      <c r="I728" s="172"/>
      <c r="J728" s="214"/>
      <c r="K728" s="27"/>
      <c r="L728" s="172"/>
      <c r="M728" s="32"/>
      <c r="N728" s="32"/>
      <c r="O728" s="33"/>
      <c r="P728" s="33"/>
      <c r="Q728" s="32"/>
      <c r="R728" s="42"/>
      <c r="S728" s="42"/>
      <c r="T728" s="42"/>
      <c r="U728" s="32"/>
      <c r="V728" s="33"/>
      <c r="W728" s="33"/>
      <c r="X728" s="32"/>
      <c r="Y728" s="32"/>
      <c r="Z728" s="32"/>
      <c r="AA728" s="33"/>
      <c r="AB728" s="33"/>
      <c r="AC728" s="33"/>
      <c r="AD728" s="32"/>
      <c r="AE728" s="32"/>
      <c r="AF728" s="42"/>
      <c r="AG728" s="5"/>
    </row>
    <row r="729" spans="1:33" x14ac:dyDescent="0.25">
      <c r="A729" s="23"/>
      <c r="B729" s="24"/>
      <c r="C729" s="25"/>
      <c r="D729" s="27"/>
      <c r="E729" s="27"/>
      <c r="F729" s="28"/>
      <c r="G729" s="27"/>
      <c r="H729" s="27"/>
      <c r="I729" s="172"/>
      <c r="J729" s="214"/>
      <c r="K729" s="27"/>
      <c r="L729" s="172"/>
      <c r="M729" s="32"/>
      <c r="N729" s="32"/>
      <c r="O729" s="33"/>
      <c r="P729" s="33"/>
      <c r="Q729" s="32"/>
      <c r="R729" s="42"/>
      <c r="S729" s="42"/>
      <c r="T729" s="42"/>
      <c r="U729" s="32"/>
      <c r="V729" s="33"/>
      <c r="W729" s="33"/>
      <c r="X729" s="32"/>
      <c r="Y729" s="32"/>
      <c r="Z729" s="32"/>
      <c r="AA729" s="33"/>
      <c r="AB729" s="33"/>
      <c r="AC729" s="33"/>
      <c r="AD729" s="32"/>
      <c r="AE729" s="32"/>
      <c r="AF729" s="42"/>
      <c r="AG729" s="5"/>
    </row>
    <row r="730" spans="1:33" x14ac:dyDescent="0.25">
      <c r="A730" s="23"/>
      <c r="B730" s="24"/>
      <c r="C730" s="25"/>
      <c r="D730" s="27"/>
      <c r="E730" s="27"/>
      <c r="F730" s="28"/>
      <c r="G730" s="27"/>
      <c r="H730" s="27"/>
      <c r="I730" s="172"/>
      <c r="J730" s="214"/>
      <c r="K730" s="27"/>
      <c r="L730" s="172"/>
      <c r="M730" s="32"/>
      <c r="N730" s="32"/>
      <c r="O730" s="33"/>
      <c r="P730" s="33"/>
      <c r="Q730" s="32"/>
      <c r="R730" s="42"/>
      <c r="S730" s="42"/>
      <c r="T730" s="42"/>
      <c r="U730" s="32"/>
      <c r="V730" s="33"/>
      <c r="W730" s="33"/>
      <c r="X730" s="32"/>
      <c r="Y730" s="32"/>
      <c r="Z730" s="32"/>
      <c r="AA730" s="33"/>
      <c r="AB730" s="33"/>
      <c r="AC730" s="33"/>
      <c r="AD730" s="32"/>
      <c r="AE730" s="32"/>
      <c r="AF730" s="42"/>
      <c r="AG730" s="5"/>
    </row>
    <row r="731" spans="1:33" x14ac:dyDescent="0.25">
      <c r="A731" s="23"/>
      <c r="B731" s="24"/>
      <c r="C731" s="25"/>
      <c r="D731" s="27"/>
      <c r="E731" s="27"/>
      <c r="F731" s="28"/>
      <c r="G731" s="27"/>
      <c r="H731" s="27"/>
      <c r="I731" s="172"/>
      <c r="J731" s="214"/>
      <c r="K731" s="27"/>
      <c r="L731" s="172"/>
      <c r="M731" s="32"/>
      <c r="N731" s="32"/>
      <c r="O731" s="33"/>
      <c r="P731" s="33"/>
      <c r="Q731" s="32"/>
      <c r="R731" s="42"/>
      <c r="S731" s="42"/>
      <c r="T731" s="42"/>
      <c r="U731" s="32"/>
      <c r="V731" s="33"/>
      <c r="W731" s="33"/>
      <c r="X731" s="32"/>
      <c r="Y731" s="32"/>
      <c r="Z731" s="32"/>
      <c r="AA731" s="33"/>
      <c r="AB731" s="33"/>
      <c r="AC731" s="33"/>
      <c r="AD731" s="32"/>
      <c r="AE731" s="32"/>
      <c r="AF731" s="42"/>
      <c r="AG731" s="5"/>
    </row>
    <row r="732" spans="1:33" x14ac:dyDescent="0.25">
      <c r="A732" s="23"/>
      <c r="B732" s="24"/>
      <c r="C732" s="25"/>
      <c r="D732" s="27"/>
      <c r="E732" s="27"/>
      <c r="F732" s="28"/>
      <c r="G732" s="27"/>
      <c r="H732" s="27"/>
      <c r="I732" s="172"/>
      <c r="J732" s="214"/>
      <c r="K732" s="27"/>
      <c r="L732" s="172"/>
      <c r="M732" s="32"/>
      <c r="N732" s="32"/>
      <c r="O732" s="33"/>
      <c r="P732" s="33"/>
      <c r="Q732" s="32"/>
      <c r="R732" s="42"/>
      <c r="S732" s="42"/>
      <c r="T732" s="42"/>
      <c r="U732" s="32"/>
      <c r="V732" s="33"/>
      <c r="W732" s="33"/>
      <c r="X732" s="32"/>
      <c r="Y732" s="32"/>
      <c r="Z732" s="32"/>
      <c r="AA732" s="33"/>
      <c r="AB732" s="33"/>
      <c r="AC732" s="33"/>
      <c r="AD732" s="32"/>
      <c r="AE732" s="32"/>
      <c r="AF732" s="42"/>
      <c r="AG732" s="5"/>
    </row>
    <row r="733" spans="1:33" x14ac:dyDescent="0.25">
      <c r="A733" s="23"/>
      <c r="B733" s="24"/>
      <c r="C733" s="25"/>
      <c r="D733" s="27"/>
      <c r="E733" s="27"/>
      <c r="F733" s="28"/>
      <c r="G733" s="27"/>
      <c r="H733" s="27"/>
      <c r="I733" s="172"/>
      <c r="J733" s="214"/>
      <c r="K733" s="27"/>
      <c r="L733" s="172"/>
      <c r="M733" s="32"/>
      <c r="N733" s="32"/>
      <c r="O733" s="33"/>
      <c r="P733" s="33"/>
      <c r="Q733" s="32"/>
      <c r="R733" s="42"/>
      <c r="S733" s="42"/>
      <c r="T733" s="42"/>
      <c r="U733" s="32"/>
      <c r="V733" s="33"/>
      <c r="W733" s="33"/>
      <c r="X733" s="32"/>
      <c r="Y733" s="32"/>
      <c r="Z733" s="32"/>
      <c r="AA733" s="33"/>
      <c r="AB733" s="33"/>
      <c r="AC733" s="33"/>
      <c r="AD733" s="32"/>
      <c r="AE733" s="32"/>
      <c r="AF733" s="42"/>
      <c r="AG733" s="5"/>
    </row>
    <row r="734" spans="1:33" x14ac:dyDescent="0.25">
      <c r="A734" s="23"/>
      <c r="B734" s="24"/>
      <c r="C734" s="25"/>
      <c r="D734" s="27"/>
      <c r="E734" s="27"/>
      <c r="F734" s="28"/>
      <c r="G734" s="27"/>
      <c r="H734" s="27"/>
      <c r="I734" s="172"/>
      <c r="J734" s="214"/>
      <c r="K734" s="27"/>
      <c r="L734" s="172"/>
      <c r="M734" s="32"/>
      <c r="N734" s="32"/>
      <c r="O734" s="33"/>
      <c r="P734" s="33"/>
      <c r="Q734" s="32"/>
      <c r="R734" s="42"/>
      <c r="S734" s="42"/>
      <c r="T734" s="42"/>
      <c r="U734" s="32"/>
      <c r="V734" s="33"/>
      <c r="W734" s="33"/>
      <c r="X734" s="32"/>
      <c r="Y734" s="32"/>
      <c r="Z734" s="32"/>
      <c r="AA734" s="33"/>
      <c r="AB734" s="33"/>
      <c r="AC734" s="33"/>
      <c r="AD734" s="32"/>
      <c r="AE734" s="32"/>
      <c r="AF734" s="42"/>
      <c r="AG734" s="5"/>
    </row>
    <row r="735" spans="1:33" x14ac:dyDescent="0.25">
      <c r="A735" s="23"/>
      <c r="B735" s="24"/>
      <c r="C735" s="25"/>
      <c r="D735" s="27"/>
      <c r="E735" s="27"/>
      <c r="F735" s="28"/>
      <c r="G735" s="27"/>
      <c r="H735" s="27"/>
      <c r="I735" s="172"/>
      <c r="J735" s="214"/>
      <c r="K735" s="27"/>
      <c r="L735" s="172"/>
      <c r="M735" s="32"/>
      <c r="N735" s="32"/>
      <c r="O735" s="33"/>
      <c r="P735" s="33"/>
      <c r="Q735" s="32"/>
      <c r="R735" s="42"/>
      <c r="S735" s="42"/>
      <c r="T735" s="42"/>
      <c r="U735" s="32"/>
      <c r="V735" s="33"/>
      <c r="W735" s="33"/>
      <c r="X735" s="32"/>
      <c r="Y735" s="32"/>
      <c r="Z735" s="32"/>
      <c r="AA735" s="33"/>
      <c r="AB735" s="33"/>
      <c r="AC735" s="33"/>
      <c r="AD735" s="32"/>
      <c r="AE735" s="32"/>
      <c r="AF735" s="42"/>
      <c r="AG735" s="5"/>
    </row>
    <row r="736" spans="1:33" x14ac:dyDescent="0.25">
      <c r="A736" s="23"/>
      <c r="B736" s="24"/>
      <c r="C736" s="25"/>
      <c r="D736" s="27"/>
      <c r="E736" s="27"/>
      <c r="F736" s="28"/>
      <c r="G736" s="27"/>
      <c r="H736" s="27"/>
      <c r="I736" s="172"/>
      <c r="J736" s="214"/>
      <c r="K736" s="27"/>
      <c r="L736" s="172"/>
      <c r="M736" s="32"/>
      <c r="N736" s="32"/>
      <c r="O736" s="33"/>
      <c r="P736" s="33"/>
      <c r="Q736" s="32"/>
      <c r="R736" s="42"/>
      <c r="S736" s="42"/>
      <c r="T736" s="42"/>
      <c r="U736" s="32"/>
      <c r="V736" s="33"/>
      <c r="W736" s="33"/>
      <c r="X736" s="32"/>
      <c r="Y736" s="32"/>
      <c r="Z736" s="32"/>
      <c r="AA736" s="33"/>
      <c r="AB736" s="33"/>
      <c r="AC736" s="33"/>
      <c r="AD736" s="32"/>
      <c r="AE736" s="32"/>
      <c r="AF736" s="42"/>
      <c r="AG736" s="5"/>
    </row>
    <row r="737" spans="1:33" x14ac:dyDescent="0.25">
      <c r="A737" s="23"/>
      <c r="B737" s="24"/>
      <c r="C737" s="25"/>
      <c r="D737" s="27"/>
      <c r="E737" s="27"/>
      <c r="F737" s="28"/>
      <c r="G737" s="27"/>
      <c r="H737" s="27"/>
      <c r="I737" s="172"/>
      <c r="J737" s="214"/>
      <c r="K737" s="27"/>
      <c r="L737" s="172"/>
      <c r="M737" s="32"/>
      <c r="N737" s="32"/>
      <c r="O737" s="33"/>
      <c r="P737" s="33"/>
      <c r="Q737" s="32"/>
      <c r="R737" s="42"/>
      <c r="S737" s="42"/>
      <c r="T737" s="42"/>
      <c r="U737" s="32"/>
      <c r="V737" s="33"/>
      <c r="W737" s="33"/>
      <c r="X737" s="32"/>
      <c r="Y737" s="32"/>
      <c r="Z737" s="32"/>
      <c r="AA737" s="33"/>
      <c r="AB737" s="33"/>
      <c r="AC737" s="33"/>
      <c r="AD737" s="32"/>
      <c r="AE737" s="32"/>
      <c r="AF737" s="42"/>
      <c r="AG737" s="5"/>
    </row>
    <row r="738" spans="1:33" x14ac:dyDescent="0.25">
      <c r="A738" s="23"/>
      <c r="B738" s="24"/>
      <c r="C738" s="25"/>
      <c r="D738" s="27"/>
      <c r="E738" s="27"/>
      <c r="F738" s="28"/>
      <c r="G738" s="27"/>
      <c r="H738" s="27"/>
      <c r="I738" s="172"/>
      <c r="J738" s="214"/>
      <c r="K738" s="27"/>
      <c r="L738" s="172"/>
      <c r="M738" s="32"/>
      <c r="N738" s="32"/>
      <c r="O738" s="33"/>
      <c r="P738" s="33"/>
      <c r="Q738" s="32"/>
      <c r="R738" s="42"/>
      <c r="S738" s="42"/>
      <c r="T738" s="42"/>
      <c r="U738" s="32"/>
      <c r="V738" s="33"/>
      <c r="W738" s="33"/>
      <c r="X738" s="32"/>
      <c r="Y738" s="32"/>
      <c r="Z738" s="32"/>
      <c r="AA738" s="33"/>
      <c r="AB738" s="33"/>
      <c r="AC738" s="33"/>
      <c r="AD738" s="32"/>
      <c r="AE738" s="32"/>
      <c r="AF738" s="42"/>
      <c r="AG738" s="5"/>
    </row>
    <row r="739" spans="1:33" x14ac:dyDescent="0.25">
      <c r="A739" s="23"/>
      <c r="B739" s="24"/>
      <c r="C739" s="25"/>
      <c r="D739" s="27"/>
      <c r="E739" s="27"/>
      <c r="F739" s="28"/>
      <c r="G739" s="27"/>
      <c r="H739" s="27"/>
      <c r="I739" s="172"/>
      <c r="J739" s="214"/>
      <c r="K739" s="27"/>
      <c r="L739" s="172"/>
      <c r="M739" s="32"/>
      <c r="N739" s="32"/>
      <c r="O739" s="33"/>
      <c r="P739" s="33"/>
      <c r="Q739" s="32"/>
      <c r="R739" s="42"/>
      <c r="S739" s="42"/>
      <c r="T739" s="42"/>
      <c r="U739" s="32"/>
      <c r="V739" s="33"/>
      <c r="W739" s="33"/>
      <c r="X739" s="32"/>
      <c r="Y739" s="32"/>
      <c r="Z739" s="32"/>
      <c r="AA739" s="33"/>
      <c r="AB739" s="33"/>
      <c r="AC739" s="33"/>
      <c r="AD739" s="32"/>
      <c r="AE739" s="32"/>
      <c r="AF739" s="42"/>
      <c r="AG739" s="5"/>
    </row>
    <row r="740" spans="1:33" x14ac:dyDescent="0.25">
      <c r="A740" s="23"/>
      <c r="B740" s="24"/>
      <c r="C740" s="25"/>
      <c r="D740" s="27"/>
      <c r="E740" s="27"/>
      <c r="F740" s="28"/>
      <c r="G740" s="27"/>
      <c r="H740" s="27"/>
      <c r="I740" s="172"/>
      <c r="J740" s="214"/>
      <c r="K740" s="27"/>
      <c r="L740" s="172"/>
      <c r="M740" s="32"/>
      <c r="N740" s="32"/>
      <c r="O740" s="33"/>
      <c r="P740" s="33"/>
      <c r="Q740" s="32"/>
      <c r="R740" s="42"/>
      <c r="S740" s="42"/>
      <c r="T740" s="42"/>
      <c r="U740" s="32"/>
      <c r="V740" s="33"/>
      <c r="W740" s="33"/>
      <c r="X740" s="32"/>
      <c r="Y740" s="32"/>
      <c r="Z740" s="32"/>
      <c r="AA740" s="33"/>
      <c r="AB740" s="33"/>
      <c r="AC740" s="33"/>
      <c r="AD740" s="32"/>
      <c r="AE740" s="32"/>
      <c r="AF740" s="42"/>
      <c r="AG740" s="5"/>
    </row>
    <row r="741" spans="1:33" x14ac:dyDescent="0.25">
      <c r="A741" s="23"/>
      <c r="B741" s="24"/>
      <c r="C741" s="25"/>
      <c r="D741" s="27"/>
      <c r="E741" s="27"/>
      <c r="F741" s="28"/>
      <c r="G741" s="27"/>
      <c r="H741" s="27"/>
      <c r="I741" s="172"/>
      <c r="J741" s="214"/>
      <c r="K741" s="27"/>
      <c r="L741" s="172"/>
      <c r="M741" s="32"/>
      <c r="N741" s="32"/>
      <c r="O741" s="33"/>
      <c r="P741" s="33"/>
      <c r="Q741" s="32"/>
      <c r="R741" s="42"/>
      <c r="S741" s="42"/>
      <c r="T741" s="42"/>
      <c r="U741" s="32"/>
      <c r="V741" s="33"/>
      <c r="W741" s="33"/>
      <c r="X741" s="32"/>
      <c r="Y741" s="32"/>
      <c r="Z741" s="32"/>
      <c r="AA741" s="33"/>
      <c r="AB741" s="33"/>
      <c r="AC741" s="33"/>
      <c r="AD741" s="32"/>
      <c r="AE741" s="32"/>
      <c r="AF741" s="42"/>
      <c r="AG741" s="5"/>
    </row>
    <row r="742" spans="1:33" x14ac:dyDescent="0.25">
      <c r="A742" s="23"/>
      <c r="B742" s="24"/>
      <c r="C742" s="25"/>
      <c r="D742" s="27"/>
      <c r="E742" s="27"/>
      <c r="F742" s="28"/>
      <c r="G742" s="27"/>
      <c r="H742" s="27"/>
      <c r="I742" s="172"/>
      <c r="J742" s="214"/>
      <c r="K742" s="27"/>
      <c r="L742" s="172"/>
      <c r="M742" s="32"/>
      <c r="N742" s="32"/>
      <c r="O742" s="33"/>
      <c r="P742" s="33"/>
      <c r="Q742" s="32"/>
      <c r="R742" s="42"/>
      <c r="S742" s="42"/>
      <c r="T742" s="42"/>
      <c r="U742" s="32"/>
      <c r="V742" s="33"/>
      <c r="W742" s="33"/>
      <c r="X742" s="32"/>
      <c r="Y742" s="32"/>
      <c r="Z742" s="32"/>
      <c r="AA742" s="33"/>
      <c r="AB742" s="33"/>
      <c r="AC742" s="33"/>
      <c r="AD742" s="32"/>
      <c r="AE742" s="32"/>
      <c r="AF742" s="42"/>
      <c r="AG742" s="5"/>
    </row>
    <row r="743" spans="1:33" x14ac:dyDescent="0.25">
      <c r="A743" s="23"/>
      <c r="B743" s="24"/>
      <c r="C743" s="25"/>
      <c r="D743" s="27"/>
      <c r="E743" s="27"/>
      <c r="F743" s="28"/>
      <c r="G743" s="27"/>
      <c r="H743" s="27"/>
      <c r="I743" s="172"/>
      <c r="J743" s="214"/>
      <c r="K743" s="27"/>
      <c r="L743" s="172"/>
      <c r="M743" s="32"/>
      <c r="N743" s="32"/>
      <c r="O743" s="33"/>
      <c r="P743" s="33"/>
      <c r="Q743" s="32"/>
      <c r="R743" s="42"/>
      <c r="S743" s="42"/>
      <c r="T743" s="42"/>
      <c r="U743" s="32"/>
      <c r="V743" s="33"/>
      <c r="W743" s="33"/>
      <c r="X743" s="32"/>
      <c r="Y743" s="32"/>
      <c r="Z743" s="32"/>
      <c r="AA743" s="33"/>
      <c r="AB743" s="33"/>
      <c r="AC743" s="33"/>
      <c r="AD743" s="32"/>
      <c r="AE743" s="32"/>
      <c r="AF743" s="42"/>
      <c r="AG743" s="5"/>
    </row>
    <row r="744" spans="1:33" x14ac:dyDescent="0.25">
      <c r="A744" s="23"/>
      <c r="B744" s="24"/>
      <c r="C744" s="25"/>
      <c r="D744" s="27"/>
      <c r="E744" s="27"/>
      <c r="F744" s="28"/>
      <c r="G744" s="27"/>
      <c r="H744" s="27"/>
      <c r="I744" s="172"/>
      <c r="J744" s="214"/>
      <c r="K744" s="27"/>
      <c r="L744" s="172"/>
      <c r="M744" s="32"/>
      <c r="N744" s="32"/>
      <c r="O744" s="33"/>
      <c r="P744" s="33"/>
      <c r="Q744" s="32"/>
      <c r="R744" s="42"/>
      <c r="S744" s="42"/>
      <c r="T744" s="42"/>
      <c r="U744" s="32"/>
      <c r="V744" s="33"/>
      <c r="W744" s="33"/>
      <c r="X744" s="32"/>
      <c r="Y744" s="32"/>
      <c r="Z744" s="32"/>
      <c r="AA744" s="33"/>
      <c r="AB744" s="33"/>
      <c r="AC744" s="33"/>
      <c r="AD744" s="32"/>
      <c r="AE744" s="32"/>
      <c r="AF744" s="42"/>
      <c r="AG744" s="5"/>
    </row>
    <row r="745" spans="1:33" x14ac:dyDescent="0.25">
      <c r="A745" s="23"/>
      <c r="B745" s="24"/>
      <c r="C745" s="25"/>
      <c r="D745" s="27"/>
      <c r="E745" s="27"/>
      <c r="F745" s="28"/>
      <c r="G745" s="27"/>
      <c r="H745" s="27"/>
      <c r="I745" s="172"/>
      <c r="J745" s="214"/>
      <c r="K745" s="27"/>
      <c r="L745" s="172"/>
      <c r="M745" s="32"/>
      <c r="N745" s="32"/>
      <c r="O745" s="33"/>
      <c r="P745" s="33"/>
      <c r="Q745" s="32"/>
      <c r="R745" s="42"/>
      <c r="S745" s="42"/>
      <c r="T745" s="42"/>
      <c r="U745" s="32"/>
      <c r="V745" s="33"/>
      <c r="W745" s="33"/>
      <c r="X745" s="32"/>
      <c r="Y745" s="32"/>
      <c r="Z745" s="32"/>
      <c r="AA745" s="33"/>
      <c r="AB745" s="33"/>
      <c r="AC745" s="33"/>
      <c r="AD745" s="32"/>
      <c r="AE745" s="32"/>
      <c r="AF745" s="42"/>
      <c r="AG745" s="5"/>
    </row>
    <row r="746" spans="1:33" x14ac:dyDescent="0.25">
      <c r="A746" s="23"/>
      <c r="B746" s="24"/>
      <c r="C746" s="25"/>
      <c r="D746" s="27"/>
      <c r="E746" s="27"/>
      <c r="F746" s="28"/>
      <c r="G746" s="27"/>
      <c r="H746" s="27"/>
      <c r="I746" s="172"/>
      <c r="J746" s="214"/>
      <c r="K746" s="27"/>
      <c r="L746" s="172"/>
      <c r="M746" s="32"/>
      <c r="N746" s="32"/>
      <c r="O746" s="33"/>
      <c r="P746" s="33"/>
      <c r="Q746" s="32"/>
      <c r="R746" s="42"/>
      <c r="S746" s="42"/>
      <c r="T746" s="42"/>
      <c r="U746" s="32"/>
      <c r="V746" s="33"/>
      <c r="W746" s="33"/>
      <c r="X746" s="32"/>
      <c r="Y746" s="32"/>
      <c r="Z746" s="32"/>
      <c r="AA746" s="33"/>
      <c r="AB746" s="33"/>
      <c r="AC746" s="33"/>
      <c r="AD746" s="32"/>
      <c r="AE746" s="32"/>
      <c r="AF746" s="42"/>
      <c r="AG746" s="5"/>
    </row>
    <row r="747" spans="1:33" x14ac:dyDescent="0.25">
      <c r="A747" s="23"/>
      <c r="B747" s="24"/>
      <c r="C747" s="25"/>
      <c r="D747" s="27"/>
      <c r="E747" s="27"/>
      <c r="F747" s="28"/>
      <c r="G747" s="27"/>
      <c r="H747" s="27"/>
      <c r="I747" s="172"/>
      <c r="J747" s="214"/>
      <c r="K747" s="27"/>
      <c r="L747" s="172"/>
      <c r="M747" s="32"/>
      <c r="N747" s="32"/>
      <c r="O747" s="33"/>
      <c r="P747" s="33"/>
      <c r="Q747" s="32"/>
      <c r="R747" s="42"/>
      <c r="S747" s="42"/>
      <c r="T747" s="42"/>
      <c r="U747" s="32"/>
      <c r="V747" s="33"/>
      <c r="W747" s="33"/>
      <c r="X747" s="32"/>
      <c r="Y747" s="32"/>
      <c r="Z747" s="32"/>
      <c r="AA747" s="33"/>
      <c r="AB747" s="33"/>
      <c r="AC747" s="33"/>
      <c r="AD747" s="32"/>
      <c r="AE747" s="32"/>
      <c r="AF747" s="42"/>
      <c r="AG747" s="5"/>
    </row>
    <row r="748" spans="1:33" x14ac:dyDescent="0.25">
      <c r="A748" s="23"/>
      <c r="B748" s="24"/>
      <c r="C748" s="25"/>
      <c r="D748" s="27"/>
      <c r="E748" s="27"/>
      <c r="F748" s="28"/>
      <c r="G748" s="27"/>
      <c r="H748" s="27"/>
      <c r="I748" s="172"/>
      <c r="J748" s="214"/>
      <c r="K748" s="27"/>
      <c r="L748" s="172"/>
      <c r="M748" s="32"/>
      <c r="N748" s="32"/>
      <c r="O748" s="33"/>
      <c r="P748" s="33"/>
      <c r="Q748" s="32"/>
      <c r="R748" s="42"/>
      <c r="S748" s="42"/>
      <c r="T748" s="42"/>
      <c r="U748" s="32"/>
      <c r="V748" s="33"/>
      <c r="W748" s="33"/>
      <c r="X748" s="32"/>
      <c r="Y748" s="32"/>
      <c r="Z748" s="32"/>
      <c r="AA748" s="33"/>
      <c r="AB748" s="33"/>
      <c r="AC748" s="33"/>
      <c r="AD748" s="32"/>
      <c r="AE748" s="32"/>
      <c r="AF748" s="42"/>
      <c r="AG748" s="5"/>
    </row>
    <row r="749" spans="1:33" x14ac:dyDescent="0.25">
      <c r="A749" s="23"/>
      <c r="B749" s="24"/>
      <c r="C749" s="25"/>
      <c r="D749" s="27"/>
      <c r="E749" s="27"/>
      <c r="F749" s="28"/>
      <c r="G749" s="27"/>
      <c r="H749" s="27"/>
      <c r="I749" s="172"/>
      <c r="J749" s="214"/>
      <c r="K749" s="27"/>
      <c r="L749" s="172"/>
      <c r="M749" s="32"/>
      <c r="N749" s="32"/>
      <c r="O749" s="33"/>
      <c r="P749" s="33"/>
      <c r="Q749" s="32"/>
      <c r="R749" s="42"/>
      <c r="S749" s="42"/>
      <c r="T749" s="42"/>
      <c r="U749" s="32"/>
      <c r="V749" s="33"/>
      <c r="W749" s="33"/>
      <c r="X749" s="32"/>
      <c r="Y749" s="32"/>
      <c r="Z749" s="32"/>
      <c r="AA749" s="33"/>
      <c r="AB749" s="33"/>
      <c r="AC749" s="33"/>
      <c r="AD749" s="32"/>
      <c r="AE749" s="32"/>
      <c r="AF749" s="42"/>
      <c r="AG749" s="5"/>
    </row>
    <row r="750" spans="1:33" x14ac:dyDescent="0.25">
      <c r="A750" s="23"/>
      <c r="B750" s="24"/>
      <c r="C750" s="25"/>
      <c r="D750" s="27"/>
      <c r="E750" s="27"/>
      <c r="F750" s="28"/>
      <c r="G750" s="27"/>
      <c r="H750" s="27"/>
      <c r="I750" s="172"/>
      <c r="J750" s="214"/>
      <c r="K750" s="27"/>
      <c r="L750" s="172"/>
      <c r="M750" s="32"/>
      <c r="N750" s="32"/>
      <c r="O750" s="33"/>
      <c r="P750" s="33"/>
      <c r="Q750" s="32"/>
      <c r="R750" s="42"/>
      <c r="S750" s="42"/>
      <c r="T750" s="42"/>
      <c r="U750" s="32"/>
      <c r="V750" s="33"/>
      <c r="W750" s="33"/>
      <c r="X750" s="32"/>
      <c r="Y750" s="32"/>
      <c r="Z750" s="32"/>
      <c r="AA750" s="33"/>
      <c r="AB750" s="33"/>
      <c r="AC750" s="33"/>
      <c r="AD750" s="32"/>
      <c r="AE750" s="32"/>
      <c r="AF750" s="42"/>
      <c r="AG750" s="5"/>
    </row>
    <row r="751" spans="1:33" x14ac:dyDescent="0.25">
      <c r="A751" s="23"/>
      <c r="B751" s="24"/>
      <c r="C751" s="25"/>
      <c r="D751" s="27"/>
      <c r="E751" s="27"/>
      <c r="F751" s="28"/>
      <c r="G751" s="27"/>
      <c r="H751" s="27"/>
      <c r="I751" s="172"/>
      <c r="J751" s="214"/>
      <c r="K751" s="27"/>
      <c r="L751" s="172"/>
      <c r="M751" s="32"/>
      <c r="N751" s="32"/>
      <c r="O751" s="33"/>
      <c r="P751" s="33"/>
      <c r="Q751" s="32"/>
      <c r="R751" s="42"/>
      <c r="S751" s="42"/>
      <c r="T751" s="42"/>
      <c r="U751" s="32"/>
      <c r="V751" s="33"/>
      <c r="W751" s="33"/>
      <c r="X751" s="32"/>
      <c r="Y751" s="32"/>
      <c r="Z751" s="32"/>
      <c r="AA751" s="33"/>
      <c r="AB751" s="33"/>
      <c r="AC751" s="33"/>
      <c r="AD751" s="32"/>
      <c r="AE751" s="32"/>
      <c r="AF751" s="42"/>
      <c r="AG751" s="5"/>
    </row>
    <row r="752" spans="1:33" x14ac:dyDescent="0.25">
      <c r="A752" s="23"/>
      <c r="B752" s="24"/>
      <c r="C752" s="25"/>
      <c r="D752" s="27"/>
      <c r="E752" s="27"/>
      <c r="F752" s="28"/>
      <c r="G752" s="27"/>
      <c r="H752" s="27"/>
      <c r="I752" s="172"/>
      <c r="J752" s="214"/>
      <c r="K752" s="27"/>
      <c r="L752" s="172"/>
      <c r="M752" s="32"/>
      <c r="N752" s="32"/>
      <c r="O752" s="33"/>
      <c r="P752" s="33"/>
      <c r="Q752" s="32"/>
      <c r="R752" s="42"/>
      <c r="S752" s="42"/>
      <c r="T752" s="42"/>
      <c r="U752" s="32"/>
      <c r="V752" s="33"/>
      <c r="W752" s="33"/>
      <c r="X752" s="32"/>
      <c r="Y752" s="32"/>
      <c r="Z752" s="32"/>
      <c r="AA752" s="33"/>
      <c r="AB752" s="33"/>
      <c r="AC752" s="33"/>
      <c r="AD752" s="32"/>
      <c r="AE752" s="32"/>
      <c r="AF752" s="42"/>
      <c r="AG752" s="5"/>
    </row>
    <row r="753" spans="1:33" x14ac:dyDescent="0.25">
      <c r="A753" s="23"/>
      <c r="B753" s="24"/>
      <c r="C753" s="25"/>
      <c r="D753" s="27"/>
      <c r="E753" s="27"/>
      <c r="F753" s="28"/>
      <c r="G753" s="27"/>
      <c r="H753" s="27"/>
      <c r="I753" s="172"/>
      <c r="J753" s="214"/>
      <c r="K753" s="27"/>
      <c r="L753" s="172"/>
      <c r="M753" s="32"/>
      <c r="N753" s="32"/>
      <c r="O753" s="33"/>
      <c r="P753" s="33"/>
      <c r="Q753" s="32"/>
      <c r="R753" s="42"/>
      <c r="S753" s="42"/>
      <c r="T753" s="42"/>
      <c r="U753" s="32"/>
      <c r="V753" s="33"/>
      <c r="W753" s="33"/>
      <c r="X753" s="32"/>
      <c r="Y753" s="32"/>
      <c r="Z753" s="32"/>
      <c r="AA753" s="33"/>
      <c r="AB753" s="33"/>
      <c r="AC753" s="33"/>
      <c r="AD753" s="32"/>
      <c r="AE753" s="32"/>
      <c r="AF753" s="42"/>
      <c r="AG753" s="5"/>
    </row>
    <row r="754" spans="1:33" x14ac:dyDescent="0.25">
      <c r="A754" s="23"/>
      <c r="B754" s="24"/>
      <c r="C754" s="25"/>
      <c r="D754" s="27"/>
      <c r="E754" s="27"/>
      <c r="F754" s="28"/>
      <c r="G754" s="27"/>
      <c r="H754" s="27"/>
      <c r="I754" s="172"/>
      <c r="J754" s="214"/>
      <c r="K754" s="27"/>
      <c r="L754" s="172"/>
      <c r="M754" s="32"/>
      <c r="N754" s="32"/>
      <c r="O754" s="33"/>
      <c r="P754" s="33"/>
      <c r="Q754" s="32"/>
      <c r="R754" s="42"/>
      <c r="S754" s="42"/>
      <c r="T754" s="42"/>
      <c r="U754" s="32"/>
      <c r="V754" s="33"/>
      <c r="W754" s="33"/>
      <c r="X754" s="32"/>
      <c r="Y754" s="32"/>
      <c r="Z754" s="32"/>
      <c r="AA754" s="33"/>
      <c r="AB754" s="33"/>
      <c r="AC754" s="33"/>
      <c r="AD754" s="32"/>
      <c r="AE754" s="32"/>
      <c r="AF754" s="42"/>
      <c r="AG754" s="5"/>
    </row>
    <row r="755" spans="1:33" x14ac:dyDescent="0.25">
      <c r="A755" s="23"/>
      <c r="B755" s="24"/>
      <c r="C755" s="25"/>
      <c r="D755" s="27"/>
      <c r="E755" s="27"/>
      <c r="F755" s="28"/>
      <c r="G755" s="27"/>
      <c r="H755" s="27"/>
      <c r="I755" s="172"/>
      <c r="J755" s="214"/>
      <c r="K755" s="27"/>
      <c r="L755" s="172"/>
      <c r="M755" s="32"/>
      <c r="N755" s="32"/>
      <c r="O755" s="33"/>
      <c r="P755" s="33"/>
      <c r="Q755" s="32"/>
      <c r="R755" s="42"/>
      <c r="S755" s="42"/>
      <c r="T755" s="42"/>
      <c r="U755" s="32"/>
      <c r="V755" s="33"/>
      <c r="W755" s="33"/>
      <c r="X755" s="32"/>
      <c r="Y755" s="32"/>
      <c r="Z755" s="32"/>
      <c r="AA755" s="33"/>
      <c r="AB755" s="33"/>
      <c r="AC755" s="33"/>
      <c r="AD755" s="32"/>
      <c r="AE755" s="32"/>
      <c r="AF755" s="42"/>
      <c r="AG755" s="5"/>
    </row>
    <row r="756" spans="1:33" x14ac:dyDescent="0.25">
      <c r="A756" s="23"/>
      <c r="B756" s="24"/>
      <c r="C756" s="25"/>
      <c r="D756" s="27"/>
      <c r="E756" s="27"/>
      <c r="F756" s="28"/>
      <c r="G756" s="27"/>
      <c r="H756" s="27"/>
      <c r="I756" s="172"/>
      <c r="J756" s="214"/>
      <c r="K756" s="27"/>
      <c r="L756" s="172"/>
      <c r="M756" s="32"/>
      <c r="N756" s="32"/>
      <c r="O756" s="33"/>
      <c r="P756" s="33"/>
      <c r="Q756" s="32"/>
      <c r="R756" s="42"/>
      <c r="S756" s="42"/>
      <c r="T756" s="42"/>
      <c r="U756" s="32"/>
      <c r="V756" s="33"/>
      <c r="W756" s="33"/>
      <c r="X756" s="32"/>
      <c r="Y756" s="32"/>
      <c r="Z756" s="32"/>
      <c r="AA756" s="33"/>
      <c r="AB756" s="33"/>
      <c r="AC756" s="33"/>
      <c r="AD756" s="32"/>
      <c r="AE756" s="32"/>
      <c r="AF756" s="42"/>
      <c r="AG756" s="5"/>
    </row>
    <row r="757" spans="1:33" x14ac:dyDescent="0.25">
      <c r="A757" s="23"/>
      <c r="B757" s="24"/>
      <c r="C757" s="25"/>
      <c r="D757" s="27"/>
      <c r="E757" s="27"/>
      <c r="F757" s="28"/>
      <c r="G757" s="27"/>
      <c r="H757" s="27"/>
      <c r="I757" s="172"/>
      <c r="J757" s="214"/>
      <c r="K757" s="27"/>
      <c r="L757" s="172"/>
      <c r="M757" s="32"/>
      <c r="N757" s="32"/>
      <c r="O757" s="33"/>
      <c r="P757" s="33"/>
      <c r="Q757" s="32"/>
      <c r="R757" s="42"/>
      <c r="S757" s="42"/>
      <c r="T757" s="42"/>
      <c r="U757" s="32"/>
      <c r="V757" s="33"/>
      <c r="W757" s="33"/>
      <c r="X757" s="32"/>
      <c r="Y757" s="32"/>
      <c r="Z757" s="32"/>
      <c r="AA757" s="33"/>
      <c r="AB757" s="33"/>
      <c r="AC757" s="33"/>
      <c r="AD757" s="32"/>
      <c r="AE757" s="32"/>
      <c r="AF757" s="42"/>
      <c r="AG757" s="5"/>
    </row>
    <row r="758" spans="1:33" x14ac:dyDescent="0.25">
      <c r="A758" s="23"/>
      <c r="B758" s="24"/>
      <c r="C758" s="25"/>
      <c r="D758" s="27"/>
      <c r="E758" s="27"/>
      <c r="F758" s="28"/>
      <c r="G758" s="27"/>
      <c r="H758" s="27"/>
      <c r="I758" s="172"/>
      <c r="J758" s="214"/>
      <c r="K758" s="27"/>
      <c r="L758" s="172"/>
      <c r="M758" s="32"/>
      <c r="N758" s="32"/>
      <c r="O758" s="33"/>
      <c r="P758" s="33"/>
      <c r="Q758" s="32"/>
      <c r="R758" s="42"/>
      <c r="S758" s="42"/>
      <c r="T758" s="42"/>
      <c r="U758" s="32"/>
      <c r="V758" s="33"/>
      <c r="W758" s="33"/>
      <c r="X758" s="32"/>
      <c r="Y758" s="32"/>
      <c r="Z758" s="32"/>
      <c r="AA758" s="33"/>
      <c r="AB758" s="33"/>
      <c r="AC758" s="33"/>
      <c r="AD758" s="32"/>
      <c r="AE758" s="32"/>
      <c r="AF758" s="42"/>
      <c r="AG758" s="5"/>
    </row>
    <row r="759" spans="1:33" x14ac:dyDescent="0.25">
      <c r="A759" s="23"/>
      <c r="B759" s="24"/>
      <c r="C759" s="25"/>
      <c r="D759" s="27"/>
      <c r="E759" s="27"/>
      <c r="F759" s="28"/>
      <c r="G759" s="27"/>
      <c r="H759" s="27"/>
      <c r="I759" s="172"/>
      <c r="J759" s="214"/>
      <c r="K759" s="27"/>
      <c r="L759" s="172"/>
      <c r="M759" s="32"/>
      <c r="N759" s="32"/>
      <c r="O759" s="33"/>
      <c r="P759" s="33"/>
      <c r="Q759" s="32"/>
      <c r="R759" s="42"/>
      <c r="S759" s="42"/>
      <c r="T759" s="42"/>
      <c r="U759" s="32"/>
      <c r="V759" s="33"/>
      <c r="W759" s="33"/>
      <c r="X759" s="32"/>
      <c r="Y759" s="32"/>
      <c r="Z759" s="32"/>
      <c r="AA759" s="33"/>
      <c r="AB759" s="33"/>
      <c r="AC759" s="33"/>
      <c r="AD759" s="32"/>
      <c r="AE759" s="32"/>
      <c r="AF759" s="42"/>
      <c r="AG759" s="5"/>
    </row>
  </sheetData>
  <sheetProtection algorithmName="SHA-512" hashValue="p5Vj/5J5kTApcBhtc1jXi5vjHtuBgJj4r+BURdYPSCibu6XBU/r1Jm30Ntt1s3fVE7AVG9R58o0mnby7lLwN+Q==" saltValue="vFqmwBE5gPZ7w2lS9zOsOg==" spinCount="100000" sheet="1" objects="1" scenarios="1"/>
  <phoneticPr fontId="6" type="noConversion"/>
  <dataValidations count="1">
    <dataValidation type="list" allowBlank="1" showInputMessage="1" showErrorMessage="1" sqref="J5">
      <formula1>true_False</formula1>
    </dataValidation>
  </dataValidations>
  <hyperlinks>
    <hyperlink ref="K1:L1" location="Instructions!A1" display="Return to Menu"/>
  </hyperlinks>
  <pageMargins left="0.75" right="0.75" top="1" bottom="1" header="0.5" footer="0.5"/>
  <headerFooter alignWithMargins="0"/>
  <drawing r:id="rId1"/>
  <legacyDrawing r:id="rId2"/>
  <controls>
    <mc:AlternateContent xmlns:mc="http://schemas.openxmlformats.org/markup-compatibility/2006">
      <mc:Choice Requires="x14">
        <control shapeId="1028" r:id="rId3" name="Reset_Fuels">
          <controlPr defaultSize="0" autoLine="0" r:id="rId4">
            <anchor moveWithCells="1">
              <from>
                <xdr:col>3</xdr:col>
                <xdr:colOff>99060</xdr:colOff>
                <xdr:row>2</xdr:row>
                <xdr:rowOff>30480</xdr:rowOff>
              </from>
              <to>
                <xdr:col>4</xdr:col>
                <xdr:colOff>586740</xdr:colOff>
                <xdr:row>3</xdr:row>
                <xdr:rowOff>137160</xdr:rowOff>
              </to>
            </anchor>
          </controlPr>
        </control>
      </mc:Choice>
      <mc:Fallback>
        <control shapeId="1028" r:id="rId3" name="Reset_Fuels"/>
      </mc:Fallback>
    </mc:AlternateContent>
    <mc:AlternateContent xmlns:mc="http://schemas.openxmlformats.org/markup-compatibility/2006">
      <mc:Choice Requires="x14">
        <control shapeId="1029" r:id="rId5" name="ResetSlope">
          <controlPr defaultSize="0" autoLine="0" r:id="rId6">
            <anchor moveWithCells="1">
              <from>
                <xdr:col>3</xdr:col>
                <xdr:colOff>99060</xdr:colOff>
                <xdr:row>4</xdr:row>
                <xdr:rowOff>0</xdr:rowOff>
              </from>
              <to>
                <xdr:col>4</xdr:col>
                <xdr:colOff>586740</xdr:colOff>
                <xdr:row>5</xdr:row>
                <xdr:rowOff>106680</xdr:rowOff>
              </to>
            </anchor>
          </controlPr>
        </control>
      </mc:Choice>
      <mc:Fallback>
        <control shapeId="1029" r:id="rId5" name="ResetSlope"/>
      </mc:Fallback>
    </mc:AlternateContent>
    <mc:AlternateContent xmlns:mc="http://schemas.openxmlformats.org/markup-compatibility/2006">
      <mc:Choice Requires="x14">
        <control shapeId="1033" r:id="rId7" name="WindRdnFactor_Reset">
          <controlPr defaultSize="0" autoLine="0" autoPict="0" r:id="rId8">
            <anchor moveWithCells="1">
              <from>
                <xdr:col>10</xdr:col>
                <xdr:colOff>22860</xdr:colOff>
                <xdr:row>2</xdr:row>
                <xdr:rowOff>60960</xdr:rowOff>
              </from>
              <to>
                <xdr:col>12</xdr:col>
                <xdr:colOff>7620</xdr:colOff>
                <xdr:row>4</xdr:row>
                <xdr:rowOff>7620</xdr:rowOff>
              </to>
            </anchor>
          </controlPr>
        </control>
      </mc:Choice>
      <mc:Fallback>
        <control shapeId="1033" r:id="rId7" name="WindRdnFactor_Reset"/>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T764"/>
  <sheetViews>
    <sheetView workbookViewId="0">
      <selection activeCell="M14" sqref="M14:M18"/>
    </sheetView>
  </sheetViews>
  <sheetFormatPr defaultColWidth="8.6640625" defaultRowHeight="13.2" x14ac:dyDescent="0.25"/>
  <cols>
    <col min="1" max="1" width="13.33203125" style="191" customWidth="1"/>
    <col min="2" max="2" width="15" style="191" customWidth="1"/>
    <col min="3" max="3" width="9.44140625" style="191" customWidth="1"/>
    <col min="4" max="16384" width="8.6640625" style="191"/>
  </cols>
  <sheetData>
    <row r="1" spans="1:20" ht="15.6" x14ac:dyDescent="0.3">
      <c r="A1" s="192" t="s">
        <v>1036</v>
      </c>
    </row>
    <row r="2" spans="1:20" ht="16.8" x14ac:dyDescent="0.3">
      <c r="A2" s="619" t="s">
        <v>94</v>
      </c>
      <c r="B2" s="620" t="str">
        <f>Weather_Site!D2</f>
        <v>Nicholson Street Melbourne</v>
      </c>
      <c r="C2" s="620"/>
      <c r="D2" s="620"/>
      <c r="E2" s="620"/>
      <c r="I2" s="170" t="s">
        <v>202</v>
      </c>
      <c r="J2" s="169"/>
    </row>
    <row r="4" spans="1:20" x14ac:dyDescent="0.25">
      <c r="A4" s="621" t="s">
        <v>35</v>
      </c>
      <c r="B4" s="622"/>
      <c r="C4" s="623">
        <f>Weather_Site!D6</f>
        <v>0</v>
      </c>
    </row>
    <row r="5" spans="1:20" x14ac:dyDescent="0.25">
      <c r="A5" s="624"/>
      <c r="B5" s="625"/>
      <c r="C5" s="626" t="s">
        <v>246</v>
      </c>
      <c r="D5" s="627" t="s">
        <v>245</v>
      </c>
      <c r="E5" s="628" t="s">
        <v>221</v>
      </c>
      <c r="F5" s="628"/>
      <c r="G5" s="628"/>
      <c r="H5" s="629" t="s">
        <v>247</v>
      </c>
      <c r="I5" s="626" t="s">
        <v>248</v>
      </c>
      <c r="J5" s="628"/>
      <c r="K5" s="628"/>
      <c r="L5" s="628"/>
      <c r="M5" s="628"/>
      <c r="N5" s="628"/>
      <c r="O5" s="628"/>
      <c r="P5" s="628"/>
      <c r="Q5" s="628"/>
      <c r="R5" s="628"/>
      <c r="S5" s="628"/>
      <c r="T5" s="628"/>
    </row>
    <row r="6" spans="1:20" x14ac:dyDescent="0.25">
      <c r="A6" s="630" t="s">
        <v>208</v>
      </c>
      <c r="B6" s="631"/>
      <c r="C6" s="206" t="s">
        <v>251</v>
      </c>
      <c r="D6" s="208">
        <f>IF(C6="Low",1,IF(C6="Moderate",2,IF(C6="High",3,IF(C6="Very High",3.5,IF(C6="Extreme",4,0)))))</f>
        <v>3</v>
      </c>
      <c r="E6" s="208">
        <f>IF(D6=4,20,IF(D6=3.5,14,IF(D6=3,12,IF(D6=2,8,IF(D6=1,4,0)))))</f>
        <v>12</v>
      </c>
      <c r="H6" s="632" t="s">
        <v>249</v>
      </c>
      <c r="I6" s="633" t="s">
        <v>268</v>
      </c>
    </row>
    <row r="7" spans="1:20" x14ac:dyDescent="0.25">
      <c r="A7" s="630" t="s">
        <v>209</v>
      </c>
      <c r="B7" s="631"/>
      <c r="C7" s="206" t="s">
        <v>250</v>
      </c>
      <c r="D7" s="208">
        <f>IF(C7="Low",1,IF(C7="Moderate",2,IF(C7="High",3,IF(C7="Very High",3.5,IF(C7="Extreme",4,0)))))</f>
        <v>2</v>
      </c>
      <c r="E7" s="208">
        <f>IF(D7=4,4,IF(D7=3.5,3.5,IF(D7=3,3,IF(D7=2,2,IF(D7=1,1,0)))))</f>
        <v>2</v>
      </c>
      <c r="H7" s="632" t="s">
        <v>788</v>
      </c>
      <c r="I7" s="633" t="s">
        <v>255</v>
      </c>
    </row>
    <row r="8" spans="1:20" x14ac:dyDescent="0.25">
      <c r="A8" s="630" t="s">
        <v>210</v>
      </c>
      <c r="B8" s="631"/>
      <c r="C8" s="206">
        <v>50</v>
      </c>
      <c r="D8" s="207"/>
      <c r="E8" s="207"/>
      <c r="H8" s="632" t="s">
        <v>250</v>
      </c>
      <c r="I8" s="633" t="s">
        <v>256</v>
      </c>
    </row>
    <row r="9" spans="1:20" x14ac:dyDescent="0.25">
      <c r="A9" s="630" t="s">
        <v>220</v>
      </c>
      <c r="B9" s="631"/>
      <c r="C9" s="206" t="s">
        <v>250</v>
      </c>
      <c r="D9" s="208">
        <f>IF(C9="Low",1,IF(C9="Moderate",2,IF(C9="High",3,IF(C9="Very High",3.5,IF(C9="Extreme",4,0)))))</f>
        <v>2</v>
      </c>
      <c r="E9" s="208">
        <f>IF(D9=4,6,IF(D9=3.5,4,IF(D9=3,3,IF(D9=2,2,IF(D9=1,1,0)))))</f>
        <v>2</v>
      </c>
      <c r="H9" s="632" t="s">
        <v>251</v>
      </c>
      <c r="I9" s="633" t="s">
        <v>257</v>
      </c>
    </row>
    <row r="10" spans="1:20" x14ac:dyDescent="0.25">
      <c r="A10" s="630" t="s">
        <v>211</v>
      </c>
      <c r="B10" s="631"/>
      <c r="C10" s="206">
        <v>0.8</v>
      </c>
      <c r="D10" s="207"/>
      <c r="E10" s="207"/>
      <c r="F10" s="634" t="s">
        <v>222</v>
      </c>
      <c r="H10" s="632" t="s">
        <v>252</v>
      </c>
      <c r="I10" s="633" t="s">
        <v>258</v>
      </c>
    </row>
    <row r="11" spans="1:20" x14ac:dyDescent="0.25">
      <c r="A11" s="630" t="s">
        <v>213</v>
      </c>
      <c r="B11" s="631"/>
      <c r="C11" s="206" t="s">
        <v>253</v>
      </c>
      <c r="D11" s="208">
        <f>IF(C11="Low",1,IF(C11="Moderate",2,IF(C11="High",3,IF(C11="Very High",3.5,IF(C11="Extreme",4,0)))))</f>
        <v>4</v>
      </c>
      <c r="E11" s="208">
        <f>IF(D11=4,7,IF(D11=3.5,6,IF(D11=3,5,IF(D11=2,2,IF(D11=1,1,0)))))</f>
        <v>7</v>
      </c>
      <c r="F11" s="208">
        <f>E6+E7+E9+E11</f>
        <v>23</v>
      </c>
      <c r="H11" s="632" t="s">
        <v>253</v>
      </c>
      <c r="I11" s="633" t="s">
        <v>259</v>
      </c>
    </row>
    <row r="13" spans="1:20" ht="79.2" x14ac:dyDescent="0.25">
      <c r="A13" s="26" t="s">
        <v>28</v>
      </c>
      <c r="B13" s="26" t="s">
        <v>32</v>
      </c>
      <c r="C13" s="26" t="s">
        <v>27</v>
      </c>
      <c r="D13" s="26" t="s">
        <v>1037</v>
      </c>
      <c r="E13" s="26" t="s">
        <v>19</v>
      </c>
      <c r="F13" s="26" t="s">
        <v>24</v>
      </c>
      <c r="G13" s="26" t="s">
        <v>20</v>
      </c>
      <c r="H13" s="328" t="s">
        <v>35</v>
      </c>
      <c r="I13" s="57" t="s">
        <v>113</v>
      </c>
      <c r="J13" s="57" t="s">
        <v>217</v>
      </c>
      <c r="K13" s="57" t="s">
        <v>218</v>
      </c>
      <c r="L13" s="57" t="s">
        <v>219</v>
      </c>
      <c r="M13" s="57" t="s">
        <v>206</v>
      </c>
      <c r="N13" s="57" t="s">
        <v>204</v>
      </c>
      <c r="O13" s="57" t="s">
        <v>205</v>
      </c>
      <c r="P13" s="11" t="s">
        <v>207</v>
      </c>
      <c r="Q13" s="92" t="s">
        <v>267</v>
      </c>
      <c r="R13" s="11" t="s">
        <v>212</v>
      </c>
      <c r="S13" s="92" t="s">
        <v>44</v>
      </c>
      <c r="T13" s="11" t="s">
        <v>45</v>
      </c>
    </row>
    <row r="14" spans="1:2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548">
        <f>C$4</f>
        <v>0</v>
      </c>
      <c r="I14" s="27">
        <f>IF(Weather_Site!M12&lt;180,Weather_Site!M12+180,Weather_Site!M12-180)</f>
        <v>216</v>
      </c>
      <c r="J14" s="635">
        <f>2.76+0.124*E14-0.0187*D14</f>
        <v>5.3138699999999996</v>
      </c>
      <c r="K14" s="635">
        <f>3.6+0.169*E14-0.045*D14</f>
        <v>6.6143000000000001</v>
      </c>
      <c r="L14" s="635">
        <f>3.08+0.198*E14-0.0483*D14</f>
        <v>6.7172299999999998</v>
      </c>
      <c r="M14" s="635">
        <f>IF(AND(OR(MONTH(B14)&gt;10,MONTH(B14)&lt;3),AND(HOUR(C14)&gt;=13,HOUR(C14)&lt;=17)),J14,IF(OR(HOUR(C14)&lt;8,HOUR(C14)&gt;=20),L14,K14))</f>
        <v>6.7172299999999998</v>
      </c>
      <c r="N14" s="636">
        <f>M14^-1.495/0.0545</f>
        <v>1.0640306063643747</v>
      </c>
      <c r="O14" s="635">
        <f>EXP(0.069*H14)</f>
        <v>1</v>
      </c>
      <c r="P14" s="637">
        <f>(30+1.531*(IF(G14&lt;5,0,G14-5))^0.858*$D$6^0.93*($D$7*$C$8)^0.637*1.03)*N14*O14</f>
        <v>717.4158158944482</v>
      </c>
      <c r="Q14" s="637">
        <f t="shared" ref="Q14" si="0">(30+1.531*(IF((0.2*G15+4)&lt;5,0,(0.2*G15+6)-5))^0.858*$D$6^0.93*($D$7*$C$8)^0.637*1.03)*N14</f>
        <v>294.82470908095462</v>
      </c>
      <c r="R14" s="635">
        <f>0.0193*P14^0.723*EXP(0.64*$C$10)*1.07</f>
        <v>3.9996524592017386</v>
      </c>
      <c r="S14" s="637">
        <f>MAX(50,ABS(176.969*(ATAN($D$6)*(P14/G14^0.25)^0.5)+1568800*($D$6^-1*(P14/G14^0.25)^-1.5)-3015.09))</f>
        <v>1248.3335095753946</v>
      </c>
      <c r="T14" s="638">
        <f>18600*P14/3600*F$11/10</f>
        <v>8525.2912788790254</v>
      </c>
    </row>
    <row r="15" spans="1:2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548">
        <f t="shared" ref="H15:H18" si="1">C$4</f>
        <v>0</v>
      </c>
      <c r="I15" s="27">
        <f>IF(Weather_Site!M13&lt;180,Weather_Site!M13+180,Weather_Site!M13-180)</f>
        <v>132</v>
      </c>
      <c r="J15" s="635">
        <f t="shared" ref="J15:J18" si="2">2.76+0.124*E15-0.0187*D15</f>
        <v>5.3442799999999995</v>
      </c>
      <c r="K15" s="635">
        <f t="shared" ref="K15:K18" si="3">3.6+0.169*E15-0.045*D15</f>
        <v>6.6615999999999991</v>
      </c>
      <c r="L15" s="635">
        <f t="shared" ref="L15:L18" si="4">3.08+0.198*E15-0.0483*D15</f>
        <v>6.7713199999999993</v>
      </c>
      <c r="M15" s="635">
        <f t="shared" ref="M15:M18" si="5">IF(AND(OR(MONTH(B15)&gt;10,MONTH(B15)&lt;3),AND(HOUR(C15)&gt;=13,HOUR(C15)&lt;=17)),J15,IF(OR(HOUR(C15)&lt;8,HOUR(C15)&gt;=20),L15,K15))</f>
        <v>6.7713199999999993</v>
      </c>
      <c r="N15" s="636">
        <f t="shared" ref="N15:N18" si="6">M15^-1.495/0.0545</f>
        <v>1.051348881644474</v>
      </c>
      <c r="O15" s="635">
        <f t="shared" ref="O15:O18" si="7">EXP(0.069*H15)</f>
        <v>1</v>
      </c>
      <c r="P15" s="637">
        <f t="shared" ref="P15:P18" si="8">(30+1.531*(IF(G15&lt;5,0,G15-5))^0.858*$D$6^0.93*($D$7*$C$8)^0.637*1.03)*N15*O15</f>
        <v>546.92721532221162</v>
      </c>
      <c r="Q15" s="637">
        <f t="shared" ref="Q15:Q18" si="9">(30+1.531*(IF((0.2*G16+4)&lt;5,0,(0.2*G16+6)-5))^0.858*$D$6^0.93*($D$7*$C$8)^0.637*1.03)*N15</f>
        <v>328.04403900297507</v>
      </c>
      <c r="R15" s="635">
        <f t="shared" ref="R15:R18" si="10">0.0193*P15^0.723*EXP(0.64*$C$10)*1.07</f>
        <v>3.2871756782671206</v>
      </c>
      <c r="S15" s="637">
        <f t="shared" ref="S15:S18" si="11">MAX(50,ABS(176.969*(ATAN($D$6)*(P15/G15^0.25)^0.5)+1568800*($D$6^-1*(P15/G15^0.25)^-1.5)-3015.09))</f>
        <v>843.31939293284358</v>
      </c>
      <c r="T15" s="638">
        <f t="shared" ref="T15:T18" si="12">18600*P15/3600*F$11/10</f>
        <v>6499.3184087456148</v>
      </c>
    </row>
    <row r="16" spans="1:2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548">
        <f t="shared" si="1"/>
        <v>0</v>
      </c>
      <c r="I16" s="27">
        <f>IF(Weather_Site!M14&lt;180,Weather_Site!M14+180,Weather_Site!M14-180)</f>
        <v>156</v>
      </c>
      <c r="J16" s="635">
        <f t="shared" si="2"/>
        <v>5.7207100000000004</v>
      </c>
      <c r="K16" s="635">
        <f t="shared" si="3"/>
        <v>7.1922000000000015</v>
      </c>
      <c r="L16" s="635">
        <f t="shared" si="4"/>
        <v>7.3889899999999997</v>
      </c>
      <c r="M16" s="635">
        <f t="shared" si="5"/>
        <v>7.3889899999999997</v>
      </c>
      <c r="N16" s="636">
        <f t="shared" si="6"/>
        <v>0.92271760096475564</v>
      </c>
      <c r="O16" s="635">
        <f t="shared" si="7"/>
        <v>1</v>
      </c>
      <c r="P16" s="637">
        <f t="shared" si="8"/>
        <v>622.13642782151999</v>
      </c>
      <c r="Q16" s="637">
        <f t="shared" si="9"/>
        <v>381.07437934451997</v>
      </c>
      <c r="R16" s="635">
        <f t="shared" si="10"/>
        <v>3.6081050439606508</v>
      </c>
      <c r="S16" s="637">
        <f t="shared" si="11"/>
        <v>978.77768819818857</v>
      </c>
      <c r="T16" s="638">
        <f t="shared" si="12"/>
        <v>7393.0545506123963</v>
      </c>
    </row>
    <row r="17" spans="1:20"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548">
        <f t="shared" si="1"/>
        <v>0</v>
      </c>
      <c r="I17" s="27">
        <f>IF(Weather_Site!M15&lt;180,Weather_Site!M15+180,Weather_Site!M15-180)</f>
        <v>182</v>
      </c>
      <c r="J17" s="635">
        <f t="shared" si="2"/>
        <v>5.8266999999999998</v>
      </c>
      <c r="K17" s="635">
        <f t="shared" si="3"/>
        <v>7.3308</v>
      </c>
      <c r="L17" s="635">
        <f t="shared" si="4"/>
        <v>7.5527000000000006</v>
      </c>
      <c r="M17" s="635">
        <f t="shared" si="5"/>
        <v>7.5527000000000006</v>
      </c>
      <c r="N17" s="636">
        <f t="shared" si="6"/>
        <v>0.89297778971971931</v>
      </c>
      <c r="O17" s="635">
        <f t="shared" si="7"/>
        <v>1</v>
      </c>
      <c r="P17" s="637">
        <f t="shared" si="8"/>
        <v>987.64814206906931</v>
      </c>
      <c r="Q17" s="637">
        <f t="shared" si="9"/>
        <v>436.21649945231064</v>
      </c>
      <c r="R17" s="635">
        <f t="shared" si="10"/>
        <v>5.0396141768130995</v>
      </c>
      <c r="S17" s="637">
        <f t="shared" si="11"/>
        <v>1686.7622805084457</v>
      </c>
      <c r="T17" s="638">
        <f t="shared" si="12"/>
        <v>11736.552088254106</v>
      </c>
    </row>
    <row r="18" spans="1:20"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548">
        <f t="shared" si="1"/>
        <v>0</v>
      </c>
      <c r="I18" s="27">
        <f>IF(Weather_Site!M16&lt;180,Weather_Site!M16+180,Weather_Site!M16-180)</f>
        <v>180</v>
      </c>
      <c r="J18" s="635">
        <f t="shared" si="2"/>
        <v>5.5108899999999998</v>
      </c>
      <c r="K18" s="635">
        <f t="shared" si="3"/>
        <v>6.8554999999999993</v>
      </c>
      <c r="L18" s="635">
        <f t="shared" si="4"/>
        <v>7.0060100000000016</v>
      </c>
      <c r="M18" s="635">
        <f t="shared" si="5"/>
        <v>6.8554999999999993</v>
      </c>
      <c r="N18" s="636">
        <f t="shared" si="6"/>
        <v>1.0321076347303781</v>
      </c>
      <c r="O18" s="635">
        <f t="shared" si="7"/>
        <v>1</v>
      </c>
      <c r="P18" s="637">
        <f t="shared" si="8"/>
        <v>1467.6770928443459</v>
      </c>
      <c r="Q18" s="637">
        <f t="shared" si="9"/>
        <v>30.963229041911344</v>
      </c>
      <c r="R18" s="635">
        <f t="shared" si="10"/>
        <v>6.7107911702995962</v>
      </c>
      <c r="S18" s="637">
        <f t="shared" si="11"/>
        <v>2509.9685240642984</v>
      </c>
      <c r="T18" s="638">
        <f t="shared" si="12"/>
        <v>17440.896119966979</v>
      </c>
    </row>
    <row r="19" spans="1:20" x14ac:dyDescent="0.25">
      <c r="A19" s="45"/>
      <c r="B19" s="46"/>
      <c r="C19" s="47"/>
      <c r="D19" s="48"/>
      <c r="E19" s="48"/>
      <c r="F19" s="49"/>
      <c r="G19" s="48"/>
      <c r="H19" s="548"/>
      <c r="I19" s="48"/>
      <c r="J19" s="639"/>
      <c r="K19" s="639"/>
      <c r="L19" s="639"/>
      <c r="M19" s="639"/>
      <c r="N19" s="640"/>
      <c r="O19" s="639"/>
      <c r="P19" s="641"/>
      <c r="Q19" s="641"/>
      <c r="R19" s="749"/>
      <c r="S19" s="641"/>
      <c r="T19" s="642"/>
    </row>
    <row r="20" spans="1:20" x14ac:dyDescent="0.25">
      <c r="A20" s="45"/>
      <c r="B20" s="46"/>
      <c r="C20" s="47"/>
      <c r="D20" s="48"/>
      <c r="E20" s="48"/>
      <c r="F20" s="49"/>
      <c r="G20" s="48"/>
      <c r="H20" s="548"/>
      <c r="I20" s="48"/>
      <c r="J20" s="639"/>
      <c r="K20" s="639"/>
      <c r="L20" s="639"/>
      <c r="M20" s="639"/>
      <c r="N20" s="640"/>
      <c r="O20" s="639"/>
      <c r="P20" s="641"/>
      <c r="Q20" s="641"/>
      <c r="R20" s="639"/>
      <c r="S20" s="641"/>
      <c r="T20" s="642"/>
    </row>
    <row r="21" spans="1:20" x14ac:dyDescent="0.25">
      <c r="A21" s="45"/>
      <c r="B21" s="46"/>
      <c r="C21" s="47"/>
      <c r="D21" s="48"/>
      <c r="E21" s="48"/>
      <c r="F21" s="49"/>
      <c r="G21" s="48"/>
      <c r="H21" s="548"/>
      <c r="I21" s="48"/>
      <c r="J21" s="639"/>
      <c r="K21" s="639"/>
      <c r="L21" s="639"/>
      <c r="M21" s="639"/>
      <c r="N21" s="640"/>
      <c r="O21" s="639"/>
      <c r="P21" s="641"/>
      <c r="Q21" s="641"/>
      <c r="R21" s="639"/>
      <c r="S21" s="641"/>
      <c r="T21" s="643"/>
    </row>
    <row r="22" spans="1:20" x14ac:dyDescent="0.25">
      <c r="A22" s="45"/>
      <c r="B22" s="46"/>
      <c r="C22" s="47"/>
      <c r="D22" s="48"/>
      <c r="E22" s="48"/>
      <c r="F22" s="49"/>
      <c r="G22" s="48"/>
      <c r="H22" s="548"/>
      <c r="I22" s="48"/>
      <c r="J22" s="639"/>
      <c r="K22" s="639"/>
      <c r="L22" s="639"/>
      <c r="M22" s="639"/>
      <c r="N22" s="640"/>
      <c r="O22" s="639"/>
      <c r="P22" s="641"/>
      <c r="Q22" s="641"/>
      <c r="R22" s="639"/>
      <c r="S22" s="641"/>
      <c r="T22" s="643"/>
    </row>
    <row r="23" spans="1:20" x14ac:dyDescent="0.25">
      <c r="A23" s="45"/>
      <c r="B23" s="46"/>
      <c r="C23" s="47"/>
      <c r="D23" s="48"/>
      <c r="E23" s="48"/>
      <c r="F23" s="49"/>
      <c r="G23" s="48"/>
      <c r="H23" s="548"/>
      <c r="I23" s="48"/>
      <c r="J23" s="639"/>
      <c r="K23" s="639"/>
      <c r="L23" s="639"/>
      <c r="M23" s="639"/>
      <c r="N23" s="640"/>
      <c r="O23" s="639"/>
      <c r="P23" s="641"/>
      <c r="Q23" s="641"/>
      <c r="R23" s="639"/>
      <c r="S23" s="641"/>
      <c r="T23" s="643"/>
    </row>
    <row r="24" spans="1:20" x14ac:dyDescent="0.25">
      <c r="A24" s="23"/>
      <c r="B24" s="24"/>
      <c r="C24" s="25"/>
      <c r="D24" s="27"/>
      <c r="E24" s="27"/>
      <c r="F24" s="28"/>
      <c r="G24" s="27"/>
      <c r="H24" s="548"/>
      <c r="I24" s="27"/>
      <c r="J24" s="635"/>
      <c r="K24" s="635"/>
      <c r="L24" s="635"/>
      <c r="M24" s="635"/>
      <c r="N24" s="636"/>
      <c r="O24" s="635"/>
      <c r="P24" s="637"/>
      <c r="Q24" s="637"/>
      <c r="R24" s="635"/>
      <c r="S24" s="637"/>
      <c r="T24" s="644"/>
    </row>
    <row r="25" spans="1:20" x14ac:dyDescent="0.25">
      <c r="A25" s="23"/>
      <c r="B25" s="24"/>
      <c r="C25" s="25"/>
      <c r="D25" s="27"/>
      <c r="E25" s="27"/>
      <c r="F25" s="28"/>
      <c r="G25" s="27"/>
      <c r="H25" s="548"/>
      <c r="I25" s="27"/>
      <c r="J25" s="635"/>
      <c r="K25" s="635"/>
      <c r="L25" s="635"/>
      <c r="M25" s="635"/>
      <c r="N25" s="636"/>
      <c r="O25" s="635"/>
      <c r="P25" s="637"/>
      <c r="Q25" s="637"/>
      <c r="R25" s="635"/>
      <c r="S25" s="637"/>
      <c r="T25" s="644"/>
    </row>
    <row r="26" spans="1:20" x14ac:dyDescent="0.25">
      <c r="A26" s="23"/>
      <c r="B26" s="24"/>
      <c r="C26" s="25"/>
      <c r="D26" s="27"/>
      <c r="E26" s="27"/>
      <c r="F26" s="28"/>
      <c r="G26" s="27"/>
      <c r="H26" s="548"/>
      <c r="I26" s="27"/>
      <c r="J26" s="635"/>
      <c r="K26" s="635"/>
      <c r="L26" s="635"/>
      <c r="M26" s="635"/>
      <c r="N26" s="636"/>
      <c r="O26" s="635"/>
      <c r="P26" s="637"/>
      <c r="Q26" s="637"/>
      <c r="R26" s="635"/>
      <c r="S26" s="637"/>
      <c r="T26" s="644"/>
    </row>
    <row r="27" spans="1:20" x14ac:dyDescent="0.25">
      <c r="A27" s="23"/>
      <c r="B27" s="24"/>
      <c r="C27" s="25"/>
      <c r="D27" s="27"/>
      <c r="E27" s="27"/>
      <c r="F27" s="28"/>
      <c r="G27" s="27"/>
      <c r="H27" s="548"/>
      <c r="I27" s="27"/>
      <c r="J27" s="635"/>
      <c r="K27" s="635"/>
      <c r="L27" s="635"/>
      <c r="M27" s="635"/>
      <c r="N27" s="636"/>
      <c r="O27" s="635"/>
      <c r="P27" s="637"/>
      <c r="Q27" s="637"/>
      <c r="R27" s="635"/>
      <c r="S27" s="637"/>
      <c r="T27" s="644"/>
    </row>
    <row r="28" spans="1:20" x14ac:dyDescent="0.25">
      <c r="A28" s="23"/>
      <c r="B28" s="24"/>
      <c r="C28" s="25"/>
      <c r="D28" s="27"/>
      <c r="E28" s="27"/>
      <c r="F28" s="28"/>
      <c r="G28" s="27"/>
      <c r="H28" s="548"/>
      <c r="I28" s="27"/>
      <c r="J28" s="635"/>
      <c r="K28" s="635"/>
      <c r="L28" s="635"/>
      <c r="M28" s="635"/>
      <c r="N28" s="636"/>
      <c r="O28" s="635"/>
      <c r="P28" s="637"/>
      <c r="Q28" s="637"/>
      <c r="R28" s="635"/>
      <c r="S28" s="637"/>
      <c r="T28" s="644"/>
    </row>
    <row r="29" spans="1:20" x14ac:dyDescent="0.25">
      <c r="A29" s="45"/>
      <c r="B29" s="46"/>
      <c r="C29" s="47"/>
      <c r="D29" s="48"/>
      <c r="E29" s="48"/>
      <c r="F29" s="49"/>
      <c r="G29" s="48"/>
      <c r="H29" s="548"/>
      <c r="I29" s="48"/>
      <c r="J29" s="639"/>
      <c r="K29" s="639"/>
      <c r="L29" s="639"/>
      <c r="M29" s="639"/>
      <c r="N29" s="640"/>
      <c r="O29" s="639"/>
      <c r="P29" s="641"/>
      <c r="Q29" s="641"/>
      <c r="R29" s="639"/>
      <c r="S29" s="641"/>
      <c r="T29" s="643"/>
    </row>
    <row r="30" spans="1:20" x14ac:dyDescent="0.25">
      <c r="A30" s="45"/>
      <c r="B30" s="46"/>
      <c r="C30" s="47"/>
      <c r="D30" s="48"/>
      <c r="E30" s="48"/>
      <c r="F30" s="49"/>
      <c r="G30" s="48"/>
      <c r="H30" s="548"/>
      <c r="I30" s="48"/>
      <c r="J30" s="639"/>
      <c r="K30" s="639"/>
      <c r="L30" s="639"/>
      <c r="M30" s="639"/>
      <c r="N30" s="640"/>
      <c r="O30" s="639"/>
      <c r="P30" s="641"/>
      <c r="Q30" s="641"/>
      <c r="R30" s="639"/>
      <c r="S30" s="641"/>
      <c r="T30" s="643"/>
    </row>
    <row r="31" spans="1:20" x14ac:dyDescent="0.25">
      <c r="A31" s="45"/>
      <c r="B31" s="46"/>
      <c r="C31" s="47"/>
      <c r="D31" s="48"/>
      <c r="E31" s="48"/>
      <c r="F31" s="49"/>
      <c r="G31" s="48"/>
      <c r="H31" s="548"/>
      <c r="I31" s="48"/>
      <c r="J31" s="639"/>
      <c r="K31" s="639"/>
      <c r="L31" s="639"/>
      <c r="M31" s="639"/>
      <c r="N31" s="640"/>
      <c r="O31" s="639"/>
      <c r="P31" s="641"/>
      <c r="Q31" s="641"/>
      <c r="R31" s="639"/>
      <c r="S31" s="641"/>
      <c r="T31" s="643"/>
    </row>
    <row r="32" spans="1:20" x14ac:dyDescent="0.25">
      <c r="A32" s="45"/>
      <c r="B32" s="46"/>
      <c r="C32" s="47"/>
      <c r="D32" s="48"/>
      <c r="E32" s="48"/>
      <c r="F32" s="49"/>
      <c r="G32" s="48"/>
      <c r="H32" s="548"/>
      <c r="I32" s="48"/>
      <c r="J32" s="639"/>
      <c r="K32" s="639"/>
      <c r="L32" s="639"/>
      <c r="M32" s="639"/>
      <c r="N32" s="640"/>
      <c r="O32" s="639"/>
      <c r="P32" s="641"/>
      <c r="Q32" s="641"/>
      <c r="R32" s="639"/>
      <c r="S32" s="641"/>
      <c r="T32" s="643"/>
    </row>
    <row r="33" spans="1:20" x14ac:dyDescent="0.25">
      <c r="A33" s="45"/>
      <c r="B33" s="46"/>
      <c r="C33" s="47"/>
      <c r="D33" s="48"/>
      <c r="E33" s="48"/>
      <c r="F33" s="49"/>
      <c r="G33" s="48"/>
      <c r="H33" s="548"/>
      <c r="I33" s="48"/>
      <c r="J33" s="639"/>
      <c r="K33" s="639"/>
      <c r="L33" s="639"/>
      <c r="M33" s="639"/>
      <c r="N33" s="640"/>
      <c r="O33" s="639"/>
      <c r="P33" s="641"/>
      <c r="Q33" s="641"/>
      <c r="R33" s="639"/>
      <c r="S33" s="641"/>
      <c r="T33" s="643"/>
    </row>
    <row r="34" spans="1:20" x14ac:dyDescent="0.25">
      <c r="A34" s="23"/>
      <c r="B34" s="24"/>
      <c r="C34" s="25"/>
      <c r="D34" s="27"/>
      <c r="E34" s="27"/>
      <c r="F34" s="28"/>
      <c r="G34" s="27"/>
      <c r="H34" s="548"/>
      <c r="I34" s="27"/>
      <c r="J34" s="635"/>
      <c r="K34" s="635"/>
      <c r="L34" s="635"/>
      <c r="M34" s="635"/>
      <c r="N34" s="636"/>
      <c r="O34" s="635"/>
      <c r="P34" s="637"/>
      <c r="Q34" s="637"/>
      <c r="R34" s="635"/>
      <c r="S34" s="637"/>
      <c r="T34" s="644"/>
    </row>
    <row r="35" spans="1:20" x14ac:dyDescent="0.25">
      <c r="A35" s="23"/>
      <c r="B35" s="24"/>
      <c r="C35" s="25"/>
      <c r="D35" s="27"/>
      <c r="E35" s="27"/>
      <c r="F35" s="28"/>
      <c r="G35" s="27"/>
      <c r="H35" s="548"/>
      <c r="I35" s="27"/>
      <c r="J35" s="635"/>
      <c r="K35" s="635"/>
      <c r="L35" s="635"/>
      <c r="M35" s="635"/>
      <c r="N35" s="636"/>
      <c r="O35" s="635"/>
      <c r="P35" s="637"/>
      <c r="Q35" s="637"/>
      <c r="R35" s="635"/>
      <c r="S35" s="637"/>
      <c r="T35" s="644"/>
    </row>
    <row r="36" spans="1:20" x14ac:dyDescent="0.25">
      <c r="A36" s="23"/>
      <c r="B36" s="24"/>
      <c r="C36" s="25"/>
      <c r="D36" s="27"/>
      <c r="E36" s="27"/>
      <c r="F36" s="28"/>
      <c r="G36" s="27"/>
      <c r="H36" s="548"/>
      <c r="I36" s="27"/>
      <c r="J36" s="635"/>
      <c r="K36" s="635"/>
      <c r="L36" s="635"/>
      <c r="M36" s="635"/>
      <c r="N36" s="636"/>
      <c r="O36" s="635"/>
      <c r="P36" s="637"/>
      <c r="Q36" s="637"/>
      <c r="R36" s="635"/>
      <c r="S36" s="637"/>
      <c r="T36" s="644"/>
    </row>
    <row r="37" spans="1:20" x14ac:dyDescent="0.25">
      <c r="A37" s="23"/>
      <c r="B37" s="24"/>
      <c r="C37" s="25"/>
      <c r="D37" s="27"/>
      <c r="E37" s="27"/>
      <c r="F37" s="28"/>
      <c r="G37" s="27"/>
      <c r="H37" s="548"/>
      <c r="I37" s="27"/>
      <c r="J37" s="635"/>
      <c r="K37" s="635"/>
      <c r="L37" s="635"/>
      <c r="M37" s="635"/>
      <c r="N37" s="636"/>
      <c r="O37" s="635"/>
      <c r="P37" s="637"/>
      <c r="Q37" s="637"/>
      <c r="R37" s="635"/>
      <c r="S37" s="637"/>
      <c r="T37" s="644"/>
    </row>
    <row r="38" spans="1:20" x14ac:dyDescent="0.25">
      <c r="A38" s="23"/>
      <c r="B38" s="24"/>
      <c r="C38" s="25"/>
      <c r="D38" s="27"/>
      <c r="E38" s="27"/>
      <c r="F38" s="28"/>
      <c r="G38" s="27"/>
      <c r="H38" s="548"/>
      <c r="I38" s="27"/>
      <c r="J38" s="635"/>
      <c r="K38" s="635"/>
      <c r="L38" s="635"/>
      <c r="M38" s="635"/>
      <c r="N38" s="636"/>
      <c r="O38" s="635"/>
      <c r="P38" s="637"/>
      <c r="Q38" s="637"/>
      <c r="R38" s="635"/>
      <c r="S38" s="637"/>
      <c r="T38" s="644"/>
    </row>
    <row r="39" spans="1:20" x14ac:dyDescent="0.25">
      <c r="A39" s="45"/>
      <c r="B39" s="46"/>
      <c r="C39" s="47"/>
      <c r="D39" s="48"/>
      <c r="E39" s="48"/>
      <c r="F39" s="49"/>
      <c r="G39" s="48"/>
      <c r="H39" s="548"/>
      <c r="I39" s="48"/>
      <c r="J39" s="639"/>
      <c r="K39" s="639"/>
      <c r="L39" s="639"/>
      <c r="M39" s="639"/>
      <c r="N39" s="640"/>
      <c r="O39" s="639"/>
      <c r="P39" s="641"/>
      <c r="Q39" s="641"/>
      <c r="R39" s="639"/>
      <c r="S39" s="641"/>
      <c r="T39" s="643"/>
    </row>
    <row r="40" spans="1:20" x14ac:dyDescent="0.25">
      <c r="A40" s="45"/>
      <c r="B40" s="46"/>
      <c r="C40" s="47"/>
      <c r="D40" s="48"/>
      <c r="E40" s="48"/>
      <c r="F40" s="49"/>
      <c r="G40" s="48"/>
      <c r="H40" s="548"/>
      <c r="I40" s="48"/>
      <c r="J40" s="639"/>
      <c r="K40" s="639"/>
      <c r="L40" s="639"/>
      <c r="M40" s="639"/>
      <c r="N40" s="640"/>
      <c r="O40" s="639"/>
      <c r="P40" s="641"/>
      <c r="Q40" s="641"/>
      <c r="R40" s="639"/>
      <c r="S40" s="641"/>
      <c r="T40" s="643"/>
    </row>
    <row r="41" spans="1:20" x14ac:dyDescent="0.25">
      <c r="A41" s="45"/>
      <c r="B41" s="46"/>
      <c r="C41" s="47"/>
      <c r="D41" s="48"/>
      <c r="E41" s="48"/>
      <c r="F41" s="49"/>
      <c r="G41" s="48"/>
      <c r="H41" s="548"/>
      <c r="I41" s="48"/>
      <c r="J41" s="639"/>
      <c r="K41" s="639"/>
      <c r="L41" s="639"/>
      <c r="M41" s="639"/>
      <c r="N41" s="640"/>
      <c r="O41" s="639"/>
      <c r="P41" s="641"/>
      <c r="Q41" s="641"/>
      <c r="R41" s="639"/>
      <c r="S41" s="641"/>
      <c r="T41" s="643"/>
    </row>
    <row r="42" spans="1:20" x14ac:dyDescent="0.25">
      <c r="A42" s="45"/>
      <c r="B42" s="46"/>
      <c r="C42" s="47"/>
      <c r="D42" s="48"/>
      <c r="E42" s="48"/>
      <c r="F42" s="49"/>
      <c r="G42" s="48"/>
      <c r="H42" s="548"/>
      <c r="I42" s="48"/>
      <c r="J42" s="639"/>
      <c r="K42" s="639"/>
      <c r="L42" s="639"/>
      <c r="M42" s="639"/>
      <c r="N42" s="640"/>
      <c r="O42" s="639"/>
      <c r="P42" s="641"/>
      <c r="Q42" s="641"/>
      <c r="R42" s="639"/>
      <c r="S42" s="641"/>
      <c r="T42" s="643"/>
    </row>
    <row r="43" spans="1:20" x14ac:dyDescent="0.25">
      <c r="A43" s="45"/>
      <c r="B43" s="46"/>
      <c r="C43" s="47"/>
      <c r="D43" s="48"/>
      <c r="E43" s="48"/>
      <c r="F43" s="49"/>
      <c r="G43" s="48"/>
      <c r="H43" s="548"/>
      <c r="I43" s="48"/>
      <c r="J43" s="639"/>
      <c r="K43" s="639"/>
      <c r="L43" s="639"/>
      <c r="M43" s="639"/>
      <c r="N43" s="640"/>
      <c r="O43" s="639"/>
      <c r="P43" s="641"/>
      <c r="Q43" s="641"/>
      <c r="R43" s="639"/>
      <c r="S43" s="641"/>
      <c r="T43" s="643"/>
    </row>
    <row r="44" spans="1:20" x14ac:dyDescent="0.25">
      <c r="A44" s="23"/>
      <c r="B44" s="24"/>
      <c r="C44" s="25"/>
      <c r="D44" s="27"/>
      <c r="E44" s="27"/>
      <c r="F44" s="28"/>
      <c r="G44" s="27"/>
      <c r="H44" s="548"/>
      <c r="I44" s="27"/>
      <c r="J44" s="635"/>
      <c r="K44" s="635"/>
      <c r="L44" s="635"/>
      <c r="M44" s="635"/>
      <c r="N44" s="636"/>
      <c r="O44" s="635"/>
      <c r="P44" s="637"/>
      <c r="Q44" s="637"/>
      <c r="R44" s="635"/>
      <c r="S44" s="637"/>
      <c r="T44" s="644"/>
    </row>
    <row r="45" spans="1:20" x14ac:dyDescent="0.25">
      <c r="A45" s="23"/>
      <c r="B45" s="24"/>
      <c r="C45" s="25"/>
      <c r="D45" s="27"/>
      <c r="E45" s="27"/>
      <c r="F45" s="28"/>
      <c r="G45" s="27"/>
      <c r="H45" s="548"/>
      <c r="I45" s="27"/>
      <c r="J45" s="635"/>
      <c r="K45" s="635"/>
      <c r="L45" s="635"/>
      <c r="M45" s="635"/>
      <c r="N45" s="636"/>
      <c r="O45" s="635"/>
      <c r="P45" s="637"/>
      <c r="Q45" s="637"/>
      <c r="R45" s="635"/>
      <c r="S45" s="637"/>
      <c r="T45" s="644"/>
    </row>
    <row r="46" spans="1:20" x14ac:dyDescent="0.25">
      <c r="A46" s="23"/>
      <c r="B46" s="24"/>
      <c r="C46" s="25"/>
      <c r="D46" s="27"/>
      <c r="E46" s="27"/>
      <c r="F46" s="28"/>
      <c r="G46" s="27"/>
      <c r="H46" s="548"/>
      <c r="I46" s="27"/>
      <c r="J46" s="635"/>
      <c r="K46" s="635"/>
      <c r="L46" s="635"/>
      <c r="M46" s="635"/>
      <c r="N46" s="636"/>
      <c r="O46" s="635"/>
      <c r="P46" s="637"/>
      <c r="Q46" s="637"/>
      <c r="R46" s="635"/>
      <c r="S46" s="637"/>
      <c r="T46" s="644"/>
    </row>
    <row r="47" spans="1:20" x14ac:dyDescent="0.25">
      <c r="A47" s="23"/>
      <c r="B47" s="24"/>
      <c r="C47" s="25"/>
      <c r="D47" s="27"/>
      <c r="E47" s="27"/>
      <c r="F47" s="28"/>
      <c r="G47" s="27"/>
      <c r="H47" s="548"/>
      <c r="I47" s="27"/>
      <c r="J47" s="635"/>
      <c r="K47" s="635"/>
      <c r="L47" s="635"/>
      <c r="M47" s="635"/>
      <c r="N47" s="636"/>
      <c r="O47" s="635"/>
      <c r="P47" s="637"/>
      <c r="Q47" s="637"/>
      <c r="R47" s="635"/>
      <c r="S47" s="637"/>
      <c r="T47" s="644"/>
    </row>
    <row r="48" spans="1:20" x14ac:dyDescent="0.25">
      <c r="A48" s="23"/>
      <c r="B48" s="24"/>
      <c r="C48" s="25"/>
      <c r="D48" s="27"/>
      <c r="E48" s="27"/>
      <c r="F48" s="28"/>
      <c r="G48" s="27"/>
      <c r="H48" s="548"/>
      <c r="I48" s="27"/>
      <c r="J48" s="635"/>
      <c r="K48" s="635"/>
      <c r="L48" s="635"/>
      <c r="M48" s="635"/>
      <c r="N48" s="636"/>
      <c r="O48" s="635"/>
      <c r="P48" s="637"/>
      <c r="Q48" s="637"/>
      <c r="R48" s="635"/>
      <c r="S48" s="637"/>
      <c r="T48" s="644"/>
    </row>
    <row r="49" spans="1:20" x14ac:dyDescent="0.25">
      <c r="A49" s="45"/>
      <c r="B49" s="46"/>
      <c r="C49" s="47"/>
      <c r="D49" s="48"/>
      <c r="E49" s="48"/>
      <c r="F49" s="49"/>
      <c r="G49" s="48"/>
      <c r="H49" s="548"/>
      <c r="I49" s="48"/>
      <c r="J49" s="639"/>
      <c r="K49" s="639"/>
      <c r="L49" s="639"/>
      <c r="M49" s="639"/>
      <c r="N49" s="640"/>
      <c r="O49" s="639"/>
      <c r="P49" s="641"/>
      <c r="Q49" s="641"/>
      <c r="R49" s="639"/>
      <c r="S49" s="641"/>
      <c r="T49" s="643"/>
    </row>
    <row r="50" spans="1:20" x14ac:dyDescent="0.25">
      <c r="A50" s="45"/>
      <c r="B50" s="46"/>
      <c r="C50" s="47"/>
      <c r="D50" s="48"/>
      <c r="E50" s="48"/>
      <c r="F50" s="49"/>
      <c r="G50" s="48"/>
      <c r="H50" s="548"/>
      <c r="I50" s="48"/>
      <c r="J50" s="639"/>
      <c r="K50" s="639"/>
      <c r="L50" s="639"/>
      <c r="M50" s="639"/>
      <c r="N50" s="640"/>
      <c r="O50" s="639"/>
      <c r="P50" s="641"/>
      <c r="Q50" s="641"/>
      <c r="R50" s="639"/>
      <c r="S50" s="641"/>
      <c r="T50" s="643"/>
    </row>
    <row r="51" spans="1:20" x14ac:dyDescent="0.25">
      <c r="A51" s="45"/>
      <c r="B51" s="46"/>
      <c r="C51" s="47"/>
      <c r="D51" s="48"/>
      <c r="E51" s="48"/>
      <c r="F51" s="49"/>
      <c r="G51" s="48"/>
      <c r="H51" s="548"/>
      <c r="I51" s="48"/>
      <c r="J51" s="639"/>
      <c r="K51" s="639"/>
      <c r="L51" s="639"/>
      <c r="M51" s="639"/>
      <c r="N51" s="640"/>
      <c r="O51" s="639"/>
      <c r="P51" s="641"/>
      <c r="Q51" s="641"/>
      <c r="R51" s="639"/>
      <c r="S51" s="641"/>
      <c r="T51" s="643"/>
    </row>
    <row r="52" spans="1:20" x14ac:dyDescent="0.25">
      <c r="A52" s="45"/>
      <c r="B52" s="46"/>
      <c r="C52" s="47"/>
      <c r="D52" s="48"/>
      <c r="E52" s="48"/>
      <c r="F52" s="49"/>
      <c r="G52" s="48"/>
      <c r="H52" s="548"/>
      <c r="I52" s="48"/>
      <c r="J52" s="639"/>
      <c r="K52" s="639"/>
      <c r="L52" s="639"/>
      <c r="M52" s="639"/>
      <c r="N52" s="640"/>
      <c r="O52" s="639"/>
      <c r="P52" s="641"/>
      <c r="Q52" s="641"/>
      <c r="R52" s="639"/>
      <c r="S52" s="641"/>
      <c r="T52" s="643"/>
    </row>
    <row r="53" spans="1:20" x14ac:dyDescent="0.25">
      <c r="A53" s="45"/>
      <c r="B53" s="46"/>
      <c r="C53" s="47"/>
      <c r="D53" s="48"/>
      <c r="E53" s="48"/>
      <c r="F53" s="49"/>
      <c r="G53" s="48"/>
      <c r="H53" s="548"/>
      <c r="I53" s="48"/>
      <c r="J53" s="639"/>
      <c r="K53" s="639"/>
      <c r="L53" s="639"/>
      <c r="M53" s="639"/>
      <c r="N53" s="640"/>
      <c r="O53" s="639"/>
      <c r="P53" s="641"/>
      <c r="Q53" s="641"/>
      <c r="R53" s="639"/>
      <c r="S53" s="641"/>
      <c r="T53" s="643"/>
    </row>
    <row r="54" spans="1:20" x14ac:dyDescent="0.25">
      <c r="A54" s="23"/>
      <c r="B54" s="24"/>
      <c r="C54" s="25"/>
      <c r="D54" s="27"/>
      <c r="E54" s="27"/>
      <c r="F54" s="28"/>
      <c r="G54" s="27"/>
      <c r="H54" s="548"/>
      <c r="I54" s="27"/>
      <c r="J54" s="635"/>
      <c r="K54" s="635"/>
      <c r="L54" s="635"/>
      <c r="M54" s="635"/>
      <c r="N54" s="636"/>
      <c r="O54" s="635"/>
      <c r="P54" s="637"/>
      <c r="Q54" s="637"/>
      <c r="R54" s="635"/>
      <c r="S54" s="637"/>
      <c r="T54" s="644"/>
    </row>
    <row r="55" spans="1:20" x14ac:dyDescent="0.25">
      <c r="A55" s="23"/>
      <c r="B55" s="24"/>
      <c r="C55" s="25"/>
      <c r="D55" s="27"/>
      <c r="E55" s="27"/>
      <c r="F55" s="28"/>
      <c r="G55" s="27"/>
      <c r="H55" s="548"/>
      <c r="I55" s="27"/>
      <c r="J55" s="635"/>
      <c r="K55" s="635"/>
      <c r="L55" s="635"/>
      <c r="M55" s="635"/>
      <c r="N55" s="636"/>
      <c r="O55" s="635"/>
      <c r="P55" s="637"/>
      <c r="Q55" s="637"/>
      <c r="R55" s="635"/>
      <c r="S55" s="637"/>
      <c r="T55" s="644"/>
    </row>
    <row r="56" spans="1:20" x14ac:dyDescent="0.25">
      <c r="A56" s="23"/>
      <c r="B56" s="24"/>
      <c r="C56" s="25"/>
      <c r="D56" s="27"/>
      <c r="E56" s="27"/>
      <c r="F56" s="28"/>
      <c r="G56" s="27"/>
      <c r="H56" s="548"/>
      <c r="I56" s="27"/>
      <c r="J56" s="635"/>
      <c r="K56" s="635"/>
      <c r="L56" s="635"/>
      <c r="M56" s="635"/>
      <c r="N56" s="636"/>
      <c r="O56" s="635"/>
      <c r="P56" s="637"/>
      <c r="Q56" s="637"/>
      <c r="R56" s="635"/>
      <c r="S56" s="637"/>
      <c r="T56" s="644"/>
    </row>
    <row r="57" spans="1:20" x14ac:dyDescent="0.25">
      <c r="A57" s="23"/>
      <c r="B57" s="24"/>
      <c r="C57" s="25"/>
      <c r="D57" s="27"/>
      <c r="E57" s="27"/>
      <c r="F57" s="28"/>
      <c r="G57" s="27"/>
      <c r="H57" s="548"/>
      <c r="I57" s="27"/>
      <c r="J57" s="635"/>
      <c r="K57" s="635"/>
      <c r="L57" s="635"/>
      <c r="M57" s="635"/>
      <c r="N57" s="636"/>
      <c r="O57" s="635"/>
      <c r="P57" s="637"/>
      <c r="Q57" s="637"/>
      <c r="R57" s="635"/>
      <c r="S57" s="637"/>
      <c r="T57" s="644"/>
    </row>
    <row r="58" spans="1:20" x14ac:dyDescent="0.25">
      <c r="A58" s="23"/>
      <c r="B58" s="24"/>
      <c r="C58" s="25"/>
      <c r="D58" s="27"/>
      <c r="E58" s="27"/>
      <c r="F58" s="28"/>
      <c r="G58" s="27"/>
      <c r="H58" s="548"/>
      <c r="I58" s="27"/>
      <c r="J58" s="635"/>
      <c r="K58" s="635"/>
      <c r="L58" s="635"/>
      <c r="M58" s="635"/>
      <c r="N58" s="636"/>
      <c r="O58" s="635"/>
      <c r="P58" s="637"/>
      <c r="Q58" s="637"/>
      <c r="R58" s="635"/>
      <c r="S58" s="637"/>
      <c r="T58" s="644"/>
    </row>
    <row r="59" spans="1:20" x14ac:dyDescent="0.25">
      <c r="A59" s="45"/>
      <c r="B59" s="46"/>
      <c r="C59" s="47"/>
      <c r="D59" s="48"/>
      <c r="E59" s="48"/>
      <c r="F59" s="49"/>
      <c r="G59" s="48"/>
      <c r="H59" s="548"/>
      <c r="I59" s="48"/>
      <c r="J59" s="639"/>
      <c r="K59" s="639"/>
      <c r="L59" s="639"/>
      <c r="M59" s="639"/>
      <c r="N59" s="640"/>
      <c r="O59" s="639"/>
      <c r="P59" s="641"/>
      <c r="Q59" s="641"/>
      <c r="R59" s="639"/>
      <c r="S59" s="641"/>
      <c r="T59" s="643"/>
    </row>
    <row r="60" spans="1:20" x14ac:dyDescent="0.25">
      <c r="A60" s="45"/>
      <c r="B60" s="46"/>
      <c r="C60" s="47"/>
      <c r="D60" s="48"/>
      <c r="E60" s="48"/>
      <c r="F60" s="49"/>
      <c r="G60" s="48"/>
      <c r="H60" s="548"/>
      <c r="I60" s="48"/>
      <c r="J60" s="639"/>
      <c r="K60" s="639"/>
      <c r="L60" s="639"/>
      <c r="M60" s="639"/>
      <c r="N60" s="640"/>
      <c r="O60" s="639"/>
      <c r="P60" s="641"/>
      <c r="Q60" s="641"/>
      <c r="R60" s="639"/>
      <c r="S60" s="641"/>
      <c r="T60" s="643"/>
    </row>
    <row r="61" spans="1:20" x14ac:dyDescent="0.25">
      <c r="A61" s="45"/>
      <c r="B61" s="46"/>
      <c r="C61" s="47"/>
      <c r="D61" s="48"/>
      <c r="E61" s="48"/>
      <c r="F61" s="49"/>
      <c r="G61" s="48"/>
      <c r="H61" s="548"/>
      <c r="I61" s="48"/>
      <c r="J61" s="639"/>
      <c r="K61" s="639"/>
      <c r="L61" s="639"/>
      <c r="M61" s="639"/>
      <c r="N61" s="640"/>
      <c r="O61" s="639"/>
      <c r="P61" s="641"/>
      <c r="Q61" s="641"/>
      <c r="R61" s="639"/>
      <c r="S61" s="641"/>
      <c r="T61" s="643"/>
    </row>
    <row r="62" spans="1:20" x14ac:dyDescent="0.25">
      <c r="A62" s="45"/>
      <c r="B62" s="46"/>
      <c r="C62" s="47"/>
      <c r="D62" s="48"/>
      <c r="E62" s="48"/>
      <c r="F62" s="49"/>
      <c r="G62" s="48"/>
      <c r="H62" s="548"/>
      <c r="I62" s="48"/>
      <c r="J62" s="639"/>
      <c r="K62" s="639"/>
      <c r="L62" s="639"/>
      <c r="M62" s="639"/>
      <c r="N62" s="640"/>
      <c r="O62" s="639"/>
      <c r="P62" s="641"/>
      <c r="Q62" s="641"/>
      <c r="R62" s="639"/>
      <c r="S62" s="641"/>
      <c r="T62" s="643"/>
    </row>
    <row r="63" spans="1:20" x14ac:dyDescent="0.25">
      <c r="A63" s="45"/>
      <c r="B63" s="46"/>
      <c r="C63" s="47"/>
      <c r="D63" s="48"/>
      <c r="E63" s="48"/>
      <c r="F63" s="49"/>
      <c r="G63" s="48"/>
      <c r="H63" s="548"/>
      <c r="I63" s="48"/>
      <c r="J63" s="639"/>
      <c r="K63" s="639"/>
      <c r="L63" s="639"/>
      <c r="M63" s="639"/>
      <c r="N63" s="640"/>
      <c r="O63" s="639"/>
      <c r="P63" s="641"/>
      <c r="Q63" s="641"/>
      <c r="R63" s="639"/>
      <c r="S63" s="641"/>
      <c r="T63" s="643"/>
    </row>
    <row r="64" spans="1:20" x14ac:dyDescent="0.25">
      <c r="A64" s="23"/>
      <c r="B64" s="24"/>
      <c r="C64" s="25"/>
      <c r="D64" s="27"/>
      <c r="E64" s="27"/>
      <c r="F64" s="28"/>
      <c r="G64" s="27"/>
      <c r="H64" s="548"/>
      <c r="I64" s="27"/>
      <c r="J64" s="635"/>
      <c r="K64" s="635"/>
      <c r="L64" s="635"/>
      <c r="M64" s="635"/>
      <c r="N64" s="636"/>
      <c r="O64" s="635"/>
      <c r="P64" s="637"/>
      <c r="Q64" s="637"/>
      <c r="R64" s="635"/>
      <c r="S64" s="637"/>
      <c r="T64" s="644"/>
    </row>
    <row r="65" spans="1:20" x14ac:dyDescent="0.25">
      <c r="A65" s="23"/>
      <c r="B65" s="24"/>
      <c r="C65" s="25"/>
      <c r="D65" s="27"/>
      <c r="E65" s="27"/>
      <c r="F65" s="28"/>
      <c r="G65" s="27"/>
      <c r="H65" s="548"/>
      <c r="I65" s="27"/>
      <c r="J65" s="635"/>
      <c r="K65" s="635"/>
      <c r="L65" s="635"/>
      <c r="M65" s="635"/>
      <c r="N65" s="636"/>
      <c r="O65" s="635"/>
      <c r="P65" s="637"/>
      <c r="Q65" s="637"/>
      <c r="R65" s="635"/>
      <c r="S65" s="637"/>
      <c r="T65" s="644"/>
    </row>
    <row r="66" spans="1:20" x14ac:dyDescent="0.25">
      <c r="A66" s="23"/>
      <c r="B66" s="24"/>
      <c r="C66" s="25"/>
      <c r="D66" s="27"/>
      <c r="E66" s="27"/>
      <c r="F66" s="28"/>
      <c r="G66" s="27"/>
      <c r="H66" s="548"/>
      <c r="I66" s="27"/>
      <c r="J66" s="635"/>
      <c r="K66" s="635"/>
      <c r="L66" s="635"/>
      <c r="M66" s="635"/>
      <c r="N66" s="636"/>
      <c r="O66" s="635"/>
      <c r="P66" s="637"/>
      <c r="Q66" s="637"/>
      <c r="R66" s="635"/>
      <c r="S66" s="637"/>
      <c r="T66" s="644"/>
    </row>
    <row r="67" spans="1:20" x14ac:dyDescent="0.25">
      <c r="A67" s="23"/>
      <c r="B67" s="24"/>
      <c r="C67" s="25"/>
      <c r="D67" s="27"/>
      <c r="E67" s="27"/>
      <c r="F67" s="28"/>
      <c r="G67" s="27"/>
      <c r="H67" s="548"/>
      <c r="I67" s="27"/>
      <c r="J67" s="635"/>
      <c r="K67" s="635"/>
      <c r="L67" s="635"/>
      <c r="M67" s="635"/>
      <c r="N67" s="636"/>
      <c r="O67" s="635"/>
      <c r="P67" s="637"/>
      <c r="Q67" s="637"/>
      <c r="R67" s="635"/>
      <c r="S67" s="637"/>
      <c r="T67" s="644"/>
    </row>
    <row r="68" spans="1:20" x14ac:dyDescent="0.25">
      <c r="A68" s="23"/>
      <c r="B68" s="24"/>
      <c r="C68" s="25"/>
      <c r="D68" s="27"/>
      <c r="E68" s="27"/>
      <c r="F68" s="28"/>
      <c r="G68" s="27"/>
      <c r="H68" s="548"/>
      <c r="I68" s="27"/>
      <c r="J68" s="635"/>
      <c r="K68" s="635"/>
      <c r="L68" s="635"/>
      <c r="M68" s="635"/>
      <c r="N68" s="636"/>
      <c r="O68" s="635"/>
      <c r="P68" s="637"/>
      <c r="Q68" s="637"/>
      <c r="R68" s="635"/>
      <c r="S68" s="637"/>
      <c r="T68" s="644"/>
    </row>
    <row r="69" spans="1:20" x14ac:dyDescent="0.25">
      <c r="A69" s="45"/>
      <c r="B69" s="46"/>
      <c r="C69" s="47"/>
      <c r="D69" s="48"/>
      <c r="E69" s="48"/>
      <c r="F69" s="49"/>
      <c r="G69" s="48"/>
      <c r="H69" s="548"/>
      <c r="I69" s="48"/>
      <c r="J69" s="639"/>
      <c r="K69" s="639"/>
      <c r="L69" s="639"/>
      <c r="M69" s="639"/>
      <c r="N69" s="640"/>
      <c r="O69" s="639"/>
      <c r="P69" s="641"/>
      <c r="Q69" s="641"/>
      <c r="R69" s="639"/>
      <c r="S69" s="641"/>
      <c r="T69" s="643"/>
    </row>
    <row r="70" spans="1:20" x14ac:dyDescent="0.25">
      <c r="A70" s="45"/>
      <c r="B70" s="46"/>
      <c r="C70" s="47"/>
      <c r="D70" s="48"/>
      <c r="E70" s="48"/>
      <c r="F70" s="49"/>
      <c r="G70" s="48"/>
      <c r="H70" s="548"/>
      <c r="I70" s="48"/>
      <c r="J70" s="639"/>
      <c r="K70" s="639"/>
      <c r="L70" s="639"/>
      <c r="M70" s="639"/>
      <c r="N70" s="640"/>
      <c r="O70" s="639"/>
      <c r="P70" s="641"/>
      <c r="Q70" s="641"/>
      <c r="R70" s="639"/>
      <c r="S70" s="641"/>
      <c r="T70" s="643"/>
    </row>
    <row r="71" spans="1:20" x14ac:dyDescent="0.25">
      <c r="A71" s="45"/>
      <c r="B71" s="46"/>
      <c r="C71" s="47"/>
      <c r="D71" s="48"/>
      <c r="E71" s="48"/>
      <c r="F71" s="49"/>
      <c r="G71" s="48"/>
      <c r="H71" s="548"/>
      <c r="I71" s="48"/>
      <c r="J71" s="639"/>
      <c r="K71" s="639"/>
      <c r="L71" s="639"/>
      <c r="M71" s="639"/>
      <c r="N71" s="640"/>
      <c r="O71" s="639"/>
      <c r="P71" s="641"/>
      <c r="Q71" s="641"/>
      <c r="R71" s="639"/>
      <c r="S71" s="641"/>
      <c r="T71" s="643"/>
    </row>
    <row r="72" spans="1:20" x14ac:dyDescent="0.25">
      <c r="A72" s="45"/>
      <c r="B72" s="46"/>
      <c r="C72" s="47"/>
      <c r="D72" s="48"/>
      <c r="E72" s="48"/>
      <c r="F72" s="49"/>
      <c r="G72" s="48"/>
      <c r="H72" s="548"/>
      <c r="I72" s="48"/>
      <c r="J72" s="639"/>
      <c r="K72" s="639"/>
      <c r="L72" s="639"/>
      <c r="M72" s="639"/>
      <c r="N72" s="640"/>
      <c r="O72" s="639"/>
      <c r="P72" s="641"/>
      <c r="Q72" s="641"/>
      <c r="R72" s="639"/>
      <c r="S72" s="641"/>
      <c r="T72" s="643"/>
    </row>
    <row r="73" spans="1:20" x14ac:dyDescent="0.25">
      <c r="A73" s="45"/>
      <c r="B73" s="46"/>
      <c r="C73" s="47"/>
      <c r="D73" s="48"/>
      <c r="E73" s="48"/>
      <c r="F73" s="49"/>
      <c r="G73" s="48"/>
      <c r="H73" s="548"/>
      <c r="I73" s="48"/>
      <c r="J73" s="639"/>
      <c r="K73" s="639"/>
      <c r="L73" s="639"/>
      <c r="M73" s="639"/>
      <c r="N73" s="640"/>
      <c r="O73" s="639"/>
      <c r="P73" s="641"/>
      <c r="Q73" s="641"/>
      <c r="R73" s="639"/>
      <c r="S73" s="641"/>
      <c r="T73" s="643"/>
    </row>
    <row r="74" spans="1:20" x14ac:dyDescent="0.25">
      <c r="A74" s="23"/>
      <c r="B74" s="24"/>
      <c r="C74" s="25"/>
      <c r="D74" s="27"/>
      <c r="E74" s="27"/>
      <c r="F74" s="28"/>
      <c r="G74" s="27"/>
      <c r="H74" s="548"/>
      <c r="I74" s="27"/>
      <c r="J74" s="635"/>
      <c r="K74" s="635"/>
      <c r="L74" s="635"/>
      <c r="M74" s="635"/>
      <c r="N74" s="636"/>
      <c r="O74" s="635"/>
      <c r="P74" s="637"/>
      <c r="Q74" s="637"/>
      <c r="R74" s="635"/>
      <c r="S74" s="637"/>
      <c r="T74" s="644"/>
    </row>
    <row r="75" spans="1:20" x14ac:dyDescent="0.25">
      <c r="A75" s="23"/>
      <c r="B75" s="24"/>
      <c r="C75" s="25"/>
      <c r="D75" s="27"/>
      <c r="E75" s="27"/>
      <c r="F75" s="28"/>
      <c r="G75" s="27"/>
      <c r="H75" s="548"/>
      <c r="I75" s="27"/>
      <c r="J75" s="635"/>
      <c r="K75" s="635"/>
      <c r="L75" s="635"/>
      <c r="M75" s="635"/>
      <c r="N75" s="636"/>
      <c r="O75" s="635"/>
      <c r="P75" s="637"/>
      <c r="Q75" s="637"/>
      <c r="R75" s="635"/>
      <c r="S75" s="637"/>
      <c r="T75" s="644"/>
    </row>
    <row r="76" spans="1:20" x14ac:dyDescent="0.25">
      <c r="A76" s="23"/>
      <c r="B76" s="24"/>
      <c r="C76" s="25"/>
      <c r="D76" s="27"/>
      <c r="E76" s="27"/>
      <c r="F76" s="28"/>
      <c r="G76" s="27"/>
      <c r="H76" s="548"/>
      <c r="I76" s="27"/>
      <c r="J76" s="635"/>
      <c r="K76" s="635"/>
      <c r="L76" s="635"/>
      <c r="M76" s="635"/>
      <c r="N76" s="636"/>
      <c r="O76" s="635"/>
      <c r="P76" s="637"/>
      <c r="Q76" s="637"/>
      <c r="R76" s="635"/>
      <c r="S76" s="637"/>
      <c r="T76" s="644"/>
    </row>
    <row r="77" spans="1:20" x14ac:dyDescent="0.25">
      <c r="A77" s="23"/>
      <c r="B77" s="24"/>
      <c r="C77" s="25"/>
      <c r="D77" s="27"/>
      <c r="E77" s="27"/>
      <c r="F77" s="28"/>
      <c r="G77" s="27"/>
      <c r="H77" s="548"/>
      <c r="I77" s="27"/>
      <c r="J77" s="635"/>
      <c r="K77" s="635"/>
      <c r="L77" s="635"/>
      <c r="M77" s="635"/>
      <c r="N77" s="636"/>
      <c r="O77" s="635"/>
      <c r="P77" s="637"/>
      <c r="Q77" s="637"/>
      <c r="R77" s="635"/>
      <c r="S77" s="637"/>
      <c r="T77" s="644"/>
    </row>
    <row r="78" spans="1:20" x14ac:dyDescent="0.25">
      <c r="A78" s="23"/>
      <c r="B78" s="24"/>
      <c r="C78" s="25"/>
      <c r="D78" s="27"/>
      <c r="E78" s="27"/>
      <c r="F78" s="28"/>
      <c r="G78" s="27"/>
      <c r="H78" s="548"/>
      <c r="I78" s="27"/>
      <c r="J78" s="635"/>
      <c r="K78" s="635"/>
      <c r="L78" s="635"/>
      <c r="M78" s="635"/>
      <c r="N78" s="636"/>
      <c r="O78" s="635"/>
      <c r="P78" s="637"/>
      <c r="Q78" s="637"/>
      <c r="R78" s="635"/>
      <c r="S78" s="637"/>
      <c r="T78" s="644"/>
    </row>
    <row r="79" spans="1:20" x14ac:dyDescent="0.25">
      <c r="A79" s="45"/>
      <c r="B79" s="46"/>
      <c r="C79" s="47"/>
      <c r="D79" s="48"/>
      <c r="E79" s="48"/>
      <c r="F79" s="49"/>
      <c r="G79" s="48"/>
      <c r="H79" s="548"/>
      <c r="I79" s="48"/>
      <c r="J79" s="639"/>
      <c r="K79" s="639"/>
      <c r="L79" s="639"/>
      <c r="M79" s="639"/>
      <c r="N79" s="640"/>
      <c r="O79" s="639"/>
      <c r="P79" s="641"/>
      <c r="Q79" s="641"/>
      <c r="R79" s="639"/>
      <c r="S79" s="641"/>
      <c r="T79" s="643"/>
    </row>
    <row r="80" spans="1:20" x14ac:dyDescent="0.25">
      <c r="A80" s="45"/>
      <c r="B80" s="46"/>
      <c r="C80" s="47"/>
      <c r="D80" s="48"/>
      <c r="E80" s="48"/>
      <c r="F80" s="49"/>
      <c r="G80" s="48"/>
      <c r="H80" s="548"/>
      <c r="I80" s="48"/>
      <c r="J80" s="639"/>
      <c r="K80" s="639"/>
      <c r="L80" s="639"/>
      <c r="M80" s="639"/>
      <c r="N80" s="640"/>
      <c r="O80" s="639"/>
      <c r="P80" s="641"/>
      <c r="Q80" s="641"/>
      <c r="R80" s="639"/>
      <c r="S80" s="641"/>
      <c r="T80" s="643"/>
    </row>
    <row r="81" spans="1:20" x14ac:dyDescent="0.25">
      <c r="A81" s="45"/>
      <c r="B81" s="46"/>
      <c r="C81" s="47"/>
      <c r="D81" s="48"/>
      <c r="E81" s="48"/>
      <c r="F81" s="49"/>
      <c r="G81" s="48"/>
      <c r="H81" s="548"/>
      <c r="I81" s="48"/>
      <c r="J81" s="639"/>
      <c r="K81" s="639"/>
      <c r="L81" s="639"/>
      <c r="M81" s="639"/>
      <c r="N81" s="640"/>
      <c r="O81" s="639"/>
      <c r="P81" s="641"/>
      <c r="Q81" s="641"/>
      <c r="R81" s="639"/>
      <c r="S81" s="641"/>
      <c r="T81" s="643"/>
    </row>
    <row r="82" spans="1:20" x14ac:dyDescent="0.25">
      <c r="A82" s="45"/>
      <c r="B82" s="46"/>
      <c r="C82" s="47"/>
      <c r="D82" s="48"/>
      <c r="E82" s="48"/>
      <c r="F82" s="49"/>
      <c r="G82" s="48"/>
      <c r="H82" s="548"/>
      <c r="I82" s="48"/>
      <c r="J82" s="639"/>
      <c r="K82" s="639"/>
      <c r="L82" s="639"/>
      <c r="M82" s="639"/>
      <c r="N82" s="640"/>
      <c r="O82" s="639"/>
      <c r="P82" s="641"/>
      <c r="Q82" s="641"/>
      <c r="R82" s="639"/>
      <c r="S82" s="641"/>
      <c r="T82" s="643"/>
    </row>
    <row r="83" spans="1:20" x14ac:dyDescent="0.25">
      <c r="A83" s="45"/>
      <c r="B83" s="46"/>
      <c r="C83" s="47"/>
      <c r="D83" s="48"/>
      <c r="E83" s="48"/>
      <c r="F83" s="49"/>
      <c r="G83" s="48"/>
      <c r="H83" s="548"/>
      <c r="I83" s="48"/>
      <c r="J83" s="639"/>
      <c r="K83" s="639"/>
      <c r="L83" s="639"/>
      <c r="M83" s="639"/>
      <c r="N83" s="640"/>
      <c r="O83" s="639"/>
      <c r="P83" s="641"/>
      <c r="Q83" s="641"/>
      <c r="R83" s="639"/>
      <c r="S83" s="641"/>
      <c r="T83" s="643"/>
    </row>
    <row r="84" spans="1:20" x14ac:dyDescent="0.25">
      <c r="A84" s="23"/>
      <c r="B84" s="24"/>
      <c r="C84" s="25"/>
      <c r="D84" s="27"/>
      <c r="E84" s="27"/>
      <c r="F84" s="28"/>
      <c r="G84" s="27"/>
      <c r="H84" s="548"/>
      <c r="I84" s="27"/>
      <c r="J84" s="635"/>
      <c r="K84" s="635"/>
      <c r="L84" s="635"/>
      <c r="M84" s="635"/>
      <c r="N84" s="636"/>
      <c r="O84" s="635"/>
      <c r="P84" s="637"/>
      <c r="Q84" s="637"/>
      <c r="R84" s="635"/>
      <c r="S84" s="637"/>
      <c r="T84" s="644"/>
    </row>
    <row r="85" spans="1:20" x14ac:dyDescent="0.25">
      <c r="A85" s="23"/>
      <c r="B85" s="24"/>
      <c r="C85" s="25"/>
      <c r="D85" s="27"/>
      <c r="E85" s="27"/>
      <c r="F85" s="28"/>
      <c r="G85" s="27"/>
      <c r="H85" s="548"/>
      <c r="I85" s="27"/>
      <c r="J85" s="635"/>
      <c r="K85" s="635"/>
      <c r="L85" s="635"/>
      <c r="M85" s="635"/>
      <c r="N85" s="636"/>
      <c r="O85" s="635"/>
      <c r="P85" s="637"/>
      <c r="Q85" s="637"/>
      <c r="R85" s="635"/>
      <c r="S85" s="637"/>
      <c r="T85" s="644"/>
    </row>
    <row r="86" spans="1:20" x14ac:dyDescent="0.25">
      <c r="A86" s="23"/>
      <c r="B86" s="24"/>
      <c r="C86" s="25"/>
      <c r="D86" s="27"/>
      <c r="E86" s="27"/>
      <c r="F86" s="28"/>
      <c r="G86" s="27"/>
      <c r="H86" s="548"/>
      <c r="I86" s="27"/>
      <c r="J86" s="635"/>
      <c r="K86" s="635"/>
      <c r="L86" s="635"/>
      <c r="M86" s="635"/>
      <c r="N86" s="636"/>
      <c r="O86" s="635"/>
      <c r="P86" s="637"/>
      <c r="Q86" s="637"/>
      <c r="R86" s="635"/>
      <c r="S86" s="637"/>
      <c r="T86" s="644"/>
    </row>
    <row r="87" spans="1:20" x14ac:dyDescent="0.25">
      <c r="A87" s="23"/>
      <c r="B87" s="24"/>
      <c r="C87" s="25"/>
      <c r="D87" s="27"/>
      <c r="E87" s="27"/>
      <c r="F87" s="28"/>
      <c r="G87" s="27"/>
      <c r="H87" s="548"/>
      <c r="I87" s="27"/>
      <c r="J87" s="635"/>
      <c r="K87" s="635"/>
      <c r="L87" s="635"/>
      <c r="M87" s="635"/>
      <c r="N87" s="636"/>
      <c r="O87" s="635"/>
      <c r="P87" s="637"/>
      <c r="Q87" s="637"/>
      <c r="R87" s="635"/>
      <c r="S87" s="637"/>
      <c r="T87" s="644"/>
    </row>
    <row r="88" spans="1:20" x14ac:dyDescent="0.25">
      <c r="A88" s="23"/>
      <c r="B88" s="24"/>
      <c r="C88" s="25"/>
      <c r="D88" s="27"/>
      <c r="E88" s="27"/>
      <c r="F88" s="28"/>
      <c r="G88" s="27"/>
      <c r="H88" s="548"/>
      <c r="I88" s="27"/>
      <c r="J88" s="635"/>
      <c r="K88" s="635"/>
      <c r="L88" s="635"/>
      <c r="M88" s="635"/>
      <c r="N88" s="636"/>
      <c r="O88" s="635"/>
      <c r="P88" s="637"/>
      <c r="Q88" s="637"/>
      <c r="R88" s="635"/>
      <c r="S88" s="637"/>
      <c r="T88" s="644"/>
    </row>
    <row r="89" spans="1:20" x14ac:dyDescent="0.25">
      <c r="A89" s="45"/>
      <c r="B89" s="46"/>
      <c r="C89" s="47"/>
      <c r="D89" s="48"/>
      <c r="E89" s="48"/>
      <c r="F89" s="49"/>
      <c r="G89" s="48"/>
      <c r="H89" s="548"/>
      <c r="I89" s="48"/>
      <c r="J89" s="639"/>
      <c r="K89" s="639"/>
      <c r="L89" s="639"/>
      <c r="M89" s="639"/>
      <c r="N89" s="640"/>
      <c r="O89" s="639"/>
      <c r="P89" s="641"/>
      <c r="Q89" s="641"/>
      <c r="R89" s="639"/>
      <c r="S89" s="641"/>
      <c r="T89" s="643"/>
    </row>
    <row r="90" spans="1:20" x14ac:dyDescent="0.25">
      <c r="A90" s="45"/>
      <c r="B90" s="46"/>
      <c r="C90" s="47"/>
      <c r="D90" s="48"/>
      <c r="E90" s="48"/>
      <c r="F90" s="49"/>
      <c r="G90" s="48"/>
      <c r="H90" s="548"/>
      <c r="I90" s="48"/>
      <c r="J90" s="639"/>
      <c r="K90" s="639"/>
      <c r="L90" s="639"/>
      <c r="M90" s="639"/>
      <c r="N90" s="640"/>
      <c r="O90" s="639"/>
      <c r="P90" s="641"/>
      <c r="Q90" s="641"/>
      <c r="R90" s="639"/>
      <c r="S90" s="641"/>
      <c r="T90" s="643"/>
    </row>
    <row r="91" spans="1:20" x14ac:dyDescent="0.25">
      <c r="A91" s="45"/>
      <c r="B91" s="46"/>
      <c r="C91" s="47"/>
      <c r="D91" s="48"/>
      <c r="E91" s="48"/>
      <c r="F91" s="49"/>
      <c r="G91" s="48"/>
      <c r="H91" s="548"/>
      <c r="I91" s="48"/>
      <c r="J91" s="639"/>
      <c r="K91" s="639"/>
      <c r="L91" s="639"/>
      <c r="M91" s="639"/>
      <c r="N91" s="640"/>
      <c r="O91" s="639"/>
      <c r="P91" s="641"/>
      <c r="Q91" s="641"/>
      <c r="R91" s="639"/>
      <c r="S91" s="641"/>
      <c r="T91" s="643"/>
    </row>
    <row r="92" spans="1:20" x14ac:dyDescent="0.25">
      <c r="A92" s="45"/>
      <c r="B92" s="46"/>
      <c r="C92" s="47"/>
      <c r="D92" s="48"/>
      <c r="E92" s="48"/>
      <c r="F92" s="49"/>
      <c r="G92" s="48"/>
      <c r="H92" s="548"/>
      <c r="I92" s="48"/>
      <c r="J92" s="639"/>
      <c r="K92" s="639"/>
      <c r="L92" s="639"/>
      <c r="M92" s="639"/>
      <c r="N92" s="640"/>
      <c r="O92" s="639"/>
      <c r="P92" s="641"/>
      <c r="Q92" s="641"/>
      <c r="R92" s="639"/>
      <c r="S92" s="641"/>
      <c r="T92" s="643"/>
    </row>
    <row r="93" spans="1:20" x14ac:dyDescent="0.25">
      <c r="A93" s="45"/>
      <c r="B93" s="46"/>
      <c r="C93" s="47"/>
      <c r="D93" s="48"/>
      <c r="E93" s="48"/>
      <c r="F93" s="49"/>
      <c r="G93" s="48"/>
      <c r="H93" s="548"/>
      <c r="I93" s="48"/>
      <c r="J93" s="639"/>
      <c r="K93" s="639"/>
      <c r="L93" s="639"/>
      <c r="M93" s="639"/>
      <c r="N93" s="640"/>
      <c r="O93" s="639"/>
      <c r="P93" s="641"/>
      <c r="Q93" s="641"/>
      <c r="R93" s="639"/>
      <c r="S93" s="641"/>
      <c r="T93" s="643"/>
    </row>
    <row r="94" spans="1:20" x14ac:dyDescent="0.25">
      <c r="A94" s="23"/>
      <c r="B94" s="24"/>
      <c r="C94" s="25"/>
      <c r="D94" s="27"/>
      <c r="E94" s="27"/>
      <c r="F94" s="28"/>
      <c r="G94" s="27"/>
      <c r="H94" s="548"/>
      <c r="I94" s="27"/>
      <c r="J94" s="635"/>
      <c r="K94" s="635"/>
      <c r="L94" s="635"/>
      <c r="M94" s="635"/>
      <c r="N94" s="636"/>
      <c r="O94" s="635"/>
      <c r="P94" s="637"/>
      <c r="Q94" s="637"/>
      <c r="R94" s="635"/>
      <c r="S94" s="637"/>
      <c r="T94" s="644"/>
    </row>
    <row r="95" spans="1:20" x14ac:dyDescent="0.25">
      <c r="A95" s="23"/>
      <c r="B95" s="24"/>
      <c r="C95" s="25"/>
      <c r="D95" s="27"/>
      <c r="E95" s="27"/>
      <c r="F95" s="28"/>
      <c r="G95" s="27"/>
      <c r="H95" s="548"/>
      <c r="I95" s="27"/>
      <c r="J95" s="635"/>
      <c r="K95" s="635"/>
      <c r="L95" s="635"/>
      <c r="M95" s="635"/>
      <c r="N95" s="636"/>
      <c r="O95" s="635"/>
      <c r="P95" s="637"/>
      <c r="Q95" s="637"/>
      <c r="R95" s="635"/>
      <c r="S95" s="637"/>
      <c r="T95" s="644"/>
    </row>
    <row r="96" spans="1:20" x14ac:dyDescent="0.25">
      <c r="A96" s="23"/>
      <c r="B96" s="24"/>
      <c r="C96" s="25"/>
      <c r="D96" s="27"/>
      <c r="E96" s="27"/>
      <c r="F96" s="28"/>
      <c r="G96" s="27"/>
      <c r="H96" s="548"/>
      <c r="I96" s="27"/>
      <c r="J96" s="635"/>
      <c r="K96" s="635"/>
      <c r="L96" s="635"/>
      <c r="M96" s="635"/>
      <c r="N96" s="636"/>
      <c r="O96" s="635"/>
      <c r="P96" s="637"/>
      <c r="Q96" s="637"/>
      <c r="R96" s="635"/>
      <c r="S96" s="637"/>
      <c r="T96" s="644"/>
    </row>
    <row r="97" spans="1:20" x14ac:dyDescent="0.25">
      <c r="A97" s="23"/>
      <c r="B97" s="24"/>
      <c r="C97" s="25"/>
      <c r="D97" s="27"/>
      <c r="E97" s="27"/>
      <c r="F97" s="28"/>
      <c r="G97" s="27"/>
      <c r="H97" s="548"/>
      <c r="I97" s="27"/>
      <c r="J97" s="635"/>
      <c r="K97" s="635"/>
      <c r="L97" s="635"/>
      <c r="M97" s="635"/>
      <c r="N97" s="636"/>
      <c r="O97" s="635"/>
      <c r="P97" s="637"/>
      <c r="Q97" s="637"/>
      <c r="R97" s="635"/>
      <c r="S97" s="637"/>
      <c r="T97" s="644"/>
    </row>
    <row r="98" spans="1:20" x14ac:dyDescent="0.25">
      <c r="A98" s="23"/>
      <c r="B98" s="24"/>
      <c r="C98" s="25"/>
      <c r="D98" s="27"/>
      <c r="E98" s="27"/>
      <c r="F98" s="28"/>
      <c r="G98" s="27"/>
      <c r="H98" s="548"/>
      <c r="I98" s="27"/>
      <c r="J98" s="635"/>
      <c r="K98" s="635"/>
      <c r="L98" s="635"/>
      <c r="M98" s="635"/>
      <c r="N98" s="636"/>
      <c r="O98" s="635"/>
      <c r="P98" s="637"/>
      <c r="Q98" s="637"/>
      <c r="R98" s="635"/>
      <c r="S98" s="637"/>
      <c r="T98" s="644"/>
    </row>
    <row r="99" spans="1:20" x14ac:dyDescent="0.25">
      <c r="A99" s="45"/>
      <c r="B99" s="46"/>
      <c r="C99" s="47"/>
      <c r="D99" s="48"/>
      <c r="E99" s="48"/>
      <c r="F99" s="49"/>
      <c r="G99" s="48"/>
      <c r="H99" s="548"/>
      <c r="I99" s="48"/>
      <c r="J99" s="639"/>
      <c r="K99" s="639"/>
      <c r="L99" s="639"/>
      <c r="M99" s="639"/>
      <c r="N99" s="640"/>
      <c r="O99" s="639"/>
      <c r="P99" s="641"/>
      <c r="Q99" s="641"/>
      <c r="R99" s="639"/>
      <c r="S99" s="641"/>
      <c r="T99" s="643"/>
    </row>
    <row r="100" spans="1:20" x14ac:dyDescent="0.25">
      <c r="A100" s="45"/>
      <c r="B100" s="46"/>
      <c r="C100" s="47"/>
      <c r="D100" s="48"/>
      <c r="E100" s="48"/>
      <c r="F100" s="49"/>
      <c r="G100" s="48"/>
      <c r="H100" s="548"/>
      <c r="I100" s="48"/>
      <c r="J100" s="639"/>
      <c r="K100" s="639"/>
      <c r="L100" s="639"/>
      <c r="M100" s="639"/>
      <c r="N100" s="640"/>
      <c r="O100" s="639"/>
      <c r="P100" s="641"/>
      <c r="Q100" s="641"/>
      <c r="R100" s="639"/>
      <c r="S100" s="641"/>
      <c r="T100" s="643"/>
    </row>
    <row r="101" spans="1:20" x14ac:dyDescent="0.25">
      <c r="A101" s="45"/>
      <c r="B101" s="46"/>
      <c r="C101" s="47"/>
      <c r="D101" s="48"/>
      <c r="E101" s="48"/>
      <c r="F101" s="49"/>
      <c r="G101" s="48"/>
      <c r="H101" s="548"/>
      <c r="I101" s="48"/>
      <c r="J101" s="639"/>
      <c r="K101" s="639"/>
      <c r="L101" s="639"/>
      <c r="M101" s="639"/>
      <c r="N101" s="640"/>
      <c r="O101" s="639"/>
      <c r="P101" s="641"/>
      <c r="Q101" s="641"/>
      <c r="R101" s="639"/>
      <c r="S101" s="641"/>
      <c r="T101" s="643"/>
    </row>
    <row r="102" spans="1:20" x14ac:dyDescent="0.25">
      <c r="A102" s="45"/>
      <c r="B102" s="46"/>
      <c r="C102" s="47"/>
      <c r="D102" s="48"/>
      <c r="E102" s="48"/>
      <c r="F102" s="49"/>
      <c r="G102" s="48"/>
      <c r="H102" s="548"/>
      <c r="I102" s="48"/>
      <c r="J102" s="639"/>
      <c r="K102" s="639"/>
      <c r="L102" s="639"/>
      <c r="M102" s="639"/>
      <c r="N102" s="640"/>
      <c r="O102" s="639"/>
      <c r="P102" s="641"/>
      <c r="Q102" s="641"/>
      <c r="R102" s="639"/>
      <c r="S102" s="641"/>
      <c r="T102" s="643"/>
    </row>
    <row r="103" spans="1:20" x14ac:dyDescent="0.25">
      <c r="A103" s="45"/>
      <c r="B103" s="46"/>
      <c r="C103" s="47"/>
      <c r="D103" s="48"/>
      <c r="E103" s="48"/>
      <c r="F103" s="49"/>
      <c r="G103" s="48"/>
      <c r="H103" s="548"/>
      <c r="I103" s="48"/>
      <c r="J103" s="639"/>
      <c r="K103" s="639"/>
      <c r="L103" s="639"/>
      <c r="M103" s="639"/>
      <c r="N103" s="640"/>
      <c r="O103" s="639"/>
      <c r="P103" s="641"/>
      <c r="Q103" s="641"/>
      <c r="R103" s="639"/>
      <c r="S103" s="641"/>
      <c r="T103" s="643"/>
    </row>
    <row r="104" spans="1:20" x14ac:dyDescent="0.25">
      <c r="A104" s="23"/>
      <c r="B104" s="24"/>
      <c r="C104" s="25"/>
      <c r="D104" s="27"/>
      <c r="E104" s="27"/>
      <c r="F104" s="28"/>
      <c r="G104" s="27"/>
      <c r="H104" s="548"/>
      <c r="I104" s="27"/>
      <c r="J104" s="635"/>
      <c r="K104" s="635"/>
      <c r="L104" s="635"/>
      <c r="M104" s="635"/>
      <c r="N104" s="636"/>
      <c r="O104" s="635"/>
      <c r="P104" s="637"/>
      <c r="Q104" s="637"/>
      <c r="R104" s="635"/>
      <c r="S104" s="637"/>
      <c r="T104" s="644"/>
    </row>
    <row r="105" spans="1:20" x14ac:dyDescent="0.25">
      <c r="A105" s="23"/>
      <c r="B105" s="24"/>
      <c r="C105" s="25"/>
      <c r="D105" s="27"/>
      <c r="E105" s="27"/>
      <c r="F105" s="28"/>
      <c r="G105" s="27"/>
      <c r="H105" s="548"/>
      <c r="I105" s="27"/>
      <c r="J105" s="635"/>
      <c r="K105" s="635"/>
      <c r="L105" s="635"/>
      <c r="M105" s="635"/>
      <c r="N105" s="636"/>
      <c r="O105" s="635"/>
      <c r="P105" s="637"/>
      <c r="Q105" s="637"/>
      <c r="R105" s="635"/>
      <c r="S105" s="637"/>
      <c r="T105" s="644"/>
    </row>
    <row r="106" spans="1:20" x14ac:dyDescent="0.25">
      <c r="A106" s="23"/>
      <c r="B106" s="24"/>
      <c r="C106" s="25"/>
      <c r="D106" s="27"/>
      <c r="E106" s="27"/>
      <c r="F106" s="28"/>
      <c r="G106" s="27"/>
      <c r="H106" s="548"/>
      <c r="I106" s="27"/>
      <c r="J106" s="635"/>
      <c r="K106" s="635"/>
      <c r="L106" s="635"/>
      <c r="M106" s="635"/>
      <c r="N106" s="636"/>
      <c r="O106" s="635"/>
      <c r="P106" s="637"/>
      <c r="Q106" s="637"/>
      <c r="R106" s="635"/>
      <c r="S106" s="637"/>
      <c r="T106" s="644"/>
    </row>
    <row r="107" spans="1:20" x14ac:dyDescent="0.25">
      <c r="A107" s="23"/>
      <c r="B107" s="24"/>
      <c r="C107" s="25"/>
      <c r="D107" s="27"/>
      <c r="E107" s="27"/>
      <c r="F107" s="28"/>
      <c r="G107" s="27"/>
      <c r="H107" s="548"/>
      <c r="I107" s="27"/>
      <c r="J107" s="635"/>
      <c r="K107" s="635"/>
      <c r="L107" s="635"/>
      <c r="M107" s="635"/>
      <c r="N107" s="636"/>
      <c r="O107" s="635"/>
      <c r="P107" s="637"/>
      <c r="Q107" s="637"/>
      <c r="R107" s="635"/>
      <c r="S107" s="637"/>
      <c r="T107" s="644"/>
    </row>
    <row r="108" spans="1:20" x14ac:dyDescent="0.25">
      <c r="A108" s="23"/>
      <c r="B108" s="24"/>
      <c r="C108" s="25"/>
      <c r="D108" s="27"/>
      <c r="E108" s="27"/>
      <c r="F108" s="28"/>
      <c r="G108" s="27"/>
      <c r="H108" s="548"/>
      <c r="I108" s="27"/>
      <c r="J108" s="635"/>
      <c r="K108" s="635"/>
      <c r="L108" s="635"/>
      <c r="M108" s="635"/>
      <c r="N108" s="636"/>
      <c r="O108" s="635"/>
      <c r="P108" s="637"/>
      <c r="Q108" s="637"/>
      <c r="R108" s="635"/>
      <c r="S108" s="637"/>
      <c r="T108" s="644"/>
    </row>
    <row r="109" spans="1:20" x14ac:dyDescent="0.25">
      <c r="A109" s="23"/>
      <c r="B109" s="24"/>
      <c r="C109" s="25"/>
      <c r="D109" s="27"/>
      <c r="E109" s="27"/>
      <c r="F109" s="28"/>
      <c r="G109" s="27"/>
      <c r="H109" s="548"/>
      <c r="I109" s="27"/>
      <c r="J109" s="635"/>
      <c r="K109" s="635"/>
      <c r="L109" s="635"/>
      <c r="M109" s="635"/>
      <c r="N109" s="636"/>
      <c r="O109" s="635"/>
      <c r="P109" s="637"/>
      <c r="Q109" s="637"/>
      <c r="R109" s="635"/>
      <c r="S109" s="637"/>
      <c r="T109" s="644"/>
    </row>
    <row r="110" spans="1:20" x14ac:dyDescent="0.25">
      <c r="A110" s="23"/>
      <c r="B110" s="24"/>
      <c r="C110" s="25"/>
      <c r="D110" s="27"/>
      <c r="E110" s="27"/>
      <c r="F110" s="28"/>
      <c r="G110" s="27"/>
      <c r="H110" s="548"/>
      <c r="I110" s="27"/>
      <c r="J110" s="635"/>
      <c r="K110" s="635"/>
      <c r="L110" s="635"/>
      <c r="M110" s="635"/>
      <c r="N110" s="636"/>
      <c r="O110" s="635"/>
      <c r="P110" s="637"/>
      <c r="Q110" s="637"/>
      <c r="R110" s="635"/>
      <c r="S110" s="637"/>
      <c r="T110" s="644"/>
    </row>
    <row r="111" spans="1:20" x14ac:dyDescent="0.25">
      <c r="A111" s="23"/>
      <c r="B111" s="24"/>
      <c r="C111" s="25"/>
      <c r="D111" s="27"/>
      <c r="E111" s="27"/>
      <c r="F111" s="28"/>
      <c r="G111" s="27"/>
      <c r="H111" s="548"/>
      <c r="I111" s="27"/>
      <c r="J111" s="635"/>
      <c r="K111" s="635"/>
      <c r="L111" s="635"/>
      <c r="M111" s="635"/>
      <c r="N111" s="636"/>
      <c r="O111" s="635"/>
      <c r="P111" s="637"/>
      <c r="Q111" s="637"/>
      <c r="R111" s="635"/>
      <c r="S111" s="637"/>
      <c r="T111" s="644"/>
    </row>
    <row r="112" spans="1:20" x14ac:dyDescent="0.25">
      <c r="A112" s="23"/>
      <c r="B112" s="24"/>
      <c r="C112" s="25"/>
      <c r="D112" s="27"/>
      <c r="E112" s="27"/>
      <c r="F112" s="28"/>
      <c r="G112" s="27"/>
      <c r="H112" s="548"/>
      <c r="I112" s="27"/>
      <c r="J112" s="635"/>
      <c r="K112" s="635"/>
      <c r="L112" s="635"/>
      <c r="M112" s="635"/>
      <c r="N112" s="636"/>
      <c r="O112" s="635"/>
      <c r="P112" s="637"/>
      <c r="Q112" s="637"/>
      <c r="R112" s="635"/>
      <c r="S112" s="637"/>
      <c r="T112" s="644"/>
    </row>
    <row r="113" spans="1:20" x14ac:dyDescent="0.25">
      <c r="A113" s="23"/>
      <c r="B113" s="24"/>
      <c r="C113" s="25"/>
      <c r="D113" s="27"/>
      <c r="E113" s="27"/>
      <c r="F113" s="28"/>
      <c r="G113" s="27"/>
      <c r="H113" s="548"/>
      <c r="I113" s="27"/>
      <c r="J113" s="635"/>
      <c r="K113" s="635"/>
      <c r="L113" s="635"/>
      <c r="M113" s="635"/>
      <c r="N113" s="636"/>
      <c r="O113" s="635"/>
      <c r="P113" s="637"/>
      <c r="Q113" s="637"/>
      <c r="R113" s="635"/>
      <c r="S113" s="637"/>
      <c r="T113" s="644"/>
    </row>
    <row r="114" spans="1:20" x14ac:dyDescent="0.25">
      <c r="A114" s="23"/>
      <c r="B114" s="24"/>
      <c r="C114" s="25"/>
      <c r="D114" s="27"/>
      <c r="E114" s="27"/>
      <c r="F114" s="28"/>
      <c r="G114" s="27"/>
      <c r="H114" s="548"/>
      <c r="I114" s="27"/>
      <c r="J114" s="635"/>
      <c r="K114" s="635"/>
      <c r="L114" s="635"/>
      <c r="M114" s="635"/>
      <c r="N114" s="636"/>
      <c r="O114" s="635"/>
      <c r="P114" s="637"/>
      <c r="Q114" s="637"/>
      <c r="R114" s="635"/>
      <c r="S114" s="637"/>
      <c r="T114" s="644"/>
    </row>
    <row r="115" spans="1:20" x14ac:dyDescent="0.25">
      <c r="A115" s="23"/>
      <c r="B115" s="24"/>
      <c r="C115" s="25"/>
      <c r="D115" s="27"/>
      <c r="E115" s="27"/>
      <c r="F115" s="28"/>
      <c r="G115" s="27"/>
      <c r="H115" s="548"/>
      <c r="I115" s="27"/>
      <c r="J115" s="635"/>
      <c r="K115" s="635"/>
      <c r="L115" s="635"/>
      <c r="M115" s="635"/>
      <c r="N115" s="636"/>
      <c r="O115" s="635"/>
      <c r="P115" s="637"/>
      <c r="Q115" s="637"/>
      <c r="R115" s="635"/>
      <c r="S115" s="637"/>
      <c r="T115" s="644"/>
    </row>
    <row r="116" spans="1:20" x14ac:dyDescent="0.25">
      <c r="A116" s="23"/>
      <c r="B116" s="24"/>
      <c r="C116" s="25"/>
      <c r="D116" s="27"/>
      <c r="E116" s="27"/>
      <c r="F116" s="28"/>
      <c r="G116" s="27"/>
      <c r="H116" s="548"/>
      <c r="I116" s="27"/>
      <c r="J116" s="635"/>
      <c r="K116" s="635"/>
      <c r="L116" s="635"/>
      <c r="M116" s="635"/>
      <c r="N116" s="636"/>
      <c r="O116" s="635"/>
      <c r="P116" s="637"/>
      <c r="Q116" s="637"/>
      <c r="R116" s="635"/>
      <c r="S116" s="637"/>
      <c r="T116" s="644"/>
    </row>
    <row r="117" spans="1:20" x14ac:dyDescent="0.25">
      <c r="A117" s="23"/>
      <c r="B117" s="24"/>
      <c r="C117" s="25"/>
      <c r="D117" s="27"/>
      <c r="E117" s="27"/>
      <c r="F117" s="28"/>
      <c r="G117" s="27"/>
      <c r="H117" s="548"/>
      <c r="I117" s="27"/>
      <c r="J117" s="635"/>
      <c r="K117" s="635"/>
      <c r="L117" s="635"/>
      <c r="M117" s="635"/>
      <c r="N117" s="636"/>
      <c r="O117" s="635"/>
      <c r="P117" s="637"/>
      <c r="Q117" s="637"/>
      <c r="R117" s="635"/>
      <c r="S117" s="637"/>
      <c r="T117" s="644"/>
    </row>
    <row r="118" spans="1:20" x14ac:dyDescent="0.25">
      <c r="A118" s="23"/>
      <c r="B118" s="24"/>
      <c r="C118" s="25"/>
      <c r="D118" s="27"/>
      <c r="E118" s="27"/>
      <c r="F118" s="28"/>
      <c r="G118" s="27"/>
      <c r="H118" s="548"/>
      <c r="I118" s="27"/>
      <c r="J118" s="635"/>
      <c r="K118" s="635"/>
      <c r="L118" s="635"/>
      <c r="M118" s="635"/>
      <c r="N118" s="636"/>
      <c r="O118" s="635"/>
      <c r="P118" s="637"/>
      <c r="Q118" s="637"/>
      <c r="R118" s="635"/>
      <c r="S118" s="637"/>
      <c r="T118" s="644"/>
    </row>
    <row r="119" spans="1:20" x14ac:dyDescent="0.25">
      <c r="A119" s="23"/>
      <c r="B119" s="24"/>
      <c r="C119" s="25"/>
      <c r="D119" s="27"/>
      <c r="E119" s="27"/>
      <c r="F119" s="28"/>
      <c r="G119" s="27"/>
      <c r="H119" s="548"/>
      <c r="I119" s="27"/>
      <c r="J119" s="635"/>
      <c r="K119" s="635"/>
      <c r="L119" s="635"/>
      <c r="M119" s="635"/>
      <c r="N119" s="636"/>
      <c r="O119" s="635"/>
      <c r="P119" s="637"/>
      <c r="Q119" s="637"/>
      <c r="R119" s="635"/>
      <c r="S119" s="637"/>
      <c r="T119" s="644"/>
    </row>
    <row r="120" spans="1:20" x14ac:dyDescent="0.25">
      <c r="A120" s="23"/>
      <c r="B120" s="24"/>
      <c r="C120" s="25"/>
      <c r="D120" s="27"/>
      <c r="E120" s="27"/>
      <c r="F120" s="28"/>
      <c r="G120" s="27"/>
      <c r="H120" s="548"/>
      <c r="I120" s="27"/>
      <c r="J120" s="635"/>
      <c r="K120" s="635"/>
      <c r="L120" s="635"/>
      <c r="M120" s="635"/>
      <c r="N120" s="636"/>
      <c r="O120" s="635"/>
      <c r="P120" s="637"/>
      <c r="Q120" s="637"/>
      <c r="R120" s="635"/>
      <c r="S120" s="637"/>
      <c r="T120" s="644"/>
    </row>
    <row r="121" spans="1:20" x14ac:dyDescent="0.25">
      <c r="A121" s="23"/>
      <c r="B121" s="24"/>
      <c r="C121" s="25"/>
      <c r="D121" s="27"/>
      <c r="E121" s="27"/>
      <c r="F121" s="28"/>
      <c r="G121" s="27"/>
      <c r="H121" s="548"/>
      <c r="I121" s="27"/>
      <c r="J121" s="635"/>
      <c r="K121" s="635"/>
      <c r="L121" s="635"/>
      <c r="M121" s="635"/>
      <c r="N121" s="636"/>
      <c r="O121" s="635"/>
      <c r="P121" s="637"/>
      <c r="Q121" s="637"/>
      <c r="R121" s="635"/>
      <c r="S121" s="637"/>
      <c r="T121" s="644"/>
    </row>
    <row r="122" spans="1:20" x14ac:dyDescent="0.25">
      <c r="A122" s="23"/>
      <c r="B122" s="24"/>
      <c r="C122" s="25"/>
      <c r="D122" s="27"/>
      <c r="E122" s="27"/>
      <c r="F122" s="28"/>
      <c r="G122" s="27"/>
      <c r="H122" s="548"/>
      <c r="I122" s="27"/>
      <c r="J122" s="635"/>
      <c r="K122" s="635"/>
      <c r="L122" s="635"/>
      <c r="M122" s="635"/>
      <c r="N122" s="636"/>
      <c r="O122" s="635"/>
      <c r="P122" s="637"/>
      <c r="Q122" s="637"/>
      <c r="R122" s="635"/>
      <c r="S122" s="637"/>
      <c r="T122" s="644"/>
    </row>
    <row r="123" spans="1:20" x14ac:dyDescent="0.25">
      <c r="A123" s="23"/>
      <c r="B123" s="24"/>
      <c r="C123" s="25"/>
      <c r="D123" s="27"/>
      <c r="E123" s="27"/>
      <c r="F123" s="28"/>
      <c r="G123" s="27"/>
      <c r="H123" s="548"/>
      <c r="I123" s="27"/>
      <c r="J123" s="635"/>
      <c r="K123" s="635"/>
      <c r="L123" s="635"/>
      <c r="M123" s="635"/>
      <c r="N123" s="636"/>
      <c r="O123" s="635"/>
      <c r="P123" s="637"/>
      <c r="Q123" s="637"/>
      <c r="R123" s="635"/>
      <c r="S123" s="637"/>
      <c r="T123" s="644"/>
    </row>
    <row r="124" spans="1:20" x14ac:dyDescent="0.25">
      <c r="A124" s="23"/>
      <c r="B124" s="24"/>
      <c r="C124" s="25"/>
      <c r="D124" s="27"/>
      <c r="E124" s="27"/>
      <c r="F124" s="28"/>
      <c r="G124" s="27"/>
      <c r="H124" s="548"/>
      <c r="I124" s="27"/>
      <c r="J124" s="635"/>
      <c r="K124" s="635"/>
      <c r="L124" s="635"/>
      <c r="M124" s="635"/>
      <c r="N124" s="636"/>
      <c r="O124" s="635"/>
      <c r="P124" s="637"/>
      <c r="Q124" s="637"/>
      <c r="R124" s="635"/>
      <c r="S124" s="637"/>
      <c r="T124" s="644"/>
    </row>
    <row r="125" spans="1:20" x14ac:dyDescent="0.25">
      <c r="A125" s="23"/>
      <c r="B125" s="24"/>
      <c r="C125" s="25"/>
      <c r="D125" s="27"/>
      <c r="E125" s="27"/>
      <c r="F125" s="28"/>
      <c r="G125" s="27"/>
      <c r="H125" s="548"/>
      <c r="I125" s="27"/>
      <c r="J125" s="635"/>
      <c r="K125" s="635"/>
      <c r="L125" s="635"/>
      <c r="M125" s="635"/>
      <c r="N125" s="636"/>
      <c r="O125" s="635"/>
      <c r="P125" s="637"/>
      <c r="Q125" s="637"/>
      <c r="R125" s="635"/>
      <c r="S125" s="637"/>
      <c r="T125" s="644"/>
    </row>
    <row r="126" spans="1:20" x14ac:dyDescent="0.25">
      <c r="A126" s="23"/>
      <c r="B126" s="24"/>
      <c r="C126" s="25"/>
      <c r="D126" s="27"/>
      <c r="E126" s="27"/>
      <c r="F126" s="28"/>
      <c r="G126" s="27"/>
      <c r="H126" s="548"/>
      <c r="I126" s="27"/>
      <c r="J126" s="635"/>
      <c r="K126" s="635"/>
      <c r="L126" s="635"/>
      <c r="M126" s="635"/>
      <c r="N126" s="636"/>
      <c r="O126" s="635"/>
      <c r="P126" s="637"/>
      <c r="Q126" s="637"/>
      <c r="R126" s="635"/>
      <c r="S126" s="637"/>
      <c r="T126" s="644"/>
    </row>
    <row r="127" spans="1:20" x14ac:dyDescent="0.25">
      <c r="A127" s="23"/>
      <c r="B127" s="24"/>
      <c r="C127" s="25"/>
      <c r="D127" s="27"/>
      <c r="E127" s="27"/>
      <c r="F127" s="28"/>
      <c r="G127" s="27"/>
      <c r="H127" s="548"/>
      <c r="I127" s="27"/>
      <c r="J127" s="635"/>
      <c r="K127" s="635"/>
      <c r="L127" s="635"/>
      <c r="M127" s="635"/>
      <c r="N127" s="636"/>
      <c r="O127" s="635"/>
      <c r="P127" s="637"/>
      <c r="Q127" s="637"/>
      <c r="R127" s="635"/>
      <c r="S127" s="637"/>
      <c r="T127" s="644"/>
    </row>
    <row r="128" spans="1:20" x14ac:dyDescent="0.25">
      <c r="A128" s="23"/>
      <c r="B128" s="24"/>
      <c r="C128" s="25"/>
      <c r="D128" s="27"/>
      <c r="E128" s="27"/>
      <c r="F128" s="28"/>
      <c r="G128" s="27"/>
      <c r="H128" s="548"/>
      <c r="I128" s="27"/>
      <c r="J128" s="635"/>
      <c r="K128" s="635"/>
      <c r="L128" s="635"/>
      <c r="M128" s="635"/>
      <c r="N128" s="636"/>
      <c r="O128" s="635"/>
      <c r="P128" s="637"/>
      <c r="Q128" s="637"/>
      <c r="R128" s="635"/>
      <c r="S128" s="637"/>
      <c r="T128" s="644"/>
    </row>
    <row r="129" spans="1:20" x14ac:dyDescent="0.25">
      <c r="A129" s="23"/>
      <c r="B129" s="24"/>
      <c r="C129" s="25"/>
      <c r="D129" s="27"/>
      <c r="E129" s="27"/>
      <c r="F129" s="28"/>
      <c r="G129" s="27"/>
      <c r="H129" s="548"/>
      <c r="I129" s="27"/>
      <c r="J129" s="635"/>
      <c r="K129" s="635"/>
      <c r="L129" s="635"/>
      <c r="M129" s="635"/>
      <c r="N129" s="636"/>
      <c r="O129" s="635"/>
      <c r="P129" s="637"/>
      <c r="Q129" s="637"/>
      <c r="R129" s="635"/>
      <c r="S129" s="637"/>
      <c r="T129" s="644"/>
    </row>
    <row r="130" spans="1:20" x14ac:dyDescent="0.25">
      <c r="A130" s="23"/>
      <c r="B130" s="24"/>
      <c r="C130" s="25"/>
      <c r="D130" s="27"/>
      <c r="E130" s="27"/>
      <c r="F130" s="28"/>
      <c r="G130" s="27"/>
      <c r="H130" s="548"/>
      <c r="I130" s="27"/>
      <c r="J130" s="635"/>
      <c r="K130" s="635"/>
      <c r="L130" s="635"/>
      <c r="M130" s="635"/>
      <c r="N130" s="636"/>
      <c r="O130" s="635"/>
      <c r="P130" s="637"/>
      <c r="Q130" s="637"/>
      <c r="R130" s="635"/>
      <c r="S130" s="637"/>
      <c r="T130" s="644"/>
    </row>
    <row r="131" spans="1:20" x14ac:dyDescent="0.25">
      <c r="A131" s="23"/>
      <c r="B131" s="24"/>
      <c r="C131" s="25"/>
      <c r="D131" s="27"/>
      <c r="E131" s="27"/>
      <c r="F131" s="28"/>
      <c r="G131" s="27"/>
      <c r="H131" s="548"/>
      <c r="I131" s="27"/>
      <c r="J131" s="635"/>
      <c r="K131" s="635"/>
      <c r="L131" s="635"/>
      <c r="M131" s="635"/>
      <c r="N131" s="636"/>
      <c r="O131" s="635"/>
      <c r="P131" s="637"/>
      <c r="Q131" s="637"/>
      <c r="R131" s="635"/>
      <c r="S131" s="637"/>
      <c r="T131" s="644"/>
    </row>
    <row r="132" spans="1:20" x14ac:dyDescent="0.25">
      <c r="A132" s="23"/>
      <c r="B132" s="24"/>
      <c r="C132" s="25"/>
      <c r="D132" s="27"/>
      <c r="E132" s="27"/>
      <c r="F132" s="28"/>
      <c r="G132" s="27"/>
      <c r="H132" s="548"/>
      <c r="I132" s="27"/>
      <c r="J132" s="635"/>
      <c r="K132" s="635"/>
      <c r="L132" s="635"/>
      <c r="M132" s="635"/>
      <c r="N132" s="636"/>
      <c r="O132" s="635"/>
      <c r="P132" s="637"/>
      <c r="Q132" s="637"/>
      <c r="R132" s="635"/>
      <c r="S132" s="637"/>
      <c r="T132" s="644"/>
    </row>
    <row r="133" spans="1:20" x14ac:dyDescent="0.25">
      <c r="A133" s="23"/>
      <c r="B133" s="24"/>
      <c r="C133" s="25"/>
      <c r="D133" s="27"/>
      <c r="E133" s="27"/>
      <c r="F133" s="28"/>
      <c r="G133" s="27"/>
      <c r="H133" s="548"/>
      <c r="I133" s="27"/>
      <c r="J133" s="635"/>
      <c r="K133" s="635"/>
      <c r="L133" s="635"/>
      <c r="M133" s="635"/>
      <c r="N133" s="636"/>
      <c r="O133" s="635"/>
      <c r="P133" s="637"/>
      <c r="Q133" s="637"/>
      <c r="R133" s="635"/>
      <c r="S133" s="637"/>
      <c r="T133" s="644"/>
    </row>
    <row r="134" spans="1:20" x14ac:dyDescent="0.25">
      <c r="A134" s="23"/>
      <c r="B134" s="24"/>
      <c r="C134" s="25"/>
      <c r="D134" s="27"/>
      <c r="E134" s="27"/>
      <c r="F134" s="28"/>
      <c r="G134" s="27"/>
      <c r="H134" s="548"/>
      <c r="I134" s="27"/>
      <c r="J134" s="635"/>
      <c r="K134" s="635"/>
      <c r="L134" s="635"/>
      <c r="M134" s="635"/>
      <c r="N134" s="636"/>
      <c r="O134" s="635"/>
      <c r="P134" s="637"/>
      <c r="Q134" s="637"/>
      <c r="R134" s="635"/>
      <c r="S134" s="637"/>
      <c r="T134" s="644"/>
    </row>
    <row r="135" spans="1:20" x14ac:dyDescent="0.25">
      <c r="A135" s="23"/>
      <c r="B135" s="24"/>
      <c r="C135" s="25"/>
      <c r="D135" s="27"/>
      <c r="E135" s="27"/>
      <c r="F135" s="28"/>
      <c r="G135" s="27"/>
      <c r="H135" s="548"/>
      <c r="I135" s="27"/>
      <c r="J135" s="635"/>
      <c r="K135" s="635"/>
      <c r="L135" s="635"/>
      <c r="M135" s="635"/>
      <c r="N135" s="636"/>
      <c r="O135" s="635"/>
      <c r="P135" s="637"/>
      <c r="Q135" s="637"/>
      <c r="R135" s="635"/>
      <c r="S135" s="637"/>
      <c r="T135" s="644"/>
    </row>
    <row r="136" spans="1:20" x14ac:dyDescent="0.25">
      <c r="A136" s="23"/>
      <c r="B136" s="24"/>
      <c r="C136" s="25"/>
      <c r="D136" s="27"/>
      <c r="E136" s="27"/>
      <c r="F136" s="28"/>
      <c r="G136" s="27"/>
      <c r="H136" s="548"/>
      <c r="I136" s="27"/>
      <c r="J136" s="635"/>
      <c r="K136" s="635"/>
      <c r="L136" s="635"/>
      <c r="M136" s="635"/>
      <c r="N136" s="636"/>
      <c r="O136" s="635"/>
      <c r="P136" s="637"/>
      <c r="Q136" s="637"/>
      <c r="R136" s="635"/>
      <c r="S136" s="637"/>
      <c r="T136" s="644"/>
    </row>
    <row r="137" spans="1:20" x14ac:dyDescent="0.25">
      <c r="A137" s="23"/>
      <c r="B137" s="24"/>
      <c r="C137" s="25"/>
      <c r="D137" s="27"/>
      <c r="E137" s="27"/>
      <c r="F137" s="28"/>
      <c r="G137" s="27"/>
      <c r="H137" s="548"/>
      <c r="I137" s="27"/>
      <c r="J137" s="635"/>
      <c r="K137" s="635"/>
      <c r="L137" s="635"/>
      <c r="M137" s="635"/>
      <c r="N137" s="636"/>
      <c r="O137" s="635"/>
      <c r="P137" s="637"/>
      <c r="Q137" s="637"/>
      <c r="R137" s="635"/>
      <c r="S137" s="637"/>
      <c r="T137" s="644"/>
    </row>
    <row r="138" spans="1:20" x14ac:dyDescent="0.25">
      <c r="A138" s="23"/>
      <c r="B138" s="24"/>
      <c r="C138" s="25"/>
      <c r="D138" s="27"/>
      <c r="E138" s="27"/>
      <c r="F138" s="28"/>
      <c r="G138" s="27"/>
      <c r="H138" s="548"/>
      <c r="I138" s="27"/>
      <c r="J138" s="635"/>
      <c r="K138" s="635"/>
      <c r="L138" s="635"/>
      <c r="M138" s="635"/>
      <c r="N138" s="636"/>
      <c r="O138" s="635"/>
      <c r="P138" s="637"/>
      <c r="Q138" s="637"/>
      <c r="R138" s="635"/>
      <c r="S138" s="637"/>
      <c r="T138" s="644"/>
    </row>
    <row r="139" spans="1:20" x14ac:dyDescent="0.25">
      <c r="A139" s="23"/>
      <c r="B139" s="24"/>
      <c r="C139" s="25"/>
      <c r="D139" s="27"/>
      <c r="E139" s="27"/>
      <c r="F139" s="28"/>
      <c r="G139" s="27"/>
      <c r="H139" s="548"/>
      <c r="I139" s="27"/>
      <c r="J139" s="635"/>
      <c r="K139" s="635"/>
      <c r="L139" s="635"/>
      <c r="M139" s="635"/>
      <c r="N139" s="636"/>
      <c r="O139" s="635"/>
      <c r="P139" s="637"/>
      <c r="Q139" s="637"/>
      <c r="R139" s="635"/>
      <c r="S139" s="637"/>
      <c r="T139" s="644"/>
    </row>
    <row r="140" spans="1:20" x14ac:dyDescent="0.25">
      <c r="A140" s="23"/>
      <c r="B140" s="24"/>
      <c r="C140" s="25"/>
      <c r="D140" s="27"/>
      <c r="E140" s="27"/>
      <c r="F140" s="28"/>
      <c r="G140" s="27"/>
      <c r="H140" s="548"/>
      <c r="I140" s="27"/>
      <c r="J140" s="635"/>
      <c r="K140" s="635"/>
      <c r="L140" s="635"/>
      <c r="M140" s="635"/>
      <c r="N140" s="636"/>
      <c r="O140" s="635"/>
      <c r="P140" s="637"/>
      <c r="Q140" s="637"/>
      <c r="R140" s="635"/>
      <c r="S140" s="637"/>
      <c r="T140" s="644"/>
    </row>
    <row r="141" spans="1:20" x14ac:dyDescent="0.25">
      <c r="A141" s="23"/>
      <c r="B141" s="24"/>
      <c r="C141" s="25"/>
      <c r="D141" s="27"/>
      <c r="E141" s="27"/>
      <c r="F141" s="28"/>
      <c r="G141" s="27"/>
      <c r="H141" s="548"/>
      <c r="I141" s="27"/>
      <c r="J141" s="635"/>
      <c r="K141" s="635"/>
      <c r="L141" s="635"/>
      <c r="M141" s="635"/>
      <c r="N141" s="636"/>
      <c r="O141" s="635"/>
      <c r="P141" s="637"/>
      <c r="Q141" s="637"/>
      <c r="R141" s="635"/>
      <c r="S141" s="637"/>
      <c r="T141" s="644"/>
    </row>
    <row r="142" spans="1:20" x14ac:dyDescent="0.25">
      <c r="A142" s="23"/>
      <c r="B142" s="24"/>
      <c r="C142" s="25"/>
      <c r="D142" s="27"/>
      <c r="E142" s="27"/>
      <c r="F142" s="28"/>
      <c r="G142" s="27"/>
      <c r="H142" s="548"/>
      <c r="I142" s="27"/>
      <c r="J142" s="635"/>
      <c r="K142" s="635"/>
      <c r="L142" s="635"/>
      <c r="M142" s="635"/>
      <c r="N142" s="636"/>
      <c r="O142" s="635"/>
      <c r="P142" s="637"/>
      <c r="Q142" s="637"/>
      <c r="R142" s="635"/>
      <c r="S142" s="637"/>
      <c r="T142" s="644"/>
    </row>
    <row r="143" spans="1:20" x14ac:dyDescent="0.25">
      <c r="A143" s="23"/>
      <c r="B143" s="24"/>
      <c r="C143" s="25"/>
      <c r="D143" s="27"/>
      <c r="E143" s="27"/>
      <c r="F143" s="28"/>
      <c r="G143" s="27"/>
      <c r="H143" s="548"/>
      <c r="I143" s="27"/>
      <c r="J143" s="635"/>
      <c r="K143" s="635"/>
      <c r="L143" s="635"/>
      <c r="M143" s="635"/>
      <c r="N143" s="636"/>
      <c r="O143" s="635"/>
      <c r="P143" s="637"/>
      <c r="Q143" s="637"/>
      <c r="R143" s="635"/>
      <c r="S143" s="637"/>
      <c r="T143" s="644"/>
    </row>
    <row r="144" spans="1:20" x14ac:dyDescent="0.25">
      <c r="A144" s="23"/>
      <c r="B144" s="24"/>
      <c r="C144" s="25"/>
      <c r="D144" s="27"/>
      <c r="E144" s="27"/>
      <c r="F144" s="28"/>
      <c r="G144" s="27"/>
      <c r="H144" s="548"/>
      <c r="I144" s="27"/>
      <c r="J144" s="635"/>
      <c r="K144" s="635"/>
      <c r="L144" s="635"/>
      <c r="M144" s="635"/>
      <c r="N144" s="636"/>
      <c r="O144" s="635"/>
      <c r="P144" s="637"/>
      <c r="Q144" s="637"/>
      <c r="R144" s="635"/>
      <c r="S144" s="637"/>
      <c r="T144" s="644"/>
    </row>
    <row r="145" spans="1:20" x14ac:dyDescent="0.25">
      <c r="A145" s="23"/>
      <c r="B145" s="24"/>
      <c r="C145" s="25"/>
      <c r="D145" s="27"/>
      <c r="E145" s="27"/>
      <c r="F145" s="28"/>
      <c r="G145" s="27"/>
      <c r="H145" s="548"/>
      <c r="I145" s="27"/>
      <c r="J145" s="635"/>
      <c r="K145" s="635"/>
      <c r="L145" s="635"/>
      <c r="M145" s="635"/>
      <c r="N145" s="636"/>
      <c r="O145" s="635"/>
      <c r="P145" s="637"/>
      <c r="Q145" s="637"/>
      <c r="R145" s="635"/>
      <c r="S145" s="637"/>
      <c r="T145" s="644"/>
    </row>
    <row r="146" spans="1:20" x14ac:dyDescent="0.25">
      <c r="A146" s="23"/>
      <c r="B146" s="24"/>
      <c r="C146" s="25"/>
      <c r="D146" s="27"/>
      <c r="E146" s="27"/>
      <c r="F146" s="28"/>
      <c r="G146" s="27"/>
      <c r="H146" s="548"/>
      <c r="I146" s="27"/>
      <c r="J146" s="635"/>
      <c r="K146" s="635"/>
      <c r="L146" s="635"/>
      <c r="M146" s="635"/>
      <c r="N146" s="636"/>
      <c r="O146" s="635"/>
      <c r="P146" s="637"/>
      <c r="Q146" s="637"/>
      <c r="R146" s="635"/>
      <c r="S146" s="637"/>
      <c r="T146" s="644"/>
    </row>
    <row r="147" spans="1:20" x14ac:dyDescent="0.25">
      <c r="A147" s="23"/>
      <c r="B147" s="24"/>
      <c r="C147" s="25"/>
      <c r="D147" s="27"/>
      <c r="E147" s="27"/>
      <c r="F147" s="28"/>
      <c r="G147" s="27"/>
      <c r="H147" s="548"/>
      <c r="I147" s="27"/>
      <c r="J147" s="635"/>
      <c r="K147" s="635"/>
      <c r="L147" s="635"/>
      <c r="M147" s="635"/>
      <c r="N147" s="636"/>
      <c r="O147" s="635"/>
      <c r="P147" s="637"/>
      <c r="Q147" s="637"/>
      <c r="R147" s="635"/>
      <c r="S147" s="637"/>
      <c r="T147" s="644"/>
    </row>
    <row r="148" spans="1:20" x14ac:dyDescent="0.25">
      <c r="A148" s="23"/>
      <c r="B148" s="24"/>
      <c r="C148" s="25"/>
      <c r="D148" s="27"/>
      <c r="E148" s="27"/>
      <c r="F148" s="28"/>
      <c r="G148" s="27"/>
      <c r="H148" s="548"/>
      <c r="I148" s="27"/>
      <c r="J148" s="635"/>
      <c r="K148" s="635"/>
      <c r="L148" s="635"/>
      <c r="M148" s="635"/>
      <c r="N148" s="636"/>
      <c r="O148" s="635"/>
      <c r="P148" s="637"/>
      <c r="Q148" s="637"/>
      <c r="R148" s="635"/>
      <c r="S148" s="637"/>
      <c r="T148" s="644"/>
    </row>
    <row r="149" spans="1:20" x14ac:dyDescent="0.25">
      <c r="A149" s="23"/>
      <c r="B149" s="24"/>
      <c r="C149" s="25"/>
      <c r="D149" s="27"/>
      <c r="E149" s="27"/>
      <c r="F149" s="28"/>
      <c r="G149" s="27"/>
      <c r="H149" s="548"/>
      <c r="I149" s="27"/>
      <c r="J149" s="635"/>
      <c r="K149" s="635"/>
      <c r="L149" s="635"/>
      <c r="M149" s="635"/>
      <c r="N149" s="636"/>
      <c r="O149" s="635"/>
      <c r="P149" s="637"/>
      <c r="Q149" s="637"/>
      <c r="R149" s="635"/>
      <c r="S149" s="637"/>
      <c r="T149" s="644"/>
    </row>
    <row r="150" spans="1:20" x14ac:dyDescent="0.25">
      <c r="A150" s="23"/>
      <c r="B150" s="24"/>
      <c r="C150" s="25"/>
      <c r="D150" s="27"/>
      <c r="E150" s="27"/>
      <c r="F150" s="28"/>
      <c r="G150" s="27"/>
      <c r="H150" s="548"/>
      <c r="I150" s="27"/>
      <c r="J150" s="635"/>
      <c r="K150" s="635"/>
      <c r="L150" s="635"/>
      <c r="M150" s="635"/>
      <c r="N150" s="636"/>
      <c r="O150" s="635"/>
      <c r="P150" s="637"/>
      <c r="Q150" s="637"/>
      <c r="R150" s="635"/>
      <c r="S150" s="637"/>
      <c r="T150" s="644"/>
    </row>
    <row r="151" spans="1:20" x14ac:dyDescent="0.25">
      <c r="A151" s="23"/>
      <c r="B151" s="24"/>
      <c r="C151" s="25"/>
      <c r="D151" s="27"/>
      <c r="E151" s="27"/>
      <c r="F151" s="28"/>
      <c r="G151" s="27"/>
      <c r="H151" s="548"/>
      <c r="I151" s="27"/>
      <c r="J151" s="635"/>
      <c r="K151" s="635"/>
      <c r="L151" s="635"/>
      <c r="M151" s="635"/>
      <c r="N151" s="636"/>
      <c r="O151" s="635"/>
      <c r="P151" s="637"/>
      <c r="Q151" s="637"/>
      <c r="R151" s="635"/>
      <c r="S151" s="637"/>
      <c r="T151" s="644"/>
    </row>
    <row r="152" spans="1:20" x14ac:dyDescent="0.25">
      <c r="A152" s="23"/>
      <c r="B152" s="24"/>
      <c r="C152" s="25"/>
      <c r="D152" s="27"/>
      <c r="E152" s="27"/>
      <c r="F152" s="28"/>
      <c r="G152" s="27"/>
      <c r="H152" s="548"/>
      <c r="I152" s="27"/>
      <c r="J152" s="635"/>
      <c r="K152" s="635"/>
      <c r="L152" s="635"/>
      <c r="M152" s="635"/>
      <c r="N152" s="636"/>
      <c r="O152" s="635"/>
      <c r="P152" s="637"/>
      <c r="Q152" s="637"/>
      <c r="R152" s="635"/>
      <c r="S152" s="637"/>
      <c r="T152" s="644"/>
    </row>
    <row r="153" spans="1:20" x14ac:dyDescent="0.25">
      <c r="A153" s="23"/>
      <c r="B153" s="24"/>
      <c r="C153" s="25"/>
      <c r="D153" s="27"/>
      <c r="E153" s="27"/>
      <c r="F153" s="28"/>
      <c r="G153" s="27"/>
      <c r="H153" s="548"/>
      <c r="I153" s="27"/>
      <c r="J153" s="635"/>
      <c r="K153" s="635"/>
      <c r="L153" s="635"/>
      <c r="M153" s="635"/>
      <c r="N153" s="636"/>
      <c r="O153" s="635"/>
      <c r="P153" s="637"/>
      <c r="Q153" s="637"/>
      <c r="R153" s="635"/>
      <c r="S153" s="637"/>
      <c r="T153" s="644"/>
    </row>
    <row r="154" spans="1:20" x14ac:dyDescent="0.25">
      <c r="A154" s="23"/>
      <c r="B154" s="24"/>
      <c r="C154" s="25"/>
      <c r="D154" s="27"/>
      <c r="E154" s="27"/>
      <c r="F154" s="28"/>
      <c r="G154" s="27"/>
      <c r="H154" s="548"/>
      <c r="I154" s="27"/>
      <c r="J154" s="635"/>
      <c r="K154" s="635"/>
      <c r="L154" s="635"/>
      <c r="M154" s="635"/>
      <c r="N154" s="636"/>
      <c r="O154" s="635"/>
      <c r="P154" s="637"/>
      <c r="Q154" s="637"/>
      <c r="R154" s="635"/>
      <c r="S154" s="637"/>
      <c r="T154" s="644"/>
    </row>
    <row r="155" spans="1:20" x14ac:dyDescent="0.25">
      <c r="A155" s="23"/>
      <c r="B155" s="24"/>
      <c r="C155" s="25"/>
      <c r="D155" s="27"/>
      <c r="E155" s="27"/>
      <c r="F155" s="28"/>
      <c r="G155" s="27"/>
      <c r="H155" s="548"/>
      <c r="I155" s="27"/>
      <c r="J155" s="635"/>
      <c r="K155" s="635"/>
      <c r="L155" s="635"/>
      <c r="M155" s="635"/>
      <c r="N155" s="636"/>
      <c r="O155" s="635"/>
      <c r="P155" s="637"/>
      <c r="Q155" s="637"/>
      <c r="R155" s="635"/>
      <c r="S155" s="637"/>
      <c r="T155" s="644"/>
    </row>
    <row r="156" spans="1:20" x14ac:dyDescent="0.25">
      <c r="A156" s="23"/>
      <c r="B156" s="24"/>
      <c r="C156" s="25"/>
      <c r="D156" s="27"/>
      <c r="E156" s="27"/>
      <c r="F156" s="28"/>
      <c r="G156" s="27"/>
      <c r="H156" s="548"/>
      <c r="I156" s="27"/>
      <c r="J156" s="635"/>
      <c r="K156" s="635"/>
      <c r="L156" s="635"/>
      <c r="M156" s="635"/>
      <c r="N156" s="636"/>
      <c r="O156" s="635"/>
      <c r="P156" s="637"/>
      <c r="Q156" s="637"/>
      <c r="R156" s="635"/>
      <c r="S156" s="637"/>
      <c r="T156" s="644"/>
    </row>
    <row r="157" spans="1:20" x14ac:dyDescent="0.25">
      <c r="A157" s="23"/>
      <c r="B157" s="24"/>
      <c r="C157" s="25"/>
      <c r="D157" s="27"/>
      <c r="E157" s="27"/>
      <c r="F157" s="28"/>
      <c r="G157" s="27"/>
      <c r="H157" s="548"/>
      <c r="I157" s="27"/>
      <c r="J157" s="635"/>
      <c r="K157" s="635"/>
      <c r="L157" s="635"/>
      <c r="M157" s="635"/>
      <c r="N157" s="636"/>
      <c r="O157" s="635"/>
      <c r="P157" s="637"/>
      <c r="Q157" s="637"/>
      <c r="R157" s="635"/>
      <c r="S157" s="637"/>
      <c r="T157" s="644"/>
    </row>
    <row r="158" spans="1:20" x14ac:dyDescent="0.25">
      <c r="A158" s="23"/>
      <c r="B158" s="24"/>
      <c r="C158" s="25"/>
      <c r="D158" s="27"/>
      <c r="E158" s="27"/>
      <c r="F158" s="28"/>
      <c r="G158" s="27"/>
      <c r="H158" s="548"/>
      <c r="I158" s="27"/>
      <c r="J158" s="635"/>
      <c r="K158" s="635"/>
      <c r="L158" s="635"/>
      <c r="M158" s="635"/>
      <c r="N158" s="636"/>
      <c r="O158" s="635"/>
      <c r="P158" s="637"/>
      <c r="Q158" s="637"/>
      <c r="R158" s="635"/>
      <c r="S158" s="637"/>
      <c r="T158" s="644"/>
    </row>
    <row r="159" spans="1:20" x14ac:dyDescent="0.25">
      <c r="A159" s="23"/>
      <c r="B159" s="24"/>
      <c r="C159" s="25"/>
      <c r="D159" s="27"/>
      <c r="E159" s="27"/>
      <c r="F159" s="28"/>
      <c r="G159" s="27"/>
      <c r="H159" s="548"/>
      <c r="I159" s="27"/>
      <c r="J159" s="635"/>
      <c r="K159" s="635"/>
      <c r="L159" s="635"/>
      <c r="M159" s="635"/>
      <c r="N159" s="636"/>
      <c r="O159" s="635"/>
      <c r="P159" s="637"/>
      <c r="Q159" s="637"/>
      <c r="R159" s="635"/>
      <c r="S159" s="637"/>
      <c r="T159" s="644"/>
    </row>
    <row r="160" spans="1:20" x14ac:dyDescent="0.25">
      <c r="A160" s="23"/>
      <c r="B160" s="24"/>
      <c r="C160" s="25"/>
      <c r="D160" s="27"/>
      <c r="E160" s="27"/>
      <c r="F160" s="28"/>
      <c r="G160" s="27"/>
      <c r="H160" s="548"/>
      <c r="I160" s="27"/>
      <c r="J160" s="635"/>
      <c r="K160" s="635"/>
      <c r="L160" s="635"/>
      <c r="M160" s="635"/>
      <c r="N160" s="636"/>
      <c r="O160" s="635"/>
      <c r="P160" s="637"/>
      <c r="Q160" s="637"/>
      <c r="R160" s="635"/>
      <c r="S160" s="637"/>
      <c r="T160" s="644"/>
    </row>
    <row r="161" spans="1:20" x14ac:dyDescent="0.25">
      <c r="A161" s="23"/>
      <c r="B161" s="24"/>
      <c r="C161" s="25"/>
      <c r="D161" s="27"/>
      <c r="E161" s="27"/>
      <c r="F161" s="28"/>
      <c r="G161" s="27"/>
      <c r="H161" s="548"/>
      <c r="I161" s="27"/>
      <c r="J161" s="635"/>
      <c r="K161" s="635"/>
      <c r="L161" s="635"/>
      <c r="M161" s="635"/>
      <c r="N161" s="636"/>
      <c r="O161" s="635"/>
      <c r="P161" s="637"/>
      <c r="Q161" s="637"/>
      <c r="R161" s="635"/>
      <c r="S161" s="637"/>
      <c r="T161" s="644"/>
    </row>
    <row r="162" spans="1:20" x14ac:dyDescent="0.25">
      <c r="A162" s="23"/>
      <c r="B162" s="24"/>
      <c r="C162" s="25"/>
      <c r="D162" s="27"/>
      <c r="E162" s="27"/>
      <c r="F162" s="28"/>
      <c r="G162" s="27"/>
      <c r="H162" s="548"/>
      <c r="I162" s="27"/>
      <c r="J162" s="635"/>
      <c r="K162" s="635"/>
      <c r="L162" s="635"/>
      <c r="M162" s="635"/>
      <c r="N162" s="636"/>
      <c r="O162" s="635"/>
      <c r="P162" s="637"/>
      <c r="Q162" s="637"/>
      <c r="R162" s="635"/>
      <c r="S162" s="637"/>
      <c r="T162" s="644"/>
    </row>
    <row r="163" spans="1:20" x14ac:dyDescent="0.25">
      <c r="A163" s="23"/>
      <c r="B163" s="24"/>
      <c r="C163" s="25"/>
      <c r="D163" s="27"/>
      <c r="E163" s="27"/>
      <c r="F163" s="28"/>
      <c r="G163" s="27"/>
      <c r="H163" s="548"/>
      <c r="I163" s="27"/>
      <c r="J163" s="635"/>
      <c r="K163" s="635"/>
      <c r="L163" s="635"/>
      <c r="M163" s="635"/>
      <c r="N163" s="636"/>
      <c r="O163" s="635"/>
      <c r="P163" s="637"/>
      <c r="Q163" s="637"/>
      <c r="R163" s="635"/>
      <c r="S163" s="637"/>
      <c r="T163" s="644"/>
    </row>
    <row r="164" spans="1:20" x14ac:dyDescent="0.25">
      <c r="A164" s="23"/>
      <c r="B164" s="24"/>
      <c r="C164" s="25"/>
      <c r="D164" s="27"/>
      <c r="E164" s="27"/>
      <c r="F164" s="28"/>
      <c r="G164" s="27"/>
      <c r="H164" s="548"/>
      <c r="I164" s="27"/>
      <c r="J164" s="635"/>
      <c r="K164" s="635"/>
      <c r="L164" s="635"/>
      <c r="M164" s="635"/>
      <c r="N164" s="636"/>
      <c r="O164" s="635"/>
      <c r="P164" s="637"/>
      <c r="Q164" s="637"/>
      <c r="R164" s="635"/>
      <c r="S164" s="637"/>
      <c r="T164" s="644"/>
    </row>
    <row r="165" spans="1:20" x14ac:dyDescent="0.25">
      <c r="A165" s="23"/>
      <c r="B165" s="24"/>
      <c r="C165" s="25"/>
      <c r="D165" s="27"/>
      <c r="E165" s="27"/>
      <c r="F165" s="28"/>
      <c r="G165" s="27"/>
      <c r="H165" s="548"/>
      <c r="I165" s="27"/>
      <c r="J165" s="635"/>
      <c r="K165" s="635"/>
      <c r="L165" s="635"/>
      <c r="M165" s="635"/>
      <c r="N165" s="636"/>
      <c r="O165" s="635"/>
      <c r="P165" s="637"/>
      <c r="Q165" s="637"/>
      <c r="R165" s="635"/>
      <c r="S165" s="637"/>
      <c r="T165" s="644"/>
    </row>
    <row r="166" spans="1:20" x14ac:dyDescent="0.25">
      <c r="A166" s="23"/>
      <c r="B166" s="24"/>
      <c r="C166" s="25"/>
      <c r="D166" s="27"/>
      <c r="E166" s="27"/>
      <c r="F166" s="28"/>
      <c r="G166" s="27"/>
      <c r="H166" s="548"/>
      <c r="I166" s="27"/>
      <c r="J166" s="635"/>
      <c r="K166" s="635"/>
      <c r="L166" s="635"/>
      <c r="M166" s="635"/>
      <c r="N166" s="636"/>
      <c r="O166" s="635"/>
      <c r="P166" s="637"/>
      <c r="Q166" s="637"/>
      <c r="R166" s="635"/>
      <c r="S166" s="637"/>
      <c r="T166" s="644"/>
    </row>
    <row r="167" spans="1:20" x14ac:dyDescent="0.25">
      <c r="A167" s="23"/>
      <c r="B167" s="24"/>
      <c r="C167" s="25"/>
      <c r="D167" s="27"/>
      <c r="E167" s="27"/>
      <c r="F167" s="28"/>
      <c r="G167" s="27"/>
      <c r="H167" s="548"/>
      <c r="I167" s="27"/>
      <c r="J167" s="635"/>
      <c r="K167" s="635"/>
      <c r="L167" s="635"/>
      <c r="M167" s="635"/>
      <c r="N167" s="636"/>
      <c r="O167" s="635"/>
      <c r="P167" s="637"/>
      <c r="Q167" s="637"/>
      <c r="R167" s="635"/>
      <c r="S167" s="637"/>
      <c r="T167" s="644"/>
    </row>
    <row r="168" spans="1:20" x14ac:dyDescent="0.25">
      <c r="A168" s="23"/>
      <c r="B168" s="24"/>
      <c r="C168" s="25"/>
      <c r="D168" s="27"/>
      <c r="E168" s="27"/>
      <c r="F168" s="28"/>
      <c r="G168" s="27"/>
      <c r="H168" s="548"/>
      <c r="I168" s="27"/>
      <c r="J168" s="635"/>
      <c r="K168" s="635"/>
      <c r="L168" s="635"/>
      <c r="M168" s="635"/>
      <c r="N168" s="636"/>
      <c r="O168" s="635"/>
      <c r="P168" s="637"/>
      <c r="Q168" s="637"/>
      <c r="R168" s="635"/>
      <c r="S168" s="637"/>
      <c r="T168" s="644"/>
    </row>
    <row r="169" spans="1:20" x14ac:dyDescent="0.25">
      <c r="A169" s="23"/>
      <c r="B169" s="24"/>
      <c r="C169" s="25"/>
      <c r="D169" s="27"/>
      <c r="E169" s="27"/>
      <c r="F169" s="28"/>
      <c r="G169" s="27"/>
      <c r="H169" s="548"/>
      <c r="I169" s="27"/>
      <c r="J169" s="635"/>
      <c r="K169" s="635"/>
      <c r="L169" s="635"/>
      <c r="M169" s="635"/>
      <c r="N169" s="636"/>
      <c r="O169" s="635"/>
      <c r="P169" s="637"/>
      <c r="Q169" s="637"/>
      <c r="R169" s="635"/>
      <c r="S169" s="637"/>
      <c r="T169" s="644"/>
    </row>
    <row r="170" spans="1:20" x14ac:dyDescent="0.25">
      <c r="A170" s="23"/>
      <c r="B170" s="24"/>
      <c r="C170" s="25"/>
      <c r="D170" s="27"/>
      <c r="E170" s="27"/>
      <c r="F170" s="28"/>
      <c r="G170" s="27"/>
      <c r="H170" s="548"/>
      <c r="I170" s="27"/>
      <c r="J170" s="635"/>
      <c r="K170" s="635"/>
      <c r="L170" s="635"/>
      <c r="M170" s="635"/>
      <c r="N170" s="636"/>
      <c r="O170" s="635"/>
      <c r="P170" s="637"/>
      <c r="Q170" s="637"/>
      <c r="R170" s="635"/>
      <c r="S170" s="637"/>
      <c r="T170" s="644"/>
    </row>
    <row r="171" spans="1:20" x14ac:dyDescent="0.25">
      <c r="A171" s="23"/>
      <c r="B171" s="24"/>
      <c r="C171" s="25"/>
      <c r="D171" s="27"/>
      <c r="E171" s="27"/>
      <c r="F171" s="28"/>
      <c r="G171" s="27"/>
      <c r="H171" s="548"/>
      <c r="I171" s="27"/>
      <c r="J171" s="635"/>
      <c r="K171" s="635"/>
      <c r="L171" s="635"/>
      <c r="M171" s="635"/>
      <c r="N171" s="636"/>
      <c r="O171" s="635"/>
      <c r="P171" s="637"/>
      <c r="Q171" s="637"/>
      <c r="R171" s="635"/>
      <c r="S171" s="637"/>
      <c r="T171" s="644"/>
    </row>
    <row r="172" spans="1:20" x14ac:dyDescent="0.25">
      <c r="A172" s="23"/>
      <c r="B172" s="24"/>
      <c r="C172" s="25"/>
      <c r="D172" s="27"/>
      <c r="E172" s="27"/>
      <c r="F172" s="28"/>
      <c r="G172" s="27"/>
      <c r="H172" s="548"/>
      <c r="I172" s="27"/>
      <c r="J172" s="635"/>
      <c r="K172" s="635"/>
      <c r="L172" s="635"/>
      <c r="M172" s="635"/>
      <c r="N172" s="636"/>
      <c r="O172" s="635"/>
      <c r="P172" s="637"/>
      <c r="Q172" s="637"/>
      <c r="R172" s="635"/>
      <c r="S172" s="637"/>
      <c r="T172" s="644"/>
    </row>
    <row r="173" spans="1:20" x14ac:dyDescent="0.25">
      <c r="A173" s="23"/>
      <c r="B173" s="24"/>
      <c r="C173" s="25"/>
      <c r="D173" s="27"/>
      <c r="E173" s="27"/>
      <c r="F173" s="28"/>
      <c r="G173" s="27"/>
      <c r="H173" s="548"/>
      <c r="I173" s="27"/>
      <c r="J173" s="635"/>
      <c r="K173" s="635"/>
      <c r="L173" s="635"/>
      <c r="M173" s="635"/>
      <c r="N173" s="636"/>
      <c r="O173" s="635"/>
      <c r="P173" s="637"/>
      <c r="Q173" s="637"/>
      <c r="R173" s="635"/>
      <c r="S173" s="637"/>
      <c r="T173" s="644"/>
    </row>
    <row r="174" spans="1:20" x14ac:dyDescent="0.25">
      <c r="A174" s="23"/>
      <c r="B174" s="24"/>
      <c r="C174" s="25"/>
      <c r="D174" s="27"/>
      <c r="E174" s="27"/>
      <c r="F174" s="28"/>
      <c r="G174" s="27"/>
      <c r="H174" s="548"/>
      <c r="I174" s="27"/>
      <c r="J174" s="635"/>
      <c r="K174" s="635"/>
      <c r="L174" s="635"/>
      <c r="M174" s="635"/>
      <c r="N174" s="636"/>
      <c r="O174" s="635"/>
      <c r="P174" s="637"/>
      <c r="Q174" s="637"/>
      <c r="R174" s="635"/>
      <c r="S174" s="637"/>
      <c r="T174" s="644"/>
    </row>
    <row r="175" spans="1:20" x14ac:dyDescent="0.25">
      <c r="A175" s="23"/>
      <c r="B175" s="24"/>
      <c r="C175" s="25"/>
      <c r="D175" s="27"/>
      <c r="E175" s="27"/>
      <c r="F175" s="28"/>
      <c r="G175" s="27"/>
      <c r="H175" s="548"/>
      <c r="I175" s="27"/>
      <c r="J175" s="635"/>
      <c r="K175" s="635"/>
      <c r="L175" s="635"/>
      <c r="M175" s="635"/>
      <c r="N175" s="636"/>
      <c r="O175" s="635"/>
      <c r="P175" s="637"/>
      <c r="Q175" s="637"/>
      <c r="R175" s="635"/>
      <c r="S175" s="637"/>
      <c r="T175" s="644"/>
    </row>
    <row r="176" spans="1:20" x14ac:dyDescent="0.25">
      <c r="A176" s="23"/>
      <c r="B176" s="24"/>
      <c r="C176" s="25"/>
      <c r="D176" s="27"/>
      <c r="E176" s="27"/>
      <c r="F176" s="28"/>
      <c r="G176" s="27"/>
      <c r="H176" s="548"/>
      <c r="I176" s="27"/>
      <c r="J176" s="635"/>
      <c r="K176" s="635"/>
      <c r="L176" s="635"/>
      <c r="M176" s="635"/>
      <c r="N176" s="636"/>
      <c r="O176" s="635"/>
      <c r="P176" s="637"/>
      <c r="Q176" s="637"/>
      <c r="R176" s="635"/>
      <c r="S176" s="637"/>
      <c r="T176" s="644"/>
    </row>
    <row r="177" spans="1:20" x14ac:dyDescent="0.25">
      <c r="A177" s="23"/>
      <c r="B177" s="24"/>
      <c r="C177" s="25"/>
      <c r="D177" s="27"/>
      <c r="E177" s="27"/>
      <c r="F177" s="28"/>
      <c r="G177" s="27"/>
      <c r="H177" s="548"/>
      <c r="I177" s="27"/>
      <c r="J177" s="635"/>
      <c r="K177" s="635"/>
      <c r="L177" s="635"/>
      <c r="M177" s="635"/>
      <c r="N177" s="636"/>
      <c r="O177" s="635"/>
      <c r="P177" s="637"/>
      <c r="Q177" s="637"/>
      <c r="R177" s="635"/>
      <c r="S177" s="637"/>
      <c r="T177" s="644"/>
    </row>
    <row r="178" spans="1:20" x14ac:dyDescent="0.25">
      <c r="A178" s="23"/>
      <c r="B178" s="24"/>
      <c r="C178" s="25"/>
      <c r="D178" s="27"/>
      <c r="E178" s="27"/>
      <c r="F178" s="28"/>
      <c r="G178" s="27"/>
      <c r="H178" s="548"/>
      <c r="I178" s="27"/>
      <c r="J178" s="635"/>
      <c r="K178" s="635"/>
      <c r="L178" s="635"/>
      <c r="M178" s="635"/>
      <c r="N178" s="636"/>
      <c r="O178" s="635"/>
      <c r="P178" s="637"/>
      <c r="Q178" s="637"/>
      <c r="R178" s="635"/>
      <c r="S178" s="637"/>
      <c r="T178" s="644"/>
    </row>
    <row r="179" spans="1:20" x14ac:dyDescent="0.25">
      <c r="A179" s="23"/>
      <c r="B179" s="24"/>
      <c r="C179" s="25"/>
      <c r="D179" s="27"/>
      <c r="E179" s="27"/>
      <c r="F179" s="28"/>
      <c r="G179" s="27"/>
      <c r="H179" s="548"/>
      <c r="I179" s="27"/>
      <c r="J179" s="635"/>
      <c r="K179" s="635"/>
      <c r="L179" s="635"/>
      <c r="M179" s="635"/>
      <c r="N179" s="636"/>
      <c r="O179" s="635"/>
      <c r="P179" s="637"/>
      <c r="Q179" s="637"/>
      <c r="R179" s="635"/>
      <c r="S179" s="637"/>
      <c r="T179" s="644"/>
    </row>
    <row r="180" spans="1:20" x14ac:dyDescent="0.25">
      <c r="A180" s="23"/>
      <c r="B180" s="24"/>
      <c r="C180" s="25"/>
      <c r="D180" s="27"/>
      <c r="E180" s="27"/>
      <c r="F180" s="28"/>
      <c r="G180" s="27"/>
      <c r="H180" s="548"/>
      <c r="I180" s="27"/>
      <c r="J180" s="635"/>
      <c r="K180" s="635"/>
      <c r="L180" s="635"/>
      <c r="M180" s="635"/>
      <c r="N180" s="636"/>
      <c r="O180" s="635"/>
      <c r="P180" s="637"/>
      <c r="Q180" s="637"/>
      <c r="R180" s="635"/>
      <c r="S180" s="637"/>
      <c r="T180" s="644"/>
    </row>
    <row r="181" spans="1:20" x14ac:dyDescent="0.25">
      <c r="A181" s="23"/>
      <c r="B181" s="24"/>
      <c r="C181" s="25"/>
      <c r="D181" s="27"/>
      <c r="E181" s="27"/>
      <c r="F181" s="28"/>
      <c r="G181" s="27"/>
      <c r="H181" s="548"/>
      <c r="I181" s="27"/>
      <c r="J181" s="635"/>
      <c r="K181" s="635"/>
      <c r="L181" s="635"/>
      <c r="M181" s="635"/>
      <c r="N181" s="636"/>
      <c r="O181" s="635"/>
      <c r="P181" s="637"/>
      <c r="Q181" s="637"/>
      <c r="R181" s="635"/>
      <c r="S181" s="637"/>
      <c r="T181" s="644"/>
    </row>
    <row r="182" spans="1:20" x14ac:dyDescent="0.25">
      <c r="A182" s="23"/>
      <c r="B182" s="24"/>
      <c r="C182" s="25"/>
      <c r="D182" s="27"/>
      <c r="E182" s="27"/>
      <c r="F182" s="28"/>
      <c r="G182" s="27"/>
      <c r="H182" s="548"/>
      <c r="I182" s="27"/>
      <c r="J182" s="635"/>
      <c r="K182" s="635"/>
      <c r="L182" s="635"/>
      <c r="M182" s="635"/>
      <c r="N182" s="636"/>
      <c r="O182" s="635"/>
      <c r="P182" s="637"/>
      <c r="Q182" s="637"/>
      <c r="R182" s="635"/>
      <c r="S182" s="637"/>
      <c r="T182" s="644"/>
    </row>
    <row r="183" spans="1:20" x14ac:dyDescent="0.25">
      <c r="A183" s="23"/>
      <c r="B183" s="24"/>
      <c r="C183" s="25"/>
      <c r="D183" s="27"/>
      <c r="E183" s="27"/>
      <c r="F183" s="28"/>
      <c r="G183" s="27"/>
      <c r="H183" s="548"/>
      <c r="I183" s="27"/>
      <c r="J183" s="635"/>
      <c r="K183" s="635"/>
      <c r="L183" s="635"/>
      <c r="M183" s="635"/>
      <c r="N183" s="636"/>
      <c r="O183" s="635"/>
      <c r="P183" s="637"/>
      <c r="Q183" s="637"/>
      <c r="R183" s="635"/>
      <c r="S183" s="637"/>
      <c r="T183" s="644"/>
    </row>
    <row r="184" spans="1:20" x14ac:dyDescent="0.25">
      <c r="A184" s="23"/>
      <c r="B184" s="24"/>
      <c r="C184" s="25"/>
      <c r="D184" s="27"/>
      <c r="E184" s="27"/>
      <c r="F184" s="28"/>
      <c r="G184" s="27"/>
      <c r="H184" s="548"/>
      <c r="I184" s="27"/>
      <c r="J184" s="635"/>
      <c r="K184" s="635"/>
      <c r="L184" s="635"/>
      <c r="M184" s="635"/>
      <c r="N184" s="636"/>
      <c r="O184" s="635"/>
      <c r="P184" s="637"/>
      <c r="Q184" s="637"/>
      <c r="R184" s="635"/>
      <c r="S184" s="637"/>
      <c r="T184" s="644"/>
    </row>
    <row r="185" spans="1:20" x14ac:dyDescent="0.25">
      <c r="A185" s="23"/>
      <c r="B185" s="24"/>
      <c r="C185" s="25"/>
      <c r="D185" s="27"/>
      <c r="E185" s="27"/>
      <c r="F185" s="28"/>
      <c r="G185" s="27"/>
      <c r="H185" s="548"/>
      <c r="I185" s="27"/>
      <c r="J185" s="635"/>
      <c r="K185" s="635"/>
      <c r="L185" s="635"/>
      <c r="M185" s="635"/>
      <c r="N185" s="636"/>
      <c r="O185" s="635"/>
      <c r="P185" s="637"/>
      <c r="Q185" s="637"/>
      <c r="R185" s="635"/>
      <c r="S185" s="637"/>
      <c r="T185" s="644"/>
    </row>
    <row r="186" spans="1:20" x14ac:dyDescent="0.25">
      <c r="A186" s="23"/>
      <c r="B186" s="24"/>
      <c r="C186" s="25"/>
      <c r="D186" s="27"/>
      <c r="E186" s="27"/>
      <c r="F186" s="28"/>
      <c r="G186" s="27"/>
      <c r="H186" s="548"/>
      <c r="I186" s="27"/>
      <c r="J186" s="635"/>
      <c r="K186" s="635"/>
      <c r="L186" s="635"/>
      <c r="M186" s="635"/>
      <c r="N186" s="636"/>
      <c r="O186" s="635"/>
      <c r="P186" s="637"/>
      <c r="Q186" s="637"/>
      <c r="R186" s="635"/>
      <c r="S186" s="637"/>
      <c r="T186" s="644"/>
    </row>
    <row r="187" spans="1:20" x14ac:dyDescent="0.25">
      <c r="A187" s="23"/>
      <c r="B187" s="24"/>
      <c r="C187" s="25"/>
      <c r="D187" s="27"/>
      <c r="E187" s="27"/>
      <c r="F187" s="28"/>
      <c r="G187" s="27"/>
      <c r="H187" s="548"/>
      <c r="I187" s="27"/>
      <c r="J187" s="635"/>
      <c r="K187" s="635"/>
      <c r="L187" s="635"/>
      <c r="M187" s="635"/>
      <c r="N187" s="636"/>
      <c r="O187" s="635"/>
      <c r="P187" s="637"/>
      <c r="Q187" s="637"/>
      <c r="R187" s="635"/>
      <c r="S187" s="637"/>
      <c r="T187" s="644"/>
    </row>
    <row r="188" spans="1:20" x14ac:dyDescent="0.25">
      <c r="A188" s="23"/>
      <c r="B188" s="24"/>
      <c r="C188" s="25"/>
      <c r="D188" s="27"/>
      <c r="E188" s="27"/>
      <c r="F188" s="28"/>
      <c r="G188" s="27"/>
      <c r="H188" s="548"/>
      <c r="I188" s="27"/>
      <c r="J188" s="635"/>
      <c r="K188" s="635"/>
      <c r="L188" s="635"/>
      <c r="M188" s="635"/>
      <c r="N188" s="636"/>
      <c r="O188" s="635"/>
      <c r="P188" s="637"/>
      <c r="Q188" s="637"/>
      <c r="R188" s="635"/>
      <c r="S188" s="637"/>
      <c r="T188" s="644"/>
    </row>
    <row r="189" spans="1:20" x14ac:dyDescent="0.25">
      <c r="A189" s="23"/>
      <c r="B189" s="24"/>
      <c r="C189" s="25"/>
      <c r="D189" s="27"/>
      <c r="E189" s="27"/>
      <c r="F189" s="28"/>
      <c r="G189" s="27"/>
      <c r="H189" s="548"/>
      <c r="I189" s="27"/>
      <c r="J189" s="635"/>
      <c r="K189" s="635"/>
      <c r="L189" s="635"/>
      <c r="M189" s="635"/>
      <c r="N189" s="636"/>
      <c r="O189" s="635"/>
      <c r="P189" s="637"/>
      <c r="Q189" s="637"/>
      <c r="R189" s="635"/>
      <c r="S189" s="637"/>
      <c r="T189" s="644"/>
    </row>
    <row r="190" spans="1:20" x14ac:dyDescent="0.25">
      <c r="A190" s="23"/>
      <c r="B190" s="24"/>
      <c r="C190" s="25"/>
      <c r="D190" s="27"/>
      <c r="E190" s="27"/>
      <c r="F190" s="28"/>
      <c r="G190" s="27"/>
      <c r="H190" s="548"/>
      <c r="I190" s="27"/>
      <c r="J190" s="635"/>
      <c r="K190" s="635"/>
      <c r="L190" s="635"/>
      <c r="M190" s="635"/>
      <c r="N190" s="636"/>
      <c r="O190" s="635"/>
      <c r="P190" s="637"/>
      <c r="Q190" s="637"/>
      <c r="R190" s="635"/>
      <c r="S190" s="637"/>
      <c r="T190" s="644"/>
    </row>
    <row r="191" spans="1:20" x14ac:dyDescent="0.25">
      <c r="A191" s="23"/>
      <c r="B191" s="24"/>
      <c r="C191" s="25"/>
      <c r="D191" s="27"/>
      <c r="E191" s="27"/>
      <c r="F191" s="28"/>
      <c r="G191" s="27"/>
      <c r="H191" s="548"/>
      <c r="I191" s="27"/>
      <c r="J191" s="635"/>
      <c r="K191" s="635"/>
      <c r="L191" s="635"/>
      <c r="M191" s="635"/>
      <c r="N191" s="636"/>
      <c r="O191" s="635"/>
      <c r="P191" s="637"/>
      <c r="Q191" s="637"/>
      <c r="R191" s="635"/>
      <c r="S191" s="637"/>
      <c r="T191" s="644"/>
    </row>
    <row r="192" spans="1:20" x14ac:dyDescent="0.25">
      <c r="A192" s="23"/>
      <c r="B192" s="24"/>
      <c r="C192" s="25"/>
      <c r="D192" s="27"/>
      <c r="E192" s="27"/>
      <c r="F192" s="28"/>
      <c r="G192" s="27"/>
      <c r="H192" s="548"/>
      <c r="I192" s="27"/>
      <c r="J192" s="635"/>
      <c r="K192" s="635"/>
      <c r="L192" s="635"/>
      <c r="M192" s="635"/>
      <c r="N192" s="636"/>
      <c r="O192" s="635"/>
      <c r="P192" s="637"/>
      <c r="Q192" s="637"/>
      <c r="R192" s="635"/>
      <c r="S192" s="637"/>
      <c r="T192" s="644"/>
    </row>
    <row r="193" spans="1:20" x14ac:dyDescent="0.25">
      <c r="A193" s="23"/>
      <c r="B193" s="24"/>
      <c r="C193" s="25"/>
      <c r="D193" s="27"/>
      <c r="E193" s="27"/>
      <c r="F193" s="28"/>
      <c r="G193" s="27"/>
      <c r="H193" s="548"/>
      <c r="I193" s="27"/>
      <c r="J193" s="635"/>
      <c r="K193" s="635"/>
      <c r="L193" s="635"/>
      <c r="M193" s="635"/>
      <c r="N193" s="636"/>
      <c r="O193" s="635"/>
      <c r="P193" s="637"/>
      <c r="Q193" s="637"/>
      <c r="R193" s="635"/>
      <c r="S193" s="637"/>
      <c r="T193" s="644"/>
    </row>
    <row r="194" spans="1:20" x14ac:dyDescent="0.25">
      <c r="A194" s="23"/>
      <c r="B194" s="24"/>
      <c r="C194" s="25"/>
      <c r="D194" s="27"/>
      <c r="E194" s="27"/>
      <c r="F194" s="28"/>
      <c r="G194" s="27"/>
      <c r="H194" s="548"/>
      <c r="I194" s="27"/>
      <c r="J194" s="635"/>
      <c r="K194" s="635"/>
      <c r="L194" s="635"/>
      <c r="M194" s="635"/>
      <c r="N194" s="636"/>
      <c r="O194" s="635"/>
      <c r="P194" s="637"/>
      <c r="Q194" s="637"/>
      <c r="R194" s="635"/>
      <c r="S194" s="637"/>
      <c r="T194" s="644"/>
    </row>
    <row r="195" spans="1:20" x14ac:dyDescent="0.25">
      <c r="A195" s="23"/>
      <c r="B195" s="24"/>
      <c r="C195" s="25"/>
      <c r="D195" s="27"/>
      <c r="E195" s="27"/>
      <c r="F195" s="28"/>
      <c r="G195" s="27"/>
      <c r="H195" s="548"/>
      <c r="I195" s="27"/>
      <c r="J195" s="635"/>
      <c r="K195" s="635"/>
      <c r="L195" s="635"/>
      <c r="M195" s="635"/>
      <c r="N195" s="636"/>
      <c r="O195" s="635"/>
      <c r="P195" s="637"/>
      <c r="Q195" s="637"/>
      <c r="R195" s="635"/>
      <c r="S195" s="637"/>
      <c r="T195" s="644"/>
    </row>
    <row r="196" spans="1:20" x14ac:dyDescent="0.25">
      <c r="A196" s="23"/>
      <c r="B196" s="24"/>
      <c r="C196" s="25"/>
      <c r="D196" s="27"/>
      <c r="E196" s="27"/>
      <c r="F196" s="28"/>
      <c r="G196" s="27"/>
      <c r="H196" s="548"/>
      <c r="I196" s="27"/>
      <c r="J196" s="635"/>
      <c r="K196" s="635"/>
      <c r="L196" s="635"/>
      <c r="M196" s="635"/>
      <c r="N196" s="636"/>
      <c r="O196" s="635"/>
      <c r="P196" s="637"/>
      <c r="Q196" s="637"/>
      <c r="R196" s="635"/>
      <c r="S196" s="637"/>
      <c r="T196" s="644"/>
    </row>
    <row r="197" spans="1:20" x14ac:dyDescent="0.25">
      <c r="A197" s="23"/>
      <c r="B197" s="24"/>
      <c r="C197" s="25"/>
      <c r="D197" s="27"/>
      <c r="E197" s="27"/>
      <c r="F197" s="28"/>
      <c r="G197" s="27"/>
      <c r="H197" s="548"/>
      <c r="I197" s="27"/>
      <c r="J197" s="635"/>
      <c r="K197" s="635"/>
      <c r="L197" s="635"/>
      <c r="M197" s="635"/>
      <c r="N197" s="636"/>
      <c r="O197" s="635"/>
      <c r="P197" s="637"/>
      <c r="Q197" s="637"/>
      <c r="R197" s="635"/>
      <c r="S197" s="637"/>
      <c r="T197" s="644"/>
    </row>
    <row r="198" spans="1:20" x14ac:dyDescent="0.25">
      <c r="A198" s="23"/>
      <c r="B198" s="24"/>
      <c r="C198" s="25"/>
      <c r="D198" s="27"/>
      <c r="E198" s="27"/>
      <c r="F198" s="28"/>
      <c r="G198" s="27"/>
      <c r="H198" s="548"/>
      <c r="I198" s="27"/>
      <c r="J198" s="635"/>
      <c r="K198" s="635"/>
      <c r="L198" s="635"/>
      <c r="M198" s="635"/>
      <c r="N198" s="636"/>
      <c r="O198" s="635"/>
      <c r="P198" s="637"/>
      <c r="Q198" s="637"/>
      <c r="R198" s="635"/>
      <c r="S198" s="637"/>
      <c r="T198" s="644"/>
    </row>
    <row r="199" spans="1:20" x14ac:dyDescent="0.25">
      <c r="A199" s="23"/>
      <c r="B199" s="24"/>
      <c r="C199" s="25"/>
      <c r="D199" s="27"/>
      <c r="E199" s="27"/>
      <c r="F199" s="28"/>
      <c r="G199" s="27"/>
      <c r="H199" s="548"/>
      <c r="I199" s="27"/>
      <c r="J199" s="635"/>
      <c r="K199" s="635"/>
      <c r="L199" s="635"/>
      <c r="M199" s="635"/>
      <c r="N199" s="636"/>
      <c r="O199" s="635"/>
      <c r="P199" s="637"/>
      <c r="Q199" s="637"/>
      <c r="R199" s="635"/>
      <c r="S199" s="637"/>
      <c r="T199" s="644"/>
    </row>
    <row r="200" spans="1:20" x14ac:dyDescent="0.25">
      <c r="A200" s="23"/>
      <c r="B200" s="24"/>
      <c r="C200" s="25"/>
      <c r="D200" s="27"/>
      <c r="E200" s="27"/>
      <c r="F200" s="28"/>
      <c r="G200" s="27"/>
      <c r="H200" s="548"/>
      <c r="I200" s="27"/>
      <c r="J200" s="635"/>
      <c r="K200" s="635"/>
      <c r="L200" s="635"/>
      <c r="M200" s="635"/>
      <c r="N200" s="636"/>
      <c r="O200" s="635"/>
      <c r="P200" s="637"/>
      <c r="Q200" s="637"/>
      <c r="R200" s="635"/>
      <c r="S200" s="637"/>
      <c r="T200" s="644"/>
    </row>
    <row r="201" spans="1:20" x14ac:dyDescent="0.25">
      <c r="A201" s="23"/>
      <c r="B201" s="24"/>
      <c r="C201" s="25"/>
      <c r="D201" s="27"/>
      <c r="E201" s="27"/>
      <c r="F201" s="28"/>
      <c r="G201" s="27"/>
      <c r="H201" s="548"/>
      <c r="I201" s="27"/>
      <c r="J201" s="635"/>
      <c r="K201" s="635"/>
      <c r="L201" s="635"/>
      <c r="M201" s="635"/>
      <c r="N201" s="636"/>
      <c r="O201" s="635"/>
      <c r="P201" s="637"/>
      <c r="Q201" s="637"/>
      <c r="R201" s="635"/>
      <c r="S201" s="637"/>
      <c r="T201" s="644"/>
    </row>
    <row r="202" spans="1:20" x14ac:dyDescent="0.25">
      <c r="A202" s="23"/>
      <c r="B202" s="24"/>
      <c r="C202" s="25"/>
      <c r="D202" s="27"/>
      <c r="E202" s="27"/>
      <c r="F202" s="28"/>
      <c r="G202" s="27"/>
      <c r="H202" s="548"/>
      <c r="I202" s="27"/>
      <c r="J202" s="635"/>
      <c r="K202" s="635"/>
      <c r="L202" s="635"/>
      <c r="M202" s="635"/>
      <c r="N202" s="636"/>
      <c r="O202" s="635"/>
      <c r="P202" s="637"/>
      <c r="Q202" s="637"/>
      <c r="R202" s="635"/>
      <c r="S202" s="637"/>
      <c r="T202" s="644"/>
    </row>
    <row r="203" spans="1:20" x14ac:dyDescent="0.25">
      <c r="A203" s="23"/>
      <c r="B203" s="24"/>
      <c r="C203" s="25"/>
      <c r="D203" s="27"/>
      <c r="E203" s="27"/>
      <c r="F203" s="28"/>
      <c r="G203" s="27"/>
      <c r="H203" s="548"/>
      <c r="I203" s="27"/>
      <c r="J203" s="635"/>
      <c r="K203" s="635"/>
      <c r="L203" s="635"/>
      <c r="M203" s="635"/>
      <c r="N203" s="636"/>
      <c r="O203" s="635"/>
      <c r="P203" s="637"/>
      <c r="Q203" s="637"/>
      <c r="R203" s="635"/>
      <c r="S203" s="637"/>
      <c r="T203" s="644"/>
    </row>
    <row r="204" spans="1:20" x14ac:dyDescent="0.25">
      <c r="A204" s="23"/>
      <c r="B204" s="24"/>
      <c r="C204" s="25"/>
      <c r="D204" s="27"/>
      <c r="E204" s="27"/>
      <c r="F204" s="28"/>
      <c r="G204" s="27"/>
      <c r="H204" s="548"/>
      <c r="I204" s="27"/>
      <c r="J204" s="635"/>
      <c r="K204" s="635"/>
      <c r="L204" s="635"/>
      <c r="M204" s="635"/>
      <c r="N204" s="636"/>
      <c r="O204" s="635"/>
      <c r="P204" s="637"/>
      <c r="Q204" s="637"/>
      <c r="R204" s="635"/>
      <c r="S204" s="637"/>
      <c r="T204" s="644"/>
    </row>
    <row r="205" spans="1:20" x14ac:dyDescent="0.25">
      <c r="A205" s="23"/>
      <c r="B205" s="24"/>
      <c r="C205" s="25"/>
      <c r="D205" s="27"/>
      <c r="E205" s="27"/>
      <c r="F205" s="28"/>
      <c r="G205" s="27"/>
      <c r="H205" s="548"/>
      <c r="I205" s="27"/>
      <c r="J205" s="635"/>
      <c r="K205" s="635"/>
      <c r="L205" s="635"/>
      <c r="M205" s="635"/>
      <c r="N205" s="636"/>
      <c r="O205" s="635"/>
      <c r="P205" s="637"/>
      <c r="Q205" s="637"/>
      <c r="R205" s="635"/>
      <c r="S205" s="637"/>
      <c r="T205" s="644"/>
    </row>
    <row r="206" spans="1:20" x14ac:dyDescent="0.25">
      <c r="A206" s="23"/>
      <c r="B206" s="24"/>
      <c r="C206" s="25"/>
      <c r="D206" s="27"/>
      <c r="E206" s="27"/>
      <c r="F206" s="28"/>
      <c r="G206" s="27"/>
      <c r="H206" s="548"/>
      <c r="I206" s="27"/>
      <c r="J206" s="635"/>
      <c r="K206" s="635"/>
      <c r="L206" s="635"/>
      <c r="M206" s="635"/>
      <c r="N206" s="636"/>
      <c r="O206" s="635"/>
      <c r="P206" s="637"/>
      <c r="Q206" s="637"/>
      <c r="R206" s="635"/>
      <c r="S206" s="637"/>
      <c r="T206" s="644"/>
    </row>
    <row r="207" spans="1:20" x14ac:dyDescent="0.25">
      <c r="A207" s="23"/>
      <c r="B207" s="24"/>
      <c r="C207" s="25"/>
      <c r="D207" s="27"/>
      <c r="E207" s="27"/>
      <c r="F207" s="28"/>
      <c r="G207" s="27"/>
      <c r="H207" s="548"/>
      <c r="I207" s="27"/>
      <c r="J207" s="635"/>
      <c r="K207" s="635"/>
      <c r="L207" s="635"/>
      <c r="M207" s="635"/>
      <c r="N207" s="636"/>
      <c r="O207" s="635"/>
      <c r="P207" s="637"/>
      <c r="Q207" s="637"/>
      <c r="R207" s="635"/>
      <c r="S207" s="637"/>
      <c r="T207" s="644"/>
    </row>
    <row r="208" spans="1:20" x14ac:dyDescent="0.25">
      <c r="A208" s="23"/>
      <c r="B208" s="24"/>
      <c r="C208" s="25"/>
      <c r="D208" s="27"/>
      <c r="E208" s="27"/>
      <c r="F208" s="28"/>
      <c r="G208" s="27"/>
      <c r="H208" s="548"/>
      <c r="I208" s="27"/>
      <c r="J208" s="635"/>
      <c r="K208" s="635"/>
      <c r="L208" s="635"/>
      <c r="M208" s="635"/>
      <c r="N208" s="636"/>
      <c r="O208" s="635"/>
      <c r="P208" s="637"/>
      <c r="Q208" s="637"/>
      <c r="R208" s="635"/>
      <c r="S208" s="637"/>
      <c r="T208" s="644"/>
    </row>
    <row r="209" spans="1:20" x14ac:dyDescent="0.25">
      <c r="A209" s="23"/>
      <c r="B209" s="24"/>
      <c r="C209" s="25"/>
      <c r="D209" s="27"/>
      <c r="E209" s="27"/>
      <c r="F209" s="28"/>
      <c r="G209" s="27"/>
      <c r="H209" s="548"/>
      <c r="I209" s="27"/>
      <c r="J209" s="635"/>
      <c r="K209" s="635"/>
      <c r="L209" s="635"/>
      <c r="M209" s="635"/>
      <c r="N209" s="636"/>
      <c r="O209" s="635"/>
      <c r="P209" s="637"/>
      <c r="Q209" s="637"/>
      <c r="R209" s="635"/>
      <c r="S209" s="637"/>
      <c r="T209" s="644"/>
    </row>
    <row r="210" spans="1:20" x14ac:dyDescent="0.25">
      <c r="A210" s="23"/>
      <c r="B210" s="24"/>
      <c r="C210" s="25"/>
      <c r="D210" s="27"/>
      <c r="E210" s="27"/>
      <c r="F210" s="28"/>
      <c r="G210" s="27"/>
      <c r="H210" s="548"/>
      <c r="I210" s="27"/>
      <c r="J210" s="635"/>
      <c r="K210" s="635"/>
      <c r="L210" s="635"/>
      <c r="M210" s="635"/>
      <c r="N210" s="636"/>
      <c r="O210" s="635"/>
      <c r="P210" s="637"/>
      <c r="Q210" s="637"/>
      <c r="R210" s="635"/>
      <c r="S210" s="637"/>
      <c r="T210" s="644"/>
    </row>
    <row r="211" spans="1:20" x14ac:dyDescent="0.25">
      <c r="A211" s="23"/>
      <c r="B211" s="24"/>
      <c r="C211" s="25"/>
      <c r="D211" s="27"/>
      <c r="E211" s="27"/>
      <c r="F211" s="28"/>
      <c r="G211" s="27"/>
      <c r="H211" s="548"/>
      <c r="I211" s="27"/>
      <c r="J211" s="635"/>
      <c r="K211" s="635"/>
      <c r="L211" s="635"/>
      <c r="M211" s="635"/>
      <c r="N211" s="636"/>
      <c r="O211" s="635"/>
      <c r="P211" s="637"/>
      <c r="Q211" s="637"/>
      <c r="R211" s="635"/>
      <c r="S211" s="637"/>
      <c r="T211" s="644"/>
    </row>
    <row r="212" spans="1:20" x14ac:dyDescent="0.25">
      <c r="A212" s="23"/>
      <c r="B212" s="24"/>
      <c r="C212" s="25"/>
      <c r="D212" s="27"/>
      <c r="E212" s="27"/>
      <c r="F212" s="28"/>
      <c r="G212" s="27"/>
      <c r="H212" s="548"/>
      <c r="I212" s="27"/>
      <c r="J212" s="635"/>
      <c r="K212" s="635"/>
      <c r="L212" s="635"/>
      <c r="M212" s="635"/>
      <c r="N212" s="636"/>
      <c r="O212" s="635"/>
      <c r="P212" s="637"/>
      <c r="Q212" s="637"/>
      <c r="R212" s="635"/>
      <c r="S212" s="637"/>
      <c r="T212" s="644"/>
    </row>
    <row r="213" spans="1:20" x14ac:dyDescent="0.25">
      <c r="A213" s="23"/>
      <c r="B213" s="24"/>
      <c r="C213" s="25"/>
      <c r="D213" s="27"/>
      <c r="E213" s="27"/>
      <c r="F213" s="28"/>
      <c r="G213" s="27"/>
      <c r="H213" s="548"/>
      <c r="I213" s="27"/>
      <c r="J213" s="635"/>
      <c r="K213" s="635"/>
      <c r="L213" s="635"/>
      <c r="M213" s="635"/>
      <c r="N213" s="636"/>
      <c r="O213" s="635"/>
      <c r="P213" s="637"/>
      <c r="Q213" s="637"/>
      <c r="R213" s="635"/>
      <c r="S213" s="637"/>
      <c r="T213" s="644"/>
    </row>
    <row r="214" spans="1:20" x14ac:dyDescent="0.25">
      <c r="A214" s="23"/>
      <c r="B214" s="24"/>
      <c r="C214" s="25"/>
      <c r="D214" s="27"/>
      <c r="E214" s="27"/>
      <c r="F214" s="28"/>
      <c r="G214" s="27"/>
      <c r="H214" s="548"/>
      <c r="I214" s="27"/>
      <c r="J214" s="635"/>
      <c r="K214" s="635"/>
      <c r="L214" s="635"/>
      <c r="M214" s="635"/>
      <c r="N214" s="636"/>
      <c r="O214" s="635"/>
      <c r="P214" s="637"/>
      <c r="Q214" s="637"/>
      <c r="R214" s="635"/>
      <c r="S214" s="637"/>
      <c r="T214" s="644"/>
    </row>
    <row r="215" spans="1:20" x14ac:dyDescent="0.25">
      <c r="A215" s="23"/>
      <c r="B215" s="24"/>
      <c r="C215" s="25"/>
      <c r="D215" s="27"/>
      <c r="E215" s="27"/>
      <c r="F215" s="28"/>
      <c r="G215" s="27"/>
      <c r="H215" s="548"/>
      <c r="I215" s="27"/>
      <c r="J215" s="635"/>
      <c r="K215" s="635"/>
      <c r="L215" s="635"/>
      <c r="M215" s="635"/>
      <c r="N215" s="636"/>
      <c r="O215" s="635"/>
      <c r="P215" s="637"/>
      <c r="Q215" s="637"/>
      <c r="R215" s="635"/>
      <c r="S215" s="637"/>
      <c r="T215" s="644"/>
    </row>
    <row r="216" spans="1:20" x14ac:dyDescent="0.25">
      <c r="A216" s="23"/>
      <c r="B216" s="24"/>
      <c r="C216" s="25"/>
      <c r="D216" s="27"/>
      <c r="E216" s="27"/>
      <c r="F216" s="28"/>
      <c r="G216" s="27"/>
      <c r="H216" s="548"/>
      <c r="I216" s="27"/>
      <c r="J216" s="635"/>
      <c r="K216" s="635"/>
      <c r="L216" s="635"/>
      <c r="M216" s="635"/>
      <c r="N216" s="636"/>
      <c r="O216" s="635"/>
      <c r="P216" s="637"/>
      <c r="Q216" s="637"/>
      <c r="R216" s="635"/>
      <c r="S216" s="637"/>
      <c r="T216" s="644"/>
    </row>
    <row r="217" spans="1:20" x14ac:dyDescent="0.25">
      <c r="A217" s="23"/>
      <c r="B217" s="24"/>
      <c r="C217" s="25"/>
      <c r="D217" s="27"/>
      <c r="E217" s="27"/>
      <c r="F217" s="28"/>
      <c r="G217" s="27"/>
      <c r="H217" s="548"/>
      <c r="I217" s="27"/>
      <c r="J217" s="635"/>
      <c r="K217" s="635"/>
      <c r="L217" s="635"/>
      <c r="M217" s="635"/>
      <c r="N217" s="636"/>
      <c r="O217" s="635"/>
      <c r="P217" s="637"/>
      <c r="Q217" s="637"/>
      <c r="R217" s="635"/>
      <c r="S217" s="637"/>
      <c r="T217" s="644"/>
    </row>
    <row r="218" spans="1:20" x14ac:dyDescent="0.25">
      <c r="A218" s="23"/>
      <c r="B218" s="24"/>
      <c r="C218" s="25"/>
      <c r="D218" s="27"/>
      <c r="E218" s="27"/>
      <c r="F218" s="28"/>
      <c r="G218" s="27"/>
      <c r="H218" s="548"/>
      <c r="I218" s="27"/>
      <c r="J218" s="635"/>
      <c r="K218" s="635"/>
      <c r="L218" s="635"/>
      <c r="M218" s="635"/>
      <c r="N218" s="636"/>
      <c r="O218" s="635"/>
      <c r="P218" s="637"/>
      <c r="Q218" s="637"/>
      <c r="R218" s="635"/>
      <c r="S218" s="637"/>
      <c r="T218" s="644"/>
    </row>
    <row r="219" spans="1:20" x14ac:dyDescent="0.25">
      <c r="A219" s="23"/>
      <c r="B219" s="24"/>
      <c r="C219" s="25"/>
      <c r="D219" s="27"/>
      <c r="E219" s="27"/>
      <c r="F219" s="28"/>
      <c r="G219" s="27"/>
      <c r="H219" s="548"/>
      <c r="I219" s="27"/>
      <c r="J219" s="635"/>
      <c r="K219" s="635"/>
      <c r="L219" s="635"/>
      <c r="M219" s="635"/>
      <c r="N219" s="636"/>
      <c r="O219" s="635"/>
      <c r="P219" s="637"/>
      <c r="Q219" s="637"/>
      <c r="R219" s="635"/>
      <c r="S219" s="637"/>
      <c r="T219" s="644"/>
    </row>
    <row r="220" spans="1:20" x14ac:dyDescent="0.25">
      <c r="A220" s="23"/>
      <c r="B220" s="24"/>
      <c r="C220" s="25"/>
      <c r="D220" s="27"/>
      <c r="E220" s="27"/>
      <c r="F220" s="28"/>
      <c r="G220" s="27"/>
      <c r="H220" s="548"/>
      <c r="I220" s="27"/>
      <c r="J220" s="635"/>
      <c r="K220" s="635"/>
      <c r="L220" s="635"/>
      <c r="M220" s="635"/>
      <c r="N220" s="636"/>
      <c r="O220" s="635"/>
      <c r="P220" s="637"/>
      <c r="Q220" s="637"/>
      <c r="R220" s="635"/>
      <c r="S220" s="637"/>
      <c r="T220" s="644"/>
    </row>
    <row r="221" spans="1:20" x14ac:dyDescent="0.25">
      <c r="A221" s="23"/>
      <c r="B221" s="24"/>
      <c r="C221" s="25"/>
      <c r="D221" s="27"/>
      <c r="E221" s="27"/>
      <c r="F221" s="28"/>
      <c r="G221" s="27"/>
      <c r="H221" s="548"/>
      <c r="I221" s="27"/>
      <c r="J221" s="635"/>
      <c r="K221" s="635"/>
      <c r="L221" s="635"/>
      <c r="M221" s="635"/>
      <c r="N221" s="636"/>
      <c r="O221" s="635"/>
      <c r="P221" s="637"/>
      <c r="Q221" s="637"/>
      <c r="R221" s="635"/>
      <c r="S221" s="637"/>
      <c r="T221" s="644"/>
    </row>
    <row r="222" spans="1:20" x14ac:dyDescent="0.25">
      <c r="A222" s="23"/>
      <c r="B222" s="24"/>
      <c r="C222" s="25"/>
      <c r="D222" s="27"/>
      <c r="E222" s="27"/>
      <c r="F222" s="28"/>
      <c r="G222" s="27"/>
      <c r="H222" s="548"/>
      <c r="I222" s="27"/>
      <c r="J222" s="635"/>
      <c r="K222" s="635"/>
      <c r="L222" s="635"/>
      <c r="M222" s="635"/>
      <c r="N222" s="636"/>
      <c r="O222" s="635"/>
      <c r="P222" s="637"/>
      <c r="Q222" s="637"/>
      <c r="R222" s="635"/>
      <c r="S222" s="637"/>
      <c r="T222" s="644"/>
    </row>
    <row r="223" spans="1:20" x14ac:dyDescent="0.25">
      <c r="A223" s="23"/>
      <c r="B223" s="24"/>
      <c r="C223" s="25"/>
      <c r="D223" s="27"/>
      <c r="E223" s="27"/>
      <c r="F223" s="28"/>
      <c r="G223" s="27"/>
      <c r="H223" s="548"/>
      <c r="I223" s="27"/>
      <c r="J223" s="635"/>
      <c r="K223" s="635"/>
      <c r="L223" s="635"/>
      <c r="M223" s="635"/>
      <c r="N223" s="636"/>
      <c r="O223" s="635"/>
      <c r="P223" s="637"/>
      <c r="Q223" s="637"/>
      <c r="R223" s="635"/>
      <c r="S223" s="637"/>
      <c r="T223" s="644"/>
    </row>
    <row r="224" spans="1:20" x14ac:dyDescent="0.25">
      <c r="A224" s="23"/>
      <c r="B224" s="24"/>
      <c r="C224" s="25"/>
      <c r="D224" s="27"/>
      <c r="E224" s="27"/>
      <c r="F224" s="28"/>
      <c r="G224" s="27"/>
      <c r="H224" s="548"/>
      <c r="I224" s="27"/>
      <c r="J224" s="635"/>
      <c r="K224" s="635"/>
      <c r="L224" s="635"/>
      <c r="M224" s="635"/>
      <c r="N224" s="636"/>
      <c r="O224" s="635"/>
      <c r="P224" s="637"/>
      <c r="Q224" s="637"/>
      <c r="R224" s="635"/>
      <c r="S224" s="637"/>
      <c r="T224" s="644"/>
    </row>
    <row r="225" spans="1:20" x14ac:dyDescent="0.25">
      <c r="A225" s="23"/>
      <c r="B225" s="24"/>
      <c r="C225" s="25"/>
      <c r="D225" s="27"/>
      <c r="E225" s="27"/>
      <c r="F225" s="28"/>
      <c r="G225" s="27"/>
      <c r="H225" s="548"/>
      <c r="I225" s="27"/>
      <c r="J225" s="635"/>
      <c r="K225" s="635"/>
      <c r="L225" s="635"/>
      <c r="M225" s="635"/>
      <c r="N225" s="636"/>
      <c r="O225" s="635"/>
      <c r="P225" s="637"/>
      <c r="Q225" s="637"/>
      <c r="R225" s="635"/>
      <c r="S225" s="637"/>
      <c r="T225" s="644"/>
    </row>
    <row r="226" spans="1:20" x14ac:dyDescent="0.25">
      <c r="A226" s="23"/>
      <c r="B226" s="24"/>
      <c r="C226" s="25"/>
      <c r="D226" s="27"/>
      <c r="E226" s="27"/>
      <c r="F226" s="28"/>
      <c r="G226" s="27"/>
      <c r="H226" s="548"/>
      <c r="I226" s="27"/>
      <c r="J226" s="635"/>
      <c r="K226" s="635"/>
      <c r="L226" s="635"/>
      <c r="M226" s="635"/>
      <c r="N226" s="636"/>
      <c r="O226" s="635"/>
      <c r="P226" s="637"/>
      <c r="Q226" s="637"/>
      <c r="R226" s="635"/>
      <c r="S226" s="637"/>
      <c r="T226" s="644"/>
    </row>
    <row r="227" spans="1:20" x14ac:dyDescent="0.25">
      <c r="A227" s="23"/>
      <c r="B227" s="24"/>
      <c r="C227" s="25"/>
      <c r="D227" s="27"/>
      <c r="E227" s="27"/>
      <c r="F227" s="28"/>
      <c r="G227" s="27"/>
      <c r="H227" s="548"/>
      <c r="I227" s="27"/>
      <c r="J227" s="635"/>
      <c r="K227" s="635"/>
      <c r="L227" s="635"/>
      <c r="M227" s="635"/>
      <c r="N227" s="636"/>
      <c r="O227" s="635"/>
      <c r="P227" s="637"/>
      <c r="Q227" s="637"/>
      <c r="R227" s="635"/>
      <c r="S227" s="637"/>
      <c r="T227" s="644"/>
    </row>
    <row r="228" spans="1:20" x14ac:dyDescent="0.25">
      <c r="A228" s="23"/>
      <c r="B228" s="24"/>
      <c r="C228" s="25"/>
      <c r="D228" s="27"/>
      <c r="E228" s="27"/>
      <c r="F228" s="28"/>
      <c r="G228" s="27"/>
      <c r="H228" s="548"/>
      <c r="I228" s="27"/>
      <c r="J228" s="635"/>
      <c r="K228" s="635"/>
      <c r="L228" s="635"/>
      <c r="M228" s="635"/>
      <c r="N228" s="636"/>
      <c r="O228" s="635"/>
      <c r="P228" s="637"/>
      <c r="Q228" s="637"/>
      <c r="R228" s="635"/>
      <c r="S228" s="637"/>
      <c r="T228" s="644"/>
    </row>
    <row r="229" spans="1:20" x14ac:dyDescent="0.25">
      <c r="A229" s="23"/>
      <c r="B229" s="24"/>
      <c r="C229" s="25"/>
      <c r="D229" s="27"/>
      <c r="E229" s="27"/>
      <c r="F229" s="28"/>
      <c r="G229" s="27"/>
      <c r="H229" s="548"/>
      <c r="I229" s="27"/>
      <c r="J229" s="635"/>
      <c r="K229" s="635"/>
      <c r="L229" s="635"/>
      <c r="M229" s="635"/>
      <c r="N229" s="636"/>
      <c r="O229" s="635"/>
      <c r="P229" s="637"/>
      <c r="Q229" s="637"/>
      <c r="R229" s="635"/>
      <c r="S229" s="637"/>
      <c r="T229" s="644"/>
    </row>
    <row r="230" spans="1:20" x14ac:dyDescent="0.25">
      <c r="A230" s="23"/>
      <c r="B230" s="24"/>
      <c r="C230" s="25"/>
      <c r="D230" s="27"/>
      <c r="E230" s="27"/>
      <c r="F230" s="28"/>
      <c r="G230" s="27"/>
      <c r="H230" s="548"/>
      <c r="I230" s="27"/>
      <c r="J230" s="635"/>
      <c r="K230" s="635"/>
      <c r="L230" s="635"/>
      <c r="M230" s="635"/>
      <c r="N230" s="636"/>
      <c r="O230" s="635"/>
      <c r="P230" s="637"/>
      <c r="Q230" s="637"/>
      <c r="R230" s="635"/>
      <c r="S230" s="637"/>
      <c r="T230" s="644"/>
    </row>
    <row r="231" spans="1:20" x14ac:dyDescent="0.25">
      <c r="A231" s="23"/>
      <c r="B231" s="24"/>
      <c r="C231" s="25"/>
      <c r="D231" s="27"/>
      <c r="E231" s="27"/>
      <c r="F231" s="28"/>
      <c r="G231" s="27"/>
      <c r="H231" s="548"/>
      <c r="I231" s="27"/>
      <c r="J231" s="635"/>
      <c r="K231" s="635"/>
      <c r="L231" s="635"/>
      <c r="M231" s="635"/>
      <c r="N231" s="636"/>
      <c r="O231" s="635"/>
      <c r="P231" s="637"/>
      <c r="Q231" s="637"/>
      <c r="R231" s="635"/>
      <c r="S231" s="637"/>
      <c r="T231" s="644"/>
    </row>
    <row r="232" spans="1:20" x14ac:dyDescent="0.25">
      <c r="A232" s="23"/>
      <c r="B232" s="24"/>
      <c r="C232" s="25"/>
      <c r="D232" s="27"/>
      <c r="E232" s="27"/>
      <c r="F232" s="28"/>
      <c r="G232" s="27"/>
      <c r="H232" s="548"/>
      <c r="I232" s="27"/>
      <c r="J232" s="635"/>
      <c r="K232" s="635"/>
      <c r="L232" s="635"/>
      <c r="M232" s="635"/>
      <c r="N232" s="636"/>
      <c r="O232" s="635"/>
      <c r="P232" s="637"/>
      <c r="Q232" s="637"/>
      <c r="R232" s="635"/>
      <c r="S232" s="637"/>
      <c r="T232" s="644"/>
    </row>
    <row r="233" spans="1:20" x14ac:dyDescent="0.25">
      <c r="A233" s="23"/>
      <c r="B233" s="24"/>
      <c r="C233" s="25"/>
      <c r="D233" s="27"/>
      <c r="E233" s="27"/>
      <c r="F233" s="28"/>
      <c r="G233" s="27"/>
      <c r="H233" s="548"/>
      <c r="I233" s="27"/>
      <c r="J233" s="635"/>
      <c r="K233" s="635"/>
      <c r="L233" s="635"/>
      <c r="M233" s="635"/>
      <c r="N233" s="636"/>
      <c r="O233" s="635"/>
      <c r="P233" s="637"/>
      <c r="Q233" s="637"/>
      <c r="R233" s="635"/>
      <c r="S233" s="637"/>
      <c r="T233" s="644"/>
    </row>
    <row r="234" spans="1:20" x14ac:dyDescent="0.25">
      <c r="A234" s="23"/>
      <c r="B234" s="24"/>
      <c r="C234" s="25"/>
      <c r="D234" s="27"/>
      <c r="E234" s="27"/>
      <c r="F234" s="28"/>
      <c r="G234" s="27"/>
      <c r="H234" s="548"/>
      <c r="I234" s="27"/>
      <c r="J234" s="635"/>
      <c r="K234" s="635"/>
      <c r="L234" s="635"/>
      <c r="M234" s="635"/>
      <c r="N234" s="636"/>
      <c r="O234" s="635"/>
      <c r="P234" s="637"/>
      <c r="Q234" s="637"/>
      <c r="R234" s="635"/>
      <c r="S234" s="637"/>
      <c r="T234" s="644"/>
    </row>
    <row r="235" spans="1:20" x14ac:dyDescent="0.25">
      <c r="A235" s="23"/>
      <c r="B235" s="24"/>
      <c r="C235" s="25"/>
      <c r="D235" s="27"/>
      <c r="E235" s="27"/>
      <c r="F235" s="28"/>
      <c r="G235" s="27"/>
      <c r="H235" s="548"/>
      <c r="I235" s="27"/>
      <c r="J235" s="635"/>
      <c r="K235" s="635"/>
      <c r="L235" s="635"/>
      <c r="M235" s="635"/>
      <c r="N235" s="636"/>
      <c r="O235" s="635"/>
      <c r="P235" s="637"/>
      <c r="Q235" s="637"/>
      <c r="R235" s="635"/>
      <c r="S235" s="637"/>
      <c r="T235" s="644"/>
    </row>
    <row r="236" spans="1:20" x14ac:dyDescent="0.25">
      <c r="A236" s="23"/>
      <c r="B236" s="24"/>
      <c r="C236" s="25"/>
      <c r="D236" s="27"/>
      <c r="E236" s="27"/>
      <c r="F236" s="28"/>
      <c r="G236" s="27"/>
      <c r="H236" s="548"/>
      <c r="I236" s="27"/>
      <c r="J236" s="635"/>
      <c r="K236" s="635"/>
      <c r="L236" s="635"/>
      <c r="M236" s="635"/>
      <c r="N236" s="636"/>
      <c r="O236" s="635"/>
      <c r="P236" s="637"/>
      <c r="Q236" s="637"/>
      <c r="R236" s="635"/>
      <c r="S236" s="637"/>
      <c r="T236" s="644"/>
    </row>
    <row r="237" spans="1:20" x14ac:dyDescent="0.25">
      <c r="A237" s="23"/>
      <c r="B237" s="24"/>
      <c r="C237" s="25"/>
      <c r="D237" s="27"/>
      <c r="E237" s="27"/>
      <c r="F237" s="28"/>
      <c r="G237" s="27"/>
      <c r="H237" s="548"/>
      <c r="I237" s="27"/>
      <c r="J237" s="635"/>
      <c r="K237" s="635"/>
      <c r="L237" s="635"/>
      <c r="M237" s="635"/>
      <c r="N237" s="636"/>
      <c r="O237" s="635"/>
      <c r="P237" s="637"/>
      <c r="Q237" s="637"/>
      <c r="R237" s="635"/>
      <c r="S237" s="637"/>
      <c r="T237" s="644"/>
    </row>
    <row r="238" spans="1:20" x14ac:dyDescent="0.25">
      <c r="A238" s="23"/>
      <c r="B238" s="24"/>
      <c r="C238" s="25"/>
      <c r="D238" s="27"/>
      <c r="E238" s="27"/>
      <c r="F238" s="28"/>
      <c r="G238" s="27"/>
      <c r="H238" s="548"/>
      <c r="I238" s="27"/>
      <c r="J238" s="635"/>
      <c r="K238" s="635"/>
      <c r="L238" s="635"/>
      <c r="M238" s="635"/>
      <c r="N238" s="636"/>
      <c r="O238" s="635"/>
      <c r="P238" s="637"/>
      <c r="Q238" s="637"/>
      <c r="R238" s="635"/>
      <c r="S238" s="637"/>
      <c r="T238" s="644"/>
    </row>
    <row r="239" spans="1:20" x14ac:dyDescent="0.25">
      <c r="A239" s="23"/>
      <c r="B239" s="24"/>
      <c r="C239" s="25"/>
      <c r="D239" s="27"/>
      <c r="E239" s="27"/>
      <c r="F239" s="28"/>
      <c r="G239" s="27"/>
      <c r="H239" s="548"/>
      <c r="I239" s="27"/>
      <c r="J239" s="635"/>
      <c r="K239" s="635"/>
      <c r="L239" s="635"/>
      <c r="M239" s="635"/>
      <c r="N239" s="636"/>
      <c r="O239" s="635"/>
      <c r="P239" s="637"/>
      <c r="Q239" s="637"/>
      <c r="R239" s="635"/>
      <c r="S239" s="637"/>
      <c r="T239" s="644"/>
    </row>
    <row r="240" spans="1:20" x14ac:dyDescent="0.25">
      <c r="A240" s="23"/>
      <c r="B240" s="24"/>
      <c r="C240" s="25"/>
      <c r="D240" s="27"/>
      <c r="E240" s="27"/>
      <c r="F240" s="28"/>
      <c r="G240" s="27"/>
      <c r="H240" s="548"/>
      <c r="I240" s="27"/>
      <c r="J240" s="635"/>
      <c r="K240" s="635"/>
      <c r="L240" s="635"/>
      <c r="M240" s="635"/>
      <c r="N240" s="636"/>
      <c r="O240" s="635"/>
      <c r="P240" s="637"/>
      <c r="Q240" s="637"/>
      <c r="R240" s="635"/>
      <c r="S240" s="637"/>
      <c r="T240" s="644"/>
    </row>
    <row r="241" spans="1:20" x14ac:dyDescent="0.25">
      <c r="A241" s="23"/>
      <c r="B241" s="24"/>
      <c r="C241" s="25"/>
      <c r="D241" s="27"/>
      <c r="E241" s="27"/>
      <c r="F241" s="28"/>
      <c r="G241" s="27"/>
      <c r="H241" s="548"/>
      <c r="I241" s="27"/>
      <c r="J241" s="635"/>
      <c r="K241" s="635"/>
      <c r="L241" s="635"/>
      <c r="M241" s="635"/>
      <c r="N241" s="636"/>
      <c r="O241" s="635"/>
      <c r="P241" s="637"/>
      <c r="Q241" s="637"/>
      <c r="R241" s="635"/>
      <c r="S241" s="637"/>
      <c r="T241" s="644"/>
    </row>
    <row r="242" spans="1:20" x14ac:dyDescent="0.25">
      <c r="A242" s="23"/>
      <c r="B242" s="24"/>
      <c r="C242" s="25"/>
      <c r="D242" s="27"/>
      <c r="E242" s="27"/>
      <c r="F242" s="28"/>
      <c r="G242" s="27"/>
      <c r="H242" s="548"/>
      <c r="I242" s="27"/>
      <c r="J242" s="635"/>
      <c r="K242" s="635"/>
      <c r="L242" s="635"/>
      <c r="M242" s="635"/>
      <c r="N242" s="636"/>
      <c r="O242" s="635"/>
      <c r="P242" s="637"/>
      <c r="Q242" s="637"/>
      <c r="R242" s="635"/>
      <c r="S242" s="637"/>
      <c r="T242" s="644"/>
    </row>
    <row r="243" spans="1:20" x14ac:dyDescent="0.25">
      <c r="A243" s="23"/>
      <c r="B243" s="24"/>
      <c r="C243" s="25"/>
      <c r="D243" s="27"/>
      <c r="E243" s="27"/>
      <c r="F243" s="28"/>
      <c r="G243" s="27"/>
      <c r="H243" s="548"/>
      <c r="I243" s="27"/>
      <c r="J243" s="635"/>
      <c r="K243" s="635"/>
      <c r="L243" s="635"/>
      <c r="M243" s="635"/>
      <c r="N243" s="636"/>
      <c r="O243" s="635"/>
      <c r="P243" s="637"/>
      <c r="Q243" s="637"/>
      <c r="R243" s="635"/>
      <c r="S243" s="637"/>
      <c r="T243" s="644"/>
    </row>
    <row r="244" spans="1:20" x14ac:dyDescent="0.25">
      <c r="A244" s="23"/>
      <c r="B244" s="24"/>
      <c r="C244" s="25"/>
      <c r="D244" s="27"/>
      <c r="E244" s="27"/>
      <c r="F244" s="28"/>
      <c r="G244" s="27"/>
      <c r="H244" s="548"/>
      <c r="I244" s="27"/>
      <c r="J244" s="635"/>
      <c r="K244" s="635"/>
      <c r="L244" s="635"/>
      <c r="M244" s="635"/>
      <c r="N244" s="636"/>
      <c r="O244" s="635"/>
      <c r="P244" s="637"/>
      <c r="Q244" s="637"/>
      <c r="R244" s="635"/>
      <c r="S244" s="637"/>
      <c r="T244" s="644"/>
    </row>
    <row r="245" spans="1:20" x14ac:dyDescent="0.25">
      <c r="A245" s="23"/>
      <c r="B245" s="24"/>
      <c r="C245" s="25"/>
      <c r="D245" s="27"/>
      <c r="E245" s="27"/>
      <c r="F245" s="28"/>
      <c r="G245" s="27"/>
      <c r="H245" s="548"/>
      <c r="I245" s="27"/>
      <c r="J245" s="635"/>
      <c r="K245" s="635"/>
      <c r="L245" s="635"/>
      <c r="M245" s="635"/>
      <c r="N245" s="636"/>
      <c r="O245" s="635"/>
      <c r="P245" s="637"/>
      <c r="Q245" s="637"/>
      <c r="R245" s="635"/>
      <c r="S245" s="637"/>
      <c r="T245" s="644"/>
    </row>
    <row r="246" spans="1:20" x14ac:dyDescent="0.25">
      <c r="A246" s="23"/>
      <c r="B246" s="24"/>
      <c r="C246" s="25"/>
      <c r="D246" s="27"/>
      <c r="E246" s="27"/>
      <c r="F246" s="28"/>
      <c r="G246" s="27"/>
      <c r="H246" s="548"/>
      <c r="I246" s="27"/>
      <c r="J246" s="635"/>
      <c r="K246" s="635"/>
      <c r="L246" s="635"/>
      <c r="M246" s="635"/>
      <c r="N246" s="636"/>
      <c r="O246" s="635"/>
      <c r="P246" s="637"/>
      <c r="Q246" s="637"/>
      <c r="R246" s="635"/>
      <c r="S246" s="637"/>
      <c r="T246" s="644"/>
    </row>
    <row r="247" spans="1:20" x14ac:dyDescent="0.25">
      <c r="A247" s="23"/>
      <c r="B247" s="24"/>
      <c r="C247" s="25"/>
      <c r="D247" s="27"/>
      <c r="E247" s="27"/>
      <c r="F247" s="28"/>
      <c r="G247" s="27"/>
      <c r="H247" s="548"/>
      <c r="I247" s="27"/>
      <c r="J247" s="635"/>
      <c r="K247" s="635"/>
      <c r="L247" s="635"/>
      <c r="M247" s="635"/>
      <c r="N247" s="636"/>
      <c r="O247" s="635"/>
      <c r="P247" s="637"/>
      <c r="Q247" s="637"/>
      <c r="R247" s="635"/>
      <c r="S247" s="637"/>
      <c r="T247" s="644"/>
    </row>
    <row r="248" spans="1:20" x14ac:dyDescent="0.25">
      <c r="A248" s="23"/>
      <c r="B248" s="24"/>
      <c r="C248" s="25"/>
      <c r="D248" s="27"/>
      <c r="E248" s="27"/>
      <c r="F248" s="28"/>
      <c r="G248" s="27"/>
      <c r="H248" s="548"/>
      <c r="I248" s="27"/>
      <c r="J248" s="635"/>
      <c r="K248" s="635"/>
      <c r="L248" s="635"/>
      <c r="M248" s="635"/>
      <c r="N248" s="636"/>
      <c r="O248" s="635"/>
      <c r="P248" s="637"/>
      <c r="Q248" s="637"/>
      <c r="R248" s="635"/>
      <c r="S248" s="637"/>
      <c r="T248" s="644"/>
    </row>
    <row r="249" spans="1:20" x14ac:dyDescent="0.25">
      <c r="A249" s="23"/>
      <c r="B249" s="24"/>
      <c r="C249" s="25"/>
      <c r="D249" s="27"/>
      <c r="E249" s="27"/>
      <c r="F249" s="28"/>
      <c r="G249" s="27"/>
      <c r="H249" s="548"/>
      <c r="I249" s="27"/>
      <c r="J249" s="635"/>
      <c r="K249" s="635"/>
      <c r="L249" s="635"/>
      <c r="M249" s="635"/>
      <c r="N249" s="636"/>
      <c r="O249" s="635"/>
      <c r="P249" s="637"/>
      <c r="Q249" s="637"/>
      <c r="R249" s="635"/>
      <c r="S249" s="637"/>
      <c r="T249" s="644"/>
    </row>
    <row r="250" spans="1:20" x14ac:dyDescent="0.25">
      <c r="A250" s="23"/>
      <c r="B250" s="24"/>
      <c r="C250" s="25"/>
      <c r="D250" s="27"/>
      <c r="E250" s="27"/>
      <c r="F250" s="28"/>
      <c r="G250" s="27"/>
      <c r="H250" s="548"/>
      <c r="I250" s="27"/>
      <c r="J250" s="635"/>
      <c r="K250" s="635"/>
      <c r="L250" s="635"/>
      <c r="M250" s="635"/>
      <c r="N250" s="636"/>
      <c r="O250" s="635"/>
      <c r="P250" s="637"/>
      <c r="Q250" s="637"/>
      <c r="R250" s="635"/>
      <c r="S250" s="637"/>
      <c r="T250" s="644"/>
    </row>
    <row r="251" spans="1:20" x14ac:dyDescent="0.25">
      <c r="A251" s="23"/>
      <c r="B251" s="24"/>
      <c r="C251" s="25"/>
      <c r="D251" s="27"/>
      <c r="E251" s="27"/>
      <c r="F251" s="28"/>
      <c r="G251" s="27"/>
      <c r="H251" s="548"/>
      <c r="I251" s="27"/>
      <c r="J251" s="635"/>
      <c r="K251" s="635"/>
      <c r="L251" s="635"/>
      <c r="M251" s="635"/>
      <c r="N251" s="636"/>
      <c r="O251" s="635"/>
      <c r="P251" s="637"/>
      <c r="Q251" s="637"/>
      <c r="R251" s="635"/>
      <c r="S251" s="637"/>
      <c r="T251" s="644"/>
    </row>
    <row r="252" spans="1:20" x14ac:dyDescent="0.25">
      <c r="A252" s="23"/>
      <c r="B252" s="24"/>
      <c r="C252" s="25"/>
      <c r="D252" s="27"/>
      <c r="E252" s="27"/>
      <c r="F252" s="28"/>
      <c r="G252" s="27"/>
      <c r="H252" s="548"/>
      <c r="I252" s="27"/>
      <c r="J252" s="635"/>
      <c r="K252" s="635"/>
      <c r="L252" s="635"/>
      <c r="M252" s="635"/>
      <c r="N252" s="636"/>
      <c r="O252" s="635"/>
      <c r="P252" s="637"/>
      <c r="Q252" s="637"/>
      <c r="R252" s="635"/>
      <c r="S252" s="637"/>
      <c r="T252" s="644"/>
    </row>
    <row r="253" spans="1:20" x14ac:dyDescent="0.25">
      <c r="A253" s="23"/>
      <c r="B253" s="24"/>
      <c r="C253" s="25"/>
      <c r="D253" s="27"/>
      <c r="E253" s="27"/>
      <c r="F253" s="28"/>
      <c r="G253" s="27"/>
      <c r="H253" s="548"/>
      <c r="I253" s="27"/>
      <c r="J253" s="635"/>
      <c r="K253" s="635"/>
      <c r="L253" s="635"/>
      <c r="M253" s="635"/>
      <c r="N253" s="636"/>
      <c r="O253" s="635"/>
      <c r="P253" s="637"/>
      <c r="Q253" s="637"/>
      <c r="R253" s="635"/>
      <c r="S253" s="637"/>
      <c r="T253" s="644"/>
    </row>
    <row r="254" spans="1:20" x14ac:dyDescent="0.25">
      <c r="A254" s="23"/>
      <c r="B254" s="24"/>
      <c r="C254" s="25"/>
      <c r="D254" s="27"/>
      <c r="E254" s="27"/>
      <c r="F254" s="28"/>
      <c r="G254" s="27"/>
      <c r="H254" s="548"/>
      <c r="I254" s="27"/>
      <c r="J254" s="635"/>
      <c r="K254" s="635"/>
      <c r="L254" s="635"/>
      <c r="M254" s="635"/>
      <c r="N254" s="636"/>
      <c r="O254" s="635"/>
      <c r="P254" s="637"/>
      <c r="Q254" s="637"/>
      <c r="R254" s="635"/>
      <c r="S254" s="637"/>
      <c r="T254" s="644"/>
    </row>
    <row r="255" spans="1:20" x14ac:dyDescent="0.25">
      <c r="A255" s="23"/>
      <c r="B255" s="24"/>
      <c r="C255" s="25"/>
      <c r="D255" s="27"/>
      <c r="E255" s="27"/>
      <c r="F255" s="28"/>
      <c r="G255" s="27"/>
      <c r="H255" s="548"/>
      <c r="I255" s="27"/>
      <c r="J255" s="635"/>
      <c r="K255" s="635"/>
      <c r="L255" s="635"/>
      <c r="M255" s="635"/>
      <c r="N255" s="636"/>
      <c r="O255" s="635"/>
      <c r="P255" s="637"/>
      <c r="Q255" s="637"/>
      <c r="R255" s="635"/>
      <c r="S255" s="637"/>
      <c r="T255" s="644"/>
    </row>
    <row r="256" spans="1:20" x14ac:dyDescent="0.25">
      <c r="A256" s="23"/>
      <c r="B256" s="24"/>
      <c r="C256" s="25"/>
      <c r="D256" s="27"/>
      <c r="E256" s="27"/>
      <c r="F256" s="28"/>
      <c r="G256" s="27"/>
      <c r="H256" s="548"/>
      <c r="I256" s="27"/>
      <c r="J256" s="635"/>
      <c r="K256" s="635"/>
      <c r="L256" s="635"/>
      <c r="M256" s="635"/>
      <c r="N256" s="636"/>
      <c r="O256" s="635"/>
      <c r="P256" s="637"/>
      <c r="Q256" s="637"/>
      <c r="R256" s="635"/>
      <c r="S256" s="637"/>
      <c r="T256" s="644"/>
    </row>
    <row r="257" spans="1:20" x14ac:dyDescent="0.25">
      <c r="A257" s="23"/>
      <c r="B257" s="24"/>
      <c r="C257" s="25"/>
      <c r="D257" s="27"/>
      <c r="E257" s="27"/>
      <c r="F257" s="28"/>
      <c r="G257" s="27"/>
      <c r="H257" s="548"/>
      <c r="I257" s="27"/>
      <c r="J257" s="635"/>
      <c r="K257" s="635"/>
      <c r="L257" s="635"/>
      <c r="M257" s="635"/>
      <c r="N257" s="636"/>
      <c r="O257" s="635"/>
      <c r="P257" s="637"/>
      <c r="Q257" s="637"/>
      <c r="R257" s="635"/>
      <c r="S257" s="637"/>
      <c r="T257" s="644"/>
    </row>
    <row r="258" spans="1:20" x14ac:dyDescent="0.25">
      <c r="A258" s="23"/>
      <c r="B258" s="24"/>
      <c r="C258" s="25"/>
      <c r="D258" s="27"/>
      <c r="E258" s="27"/>
      <c r="F258" s="28"/>
      <c r="G258" s="27"/>
      <c r="H258" s="548"/>
      <c r="I258" s="27"/>
      <c r="J258" s="635"/>
      <c r="K258" s="635"/>
      <c r="L258" s="635"/>
      <c r="M258" s="635"/>
      <c r="N258" s="636"/>
      <c r="O258" s="635"/>
      <c r="P258" s="637"/>
      <c r="Q258" s="637"/>
      <c r="R258" s="635"/>
      <c r="S258" s="637"/>
      <c r="T258" s="644"/>
    </row>
    <row r="259" spans="1:20" x14ac:dyDescent="0.25">
      <c r="A259" s="23"/>
      <c r="B259" s="24"/>
      <c r="C259" s="25"/>
      <c r="D259" s="27"/>
      <c r="E259" s="27"/>
      <c r="F259" s="28"/>
      <c r="G259" s="27"/>
      <c r="H259" s="548"/>
      <c r="I259" s="27"/>
      <c r="J259" s="635"/>
      <c r="K259" s="635"/>
      <c r="L259" s="635"/>
      <c r="M259" s="635"/>
      <c r="N259" s="636"/>
      <c r="O259" s="635"/>
      <c r="P259" s="637"/>
      <c r="Q259" s="637"/>
      <c r="R259" s="635"/>
      <c r="S259" s="637"/>
      <c r="T259" s="644"/>
    </row>
    <row r="260" spans="1:20" x14ac:dyDescent="0.25">
      <c r="A260" s="23"/>
      <c r="B260" s="24"/>
      <c r="C260" s="25"/>
      <c r="D260" s="27"/>
      <c r="E260" s="27"/>
      <c r="F260" s="28"/>
      <c r="G260" s="27"/>
      <c r="H260" s="548"/>
      <c r="I260" s="27"/>
      <c r="J260" s="635"/>
      <c r="K260" s="635"/>
      <c r="L260" s="635"/>
      <c r="M260" s="635"/>
      <c r="N260" s="636"/>
      <c r="O260" s="635"/>
      <c r="P260" s="637"/>
      <c r="Q260" s="637"/>
      <c r="R260" s="635"/>
      <c r="S260" s="637"/>
      <c r="T260" s="644"/>
    </row>
    <row r="261" spans="1:20" x14ac:dyDescent="0.25">
      <c r="A261" s="23"/>
      <c r="B261" s="24"/>
      <c r="C261" s="25"/>
      <c r="D261" s="27"/>
      <c r="E261" s="27"/>
      <c r="F261" s="28"/>
      <c r="G261" s="27"/>
      <c r="H261" s="548"/>
      <c r="I261" s="27"/>
      <c r="J261" s="635"/>
      <c r="K261" s="635"/>
      <c r="L261" s="635"/>
      <c r="M261" s="635"/>
      <c r="N261" s="636"/>
      <c r="O261" s="635"/>
      <c r="P261" s="637"/>
      <c r="Q261" s="637"/>
      <c r="R261" s="635"/>
      <c r="S261" s="637"/>
      <c r="T261" s="644"/>
    </row>
    <row r="262" spans="1:20" x14ac:dyDescent="0.25">
      <c r="A262" s="23"/>
      <c r="B262" s="24"/>
      <c r="C262" s="25"/>
      <c r="D262" s="27"/>
      <c r="E262" s="27"/>
      <c r="F262" s="28"/>
      <c r="G262" s="27"/>
      <c r="H262" s="548"/>
      <c r="I262" s="27"/>
      <c r="J262" s="635"/>
      <c r="K262" s="635"/>
      <c r="L262" s="635"/>
      <c r="M262" s="635"/>
      <c r="N262" s="636"/>
      <c r="O262" s="635"/>
      <c r="P262" s="637"/>
      <c r="Q262" s="637"/>
      <c r="R262" s="635"/>
      <c r="S262" s="637"/>
      <c r="T262" s="644"/>
    </row>
    <row r="263" spans="1:20" x14ac:dyDescent="0.25">
      <c r="A263" s="23"/>
      <c r="B263" s="24"/>
      <c r="C263" s="25"/>
      <c r="D263" s="27"/>
      <c r="E263" s="27"/>
      <c r="F263" s="28"/>
      <c r="G263" s="27"/>
      <c r="H263" s="548"/>
      <c r="I263" s="27"/>
      <c r="J263" s="635"/>
      <c r="K263" s="635"/>
      <c r="L263" s="635"/>
      <c r="M263" s="635"/>
      <c r="N263" s="636"/>
      <c r="O263" s="635"/>
      <c r="P263" s="637"/>
      <c r="Q263" s="637"/>
      <c r="R263" s="635"/>
      <c r="S263" s="637"/>
      <c r="T263" s="644"/>
    </row>
    <row r="264" spans="1:20" x14ac:dyDescent="0.25">
      <c r="A264" s="23"/>
      <c r="B264" s="24"/>
      <c r="C264" s="25"/>
      <c r="D264" s="27"/>
      <c r="E264" s="27"/>
      <c r="F264" s="28"/>
      <c r="G264" s="27"/>
      <c r="H264" s="548"/>
      <c r="I264" s="27"/>
      <c r="J264" s="635"/>
      <c r="K264" s="635"/>
      <c r="L264" s="635"/>
      <c r="M264" s="635"/>
      <c r="N264" s="636"/>
      <c r="O264" s="635"/>
      <c r="P264" s="637"/>
      <c r="Q264" s="637"/>
      <c r="R264" s="635"/>
      <c r="S264" s="637"/>
      <c r="T264" s="644"/>
    </row>
    <row r="265" spans="1:20" x14ac:dyDescent="0.25">
      <c r="A265" s="23"/>
      <c r="B265" s="24"/>
      <c r="C265" s="25"/>
      <c r="D265" s="27"/>
      <c r="E265" s="27"/>
      <c r="F265" s="28"/>
      <c r="G265" s="27"/>
      <c r="H265" s="548"/>
      <c r="I265" s="27"/>
      <c r="J265" s="635"/>
      <c r="K265" s="635"/>
      <c r="L265" s="635"/>
      <c r="M265" s="635"/>
      <c r="N265" s="636"/>
      <c r="O265" s="635"/>
      <c r="P265" s="637"/>
      <c r="Q265" s="637"/>
      <c r="R265" s="635"/>
      <c r="S265" s="637"/>
      <c r="T265" s="644"/>
    </row>
    <row r="266" spans="1:20" x14ac:dyDescent="0.25">
      <c r="A266" s="23"/>
      <c r="B266" s="24"/>
      <c r="C266" s="25"/>
      <c r="D266" s="27"/>
      <c r="E266" s="27"/>
      <c r="F266" s="28"/>
      <c r="G266" s="27"/>
      <c r="H266" s="548"/>
      <c r="I266" s="27"/>
      <c r="J266" s="635"/>
      <c r="K266" s="635"/>
      <c r="L266" s="635"/>
      <c r="M266" s="635"/>
      <c r="N266" s="636"/>
      <c r="O266" s="635"/>
      <c r="P266" s="637"/>
      <c r="Q266" s="637"/>
      <c r="R266" s="635"/>
      <c r="S266" s="637"/>
      <c r="T266" s="644"/>
    </row>
    <row r="267" spans="1:20" x14ac:dyDescent="0.25">
      <c r="A267" s="23"/>
      <c r="B267" s="24"/>
      <c r="C267" s="25"/>
      <c r="D267" s="27"/>
      <c r="E267" s="27"/>
      <c r="F267" s="28"/>
      <c r="G267" s="27"/>
      <c r="H267" s="548"/>
      <c r="I267" s="27"/>
      <c r="J267" s="635"/>
      <c r="K267" s="635"/>
      <c r="L267" s="635"/>
      <c r="M267" s="635"/>
      <c r="N267" s="636"/>
      <c r="O267" s="635"/>
      <c r="P267" s="637"/>
      <c r="Q267" s="637"/>
      <c r="R267" s="635"/>
      <c r="S267" s="637"/>
      <c r="T267" s="644"/>
    </row>
    <row r="268" spans="1:20" x14ac:dyDescent="0.25">
      <c r="A268" s="23"/>
      <c r="B268" s="24"/>
      <c r="C268" s="25"/>
      <c r="D268" s="27"/>
      <c r="E268" s="27"/>
      <c r="F268" s="28"/>
      <c r="G268" s="27"/>
      <c r="H268" s="548"/>
      <c r="I268" s="27"/>
      <c r="J268" s="635"/>
      <c r="K268" s="635"/>
      <c r="L268" s="635"/>
      <c r="M268" s="635"/>
      <c r="N268" s="636"/>
      <c r="O268" s="635"/>
      <c r="P268" s="637"/>
      <c r="Q268" s="637"/>
      <c r="R268" s="635"/>
      <c r="S268" s="637"/>
      <c r="T268" s="644"/>
    </row>
    <row r="269" spans="1:20" x14ac:dyDescent="0.25">
      <c r="A269" s="23"/>
      <c r="B269" s="24"/>
      <c r="C269" s="25"/>
      <c r="D269" s="27"/>
      <c r="E269" s="27"/>
      <c r="F269" s="28"/>
      <c r="G269" s="27"/>
      <c r="H269" s="548"/>
      <c r="I269" s="27"/>
      <c r="J269" s="635"/>
      <c r="K269" s="635"/>
      <c r="L269" s="635"/>
      <c r="M269" s="635"/>
      <c r="N269" s="636"/>
      <c r="O269" s="635"/>
      <c r="P269" s="637"/>
      <c r="Q269" s="637"/>
      <c r="R269" s="635"/>
      <c r="S269" s="637"/>
      <c r="T269" s="644"/>
    </row>
    <row r="270" spans="1:20" x14ac:dyDescent="0.25">
      <c r="A270" s="23"/>
      <c r="B270" s="24"/>
      <c r="C270" s="25"/>
      <c r="D270" s="27"/>
      <c r="E270" s="27"/>
      <c r="F270" s="28"/>
      <c r="G270" s="27"/>
      <c r="H270" s="548"/>
      <c r="I270" s="27"/>
      <c r="J270" s="635"/>
      <c r="K270" s="635"/>
      <c r="L270" s="635"/>
      <c r="M270" s="635"/>
      <c r="N270" s="636"/>
      <c r="O270" s="635"/>
      <c r="P270" s="637"/>
      <c r="Q270" s="637"/>
      <c r="R270" s="635"/>
      <c r="S270" s="637"/>
      <c r="T270" s="644"/>
    </row>
    <row r="271" spans="1:20" x14ac:dyDescent="0.25">
      <c r="A271" s="23"/>
      <c r="B271" s="24"/>
      <c r="C271" s="25"/>
      <c r="D271" s="27"/>
      <c r="E271" s="27"/>
      <c r="F271" s="28"/>
      <c r="G271" s="27"/>
      <c r="H271" s="548"/>
      <c r="I271" s="27"/>
      <c r="J271" s="635"/>
      <c r="K271" s="635"/>
      <c r="L271" s="635"/>
      <c r="M271" s="635"/>
      <c r="N271" s="636"/>
      <c r="O271" s="635"/>
      <c r="P271" s="637"/>
      <c r="Q271" s="637"/>
      <c r="R271" s="635"/>
      <c r="S271" s="637"/>
      <c r="T271" s="644"/>
    </row>
    <row r="272" spans="1:20" x14ac:dyDescent="0.25">
      <c r="A272" s="23"/>
      <c r="B272" s="24"/>
      <c r="C272" s="25"/>
      <c r="D272" s="27"/>
      <c r="E272" s="27"/>
      <c r="F272" s="28"/>
      <c r="G272" s="27"/>
      <c r="H272" s="548"/>
      <c r="I272" s="27"/>
      <c r="J272" s="635"/>
      <c r="K272" s="635"/>
      <c r="L272" s="635"/>
      <c r="M272" s="635"/>
      <c r="N272" s="636"/>
      <c r="O272" s="635"/>
      <c r="P272" s="637"/>
      <c r="Q272" s="637"/>
      <c r="R272" s="635"/>
      <c r="S272" s="637"/>
      <c r="T272" s="644"/>
    </row>
    <row r="273" spans="1:20" x14ac:dyDescent="0.25">
      <c r="A273" s="23"/>
      <c r="B273" s="24"/>
      <c r="C273" s="25"/>
      <c r="D273" s="27"/>
      <c r="E273" s="27"/>
      <c r="F273" s="28"/>
      <c r="G273" s="27"/>
      <c r="H273" s="548"/>
      <c r="I273" s="27"/>
      <c r="J273" s="635"/>
      <c r="K273" s="635"/>
      <c r="L273" s="635"/>
      <c r="M273" s="635"/>
      <c r="N273" s="636"/>
      <c r="O273" s="635"/>
      <c r="P273" s="637"/>
      <c r="Q273" s="637"/>
      <c r="R273" s="635"/>
      <c r="S273" s="637"/>
      <c r="T273" s="644"/>
    </row>
    <row r="274" spans="1:20" x14ac:dyDescent="0.25">
      <c r="A274" s="23"/>
      <c r="B274" s="24"/>
      <c r="C274" s="25"/>
      <c r="D274" s="27"/>
      <c r="E274" s="27"/>
      <c r="F274" s="28"/>
      <c r="G274" s="27"/>
      <c r="H274" s="548"/>
      <c r="I274" s="27"/>
      <c r="J274" s="635"/>
      <c r="K274" s="635"/>
      <c r="L274" s="635"/>
      <c r="M274" s="635"/>
      <c r="N274" s="636"/>
      <c r="O274" s="635"/>
      <c r="P274" s="637"/>
      <c r="Q274" s="637"/>
      <c r="R274" s="635"/>
      <c r="S274" s="637"/>
      <c r="T274" s="644"/>
    </row>
    <row r="275" spans="1:20" x14ac:dyDescent="0.25">
      <c r="A275" s="23"/>
      <c r="B275" s="24"/>
      <c r="C275" s="25"/>
      <c r="D275" s="27"/>
      <c r="E275" s="27"/>
      <c r="F275" s="28"/>
      <c r="G275" s="27"/>
      <c r="H275" s="548"/>
      <c r="I275" s="27"/>
      <c r="J275" s="635"/>
      <c r="K275" s="635"/>
      <c r="L275" s="635"/>
      <c r="M275" s="635"/>
      <c r="N275" s="636"/>
      <c r="O275" s="635"/>
      <c r="P275" s="637"/>
      <c r="Q275" s="637"/>
      <c r="R275" s="635"/>
      <c r="S275" s="637"/>
      <c r="T275" s="644"/>
    </row>
    <row r="276" spans="1:20" x14ac:dyDescent="0.25">
      <c r="A276" s="23"/>
      <c r="B276" s="24"/>
      <c r="C276" s="25"/>
      <c r="D276" s="27"/>
      <c r="E276" s="27"/>
      <c r="F276" s="28"/>
      <c r="G276" s="27"/>
      <c r="H276" s="548"/>
      <c r="I276" s="27"/>
      <c r="J276" s="635"/>
      <c r="K276" s="635"/>
      <c r="L276" s="635"/>
      <c r="M276" s="635"/>
      <c r="N276" s="636"/>
      <c r="O276" s="635"/>
      <c r="P276" s="637"/>
      <c r="Q276" s="637"/>
      <c r="R276" s="635"/>
      <c r="S276" s="637"/>
      <c r="T276" s="644"/>
    </row>
    <row r="277" spans="1:20" x14ac:dyDescent="0.25">
      <c r="A277" s="23"/>
      <c r="B277" s="24"/>
      <c r="C277" s="25"/>
      <c r="D277" s="27"/>
      <c r="E277" s="27"/>
      <c r="F277" s="28"/>
      <c r="G277" s="27"/>
      <c r="H277" s="548"/>
      <c r="I277" s="27"/>
      <c r="J277" s="635"/>
      <c r="K277" s="635"/>
      <c r="L277" s="635"/>
      <c r="M277" s="635"/>
      <c r="N277" s="636"/>
      <c r="O277" s="635"/>
      <c r="P277" s="637"/>
      <c r="Q277" s="637"/>
      <c r="R277" s="635"/>
      <c r="S277" s="637"/>
      <c r="T277" s="644"/>
    </row>
    <row r="278" spans="1:20" x14ac:dyDescent="0.25">
      <c r="A278" s="23"/>
      <c r="B278" s="24"/>
      <c r="C278" s="25"/>
      <c r="D278" s="27"/>
      <c r="E278" s="27"/>
      <c r="F278" s="28"/>
      <c r="G278" s="27"/>
      <c r="H278" s="548"/>
      <c r="I278" s="27"/>
      <c r="J278" s="635"/>
      <c r="K278" s="635"/>
      <c r="L278" s="635"/>
      <c r="M278" s="635"/>
      <c r="N278" s="636"/>
      <c r="O278" s="635"/>
      <c r="P278" s="637"/>
      <c r="Q278" s="637"/>
      <c r="R278" s="635"/>
      <c r="S278" s="637"/>
      <c r="T278" s="644"/>
    </row>
    <row r="279" spans="1:20" x14ac:dyDescent="0.25">
      <c r="A279" s="23"/>
      <c r="B279" s="24"/>
      <c r="C279" s="25"/>
      <c r="D279" s="27"/>
      <c r="E279" s="27"/>
      <c r="F279" s="28"/>
      <c r="G279" s="27"/>
      <c r="H279" s="548"/>
      <c r="I279" s="27"/>
      <c r="J279" s="635"/>
      <c r="K279" s="635"/>
      <c r="L279" s="635"/>
      <c r="M279" s="635"/>
      <c r="N279" s="636"/>
      <c r="O279" s="635"/>
      <c r="P279" s="637"/>
      <c r="Q279" s="637"/>
      <c r="R279" s="635"/>
      <c r="S279" s="637"/>
      <c r="T279" s="644"/>
    </row>
    <row r="280" spans="1:20" x14ac:dyDescent="0.25">
      <c r="A280" s="23"/>
      <c r="B280" s="24"/>
      <c r="C280" s="25"/>
      <c r="D280" s="27"/>
      <c r="E280" s="27"/>
      <c r="F280" s="28"/>
      <c r="G280" s="27"/>
      <c r="H280" s="548"/>
      <c r="I280" s="27"/>
      <c r="J280" s="635"/>
      <c r="K280" s="635"/>
      <c r="L280" s="635"/>
      <c r="M280" s="635"/>
      <c r="N280" s="636"/>
      <c r="O280" s="635"/>
      <c r="P280" s="637"/>
      <c r="Q280" s="637"/>
      <c r="R280" s="635"/>
      <c r="S280" s="637"/>
      <c r="T280" s="644"/>
    </row>
    <row r="281" spans="1:20" x14ac:dyDescent="0.25">
      <c r="A281" s="23"/>
      <c r="B281" s="24"/>
      <c r="C281" s="25"/>
      <c r="D281" s="27"/>
      <c r="E281" s="27"/>
      <c r="F281" s="28"/>
      <c r="G281" s="27"/>
      <c r="H281" s="548"/>
      <c r="I281" s="27"/>
      <c r="J281" s="635"/>
      <c r="K281" s="635"/>
      <c r="L281" s="635"/>
      <c r="M281" s="635"/>
      <c r="N281" s="636"/>
      <c r="O281" s="635"/>
      <c r="P281" s="637"/>
      <c r="Q281" s="637"/>
      <c r="R281" s="635"/>
      <c r="S281" s="637"/>
      <c r="T281" s="644"/>
    </row>
    <row r="282" spans="1:20" x14ac:dyDescent="0.25">
      <c r="A282" s="23"/>
      <c r="B282" s="24"/>
      <c r="C282" s="25"/>
      <c r="D282" s="27"/>
      <c r="E282" s="27"/>
      <c r="F282" s="28"/>
      <c r="G282" s="27"/>
      <c r="H282" s="548"/>
      <c r="I282" s="27"/>
      <c r="J282" s="635"/>
      <c r="K282" s="635"/>
      <c r="L282" s="635"/>
      <c r="M282" s="635"/>
      <c r="N282" s="636"/>
      <c r="O282" s="635"/>
      <c r="P282" s="637"/>
      <c r="Q282" s="637"/>
      <c r="R282" s="635"/>
      <c r="S282" s="637"/>
      <c r="T282" s="644"/>
    </row>
    <row r="283" spans="1:20" x14ac:dyDescent="0.25">
      <c r="A283" s="23"/>
      <c r="B283" s="24"/>
      <c r="C283" s="25"/>
      <c r="D283" s="27"/>
      <c r="E283" s="27"/>
      <c r="F283" s="28"/>
      <c r="G283" s="27"/>
      <c r="H283" s="548"/>
      <c r="I283" s="27"/>
      <c r="J283" s="635"/>
      <c r="K283" s="635"/>
      <c r="L283" s="635"/>
      <c r="M283" s="635"/>
      <c r="N283" s="636"/>
      <c r="O283" s="635"/>
      <c r="P283" s="637"/>
      <c r="Q283" s="637"/>
      <c r="R283" s="635"/>
      <c r="S283" s="637"/>
      <c r="T283" s="644"/>
    </row>
    <row r="284" spans="1:20" x14ac:dyDescent="0.25">
      <c r="A284" s="23"/>
      <c r="B284" s="24"/>
      <c r="C284" s="25"/>
      <c r="D284" s="27"/>
      <c r="E284" s="27"/>
      <c r="F284" s="28"/>
      <c r="G284" s="27"/>
      <c r="H284" s="548"/>
      <c r="I284" s="27"/>
      <c r="J284" s="635"/>
      <c r="K284" s="635"/>
      <c r="L284" s="635"/>
      <c r="M284" s="635"/>
      <c r="N284" s="636"/>
      <c r="O284" s="635"/>
      <c r="P284" s="637"/>
      <c r="Q284" s="637"/>
      <c r="R284" s="635"/>
      <c r="S284" s="637"/>
      <c r="T284" s="644"/>
    </row>
    <row r="285" spans="1:20" x14ac:dyDescent="0.25">
      <c r="A285" s="23"/>
      <c r="B285" s="24"/>
      <c r="C285" s="25"/>
      <c r="D285" s="27"/>
      <c r="E285" s="27"/>
      <c r="F285" s="28"/>
      <c r="G285" s="27"/>
      <c r="H285" s="548"/>
      <c r="I285" s="27"/>
      <c r="J285" s="635"/>
      <c r="K285" s="635"/>
      <c r="L285" s="635"/>
      <c r="M285" s="635"/>
      <c r="N285" s="636"/>
      <c r="O285" s="635"/>
      <c r="P285" s="637"/>
      <c r="Q285" s="637"/>
      <c r="R285" s="635"/>
      <c r="S285" s="637"/>
      <c r="T285" s="644"/>
    </row>
    <row r="286" spans="1:20" x14ac:dyDescent="0.25">
      <c r="A286" s="23"/>
      <c r="B286" s="24"/>
      <c r="C286" s="25"/>
      <c r="D286" s="27"/>
      <c r="E286" s="27"/>
      <c r="F286" s="28"/>
      <c r="G286" s="27"/>
      <c r="H286" s="548"/>
      <c r="I286" s="27"/>
      <c r="J286" s="635"/>
      <c r="K286" s="635"/>
      <c r="L286" s="635"/>
      <c r="M286" s="635"/>
      <c r="N286" s="636"/>
      <c r="O286" s="635"/>
      <c r="P286" s="637"/>
      <c r="Q286" s="637"/>
      <c r="R286" s="635"/>
      <c r="S286" s="637"/>
      <c r="T286" s="644"/>
    </row>
    <row r="287" spans="1:20" x14ac:dyDescent="0.25">
      <c r="A287" s="23"/>
      <c r="B287" s="24"/>
      <c r="C287" s="25"/>
      <c r="D287" s="27"/>
      <c r="E287" s="27"/>
      <c r="F287" s="28"/>
      <c r="G287" s="27"/>
      <c r="H287" s="548"/>
      <c r="I287" s="27"/>
      <c r="J287" s="635"/>
      <c r="K287" s="635"/>
      <c r="L287" s="635"/>
      <c r="M287" s="635"/>
      <c r="N287" s="636"/>
      <c r="O287" s="635"/>
      <c r="P287" s="637"/>
      <c r="Q287" s="637"/>
      <c r="R287" s="635"/>
      <c r="S287" s="637"/>
      <c r="T287" s="644"/>
    </row>
    <row r="288" spans="1:20" x14ac:dyDescent="0.25">
      <c r="A288" s="23"/>
      <c r="B288" s="24"/>
      <c r="C288" s="25"/>
      <c r="D288" s="27"/>
      <c r="E288" s="27"/>
      <c r="F288" s="28"/>
      <c r="G288" s="27"/>
      <c r="H288" s="548"/>
      <c r="I288" s="27"/>
      <c r="J288" s="635"/>
      <c r="K288" s="635"/>
      <c r="L288" s="635"/>
      <c r="M288" s="635"/>
      <c r="N288" s="636"/>
      <c r="O288" s="635"/>
      <c r="P288" s="637"/>
      <c r="Q288" s="637"/>
      <c r="R288" s="635"/>
      <c r="S288" s="637"/>
      <c r="T288" s="644"/>
    </row>
    <row r="289" spans="1:20" x14ac:dyDescent="0.25">
      <c r="A289" s="23"/>
      <c r="B289" s="24"/>
      <c r="C289" s="25"/>
      <c r="D289" s="27"/>
      <c r="E289" s="27"/>
      <c r="F289" s="28"/>
      <c r="G289" s="27"/>
      <c r="H289" s="548"/>
      <c r="I289" s="27"/>
      <c r="J289" s="635"/>
      <c r="K289" s="635"/>
      <c r="L289" s="635"/>
      <c r="M289" s="635"/>
      <c r="N289" s="636"/>
      <c r="O289" s="635"/>
      <c r="P289" s="637"/>
      <c r="Q289" s="637"/>
      <c r="R289" s="635"/>
      <c r="S289" s="637"/>
      <c r="T289" s="644"/>
    </row>
    <row r="290" spans="1:20" x14ac:dyDescent="0.25">
      <c r="A290" s="23"/>
      <c r="B290" s="24"/>
      <c r="C290" s="25"/>
      <c r="D290" s="27"/>
      <c r="E290" s="27"/>
      <c r="F290" s="28"/>
      <c r="G290" s="27"/>
      <c r="H290" s="548"/>
      <c r="I290" s="27"/>
      <c r="J290" s="635"/>
      <c r="K290" s="635"/>
      <c r="L290" s="635"/>
      <c r="M290" s="635"/>
      <c r="N290" s="636"/>
      <c r="O290" s="635"/>
      <c r="P290" s="637"/>
      <c r="Q290" s="637"/>
      <c r="R290" s="635"/>
      <c r="S290" s="637"/>
      <c r="T290" s="644"/>
    </row>
    <row r="291" spans="1:20" x14ac:dyDescent="0.25">
      <c r="A291" s="23"/>
      <c r="B291" s="24"/>
      <c r="C291" s="25"/>
      <c r="D291" s="27"/>
      <c r="E291" s="27"/>
      <c r="F291" s="28"/>
      <c r="G291" s="27"/>
      <c r="H291" s="548"/>
      <c r="I291" s="27"/>
      <c r="J291" s="635"/>
      <c r="K291" s="635"/>
      <c r="L291" s="635"/>
      <c r="M291" s="635"/>
      <c r="N291" s="636"/>
      <c r="O291" s="635"/>
      <c r="P291" s="637"/>
      <c r="Q291" s="637"/>
      <c r="R291" s="635"/>
      <c r="S291" s="637"/>
      <c r="T291" s="644"/>
    </row>
    <row r="292" spans="1:20" x14ac:dyDescent="0.25">
      <c r="A292" s="23"/>
      <c r="B292" s="24"/>
      <c r="C292" s="25"/>
      <c r="D292" s="27"/>
      <c r="E292" s="27"/>
      <c r="F292" s="28"/>
      <c r="G292" s="27"/>
      <c r="H292" s="548"/>
      <c r="I292" s="27"/>
      <c r="J292" s="635"/>
      <c r="K292" s="635"/>
      <c r="L292" s="635"/>
      <c r="M292" s="635"/>
      <c r="N292" s="636"/>
      <c r="O292" s="635"/>
      <c r="P292" s="637"/>
      <c r="Q292" s="637"/>
      <c r="R292" s="635"/>
      <c r="S292" s="637"/>
      <c r="T292" s="644"/>
    </row>
    <row r="293" spans="1:20" x14ac:dyDescent="0.25">
      <c r="A293" s="23"/>
      <c r="B293" s="24"/>
      <c r="C293" s="25"/>
      <c r="D293" s="27"/>
      <c r="E293" s="27"/>
      <c r="F293" s="28"/>
      <c r="G293" s="27"/>
      <c r="H293" s="548"/>
      <c r="I293" s="27"/>
      <c r="J293" s="635"/>
      <c r="K293" s="635"/>
      <c r="L293" s="635"/>
      <c r="M293" s="635"/>
      <c r="N293" s="636"/>
      <c r="O293" s="635"/>
      <c r="P293" s="637"/>
      <c r="Q293" s="637"/>
      <c r="R293" s="635"/>
      <c r="S293" s="637"/>
      <c r="T293" s="644"/>
    </row>
    <row r="294" spans="1:20" x14ac:dyDescent="0.25">
      <c r="A294" s="23"/>
      <c r="B294" s="24"/>
      <c r="C294" s="25"/>
      <c r="D294" s="27"/>
      <c r="E294" s="27"/>
      <c r="F294" s="28"/>
      <c r="G294" s="27"/>
      <c r="H294" s="548"/>
      <c r="I294" s="27"/>
      <c r="J294" s="635"/>
      <c r="K294" s="635"/>
      <c r="L294" s="635"/>
      <c r="M294" s="635"/>
      <c r="N294" s="636"/>
      <c r="O294" s="635"/>
      <c r="P294" s="637"/>
      <c r="Q294" s="637"/>
      <c r="R294" s="635"/>
      <c r="S294" s="637"/>
      <c r="T294" s="644"/>
    </row>
    <row r="295" spans="1:20" x14ac:dyDescent="0.25">
      <c r="A295" s="23"/>
      <c r="B295" s="24"/>
      <c r="C295" s="25"/>
      <c r="D295" s="27"/>
      <c r="E295" s="27"/>
      <c r="F295" s="28"/>
      <c r="G295" s="27"/>
      <c r="H295" s="548"/>
      <c r="I295" s="27"/>
      <c r="J295" s="635"/>
      <c r="K295" s="635"/>
      <c r="L295" s="635"/>
      <c r="M295" s="635"/>
      <c r="N295" s="636"/>
      <c r="O295" s="635"/>
      <c r="P295" s="637"/>
      <c r="Q295" s="637"/>
      <c r="R295" s="635"/>
      <c r="S295" s="637"/>
      <c r="T295" s="644"/>
    </row>
    <row r="296" spans="1:20" x14ac:dyDescent="0.25">
      <c r="A296" s="23"/>
      <c r="B296" s="24"/>
      <c r="C296" s="25"/>
      <c r="D296" s="27"/>
      <c r="E296" s="27"/>
      <c r="F296" s="28"/>
      <c r="G296" s="27"/>
      <c r="H296" s="548"/>
      <c r="I296" s="27"/>
      <c r="J296" s="635"/>
      <c r="K296" s="635"/>
      <c r="L296" s="635"/>
      <c r="M296" s="635"/>
      <c r="N296" s="636"/>
      <c r="O296" s="635"/>
      <c r="P296" s="637"/>
      <c r="Q296" s="637"/>
      <c r="R296" s="635"/>
      <c r="S296" s="637"/>
      <c r="T296" s="644"/>
    </row>
    <row r="297" spans="1:20" x14ac:dyDescent="0.25">
      <c r="A297" s="23"/>
      <c r="B297" s="24"/>
      <c r="C297" s="25"/>
      <c r="D297" s="27"/>
      <c r="E297" s="27"/>
      <c r="F297" s="28"/>
      <c r="G297" s="27"/>
      <c r="H297" s="548"/>
      <c r="I297" s="27"/>
      <c r="J297" s="635"/>
      <c r="K297" s="635"/>
      <c r="L297" s="635"/>
      <c r="M297" s="635"/>
      <c r="N297" s="636"/>
      <c r="O297" s="635"/>
      <c r="P297" s="637"/>
      <c r="Q297" s="637"/>
      <c r="R297" s="635"/>
      <c r="S297" s="637"/>
      <c r="T297" s="644"/>
    </row>
    <row r="298" spans="1:20" x14ac:dyDescent="0.25">
      <c r="A298" s="23"/>
      <c r="B298" s="24"/>
      <c r="C298" s="25"/>
      <c r="D298" s="27"/>
      <c r="E298" s="27"/>
      <c r="F298" s="28"/>
      <c r="G298" s="27"/>
      <c r="H298" s="548"/>
      <c r="I298" s="27"/>
      <c r="J298" s="635"/>
      <c r="K298" s="635"/>
      <c r="L298" s="635"/>
      <c r="M298" s="635"/>
      <c r="N298" s="636"/>
      <c r="O298" s="635"/>
      <c r="P298" s="637"/>
      <c r="Q298" s="637"/>
      <c r="R298" s="635"/>
      <c r="S298" s="637"/>
      <c r="T298" s="644"/>
    </row>
    <row r="299" spans="1:20" x14ac:dyDescent="0.25">
      <c r="A299" s="23"/>
      <c r="B299" s="24"/>
      <c r="C299" s="25"/>
      <c r="D299" s="27"/>
      <c r="E299" s="27"/>
      <c r="F299" s="28"/>
      <c r="G299" s="27"/>
      <c r="H299" s="548"/>
      <c r="I299" s="27"/>
      <c r="J299" s="635"/>
      <c r="K299" s="635"/>
      <c r="L299" s="635"/>
      <c r="M299" s="635"/>
      <c r="N299" s="636"/>
      <c r="O299" s="635"/>
      <c r="P299" s="637"/>
      <c r="Q299" s="637"/>
      <c r="R299" s="635"/>
      <c r="S299" s="637"/>
      <c r="T299" s="644"/>
    </row>
    <row r="300" spans="1:20" x14ac:dyDescent="0.25">
      <c r="A300" s="23"/>
      <c r="B300" s="24"/>
      <c r="C300" s="25"/>
      <c r="D300" s="27"/>
      <c r="E300" s="27"/>
      <c r="F300" s="28"/>
      <c r="G300" s="27"/>
      <c r="H300" s="548"/>
      <c r="I300" s="27"/>
      <c r="J300" s="635"/>
      <c r="K300" s="635"/>
      <c r="L300" s="635"/>
      <c r="M300" s="635"/>
      <c r="N300" s="636"/>
      <c r="O300" s="635"/>
      <c r="P300" s="637"/>
      <c r="Q300" s="637"/>
      <c r="R300" s="635"/>
      <c r="S300" s="637"/>
      <c r="T300" s="644"/>
    </row>
    <row r="301" spans="1:20" x14ac:dyDescent="0.25">
      <c r="A301" s="23"/>
      <c r="B301" s="24"/>
      <c r="C301" s="25"/>
      <c r="D301" s="27"/>
      <c r="E301" s="27"/>
      <c r="F301" s="28"/>
      <c r="G301" s="27"/>
      <c r="H301" s="548"/>
      <c r="I301" s="27"/>
      <c r="J301" s="635"/>
      <c r="K301" s="635"/>
      <c r="L301" s="635"/>
      <c r="M301" s="635"/>
      <c r="N301" s="636"/>
      <c r="O301" s="635"/>
      <c r="P301" s="637"/>
      <c r="Q301" s="637"/>
      <c r="R301" s="635"/>
      <c r="S301" s="637"/>
      <c r="T301" s="644"/>
    </row>
    <row r="302" spans="1:20" x14ac:dyDescent="0.25">
      <c r="A302" s="23"/>
      <c r="B302" s="24"/>
      <c r="C302" s="25"/>
      <c r="D302" s="27"/>
      <c r="E302" s="27"/>
      <c r="F302" s="28"/>
      <c r="G302" s="27"/>
      <c r="H302" s="548"/>
      <c r="I302" s="27"/>
      <c r="J302" s="635"/>
      <c r="K302" s="635"/>
      <c r="L302" s="635"/>
      <c r="M302" s="635"/>
      <c r="N302" s="636"/>
      <c r="O302" s="635"/>
      <c r="P302" s="637"/>
      <c r="Q302" s="637"/>
      <c r="R302" s="635"/>
      <c r="S302" s="637"/>
      <c r="T302" s="644"/>
    </row>
    <row r="303" spans="1:20" x14ac:dyDescent="0.25">
      <c r="A303" s="23"/>
      <c r="B303" s="24"/>
      <c r="C303" s="25"/>
      <c r="D303" s="27"/>
      <c r="E303" s="27"/>
      <c r="F303" s="28"/>
      <c r="G303" s="27"/>
      <c r="H303" s="548"/>
      <c r="I303" s="27"/>
      <c r="J303" s="635"/>
      <c r="K303" s="635"/>
      <c r="L303" s="635"/>
      <c r="M303" s="635"/>
      <c r="N303" s="636"/>
      <c r="O303" s="635"/>
      <c r="P303" s="637"/>
      <c r="Q303" s="637"/>
      <c r="R303" s="635"/>
      <c r="S303" s="637"/>
      <c r="T303" s="644"/>
    </row>
    <row r="304" spans="1:20" x14ac:dyDescent="0.25">
      <c r="A304" s="23"/>
      <c r="B304" s="24"/>
      <c r="C304" s="25"/>
      <c r="D304" s="27"/>
      <c r="E304" s="27"/>
      <c r="F304" s="28"/>
      <c r="G304" s="27"/>
      <c r="H304" s="548"/>
      <c r="I304" s="27"/>
      <c r="J304" s="635"/>
      <c r="K304" s="635"/>
      <c r="L304" s="635"/>
      <c r="M304" s="635"/>
      <c r="N304" s="636"/>
      <c r="O304" s="635"/>
      <c r="P304" s="637"/>
      <c r="Q304" s="637"/>
      <c r="R304" s="635"/>
      <c r="S304" s="637"/>
      <c r="T304" s="644"/>
    </row>
    <row r="305" spans="1:20" x14ac:dyDescent="0.25">
      <c r="A305" s="23"/>
      <c r="B305" s="24"/>
      <c r="C305" s="25"/>
      <c r="D305" s="27"/>
      <c r="E305" s="27"/>
      <c r="F305" s="28"/>
      <c r="G305" s="27"/>
      <c r="H305" s="548"/>
      <c r="I305" s="27"/>
      <c r="J305" s="635"/>
      <c r="K305" s="635"/>
      <c r="L305" s="635"/>
      <c r="M305" s="635"/>
      <c r="N305" s="636"/>
      <c r="O305" s="635"/>
      <c r="P305" s="637"/>
      <c r="Q305" s="637"/>
      <c r="R305" s="635"/>
      <c r="S305" s="637"/>
      <c r="T305" s="644"/>
    </row>
    <row r="306" spans="1:20" x14ac:dyDescent="0.25">
      <c r="A306" s="23"/>
      <c r="B306" s="24"/>
      <c r="C306" s="25"/>
      <c r="D306" s="27"/>
      <c r="E306" s="27"/>
      <c r="F306" s="28"/>
      <c r="G306" s="27"/>
      <c r="H306" s="548"/>
      <c r="I306" s="27"/>
      <c r="J306" s="635"/>
      <c r="K306" s="635"/>
      <c r="L306" s="635"/>
      <c r="M306" s="635"/>
      <c r="N306" s="636"/>
      <c r="O306" s="635"/>
      <c r="P306" s="637"/>
      <c r="Q306" s="637"/>
      <c r="R306" s="635"/>
      <c r="S306" s="637"/>
      <c r="T306" s="644"/>
    </row>
    <row r="307" spans="1:20" x14ac:dyDescent="0.25">
      <c r="A307" s="23"/>
      <c r="B307" s="24"/>
      <c r="C307" s="25"/>
      <c r="D307" s="27"/>
      <c r="E307" s="27"/>
      <c r="F307" s="28"/>
      <c r="G307" s="27"/>
      <c r="H307" s="548"/>
      <c r="I307" s="27"/>
      <c r="J307" s="635"/>
      <c r="K307" s="635"/>
      <c r="L307" s="635"/>
      <c r="M307" s="635"/>
      <c r="N307" s="636"/>
      <c r="O307" s="635"/>
      <c r="P307" s="637"/>
      <c r="Q307" s="637"/>
      <c r="R307" s="635"/>
      <c r="S307" s="637"/>
      <c r="T307" s="644"/>
    </row>
    <row r="308" spans="1:20" x14ac:dyDescent="0.25">
      <c r="A308" s="23"/>
      <c r="B308" s="24"/>
      <c r="C308" s="25"/>
      <c r="D308" s="27"/>
      <c r="E308" s="27"/>
      <c r="F308" s="28"/>
      <c r="G308" s="27"/>
      <c r="H308" s="548"/>
      <c r="I308" s="27"/>
      <c r="J308" s="635"/>
      <c r="K308" s="635"/>
      <c r="L308" s="635"/>
      <c r="M308" s="635"/>
      <c r="N308" s="636"/>
      <c r="O308" s="635"/>
      <c r="P308" s="637"/>
      <c r="Q308" s="637"/>
      <c r="R308" s="635"/>
      <c r="S308" s="637"/>
      <c r="T308" s="644"/>
    </row>
    <row r="309" spans="1:20" x14ac:dyDescent="0.25">
      <c r="A309" s="23"/>
      <c r="B309" s="24"/>
      <c r="C309" s="25"/>
      <c r="D309" s="27"/>
      <c r="E309" s="27"/>
      <c r="F309" s="28"/>
      <c r="G309" s="27"/>
      <c r="H309" s="548"/>
      <c r="I309" s="27"/>
      <c r="J309" s="635"/>
      <c r="K309" s="635"/>
      <c r="L309" s="635"/>
      <c r="M309" s="635"/>
      <c r="N309" s="636"/>
      <c r="O309" s="635"/>
      <c r="P309" s="637"/>
      <c r="Q309" s="637"/>
      <c r="R309" s="635"/>
      <c r="S309" s="637"/>
      <c r="T309" s="644"/>
    </row>
    <row r="310" spans="1:20" x14ac:dyDescent="0.25">
      <c r="A310" s="23"/>
      <c r="B310" s="24"/>
      <c r="C310" s="25"/>
      <c r="D310" s="27"/>
      <c r="E310" s="27"/>
      <c r="F310" s="28"/>
      <c r="G310" s="27"/>
      <c r="H310" s="548"/>
      <c r="I310" s="27"/>
      <c r="J310" s="635"/>
      <c r="K310" s="635"/>
      <c r="L310" s="635"/>
      <c r="M310" s="635"/>
      <c r="N310" s="636"/>
      <c r="O310" s="635"/>
      <c r="P310" s="637"/>
      <c r="Q310" s="637"/>
      <c r="R310" s="635"/>
      <c r="S310" s="637"/>
      <c r="T310" s="644"/>
    </row>
    <row r="311" spans="1:20" x14ac:dyDescent="0.25">
      <c r="A311" s="23"/>
      <c r="B311" s="24"/>
      <c r="C311" s="25"/>
      <c r="D311" s="27"/>
      <c r="E311" s="27"/>
      <c r="F311" s="28"/>
      <c r="G311" s="27"/>
      <c r="H311" s="548"/>
      <c r="I311" s="27"/>
      <c r="J311" s="635"/>
      <c r="K311" s="635"/>
      <c r="L311" s="635"/>
      <c r="M311" s="635"/>
      <c r="N311" s="636"/>
      <c r="O311" s="635"/>
      <c r="P311" s="637"/>
      <c r="Q311" s="637"/>
      <c r="R311" s="635"/>
      <c r="S311" s="637"/>
      <c r="T311" s="644"/>
    </row>
    <row r="312" spans="1:20" x14ac:dyDescent="0.25">
      <c r="A312" s="23"/>
      <c r="B312" s="24"/>
      <c r="C312" s="25"/>
      <c r="D312" s="27"/>
      <c r="E312" s="27"/>
      <c r="F312" s="28"/>
      <c r="G312" s="27"/>
      <c r="H312" s="548"/>
      <c r="I312" s="27"/>
      <c r="J312" s="635"/>
      <c r="K312" s="635"/>
      <c r="L312" s="635"/>
      <c r="M312" s="635"/>
      <c r="N312" s="636"/>
      <c r="O312" s="635"/>
      <c r="P312" s="637"/>
      <c r="Q312" s="637"/>
      <c r="R312" s="635"/>
      <c r="S312" s="637"/>
      <c r="T312" s="644"/>
    </row>
    <row r="313" spans="1:20" x14ac:dyDescent="0.25">
      <c r="A313" s="23"/>
      <c r="B313" s="24"/>
      <c r="C313" s="25"/>
      <c r="D313" s="27"/>
      <c r="E313" s="27"/>
      <c r="F313" s="28"/>
      <c r="G313" s="27"/>
      <c r="H313" s="548"/>
      <c r="I313" s="27"/>
      <c r="J313" s="635"/>
      <c r="K313" s="635"/>
      <c r="L313" s="635"/>
      <c r="M313" s="635"/>
      <c r="N313" s="636"/>
      <c r="O313" s="635"/>
      <c r="P313" s="637"/>
      <c r="Q313" s="637"/>
      <c r="R313" s="635"/>
      <c r="S313" s="637"/>
      <c r="T313" s="644"/>
    </row>
    <row r="314" spans="1:20" x14ac:dyDescent="0.25">
      <c r="A314" s="23"/>
      <c r="B314" s="24"/>
      <c r="C314" s="25"/>
      <c r="D314" s="27"/>
      <c r="E314" s="27"/>
      <c r="F314" s="28"/>
      <c r="G314" s="27"/>
      <c r="H314" s="548"/>
      <c r="I314" s="27"/>
      <c r="J314" s="635"/>
      <c r="K314" s="635"/>
      <c r="L314" s="635"/>
      <c r="M314" s="635"/>
      <c r="N314" s="636"/>
      <c r="O314" s="635"/>
      <c r="P314" s="637"/>
      <c r="Q314" s="637"/>
      <c r="R314" s="635"/>
      <c r="S314" s="637"/>
      <c r="T314" s="644"/>
    </row>
    <row r="315" spans="1:20" x14ac:dyDescent="0.25">
      <c r="A315" s="23"/>
      <c r="B315" s="24"/>
      <c r="C315" s="25"/>
      <c r="D315" s="27"/>
      <c r="E315" s="27"/>
      <c r="F315" s="28"/>
      <c r="G315" s="27"/>
      <c r="H315" s="548"/>
      <c r="I315" s="27"/>
      <c r="J315" s="635"/>
      <c r="K315" s="635"/>
      <c r="L315" s="635"/>
      <c r="M315" s="635"/>
      <c r="N315" s="636"/>
      <c r="O315" s="635"/>
      <c r="P315" s="637"/>
      <c r="Q315" s="637"/>
      <c r="R315" s="635"/>
      <c r="S315" s="637"/>
      <c r="T315" s="644"/>
    </row>
    <row r="316" spans="1:20" x14ac:dyDescent="0.25">
      <c r="A316" s="23"/>
      <c r="B316" s="24"/>
      <c r="C316" s="25"/>
      <c r="D316" s="27"/>
      <c r="E316" s="27"/>
      <c r="F316" s="28"/>
      <c r="G316" s="27"/>
      <c r="H316" s="548"/>
      <c r="I316" s="27"/>
      <c r="J316" s="635"/>
      <c r="K316" s="635"/>
      <c r="L316" s="635"/>
      <c r="M316" s="635"/>
      <c r="N316" s="636"/>
      <c r="O316" s="635"/>
      <c r="P316" s="637"/>
      <c r="Q316" s="637"/>
      <c r="R316" s="635"/>
      <c r="S316" s="637"/>
      <c r="T316" s="644"/>
    </row>
    <row r="317" spans="1:20" x14ac:dyDescent="0.25">
      <c r="A317" s="23"/>
      <c r="B317" s="24"/>
      <c r="C317" s="25"/>
      <c r="D317" s="27"/>
      <c r="E317" s="27"/>
      <c r="F317" s="28"/>
      <c r="G317" s="27"/>
      <c r="H317" s="548"/>
      <c r="I317" s="27"/>
      <c r="J317" s="635"/>
      <c r="K317" s="635"/>
      <c r="L317" s="635"/>
      <c r="M317" s="635"/>
      <c r="N317" s="636"/>
      <c r="O317" s="635"/>
      <c r="P317" s="637"/>
      <c r="Q317" s="637"/>
      <c r="R317" s="635"/>
      <c r="S317" s="637"/>
      <c r="T317" s="644"/>
    </row>
    <row r="318" spans="1:20" x14ac:dyDescent="0.25">
      <c r="A318" s="23"/>
      <c r="B318" s="24"/>
      <c r="C318" s="25"/>
      <c r="D318" s="27"/>
      <c r="E318" s="27"/>
      <c r="F318" s="28"/>
      <c r="G318" s="27"/>
      <c r="H318" s="548"/>
      <c r="I318" s="27"/>
      <c r="J318" s="635"/>
      <c r="K318" s="635"/>
      <c r="L318" s="635"/>
      <c r="M318" s="635"/>
      <c r="N318" s="636"/>
      <c r="O318" s="635"/>
      <c r="P318" s="637"/>
      <c r="Q318" s="637"/>
      <c r="R318" s="635"/>
      <c r="S318" s="637"/>
      <c r="T318" s="644"/>
    </row>
    <row r="319" spans="1:20" x14ac:dyDescent="0.25">
      <c r="A319" s="23"/>
      <c r="B319" s="24"/>
      <c r="C319" s="25"/>
      <c r="D319" s="27"/>
      <c r="E319" s="27"/>
      <c r="F319" s="28"/>
      <c r="G319" s="27"/>
      <c r="H319" s="548"/>
      <c r="I319" s="27"/>
      <c r="J319" s="635"/>
      <c r="K319" s="635"/>
      <c r="L319" s="635"/>
      <c r="M319" s="635"/>
      <c r="N319" s="636"/>
      <c r="O319" s="635"/>
      <c r="P319" s="637"/>
      <c r="Q319" s="637"/>
      <c r="R319" s="635"/>
      <c r="S319" s="637"/>
      <c r="T319" s="644"/>
    </row>
    <row r="320" spans="1:20" x14ac:dyDescent="0.25">
      <c r="A320" s="23"/>
      <c r="B320" s="24"/>
      <c r="C320" s="25"/>
      <c r="D320" s="27"/>
      <c r="E320" s="27"/>
      <c r="F320" s="28"/>
      <c r="G320" s="27"/>
      <c r="H320" s="548"/>
      <c r="I320" s="27"/>
      <c r="J320" s="635"/>
      <c r="K320" s="635"/>
      <c r="L320" s="635"/>
      <c r="M320" s="635"/>
      <c r="N320" s="636"/>
      <c r="O320" s="635"/>
      <c r="P320" s="637"/>
      <c r="Q320" s="637"/>
      <c r="R320" s="635"/>
      <c r="S320" s="637"/>
      <c r="T320" s="644"/>
    </row>
    <row r="321" spans="1:20" x14ac:dyDescent="0.25">
      <c r="A321" s="23"/>
      <c r="B321" s="24"/>
      <c r="C321" s="25"/>
      <c r="D321" s="27"/>
      <c r="E321" s="27"/>
      <c r="F321" s="28"/>
      <c r="G321" s="27"/>
      <c r="H321" s="548"/>
      <c r="I321" s="27"/>
      <c r="J321" s="635"/>
      <c r="K321" s="635"/>
      <c r="L321" s="635"/>
      <c r="M321" s="635"/>
      <c r="N321" s="636"/>
      <c r="O321" s="635"/>
      <c r="P321" s="637"/>
      <c r="Q321" s="637"/>
      <c r="R321" s="635"/>
      <c r="S321" s="637"/>
      <c r="T321" s="644"/>
    </row>
    <row r="322" spans="1:20" x14ac:dyDescent="0.25">
      <c r="A322" s="23"/>
      <c r="B322" s="24"/>
      <c r="C322" s="25"/>
      <c r="D322" s="27"/>
      <c r="E322" s="27"/>
      <c r="F322" s="28"/>
      <c r="G322" s="27"/>
      <c r="H322" s="548"/>
      <c r="I322" s="27"/>
      <c r="J322" s="635"/>
      <c r="K322" s="635"/>
      <c r="L322" s="635"/>
      <c r="M322" s="635"/>
      <c r="N322" s="636"/>
      <c r="O322" s="635"/>
      <c r="P322" s="637"/>
      <c r="Q322" s="637"/>
      <c r="R322" s="635"/>
      <c r="S322" s="637"/>
      <c r="T322" s="644"/>
    </row>
    <row r="323" spans="1:20" x14ac:dyDescent="0.25">
      <c r="A323" s="23"/>
      <c r="B323" s="24"/>
      <c r="C323" s="25"/>
      <c r="D323" s="27"/>
      <c r="E323" s="27"/>
      <c r="F323" s="28"/>
      <c r="G323" s="27"/>
      <c r="H323" s="548"/>
      <c r="I323" s="27"/>
      <c r="J323" s="635"/>
      <c r="K323" s="635"/>
      <c r="L323" s="635"/>
      <c r="M323" s="635"/>
      <c r="N323" s="636"/>
      <c r="O323" s="635"/>
      <c r="P323" s="637"/>
      <c r="Q323" s="637"/>
      <c r="R323" s="635"/>
      <c r="S323" s="637"/>
      <c r="T323" s="644"/>
    </row>
    <row r="324" spans="1:20" x14ac:dyDescent="0.25">
      <c r="A324" s="23"/>
      <c r="B324" s="24"/>
      <c r="C324" s="25"/>
      <c r="D324" s="27"/>
      <c r="E324" s="27"/>
      <c r="F324" s="28"/>
      <c r="G324" s="27"/>
      <c r="H324" s="548"/>
      <c r="I324" s="27"/>
      <c r="J324" s="635"/>
      <c r="K324" s="635"/>
      <c r="L324" s="635"/>
      <c r="M324" s="635"/>
      <c r="N324" s="636"/>
      <c r="O324" s="635"/>
      <c r="P324" s="637"/>
      <c r="Q324" s="637"/>
      <c r="R324" s="635"/>
      <c r="S324" s="637"/>
      <c r="T324" s="644"/>
    </row>
    <row r="325" spans="1:20" x14ac:dyDescent="0.25">
      <c r="A325" s="23"/>
      <c r="B325" s="24"/>
      <c r="C325" s="25"/>
      <c r="D325" s="27"/>
      <c r="E325" s="27"/>
      <c r="F325" s="28"/>
      <c r="G325" s="27"/>
      <c r="H325" s="548"/>
      <c r="I325" s="27"/>
      <c r="J325" s="635"/>
      <c r="K325" s="635"/>
      <c r="L325" s="635"/>
      <c r="M325" s="635"/>
      <c r="N325" s="636"/>
      <c r="O325" s="635"/>
      <c r="P325" s="637"/>
      <c r="Q325" s="637"/>
      <c r="R325" s="635"/>
      <c r="S325" s="637"/>
      <c r="T325" s="644"/>
    </row>
    <row r="326" spans="1:20" x14ac:dyDescent="0.25">
      <c r="A326" s="23"/>
      <c r="B326" s="24"/>
      <c r="C326" s="25"/>
      <c r="D326" s="27"/>
      <c r="E326" s="27"/>
      <c r="F326" s="28"/>
      <c r="G326" s="27"/>
      <c r="H326" s="548"/>
      <c r="I326" s="27"/>
      <c r="J326" s="635"/>
      <c r="K326" s="635"/>
      <c r="L326" s="635"/>
      <c r="M326" s="635"/>
      <c r="N326" s="636"/>
      <c r="O326" s="635"/>
      <c r="P326" s="637"/>
      <c r="Q326" s="637"/>
      <c r="R326" s="635"/>
      <c r="S326" s="637"/>
      <c r="T326" s="644"/>
    </row>
    <row r="327" spans="1:20" x14ac:dyDescent="0.25">
      <c r="A327" s="23"/>
      <c r="B327" s="24"/>
      <c r="C327" s="25"/>
      <c r="D327" s="27"/>
      <c r="E327" s="27"/>
      <c r="F327" s="28"/>
      <c r="G327" s="27"/>
      <c r="H327" s="548"/>
      <c r="I327" s="27"/>
      <c r="J327" s="635"/>
      <c r="K327" s="635"/>
      <c r="L327" s="635"/>
      <c r="M327" s="635"/>
      <c r="N327" s="636"/>
      <c r="O327" s="635"/>
      <c r="P327" s="637"/>
      <c r="Q327" s="637"/>
      <c r="R327" s="635"/>
      <c r="S327" s="637"/>
      <c r="T327" s="644"/>
    </row>
    <row r="328" spans="1:20" x14ac:dyDescent="0.25">
      <c r="A328" s="23"/>
      <c r="B328" s="24"/>
      <c r="C328" s="25"/>
      <c r="D328" s="27"/>
      <c r="E328" s="27"/>
      <c r="F328" s="28"/>
      <c r="G328" s="27"/>
      <c r="H328" s="548"/>
      <c r="I328" s="27"/>
      <c r="J328" s="635"/>
      <c r="K328" s="635"/>
      <c r="L328" s="635"/>
      <c r="M328" s="635"/>
      <c r="N328" s="636"/>
      <c r="O328" s="635"/>
      <c r="P328" s="637"/>
      <c r="Q328" s="637"/>
      <c r="R328" s="635"/>
      <c r="S328" s="637"/>
      <c r="T328" s="644"/>
    </row>
    <row r="329" spans="1:20" x14ac:dyDescent="0.25">
      <c r="A329" s="23"/>
      <c r="B329" s="24"/>
      <c r="C329" s="25"/>
      <c r="D329" s="27"/>
      <c r="E329" s="27"/>
      <c r="F329" s="28"/>
      <c r="G329" s="27"/>
      <c r="H329" s="548"/>
      <c r="I329" s="27"/>
      <c r="J329" s="635"/>
      <c r="K329" s="635"/>
      <c r="L329" s="635"/>
      <c r="M329" s="635"/>
      <c r="N329" s="636"/>
      <c r="O329" s="635"/>
      <c r="P329" s="637"/>
      <c r="Q329" s="637"/>
      <c r="R329" s="635"/>
      <c r="S329" s="637"/>
      <c r="T329" s="644"/>
    </row>
    <row r="330" spans="1:20" x14ac:dyDescent="0.25">
      <c r="A330" s="23"/>
      <c r="B330" s="24"/>
      <c r="C330" s="25"/>
      <c r="D330" s="27"/>
      <c r="E330" s="27"/>
      <c r="F330" s="28"/>
      <c r="G330" s="27"/>
      <c r="H330" s="548"/>
      <c r="I330" s="27"/>
      <c r="J330" s="635"/>
      <c r="K330" s="635"/>
      <c r="L330" s="635"/>
      <c r="M330" s="635"/>
      <c r="N330" s="636"/>
      <c r="O330" s="635"/>
      <c r="P330" s="637"/>
      <c r="Q330" s="637"/>
      <c r="R330" s="635"/>
      <c r="S330" s="637"/>
      <c r="T330" s="644"/>
    </row>
    <row r="331" spans="1:20" x14ac:dyDescent="0.25">
      <c r="A331" s="23"/>
      <c r="B331" s="24"/>
      <c r="C331" s="25"/>
      <c r="D331" s="27"/>
      <c r="E331" s="27"/>
      <c r="F331" s="28"/>
      <c r="G331" s="27"/>
      <c r="H331" s="548"/>
      <c r="I331" s="27"/>
      <c r="J331" s="635"/>
      <c r="K331" s="635"/>
      <c r="L331" s="635"/>
      <c r="M331" s="635"/>
      <c r="N331" s="636"/>
      <c r="O331" s="635"/>
      <c r="P331" s="637"/>
      <c r="Q331" s="637"/>
      <c r="R331" s="635"/>
      <c r="S331" s="637"/>
      <c r="T331" s="644"/>
    </row>
    <row r="332" spans="1:20" x14ac:dyDescent="0.25">
      <c r="A332" s="23"/>
      <c r="B332" s="24"/>
      <c r="C332" s="25"/>
      <c r="D332" s="27"/>
      <c r="E332" s="27"/>
      <c r="F332" s="28"/>
      <c r="G332" s="27"/>
      <c r="H332" s="548"/>
      <c r="I332" s="27"/>
      <c r="J332" s="635"/>
      <c r="K332" s="635"/>
      <c r="L332" s="635"/>
      <c r="M332" s="635"/>
      <c r="N332" s="636"/>
      <c r="O332" s="635"/>
      <c r="P332" s="637"/>
      <c r="Q332" s="637"/>
      <c r="R332" s="635"/>
      <c r="S332" s="637"/>
      <c r="T332" s="644"/>
    </row>
    <row r="333" spans="1:20" x14ac:dyDescent="0.25">
      <c r="A333" s="23"/>
      <c r="B333" s="24"/>
      <c r="C333" s="25"/>
      <c r="D333" s="27"/>
      <c r="E333" s="27"/>
      <c r="F333" s="28"/>
      <c r="G333" s="27"/>
      <c r="H333" s="548"/>
      <c r="I333" s="27"/>
      <c r="J333" s="635"/>
      <c r="K333" s="635"/>
      <c r="L333" s="635"/>
      <c r="M333" s="635"/>
      <c r="N333" s="636"/>
      <c r="O333" s="635"/>
      <c r="P333" s="637"/>
      <c r="Q333" s="637"/>
      <c r="R333" s="635"/>
      <c r="S333" s="637"/>
      <c r="T333" s="644"/>
    </row>
    <row r="334" spans="1:20" x14ac:dyDescent="0.25">
      <c r="A334" s="23"/>
      <c r="B334" s="24"/>
      <c r="C334" s="25"/>
      <c r="D334" s="27"/>
      <c r="E334" s="27"/>
      <c r="F334" s="28"/>
      <c r="G334" s="27"/>
      <c r="H334" s="548"/>
      <c r="I334" s="27"/>
      <c r="J334" s="635"/>
      <c r="K334" s="635"/>
      <c r="L334" s="635"/>
      <c r="M334" s="635"/>
      <c r="N334" s="636"/>
      <c r="O334" s="635"/>
      <c r="P334" s="637"/>
      <c r="Q334" s="637"/>
      <c r="R334" s="635"/>
      <c r="S334" s="637"/>
      <c r="T334" s="644"/>
    </row>
    <row r="335" spans="1:20" x14ac:dyDescent="0.25">
      <c r="A335" s="23"/>
      <c r="B335" s="24"/>
      <c r="C335" s="25"/>
      <c r="D335" s="27"/>
      <c r="E335" s="27"/>
      <c r="F335" s="28"/>
      <c r="G335" s="27"/>
      <c r="H335" s="548"/>
      <c r="I335" s="27"/>
      <c r="J335" s="635"/>
      <c r="K335" s="635"/>
      <c r="L335" s="635"/>
      <c r="M335" s="635"/>
      <c r="N335" s="636"/>
      <c r="O335" s="635"/>
      <c r="P335" s="637"/>
      <c r="Q335" s="637"/>
      <c r="R335" s="635"/>
      <c r="S335" s="637"/>
      <c r="T335" s="644"/>
    </row>
    <row r="336" spans="1:20" x14ac:dyDescent="0.25">
      <c r="A336" s="23"/>
      <c r="B336" s="24"/>
      <c r="C336" s="25"/>
      <c r="D336" s="27"/>
      <c r="E336" s="27"/>
      <c r="F336" s="28"/>
      <c r="G336" s="27"/>
      <c r="H336" s="548"/>
      <c r="I336" s="27"/>
      <c r="J336" s="635"/>
      <c r="K336" s="635"/>
      <c r="L336" s="635"/>
      <c r="M336" s="635"/>
      <c r="N336" s="636"/>
      <c r="O336" s="635"/>
      <c r="P336" s="637"/>
      <c r="Q336" s="637"/>
      <c r="R336" s="635"/>
      <c r="S336" s="637"/>
      <c r="T336" s="644"/>
    </row>
    <row r="337" spans="1:20" x14ac:dyDescent="0.25">
      <c r="A337" s="23"/>
      <c r="B337" s="24"/>
      <c r="C337" s="25"/>
      <c r="D337" s="27"/>
      <c r="E337" s="27"/>
      <c r="F337" s="28"/>
      <c r="G337" s="27"/>
      <c r="H337" s="548"/>
      <c r="I337" s="27"/>
      <c r="J337" s="635"/>
      <c r="K337" s="635"/>
      <c r="L337" s="635"/>
      <c r="M337" s="635"/>
      <c r="N337" s="636"/>
      <c r="O337" s="635"/>
      <c r="P337" s="637"/>
      <c r="Q337" s="637"/>
      <c r="R337" s="635"/>
      <c r="S337" s="637"/>
      <c r="T337" s="644"/>
    </row>
    <row r="338" spans="1:20" x14ac:dyDescent="0.25">
      <c r="A338" s="23"/>
      <c r="B338" s="24"/>
      <c r="C338" s="25"/>
      <c r="D338" s="27"/>
      <c r="E338" s="27"/>
      <c r="F338" s="28"/>
      <c r="G338" s="27"/>
      <c r="H338" s="548"/>
      <c r="I338" s="27"/>
      <c r="J338" s="635"/>
      <c r="K338" s="635"/>
      <c r="L338" s="635"/>
      <c r="M338" s="635"/>
      <c r="N338" s="636"/>
      <c r="O338" s="635"/>
      <c r="P338" s="637"/>
      <c r="Q338" s="637"/>
      <c r="R338" s="635"/>
      <c r="S338" s="637"/>
      <c r="T338" s="644"/>
    </row>
    <row r="339" spans="1:20" x14ac:dyDescent="0.25">
      <c r="A339" s="23"/>
      <c r="B339" s="24"/>
      <c r="C339" s="25"/>
      <c r="D339" s="27"/>
      <c r="E339" s="27"/>
      <c r="F339" s="28"/>
      <c r="G339" s="27"/>
      <c r="H339" s="548"/>
      <c r="I339" s="27"/>
      <c r="J339" s="635"/>
      <c r="K339" s="635"/>
      <c r="L339" s="635"/>
      <c r="M339" s="635"/>
      <c r="N339" s="636"/>
      <c r="O339" s="635"/>
      <c r="P339" s="637"/>
      <c r="Q339" s="637"/>
      <c r="R339" s="635"/>
      <c r="S339" s="637"/>
      <c r="T339" s="644"/>
    </row>
    <row r="340" spans="1:20" x14ac:dyDescent="0.25">
      <c r="A340" s="23"/>
      <c r="B340" s="24"/>
      <c r="C340" s="25"/>
      <c r="D340" s="27"/>
      <c r="E340" s="27"/>
      <c r="F340" s="28"/>
      <c r="G340" s="27"/>
      <c r="H340" s="548"/>
      <c r="I340" s="27"/>
      <c r="J340" s="635"/>
      <c r="K340" s="635"/>
      <c r="L340" s="635"/>
      <c r="M340" s="635"/>
      <c r="N340" s="636"/>
      <c r="O340" s="635"/>
      <c r="P340" s="637"/>
      <c r="Q340" s="637"/>
      <c r="R340" s="635"/>
      <c r="S340" s="637"/>
      <c r="T340" s="644"/>
    </row>
    <row r="341" spans="1:20" x14ac:dyDescent="0.25">
      <c r="A341" s="23"/>
      <c r="B341" s="24"/>
      <c r="C341" s="25"/>
      <c r="D341" s="27"/>
      <c r="E341" s="27"/>
      <c r="F341" s="28"/>
      <c r="G341" s="27"/>
      <c r="H341" s="548"/>
      <c r="I341" s="27"/>
      <c r="J341" s="635"/>
      <c r="K341" s="635"/>
      <c r="L341" s="635"/>
      <c r="M341" s="635"/>
      <c r="N341" s="636"/>
      <c r="O341" s="635"/>
      <c r="P341" s="637"/>
      <c r="Q341" s="637"/>
      <c r="R341" s="635"/>
      <c r="S341" s="637"/>
      <c r="T341" s="644"/>
    </row>
    <row r="342" spans="1:20" x14ac:dyDescent="0.25">
      <c r="A342" s="23"/>
      <c r="B342" s="24"/>
      <c r="C342" s="25"/>
      <c r="D342" s="27"/>
      <c r="E342" s="27"/>
      <c r="F342" s="28"/>
      <c r="G342" s="27"/>
      <c r="H342" s="548"/>
      <c r="I342" s="27"/>
      <c r="J342" s="635"/>
      <c r="K342" s="635"/>
      <c r="L342" s="635"/>
      <c r="M342" s="635"/>
      <c r="N342" s="636"/>
      <c r="O342" s="635"/>
      <c r="P342" s="637"/>
      <c r="Q342" s="637"/>
      <c r="R342" s="635"/>
      <c r="S342" s="637"/>
      <c r="T342" s="644"/>
    </row>
    <row r="343" spans="1:20" x14ac:dyDescent="0.25">
      <c r="A343" s="23"/>
      <c r="B343" s="24"/>
      <c r="C343" s="25"/>
      <c r="D343" s="27"/>
      <c r="E343" s="27"/>
      <c r="F343" s="28"/>
      <c r="G343" s="27"/>
      <c r="H343" s="548"/>
      <c r="I343" s="27"/>
      <c r="J343" s="635"/>
      <c r="K343" s="635"/>
      <c r="L343" s="635"/>
      <c r="M343" s="635"/>
      <c r="N343" s="636"/>
      <c r="O343" s="635"/>
      <c r="P343" s="637"/>
      <c r="Q343" s="637"/>
      <c r="R343" s="635"/>
      <c r="S343" s="637"/>
      <c r="T343" s="644"/>
    </row>
    <row r="344" spans="1:20" x14ac:dyDescent="0.25">
      <c r="A344" s="23"/>
      <c r="B344" s="24"/>
      <c r="C344" s="25"/>
      <c r="D344" s="27"/>
      <c r="E344" s="27"/>
      <c r="F344" s="28"/>
      <c r="G344" s="27"/>
      <c r="H344" s="548"/>
      <c r="I344" s="27"/>
      <c r="J344" s="635"/>
      <c r="K344" s="635"/>
      <c r="L344" s="635"/>
      <c r="M344" s="635"/>
      <c r="N344" s="636"/>
      <c r="O344" s="635"/>
      <c r="P344" s="637"/>
      <c r="Q344" s="637"/>
      <c r="R344" s="635"/>
      <c r="S344" s="637"/>
      <c r="T344" s="644"/>
    </row>
    <row r="345" spans="1:20" x14ac:dyDescent="0.25">
      <c r="A345" s="23"/>
      <c r="B345" s="24"/>
      <c r="C345" s="25"/>
      <c r="D345" s="27"/>
      <c r="E345" s="27"/>
      <c r="F345" s="28"/>
      <c r="G345" s="27"/>
      <c r="H345" s="548"/>
      <c r="I345" s="27"/>
      <c r="J345" s="635"/>
      <c r="K345" s="635"/>
      <c r="L345" s="635"/>
      <c r="M345" s="635"/>
      <c r="N345" s="636"/>
      <c r="O345" s="635"/>
      <c r="P345" s="637"/>
      <c r="Q345" s="637"/>
      <c r="R345" s="635"/>
      <c r="S345" s="637"/>
      <c r="T345" s="644"/>
    </row>
    <row r="346" spans="1:20" x14ac:dyDescent="0.25">
      <c r="A346" s="23"/>
      <c r="B346" s="24"/>
      <c r="C346" s="25"/>
      <c r="D346" s="27"/>
      <c r="E346" s="27"/>
      <c r="F346" s="28"/>
      <c r="G346" s="27"/>
      <c r="H346" s="548"/>
      <c r="I346" s="27"/>
      <c r="J346" s="635"/>
      <c r="K346" s="635"/>
      <c r="L346" s="635"/>
      <c r="M346" s="635"/>
      <c r="N346" s="636"/>
      <c r="O346" s="635"/>
      <c r="P346" s="637"/>
      <c r="Q346" s="637"/>
      <c r="R346" s="635"/>
      <c r="S346" s="637"/>
      <c r="T346" s="644"/>
    </row>
    <row r="347" spans="1:20" x14ac:dyDescent="0.25">
      <c r="A347" s="23"/>
      <c r="B347" s="24"/>
      <c r="C347" s="25"/>
      <c r="D347" s="27"/>
      <c r="E347" s="27"/>
      <c r="F347" s="28"/>
      <c r="G347" s="27"/>
      <c r="H347" s="548"/>
      <c r="I347" s="27"/>
      <c r="J347" s="635"/>
      <c r="K347" s="635"/>
      <c r="L347" s="635"/>
      <c r="M347" s="635"/>
      <c r="N347" s="636"/>
      <c r="O347" s="635"/>
      <c r="P347" s="637"/>
      <c r="Q347" s="637"/>
      <c r="R347" s="635"/>
      <c r="S347" s="637"/>
      <c r="T347" s="644"/>
    </row>
    <row r="348" spans="1:20" x14ac:dyDescent="0.25">
      <c r="A348" s="23"/>
      <c r="B348" s="24"/>
      <c r="C348" s="25"/>
      <c r="D348" s="27"/>
      <c r="E348" s="27"/>
      <c r="F348" s="28"/>
      <c r="G348" s="27"/>
      <c r="H348" s="548"/>
      <c r="I348" s="27"/>
      <c r="J348" s="635"/>
      <c r="K348" s="635"/>
      <c r="L348" s="635"/>
      <c r="M348" s="635"/>
      <c r="N348" s="636"/>
      <c r="O348" s="635"/>
      <c r="P348" s="637"/>
      <c r="Q348" s="637"/>
      <c r="R348" s="635"/>
      <c r="S348" s="637"/>
      <c r="T348" s="644"/>
    </row>
    <row r="349" spans="1:20" x14ac:dyDescent="0.25">
      <c r="A349" s="23"/>
      <c r="B349" s="24"/>
      <c r="C349" s="25"/>
      <c r="D349" s="27"/>
      <c r="E349" s="27"/>
      <c r="F349" s="28"/>
      <c r="G349" s="27"/>
      <c r="H349" s="548"/>
      <c r="I349" s="27"/>
      <c r="J349" s="635"/>
      <c r="K349" s="635"/>
      <c r="L349" s="635"/>
      <c r="M349" s="635"/>
      <c r="N349" s="636"/>
      <c r="O349" s="635"/>
      <c r="P349" s="637"/>
      <c r="Q349" s="637"/>
      <c r="R349" s="635"/>
      <c r="S349" s="637"/>
      <c r="T349" s="644"/>
    </row>
    <row r="350" spans="1:20" x14ac:dyDescent="0.25">
      <c r="A350" s="23"/>
      <c r="B350" s="24"/>
      <c r="C350" s="25"/>
      <c r="D350" s="27"/>
      <c r="E350" s="27"/>
      <c r="F350" s="28"/>
      <c r="G350" s="27"/>
      <c r="H350" s="548"/>
      <c r="I350" s="27"/>
      <c r="J350" s="635"/>
      <c r="K350" s="635"/>
      <c r="L350" s="635"/>
      <c r="M350" s="635"/>
      <c r="N350" s="636"/>
      <c r="O350" s="635"/>
      <c r="P350" s="637"/>
      <c r="Q350" s="637"/>
      <c r="R350" s="635"/>
      <c r="S350" s="637"/>
      <c r="T350" s="644"/>
    </row>
    <row r="351" spans="1:20" x14ac:dyDescent="0.25">
      <c r="A351" s="23"/>
      <c r="B351" s="24"/>
      <c r="C351" s="25"/>
      <c r="D351" s="27"/>
      <c r="E351" s="27"/>
      <c r="F351" s="28"/>
      <c r="G351" s="27"/>
      <c r="H351" s="548"/>
      <c r="I351" s="27"/>
      <c r="J351" s="635"/>
      <c r="K351" s="635"/>
      <c r="L351" s="635"/>
      <c r="M351" s="635"/>
      <c r="N351" s="636"/>
      <c r="O351" s="635"/>
      <c r="P351" s="637"/>
      <c r="Q351" s="637"/>
      <c r="R351" s="635"/>
      <c r="S351" s="637"/>
      <c r="T351" s="644"/>
    </row>
    <row r="352" spans="1:20" x14ac:dyDescent="0.25">
      <c r="A352" s="23"/>
      <c r="B352" s="24"/>
      <c r="C352" s="25"/>
      <c r="D352" s="27"/>
      <c r="E352" s="27"/>
      <c r="F352" s="28"/>
      <c r="G352" s="27"/>
      <c r="H352" s="548"/>
      <c r="I352" s="27"/>
      <c r="J352" s="635"/>
      <c r="K352" s="635"/>
      <c r="L352" s="635"/>
      <c r="M352" s="635"/>
      <c r="N352" s="636"/>
      <c r="O352" s="635"/>
      <c r="P352" s="637"/>
      <c r="Q352" s="637"/>
      <c r="R352" s="635"/>
      <c r="S352" s="637"/>
      <c r="T352" s="644"/>
    </row>
    <row r="353" spans="1:20" x14ac:dyDescent="0.25">
      <c r="A353" s="23"/>
      <c r="B353" s="24"/>
      <c r="C353" s="25"/>
      <c r="D353" s="27"/>
      <c r="E353" s="27"/>
      <c r="F353" s="28"/>
      <c r="G353" s="27"/>
      <c r="H353" s="548"/>
      <c r="I353" s="27"/>
      <c r="J353" s="635"/>
      <c r="K353" s="635"/>
      <c r="L353" s="635"/>
      <c r="M353" s="635"/>
      <c r="N353" s="636"/>
      <c r="O353" s="635"/>
      <c r="P353" s="637"/>
      <c r="Q353" s="637"/>
      <c r="R353" s="635"/>
      <c r="S353" s="637"/>
      <c r="T353" s="644"/>
    </row>
    <row r="354" spans="1:20" x14ac:dyDescent="0.25">
      <c r="A354" s="23"/>
      <c r="B354" s="24"/>
      <c r="C354" s="25"/>
      <c r="D354" s="27"/>
      <c r="E354" s="27"/>
      <c r="F354" s="28"/>
      <c r="G354" s="27"/>
      <c r="H354" s="548"/>
      <c r="I354" s="27"/>
      <c r="J354" s="635"/>
      <c r="K354" s="635"/>
      <c r="L354" s="635"/>
      <c r="M354" s="635"/>
      <c r="N354" s="636"/>
      <c r="O354" s="635"/>
      <c r="P354" s="637"/>
      <c r="Q354" s="637"/>
      <c r="R354" s="635"/>
      <c r="S354" s="637"/>
      <c r="T354" s="644"/>
    </row>
    <row r="355" spans="1:20" x14ac:dyDescent="0.25">
      <c r="A355" s="23"/>
      <c r="B355" s="24"/>
      <c r="C355" s="25"/>
      <c r="D355" s="27"/>
      <c r="E355" s="27"/>
      <c r="F355" s="28"/>
      <c r="G355" s="27"/>
      <c r="H355" s="548"/>
      <c r="I355" s="27"/>
      <c r="J355" s="635"/>
      <c r="K355" s="635"/>
      <c r="L355" s="635"/>
      <c r="M355" s="635"/>
      <c r="N355" s="636"/>
      <c r="O355" s="635"/>
      <c r="P355" s="637"/>
      <c r="Q355" s="637"/>
      <c r="R355" s="635"/>
      <c r="S355" s="637"/>
      <c r="T355" s="644"/>
    </row>
    <row r="356" spans="1:20" x14ac:dyDescent="0.25">
      <c r="A356" s="23"/>
      <c r="B356" s="24"/>
      <c r="C356" s="25"/>
      <c r="D356" s="27"/>
      <c r="E356" s="27"/>
      <c r="F356" s="28"/>
      <c r="G356" s="27"/>
      <c r="H356" s="548"/>
      <c r="I356" s="27"/>
      <c r="J356" s="635"/>
      <c r="K356" s="635"/>
      <c r="L356" s="635"/>
      <c r="M356" s="635"/>
      <c r="N356" s="636"/>
      <c r="O356" s="635"/>
      <c r="P356" s="637"/>
      <c r="Q356" s="637"/>
      <c r="R356" s="635"/>
      <c r="S356" s="637"/>
      <c r="T356" s="644"/>
    </row>
    <row r="357" spans="1:20" x14ac:dyDescent="0.25">
      <c r="A357" s="23"/>
      <c r="B357" s="24"/>
      <c r="C357" s="25"/>
      <c r="D357" s="27"/>
      <c r="E357" s="27"/>
      <c r="F357" s="28"/>
      <c r="G357" s="27"/>
      <c r="H357" s="548"/>
      <c r="I357" s="27"/>
      <c r="J357" s="635"/>
      <c r="K357" s="635"/>
      <c r="L357" s="635"/>
      <c r="M357" s="635"/>
      <c r="N357" s="636"/>
      <c r="O357" s="635"/>
      <c r="P357" s="637"/>
      <c r="Q357" s="637"/>
      <c r="R357" s="635"/>
      <c r="S357" s="637"/>
      <c r="T357" s="644"/>
    </row>
    <row r="358" spans="1:20" x14ac:dyDescent="0.25">
      <c r="A358" s="23"/>
      <c r="B358" s="24"/>
      <c r="C358" s="25"/>
      <c r="D358" s="27"/>
      <c r="E358" s="27"/>
      <c r="F358" s="28"/>
      <c r="G358" s="27"/>
      <c r="H358" s="548"/>
      <c r="I358" s="27"/>
      <c r="J358" s="635"/>
      <c r="K358" s="635"/>
      <c r="L358" s="635"/>
      <c r="M358" s="635"/>
      <c r="N358" s="636"/>
      <c r="O358" s="635"/>
      <c r="P358" s="637"/>
      <c r="Q358" s="637"/>
      <c r="R358" s="635"/>
      <c r="S358" s="637"/>
      <c r="T358" s="644"/>
    </row>
    <row r="359" spans="1:20" x14ac:dyDescent="0.25">
      <c r="A359" s="23"/>
      <c r="B359" s="24"/>
      <c r="C359" s="25"/>
      <c r="D359" s="27"/>
      <c r="E359" s="27"/>
      <c r="F359" s="28"/>
      <c r="G359" s="27"/>
      <c r="H359" s="548"/>
      <c r="I359" s="27"/>
      <c r="J359" s="635"/>
      <c r="K359" s="635"/>
      <c r="L359" s="635"/>
      <c r="M359" s="635"/>
      <c r="N359" s="636"/>
      <c r="O359" s="635"/>
      <c r="P359" s="637"/>
      <c r="Q359" s="637"/>
      <c r="R359" s="635"/>
      <c r="S359" s="637"/>
      <c r="T359" s="644"/>
    </row>
    <row r="360" spans="1:20" x14ac:dyDescent="0.25">
      <c r="A360" s="23"/>
      <c r="B360" s="24"/>
      <c r="C360" s="25"/>
      <c r="D360" s="27"/>
      <c r="E360" s="27"/>
      <c r="F360" s="28"/>
      <c r="G360" s="27"/>
      <c r="H360" s="548"/>
      <c r="I360" s="27"/>
      <c r="J360" s="635"/>
      <c r="K360" s="635"/>
      <c r="L360" s="635"/>
      <c r="M360" s="635"/>
      <c r="N360" s="636"/>
      <c r="O360" s="635"/>
      <c r="P360" s="637"/>
      <c r="Q360" s="637"/>
      <c r="R360" s="635"/>
      <c r="S360" s="637"/>
      <c r="T360" s="644"/>
    </row>
    <row r="361" spans="1:20" x14ac:dyDescent="0.25">
      <c r="A361" s="23"/>
      <c r="B361" s="24"/>
      <c r="C361" s="25"/>
      <c r="D361" s="27"/>
      <c r="E361" s="27"/>
      <c r="F361" s="28"/>
      <c r="G361" s="27"/>
      <c r="H361" s="548"/>
      <c r="I361" s="27"/>
      <c r="J361" s="635"/>
      <c r="K361" s="635"/>
      <c r="L361" s="635"/>
      <c r="M361" s="635"/>
      <c r="N361" s="636"/>
      <c r="O361" s="635"/>
      <c r="P361" s="637"/>
      <c r="Q361" s="637"/>
      <c r="R361" s="635"/>
      <c r="S361" s="637"/>
      <c r="T361" s="644"/>
    </row>
    <row r="362" spans="1:20" x14ac:dyDescent="0.25">
      <c r="A362" s="23"/>
      <c r="B362" s="24"/>
      <c r="C362" s="25"/>
      <c r="D362" s="27"/>
      <c r="E362" s="27"/>
      <c r="F362" s="28"/>
      <c r="G362" s="27"/>
      <c r="H362" s="548"/>
      <c r="I362" s="27"/>
      <c r="J362" s="635"/>
      <c r="K362" s="635"/>
      <c r="L362" s="635"/>
      <c r="M362" s="635"/>
      <c r="N362" s="636"/>
      <c r="O362" s="635"/>
      <c r="P362" s="637"/>
      <c r="Q362" s="637"/>
      <c r="R362" s="635"/>
      <c r="S362" s="637"/>
      <c r="T362" s="644"/>
    </row>
    <row r="363" spans="1:20" x14ac:dyDescent="0.25">
      <c r="A363" s="23"/>
      <c r="B363" s="24"/>
      <c r="C363" s="25"/>
      <c r="D363" s="27"/>
      <c r="E363" s="27"/>
      <c r="F363" s="28"/>
      <c r="G363" s="27"/>
      <c r="H363" s="548"/>
      <c r="I363" s="27"/>
      <c r="J363" s="635"/>
      <c r="K363" s="635"/>
      <c r="L363" s="635"/>
      <c r="M363" s="635"/>
      <c r="N363" s="636"/>
      <c r="O363" s="635"/>
      <c r="P363" s="637"/>
      <c r="Q363" s="637"/>
      <c r="R363" s="635"/>
      <c r="S363" s="637"/>
      <c r="T363" s="644"/>
    </row>
    <row r="364" spans="1:20" x14ac:dyDescent="0.25">
      <c r="A364" s="23"/>
      <c r="B364" s="24"/>
      <c r="C364" s="25"/>
      <c r="D364" s="27"/>
      <c r="E364" s="27"/>
      <c r="F364" s="28"/>
      <c r="G364" s="27"/>
      <c r="H364" s="548"/>
      <c r="I364" s="27"/>
      <c r="J364" s="635"/>
      <c r="K364" s="635"/>
      <c r="L364" s="635"/>
      <c r="M364" s="635"/>
      <c r="N364" s="636"/>
      <c r="O364" s="635"/>
      <c r="P364" s="637"/>
      <c r="Q364" s="637"/>
      <c r="R364" s="635"/>
      <c r="S364" s="637"/>
      <c r="T364" s="644"/>
    </row>
    <row r="365" spans="1:20" x14ac:dyDescent="0.25">
      <c r="A365" s="23"/>
      <c r="B365" s="24"/>
      <c r="C365" s="25"/>
      <c r="D365" s="27"/>
      <c r="E365" s="27"/>
      <c r="F365" s="28"/>
      <c r="G365" s="27"/>
      <c r="H365" s="548"/>
      <c r="I365" s="27"/>
      <c r="J365" s="635"/>
      <c r="K365" s="635"/>
      <c r="L365" s="635"/>
      <c r="M365" s="635"/>
      <c r="N365" s="636"/>
      <c r="O365" s="635"/>
      <c r="P365" s="637"/>
      <c r="Q365" s="637"/>
      <c r="R365" s="635"/>
      <c r="S365" s="637"/>
      <c r="T365" s="644"/>
    </row>
    <row r="366" spans="1:20" x14ac:dyDescent="0.25">
      <c r="A366" s="23"/>
      <c r="B366" s="24"/>
      <c r="C366" s="25"/>
      <c r="D366" s="27"/>
      <c r="E366" s="27"/>
      <c r="F366" s="28"/>
      <c r="G366" s="27"/>
      <c r="H366" s="548"/>
      <c r="I366" s="27"/>
      <c r="J366" s="635"/>
      <c r="K366" s="635"/>
      <c r="L366" s="635"/>
      <c r="M366" s="635"/>
      <c r="N366" s="636"/>
      <c r="O366" s="635"/>
      <c r="P366" s="637"/>
      <c r="Q366" s="637"/>
      <c r="R366" s="635"/>
      <c r="S366" s="637"/>
      <c r="T366" s="644"/>
    </row>
    <row r="367" spans="1:20" x14ac:dyDescent="0.25">
      <c r="A367" s="23"/>
      <c r="B367" s="24"/>
      <c r="C367" s="25"/>
      <c r="D367" s="27"/>
      <c r="E367" s="27"/>
      <c r="F367" s="28"/>
      <c r="G367" s="27"/>
      <c r="H367" s="548"/>
      <c r="I367" s="27"/>
      <c r="J367" s="635"/>
      <c r="K367" s="635"/>
      <c r="L367" s="635"/>
      <c r="M367" s="635"/>
      <c r="N367" s="636"/>
      <c r="O367" s="635"/>
      <c r="P367" s="637"/>
      <c r="Q367" s="637"/>
      <c r="R367" s="635"/>
      <c r="S367" s="637"/>
      <c r="T367" s="644"/>
    </row>
    <row r="368" spans="1:20" x14ac:dyDescent="0.25">
      <c r="A368" s="23"/>
      <c r="B368" s="24"/>
      <c r="C368" s="25"/>
      <c r="D368" s="27"/>
      <c r="E368" s="27"/>
      <c r="F368" s="28"/>
      <c r="G368" s="27"/>
      <c r="H368" s="548"/>
      <c r="I368" s="27"/>
      <c r="J368" s="635"/>
      <c r="K368" s="635"/>
      <c r="L368" s="635"/>
      <c r="M368" s="635"/>
      <c r="N368" s="636"/>
      <c r="O368" s="635"/>
      <c r="P368" s="637"/>
      <c r="Q368" s="637"/>
      <c r="R368" s="635"/>
      <c r="S368" s="637"/>
      <c r="T368" s="644"/>
    </row>
    <row r="369" spans="1:20" x14ac:dyDescent="0.25">
      <c r="A369" s="23"/>
      <c r="B369" s="24"/>
      <c r="C369" s="25"/>
      <c r="D369" s="27"/>
      <c r="E369" s="27"/>
      <c r="F369" s="28"/>
      <c r="G369" s="27"/>
      <c r="H369" s="548"/>
      <c r="I369" s="27"/>
      <c r="J369" s="635"/>
      <c r="K369" s="635"/>
      <c r="L369" s="635"/>
      <c r="M369" s="635"/>
      <c r="N369" s="636"/>
      <c r="O369" s="635"/>
      <c r="P369" s="637"/>
      <c r="Q369" s="637"/>
      <c r="R369" s="635"/>
      <c r="S369" s="637"/>
      <c r="T369" s="644"/>
    </row>
    <row r="370" spans="1:20" x14ac:dyDescent="0.25">
      <c r="A370" s="23"/>
      <c r="B370" s="24"/>
      <c r="C370" s="25"/>
      <c r="D370" s="27"/>
      <c r="E370" s="27"/>
      <c r="F370" s="28"/>
      <c r="G370" s="27"/>
      <c r="H370" s="548"/>
      <c r="I370" s="27"/>
      <c r="J370" s="635"/>
      <c r="K370" s="635"/>
      <c r="L370" s="635"/>
      <c r="M370" s="635"/>
      <c r="N370" s="636"/>
      <c r="O370" s="635"/>
      <c r="P370" s="637"/>
      <c r="Q370" s="637"/>
      <c r="R370" s="635"/>
      <c r="S370" s="637"/>
      <c r="T370" s="644"/>
    </row>
    <row r="371" spans="1:20" x14ac:dyDescent="0.25">
      <c r="A371" s="23"/>
      <c r="B371" s="24"/>
      <c r="C371" s="25"/>
      <c r="D371" s="27"/>
      <c r="E371" s="27"/>
      <c r="F371" s="28"/>
      <c r="G371" s="27"/>
      <c r="H371" s="548"/>
      <c r="I371" s="27"/>
      <c r="J371" s="635"/>
      <c r="K371" s="635"/>
      <c r="L371" s="635"/>
      <c r="M371" s="635"/>
      <c r="N371" s="636"/>
      <c r="O371" s="635"/>
      <c r="P371" s="637"/>
      <c r="Q371" s="637"/>
      <c r="R371" s="635"/>
      <c r="S371" s="637"/>
      <c r="T371" s="644"/>
    </row>
    <row r="372" spans="1:20" x14ac:dyDescent="0.25">
      <c r="A372" s="23"/>
      <c r="B372" s="24"/>
      <c r="C372" s="25"/>
      <c r="D372" s="27"/>
      <c r="E372" s="27"/>
      <c r="F372" s="28"/>
      <c r="G372" s="27"/>
      <c r="H372" s="548"/>
      <c r="I372" s="27"/>
      <c r="J372" s="635"/>
      <c r="K372" s="635"/>
      <c r="L372" s="635"/>
      <c r="M372" s="635"/>
      <c r="N372" s="636"/>
      <c r="O372" s="635"/>
      <c r="P372" s="637"/>
      <c r="Q372" s="637"/>
      <c r="R372" s="635"/>
      <c r="S372" s="637"/>
      <c r="T372" s="644"/>
    </row>
    <row r="373" spans="1:20" x14ac:dyDescent="0.25">
      <c r="A373" s="23"/>
      <c r="B373" s="24"/>
      <c r="C373" s="25"/>
      <c r="D373" s="27"/>
      <c r="E373" s="27"/>
      <c r="F373" s="28"/>
      <c r="G373" s="27"/>
      <c r="H373" s="548"/>
      <c r="I373" s="27"/>
      <c r="J373" s="635"/>
      <c r="K373" s="635"/>
      <c r="L373" s="635"/>
      <c r="M373" s="635"/>
      <c r="N373" s="636"/>
      <c r="O373" s="635"/>
      <c r="P373" s="637"/>
      <c r="Q373" s="637"/>
      <c r="R373" s="635"/>
      <c r="S373" s="637"/>
      <c r="T373" s="644"/>
    </row>
    <row r="374" spans="1:20" x14ac:dyDescent="0.25">
      <c r="A374" s="23"/>
      <c r="B374" s="24"/>
      <c r="C374" s="25"/>
      <c r="D374" s="27"/>
      <c r="E374" s="27"/>
      <c r="F374" s="28"/>
      <c r="G374" s="27"/>
      <c r="H374" s="548"/>
      <c r="I374" s="27"/>
      <c r="J374" s="635"/>
      <c r="K374" s="635"/>
      <c r="L374" s="635"/>
      <c r="M374" s="635"/>
      <c r="N374" s="636"/>
      <c r="O374" s="635"/>
      <c r="P374" s="637"/>
      <c r="Q374" s="637"/>
      <c r="R374" s="635"/>
      <c r="S374" s="637"/>
      <c r="T374" s="644"/>
    </row>
    <row r="375" spans="1:20" x14ac:dyDescent="0.25">
      <c r="A375" s="23"/>
      <c r="B375" s="24"/>
      <c r="C375" s="25"/>
      <c r="D375" s="27"/>
      <c r="E375" s="27"/>
      <c r="F375" s="28"/>
      <c r="G375" s="27"/>
      <c r="H375" s="548"/>
      <c r="I375" s="27"/>
      <c r="J375" s="635"/>
      <c r="K375" s="635"/>
      <c r="L375" s="635"/>
      <c r="M375" s="635"/>
      <c r="N375" s="636"/>
      <c r="O375" s="635"/>
      <c r="P375" s="637"/>
      <c r="Q375" s="637"/>
      <c r="R375" s="635"/>
      <c r="S375" s="637"/>
      <c r="T375" s="644"/>
    </row>
    <row r="376" spans="1:20" x14ac:dyDescent="0.25">
      <c r="A376" s="23"/>
      <c r="B376" s="24"/>
      <c r="C376" s="25"/>
      <c r="D376" s="27"/>
      <c r="E376" s="27"/>
      <c r="F376" s="28"/>
      <c r="G376" s="27"/>
      <c r="H376" s="548"/>
      <c r="I376" s="27"/>
      <c r="J376" s="635"/>
      <c r="K376" s="635"/>
      <c r="L376" s="635"/>
      <c r="M376" s="635"/>
      <c r="N376" s="636"/>
      <c r="O376" s="635"/>
      <c r="P376" s="637"/>
      <c r="Q376" s="637"/>
      <c r="R376" s="635"/>
      <c r="S376" s="637"/>
      <c r="T376" s="644"/>
    </row>
    <row r="377" spans="1:20" x14ac:dyDescent="0.25">
      <c r="A377" s="23"/>
      <c r="B377" s="24"/>
      <c r="C377" s="25"/>
      <c r="D377" s="27"/>
      <c r="E377" s="27"/>
      <c r="F377" s="28"/>
      <c r="G377" s="27"/>
      <c r="H377" s="548"/>
      <c r="I377" s="27"/>
      <c r="J377" s="635"/>
      <c r="K377" s="635"/>
      <c r="L377" s="635"/>
      <c r="M377" s="635"/>
      <c r="N377" s="636"/>
      <c r="O377" s="635"/>
      <c r="P377" s="637"/>
      <c r="Q377" s="637"/>
      <c r="R377" s="635"/>
      <c r="S377" s="637"/>
      <c r="T377" s="644"/>
    </row>
    <row r="378" spans="1:20" x14ac:dyDescent="0.25">
      <c r="A378" s="23"/>
      <c r="B378" s="24"/>
      <c r="C378" s="25"/>
      <c r="D378" s="27"/>
      <c r="E378" s="27"/>
      <c r="F378" s="28"/>
      <c r="G378" s="27"/>
      <c r="H378" s="548"/>
      <c r="I378" s="27"/>
      <c r="J378" s="635"/>
      <c r="K378" s="635"/>
      <c r="L378" s="635"/>
      <c r="M378" s="635"/>
      <c r="N378" s="636"/>
      <c r="O378" s="635"/>
      <c r="P378" s="637"/>
      <c r="Q378" s="637"/>
      <c r="R378" s="635"/>
      <c r="S378" s="637"/>
      <c r="T378" s="644"/>
    </row>
    <row r="379" spans="1:20" x14ac:dyDescent="0.25">
      <c r="A379" s="23"/>
      <c r="B379" s="24"/>
      <c r="C379" s="25"/>
      <c r="D379" s="27"/>
      <c r="E379" s="27"/>
      <c r="F379" s="28"/>
      <c r="G379" s="27"/>
      <c r="H379" s="548"/>
      <c r="I379" s="27"/>
      <c r="J379" s="635"/>
      <c r="K379" s="635"/>
      <c r="L379" s="635"/>
      <c r="M379" s="635"/>
      <c r="N379" s="636"/>
      <c r="O379" s="635"/>
      <c r="P379" s="637"/>
      <c r="Q379" s="637"/>
      <c r="R379" s="635"/>
      <c r="S379" s="637"/>
      <c r="T379" s="644"/>
    </row>
    <row r="380" spans="1:20" x14ac:dyDescent="0.25">
      <c r="A380" s="23"/>
      <c r="B380" s="24"/>
      <c r="C380" s="25"/>
      <c r="D380" s="27"/>
      <c r="E380" s="27"/>
      <c r="F380" s="28"/>
      <c r="G380" s="27"/>
      <c r="H380" s="548"/>
      <c r="I380" s="27"/>
      <c r="J380" s="635"/>
      <c r="K380" s="635"/>
      <c r="L380" s="635"/>
      <c r="M380" s="635"/>
      <c r="N380" s="636"/>
      <c r="O380" s="635"/>
      <c r="P380" s="637"/>
      <c r="Q380" s="637"/>
      <c r="R380" s="635"/>
      <c r="S380" s="637"/>
      <c r="T380" s="644"/>
    </row>
    <row r="381" spans="1:20" x14ac:dyDescent="0.25">
      <c r="A381" s="23"/>
      <c r="B381" s="24"/>
      <c r="C381" s="25"/>
      <c r="D381" s="27"/>
      <c r="E381" s="27"/>
      <c r="F381" s="28"/>
      <c r="G381" s="27"/>
      <c r="H381" s="548"/>
      <c r="I381" s="27"/>
      <c r="J381" s="635"/>
      <c r="K381" s="635"/>
      <c r="L381" s="635"/>
      <c r="M381" s="635"/>
      <c r="N381" s="636"/>
      <c r="O381" s="635"/>
      <c r="P381" s="637"/>
      <c r="Q381" s="637"/>
      <c r="R381" s="635"/>
      <c r="S381" s="637"/>
      <c r="T381" s="644"/>
    </row>
    <row r="382" spans="1:20" x14ac:dyDescent="0.25">
      <c r="A382" s="23"/>
      <c r="B382" s="24"/>
      <c r="C382" s="25"/>
      <c r="D382" s="27"/>
      <c r="E382" s="27"/>
      <c r="F382" s="28"/>
      <c r="G382" s="27"/>
      <c r="H382" s="548"/>
      <c r="I382" s="27"/>
      <c r="J382" s="635"/>
      <c r="K382" s="635"/>
      <c r="L382" s="635"/>
      <c r="M382" s="635"/>
      <c r="N382" s="636"/>
      <c r="O382" s="635"/>
      <c r="P382" s="637"/>
      <c r="Q382" s="637"/>
      <c r="R382" s="635"/>
      <c r="S382" s="637"/>
      <c r="T382" s="644"/>
    </row>
    <row r="383" spans="1:20" x14ac:dyDescent="0.25">
      <c r="A383" s="23"/>
      <c r="B383" s="24"/>
      <c r="C383" s="25"/>
      <c r="D383" s="27"/>
      <c r="E383" s="27"/>
      <c r="F383" s="28"/>
      <c r="G383" s="27"/>
      <c r="H383" s="548"/>
      <c r="I383" s="27"/>
      <c r="J383" s="635"/>
      <c r="K383" s="635"/>
      <c r="L383" s="635"/>
      <c r="M383" s="635"/>
      <c r="N383" s="636"/>
      <c r="O383" s="635"/>
      <c r="P383" s="637"/>
      <c r="Q383" s="637"/>
      <c r="R383" s="635"/>
      <c r="S383" s="637"/>
      <c r="T383" s="644"/>
    </row>
    <row r="384" spans="1:20" x14ac:dyDescent="0.25">
      <c r="A384" s="23"/>
      <c r="B384" s="24"/>
      <c r="C384" s="25"/>
      <c r="D384" s="27"/>
      <c r="E384" s="27"/>
      <c r="F384" s="28"/>
      <c r="G384" s="27"/>
      <c r="H384" s="548"/>
      <c r="I384" s="27"/>
      <c r="J384" s="635"/>
      <c r="K384" s="635"/>
      <c r="L384" s="635"/>
      <c r="M384" s="635"/>
      <c r="N384" s="636"/>
      <c r="O384" s="635"/>
      <c r="P384" s="637"/>
      <c r="Q384" s="637"/>
      <c r="R384" s="635"/>
      <c r="S384" s="637"/>
      <c r="T384" s="644"/>
    </row>
    <row r="385" spans="1:20" x14ac:dyDescent="0.25">
      <c r="A385" s="23"/>
      <c r="B385" s="24"/>
      <c r="C385" s="25"/>
      <c r="D385" s="27"/>
      <c r="E385" s="27"/>
      <c r="F385" s="28"/>
      <c r="G385" s="27"/>
      <c r="H385" s="548"/>
      <c r="I385" s="27"/>
      <c r="J385" s="635"/>
      <c r="K385" s="635"/>
      <c r="L385" s="635"/>
      <c r="M385" s="635"/>
      <c r="N385" s="636"/>
      <c r="O385" s="635"/>
      <c r="P385" s="637"/>
      <c r="Q385" s="637"/>
      <c r="R385" s="635"/>
      <c r="S385" s="637"/>
      <c r="T385" s="644"/>
    </row>
    <row r="386" spans="1:20" x14ac:dyDescent="0.25">
      <c r="A386" s="23"/>
      <c r="B386" s="24"/>
      <c r="C386" s="25"/>
      <c r="D386" s="27"/>
      <c r="E386" s="27"/>
      <c r="F386" s="28"/>
      <c r="G386" s="27"/>
      <c r="H386" s="548"/>
      <c r="I386" s="27"/>
      <c r="J386" s="635"/>
      <c r="K386" s="635"/>
      <c r="L386" s="635"/>
      <c r="M386" s="635"/>
      <c r="N386" s="636"/>
      <c r="O386" s="635"/>
      <c r="P386" s="637"/>
      <c r="Q386" s="637"/>
      <c r="R386" s="635"/>
      <c r="S386" s="637"/>
      <c r="T386" s="644"/>
    </row>
    <row r="387" spans="1:20" x14ac:dyDescent="0.25">
      <c r="A387" s="23"/>
      <c r="B387" s="24"/>
      <c r="C387" s="25"/>
      <c r="D387" s="27"/>
      <c r="E387" s="27"/>
      <c r="F387" s="28"/>
      <c r="G387" s="27"/>
      <c r="H387" s="548"/>
      <c r="I387" s="27"/>
      <c r="J387" s="635"/>
      <c r="K387" s="635"/>
      <c r="L387" s="635"/>
      <c r="M387" s="635"/>
      <c r="N387" s="636"/>
      <c r="O387" s="635"/>
      <c r="P387" s="637"/>
      <c r="Q387" s="637"/>
      <c r="R387" s="635"/>
      <c r="S387" s="637"/>
      <c r="T387" s="644"/>
    </row>
    <row r="388" spans="1:20" x14ac:dyDescent="0.25">
      <c r="A388" s="23"/>
      <c r="B388" s="24"/>
      <c r="C388" s="25"/>
      <c r="D388" s="27"/>
      <c r="E388" s="27"/>
      <c r="F388" s="28"/>
      <c r="G388" s="27"/>
      <c r="H388" s="548"/>
      <c r="I388" s="27"/>
      <c r="J388" s="635"/>
      <c r="K388" s="635"/>
      <c r="L388" s="635"/>
      <c r="M388" s="635"/>
      <c r="N388" s="636"/>
      <c r="O388" s="635"/>
      <c r="P388" s="637"/>
      <c r="Q388" s="637"/>
      <c r="R388" s="635"/>
      <c r="S388" s="637"/>
      <c r="T388" s="644"/>
    </row>
    <row r="389" spans="1:20" x14ac:dyDescent="0.25">
      <c r="A389" s="23"/>
      <c r="B389" s="24"/>
      <c r="C389" s="25"/>
      <c r="D389" s="27"/>
      <c r="E389" s="27"/>
      <c r="F389" s="28"/>
      <c r="G389" s="27"/>
      <c r="H389" s="548"/>
      <c r="I389" s="27"/>
      <c r="J389" s="635"/>
      <c r="K389" s="635"/>
      <c r="L389" s="635"/>
      <c r="M389" s="635"/>
      <c r="N389" s="636"/>
      <c r="O389" s="635"/>
      <c r="P389" s="637"/>
      <c r="Q389" s="637"/>
      <c r="R389" s="635"/>
      <c r="S389" s="637"/>
      <c r="T389" s="644"/>
    </row>
    <row r="390" spans="1:20" x14ac:dyDescent="0.25">
      <c r="A390" s="23"/>
      <c r="B390" s="24"/>
      <c r="C390" s="25"/>
      <c r="D390" s="27"/>
      <c r="E390" s="27"/>
      <c r="F390" s="28"/>
      <c r="G390" s="27"/>
      <c r="H390" s="548"/>
      <c r="I390" s="27"/>
      <c r="J390" s="635"/>
      <c r="K390" s="635"/>
      <c r="L390" s="635"/>
      <c r="M390" s="635"/>
      <c r="N390" s="636"/>
      <c r="O390" s="635"/>
      <c r="P390" s="637"/>
      <c r="Q390" s="637"/>
      <c r="R390" s="635"/>
      <c r="S390" s="637"/>
      <c r="T390" s="644"/>
    </row>
    <row r="391" spans="1:20" x14ac:dyDescent="0.25">
      <c r="A391" s="23"/>
      <c r="B391" s="24"/>
      <c r="C391" s="25"/>
      <c r="D391" s="27"/>
      <c r="E391" s="27"/>
      <c r="F391" s="28"/>
      <c r="G391" s="27"/>
      <c r="H391" s="548"/>
      <c r="I391" s="27"/>
      <c r="J391" s="635"/>
      <c r="K391" s="635"/>
      <c r="L391" s="635"/>
      <c r="M391" s="635"/>
      <c r="N391" s="636"/>
      <c r="O391" s="635"/>
      <c r="P391" s="637"/>
      <c r="Q391" s="637"/>
      <c r="R391" s="635"/>
      <c r="S391" s="637"/>
      <c r="T391" s="644"/>
    </row>
    <row r="392" spans="1:20" x14ac:dyDescent="0.25">
      <c r="A392" s="23"/>
      <c r="B392" s="24"/>
      <c r="C392" s="25"/>
      <c r="D392" s="27"/>
      <c r="E392" s="27"/>
      <c r="F392" s="28"/>
      <c r="G392" s="27"/>
      <c r="H392" s="548"/>
      <c r="I392" s="27"/>
      <c r="J392" s="635"/>
      <c r="K392" s="635"/>
      <c r="L392" s="635"/>
      <c r="M392" s="635"/>
      <c r="N392" s="636"/>
      <c r="O392" s="635"/>
      <c r="P392" s="637"/>
      <c r="Q392" s="637"/>
      <c r="R392" s="635"/>
      <c r="S392" s="637"/>
      <c r="T392" s="644"/>
    </row>
    <row r="393" spans="1:20" x14ac:dyDescent="0.25">
      <c r="A393" s="23"/>
      <c r="B393" s="24"/>
      <c r="C393" s="25"/>
      <c r="D393" s="27"/>
      <c r="E393" s="27"/>
      <c r="F393" s="28"/>
      <c r="G393" s="27"/>
      <c r="H393" s="548"/>
      <c r="I393" s="27"/>
      <c r="J393" s="635"/>
      <c r="K393" s="635"/>
      <c r="L393" s="635"/>
      <c r="M393" s="635"/>
      <c r="N393" s="636"/>
      <c r="O393" s="635"/>
      <c r="P393" s="637"/>
      <c r="Q393" s="637"/>
      <c r="R393" s="635"/>
      <c r="S393" s="637"/>
      <c r="T393" s="644"/>
    </row>
    <row r="394" spans="1:20" x14ac:dyDescent="0.25">
      <c r="A394" s="23"/>
      <c r="B394" s="24"/>
      <c r="C394" s="25"/>
      <c r="D394" s="27"/>
      <c r="E394" s="27"/>
      <c r="F394" s="28"/>
      <c r="G394" s="27"/>
      <c r="H394" s="548"/>
      <c r="I394" s="27"/>
      <c r="J394" s="635"/>
      <c r="K394" s="635"/>
      <c r="L394" s="635"/>
      <c r="M394" s="635"/>
      <c r="N394" s="636"/>
      <c r="O394" s="635"/>
      <c r="P394" s="637"/>
      <c r="Q394" s="637"/>
      <c r="R394" s="635"/>
      <c r="S394" s="637"/>
      <c r="T394" s="644"/>
    </row>
    <row r="395" spans="1:20" x14ac:dyDescent="0.25">
      <c r="A395" s="23"/>
      <c r="B395" s="24"/>
      <c r="C395" s="25"/>
      <c r="D395" s="27"/>
      <c r="E395" s="27"/>
      <c r="F395" s="28"/>
      <c r="G395" s="27"/>
      <c r="H395" s="548"/>
      <c r="I395" s="27"/>
      <c r="J395" s="635"/>
      <c r="K395" s="635"/>
      <c r="L395" s="635"/>
      <c r="M395" s="635"/>
      <c r="N395" s="636"/>
      <c r="O395" s="635"/>
      <c r="P395" s="637"/>
      <c r="Q395" s="637"/>
      <c r="R395" s="635"/>
      <c r="S395" s="637"/>
      <c r="T395" s="644"/>
    </row>
    <row r="396" spans="1:20" x14ac:dyDescent="0.25">
      <c r="A396" s="23"/>
      <c r="B396" s="24"/>
      <c r="C396" s="25"/>
      <c r="D396" s="27"/>
      <c r="E396" s="27"/>
      <c r="F396" s="28"/>
      <c r="G396" s="27"/>
      <c r="H396" s="548"/>
      <c r="I396" s="27"/>
      <c r="J396" s="635"/>
      <c r="K396" s="635"/>
      <c r="L396" s="635"/>
      <c r="M396" s="635"/>
      <c r="N396" s="636"/>
      <c r="O396" s="635"/>
      <c r="P396" s="637"/>
      <c r="Q396" s="637"/>
      <c r="R396" s="635"/>
      <c r="S396" s="637"/>
      <c r="T396" s="644"/>
    </row>
    <row r="397" spans="1:20" x14ac:dyDescent="0.25">
      <c r="A397" s="23"/>
      <c r="B397" s="24"/>
      <c r="C397" s="25"/>
      <c r="D397" s="27"/>
      <c r="E397" s="27"/>
      <c r="F397" s="28"/>
      <c r="G397" s="27"/>
      <c r="H397" s="548"/>
      <c r="I397" s="27"/>
      <c r="J397" s="635"/>
      <c r="K397" s="635"/>
      <c r="L397" s="635"/>
      <c r="M397" s="635"/>
      <c r="N397" s="636"/>
      <c r="O397" s="635"/>
      <c r="P397" s="637"/>
      <c r="Q397" s="637"/>
      <c r="R397" s="635"/>
      <c r="S397" s="637"/>
      <c r="T397" s="644"/>
    </row>
    <row r="398" spans="1:20" x14ac:dyDescent="0.25">
      <c r="A398" s="23"/>
      <c r="B398" s="24"/>
      <c r="C398" s="25"/>
      <c r="D398" s="27"/>
      <c r="E398" s="27"/>
      <c r="F398" s="28"/>
      <c r="G398" s="27"/>
      <c r="H398" s="548"/>
      <c r="I398" s="27"/>
      <c r="J398" s="635"/>
      <c r="K398" s="635"/>
      <c r="L398" s="635"/>
      <c r="M398" s="635"/>
      <c r="N398" s="636"/>
      <c r="O398" s="635"/>
      <c r="P398" s="637"/>
      <c r="Q398" s="637"/>
      <c r="R398" s="635"/>
      <c r="S398" s="637"/>
      <c r="T398" s="644"/>
    </row>
    <row r="399" spans="1:20" x14ac:dyDescent="0.25">
      <c r="A399" s="23"/>
      <c r="B399" s="24"/>
      <c r="C399" s="25"/>
      <c r="D399" s="27"/>
      <c r="E399" s="27"/>
      <c r="F399" s="28"/>
      <c r="G399" s="27"/>
      <c r="H399" s="548"/>
      <c r="I399" s="27"/>
      <c r="J399" s="635"/>
      <c r="K399" s="635"/>
      <c r="L399" s="635"/>
      <c r="M399" s="635"/>
      <c r="N399" s="636"/>
      <c r="O399" s="635"/>
      <c r="P399" s="637"/>
      <c r="Q399" s="637"/>
      <c r="R399" s="635"/>
      <c r="S399" s="637"/>
      <c r="T399" s="644"/>
    </row>
    <row r="400" spans="1:20" x14ac:dyDescent="0.25">
      <c r="A400" s="23"/>
      <c r="B400" s="24"/>
      <c r="C400" s="25"/>
      <c r="D400" s="27"/>
      <c r="E400" s="27"/>
      <c r="F400" s="28"/>
      <c r="G400" s="27"/>
      <c r="H400" s="548"/>
      <c r="I400" s="27"/>
      <c r="J400" s="635"/>
      <c r="K400" s="635"/>
      <c r="L400" s="635"/>
      <c r="M400" s="635"/>
      <c r="N400" s="636"/>
      <c r="O400" s="635"/>
      <c r="P400" s="637"/>
      <c r="Q400" s="637"/>
      <c r="R400" s="635"/>
      <c r="S400" s="637"/>
      <c r="T400" s="644"/>
    </row>
    <row r="401" spans="1:20" x14ac:dyDescent="0.25">
      <c r="A401" s="23"/>
      <c r="B401" s="24"/>
      <c r="C401" s="25"/>
      <c r="D401" s="27"/>
      <c r="E401" s="27"/>
      <c r="F401" s="28"/>
      <c r="G401" s="27"/>
      <c r="H401" s="548"/>
      <c r="I401" s="27"/>
      <c r="J401" s="635"/>
      <c r="K401" s="635"/>
      <c r="L401" s="635"/>
      <c r="M401" s="635"/>
      <c r="N401" s="636"/>
      <c r="O401" s="635"/>
      <c r="P401" s="637"/>
      <c r="Q401" s="637"/>
      <c r="R401" s="635"/>
      <c r="S401" s="637"/>
      <c r="T401" s="644"/>
    </row>
    <row r="402" spans="1:20" x14ac:dyDescent="0.25">
      <c r="A402" s="23"/>
      <c r="B402" s="24"/>
      <c r="C402" s="25"/>
      <c r="D402" s="27"/>
      <c r="E402" s="27"/>
      <c r="F402" s="28"/>
      <c r="G402" s="27"/>
      <c r="H402" s="548"/>
      <c r="I402" s="27"/>
      <c r="J402" s="635"/>
      <c r="K402" s="635"/>
      <c r="L402" s="635"/>
      <c r="M402" s="635"/>
      <c r="N402" s="636"/>
      <c r="O402" s="635"/>
      <c r="P402" s="637"/>
      <c r="Q402" s="637"/>
      <c r="R402" s="635"/>
      <c r="S402" s="637"/>
      <c r="T402" s="644"/>
    </row>
    <row r="403" spans="1:20" x14ac:dyDescent="0.25">
      <c r="A403" s="23"/>
      <c r="B403" s="24"/>
      <c r="C403" s="25"/>
      <c r="D403" s="27"/>
      <c r="E403" s="27"/>
      <c r="F403" s="28"/>
      <c r="G403" s="27"/>
      <c r="H403" s="548"/>
      <c r="I403" s="27"/>
      <c r="J403" s="635"/>
      <c r="K403" s="635"/>
      <c r="L403" s="635"/>
      <c r="M403" s="635"/>
      <c r="N403" s="636"/>
      <c r="O403" s="635"/>
      <c r="P403" s="637"/>
      <c r="Q403" s="637"/>
      <c r="R403" s="635"/>
      <c r="S403" s="637"/>
      <c r="T403" s="644"/>
    </row>
    <row r="404" spans="1:20" x14ac:dyDescent="0.25">
      <c r="A404" s="23"/>
      <c r="B404" s="24"/>
      <c r="C404" s="25"/>
      <c r="D404" s="27"/>
      <c r="E404" s="27"/>
      <c r="F404" s="28"/>
      <c r="G404" s="27"/>
      <c r="H404" s="548"/>
      <c r="I404" s="27"/>
      <c r="J404" s="635"/>
      <c r="K404" s="635"/>
      <c r="L404" s="635"/>
      <c r="M404" s="635"/>
      <c r="N404" s="636"/>
      <c r="O404" s="635"/>
      <c r="P404" s="637"/>
      <c r="Q404" s="637"/>
      <c r="R404" s="635"/>
      <c r="S404" s="637"/>
      <c r="T404" s="644"/>
    </row>
    <row r="405" spans="1:20" x14ac:dyDescent="0.25">
      <c r="A405" s="23"/>
      <c r="B405" s="24"/>
      <c r="C405" s="25"/>
      <c r="D405" s="27"/>
      <c r="E405" s="27"/>
      <c r="F405" s="28"/>
      <c r="G405" s="27"/>
      <c r="H405" s="548"/>
      <c r="I405" s="27"/>
      <c r="J405" s="635"/>
      <c r="K405" s="635"/>
      <c r="L405" s="635"/>
      <c r="M405" s="635"/>
      <c r="N405" s="636"/>
      <c r="O405" s="635"/>
      <c r="P405" s="637"/>
      <c r="Q405" s="637"/>
      <c r="R405" s="635"/>
      <c r="S405" s="637"/>
      <c r="T405" s="644"/>
    </row>
    <row r="406" spans="1:20" x14ac:dyDescent="0.25">
      <c r="A406" s="23"/>
      <c r="B406" s="24"/>
      <c r="C406" s="25"/>
      <c r="D406" s="27"/>
      <c r="E406" s="27"/>
      <c r="F406" s="28"/>
      <c r="G406" s="27"/>
      <c r="H406" s="548"/>
      <c r="I406" s="27"/>
      <c r="J406" s="635"/>
      <c r="K406" s="635"/>
      <c r="L406" s="635"/>
      <c r="M406" s="635"/>
      <c r="N406" s="636"/>
      <c r="O406" s="635"/>
      <c r="P406" s="637"/>
      <c r="Q406" s="637"/>
      <c r="R406" s="635"/>
      <c r="S406" s="637"/>
      <c r="T406" s="644"/>
    </row>
    <row r="407" spans="1:20" x14ac:dyDescent="0.25">
      <c r="A407" s="23"/>
      <c r="B407" s="24"/>
      <c r="C407" s="25"/>
      <c r="D407" s="27"/>
      <c r="E407" s="27"/>
      <c r="F407" s="28"/>
      <c r="G407" s="27"/>
      <c r="H407" s="548"/>
      <c r="I407" s="27"/>
      <c r="J407" s="635"/>
      <c r="K407" s="635"/>
      <c r="L407" s="635"/>
      <c r="M407" s="635"/>
      <c r="N407" s="636"/>
      <c r="O407" s="635"/>
      <c r="P407" s="637"/>
      <c r="Q407" s="637"/>
      <c r="R407" s="635"/>
      <c r="S407" s="637"/>
      <c r="T407" s="644"/>
    </row>
    <row r="408" spans="1:20" x14ac:dyDescent="0.25">
      <c r="A408" s="23"/>
      <c r="B408" s="24"/>
      <c r="C408" s="25"/>
      <c r="D408" s="27"/>
      <c r="E408" s="27"/>
      <c r="F408" s="28"/>
      <c r="G408" s="27"/>
      <c r="H408" s="548"/>
      <c r="I408" s="27"/>
      <c r="J408" s="635"/>
      <c r="K408" s="635"/>
      <c r="L408" s="635"/>
      <c r="M408" s="635"/>
      <c r="N408" s="636"/>
      <c r="O408" s="635"/>
      <c r="P408" s="637"/>
      <c r="Q408" s="637"/>
      <c r="R408" s="635"/>
      <c r="S408" s="637"/>
      <c r="T408" s="644"/>
    </row>
    <row r="409" spans="1:20" x14ac:dyDescent="0.25">
      <c r="A409" s="23"/>
      <c r="B409" s="24"/>
      <c r="C409" s="25"/>
      <c r="D409" s="27"/>
      <c r="E409" s="27"/>
      <c r="F409" s="28"/>
      <c r="G409" s="27"/>
      <c r="H409" s="548"/>
      <c r="I409" s="27"/>
      <c r="J409" s="635"/>
      <c r="K409" s="635"/>
      <c r="L409" s="635"/>
      <c r="M409" s="635"/>
      <c r="N409" s="636"/>
      <c r="O409" s="635"/>
      <c r="P409" s="637"/>
      <c r="Q409" s="637"/>
      <c r="R409" s="635"/>
      <c r="S409" s="637"/>
      <c r="T409" s="644"/>
    </row>
    <row r="410" spans="1:20" x14ac:dyDescent="0.25">
      <c r="A410" s="23"/>
      <c r="B410" s="24"/>
      <c r="C410" s="25"/>
      <c r="D410" s="27"/>
      <c r="E410" s="27"/>
      <c r="F410" s="28"/>
      <c r="G410" s="27"/>
      <c r="H410" s="548"/>
      <c r="I410" s="27"/>
      <c r="J410" s="635"/>
      <c r="K410" s="635"/>
      <c r="L410" s="635"/>
      <c r="M410" s="635"/>
      <c r="N410" s="636"/>
      <c r="O410" s="635"/>
      <c r="P410" s="637"/>
      <c r="Q410" s="637"/>
      <c r="R410" s="635"/>
      <c r="S410" s="637"/>
      <c r="T410" s="644"/>
    </row>
    <row r="411" spans="1:20" x14ac:dyDescent="0.25">
      <c r="A411" s="23"/>
      <c r="B411" s="24"/>
      <c r="C411" s="25"/>
      <c r="D411" s="27"/>
      <c r="E411" s="27"/>
      <c r="F411" s="28"/>
      <c r="G411" s="27"/>
      <c r="H411" s="548"/>
      <c r="I411" s="27"/>
      <c r="J411" s="635"/>
      <c r="K411" s="635"/>
      <c r="L411" s="635"/>
      <c r="M411" s="635"/>
      <c r="N411" s="636"/>
      <c r="O411" s="635"/>
      <c r="P411" s="637"/>
      <c r="Q411" s="637"/>
      <c r="R411" s="635"/>
      <c r="S411" s="637"/>
      <c r="T411" s="644"/>
    </row>
    <row r="412" spans="1:20" x14ac:dyDescent="0.25">
      <c r="A412" s="23"/>
      <c r="B412" s="24"/>
      <c r="C412" s="25"/>
      <c r="D412" s="27"/>
      <c r="E412" s="27"/>
      <c r="F412" s="28"/>
      <c r="G412" s="27"/>
      <c r="H412" s="548"/>
      <c r="I412" s="27"/>
      <c r="J412" s="635"/>
      <c r="K412" s="635"/>
      <c r="L412" s="635"/>
      <c r="M412" s="635"/>
      <c r="N412" s="636"/>
      <c r="O412" s="635"/>
      <c r="P412" s="637"/>
      <c r="Q412" s="637"/>
      <c r="R412" s="635"/>
      <c r="S412" s="637"/>
      <c r="T412" s="644"/>
    </row>
    <row r="413" spans="1:20" x14ac:dyDescent="0.25">
      <c r="A413" s="23"/>
      <c r="B413" s="24"/>
      <c r="C413" s="25"/>
      <c r="D413" s="27"/>
      <c r="E413" s="27"/>
      <c r="F413" s="28"/>
      <c r="G413" s="27"/>
      <c r="H413" s="548"/>
      <c r="I413" s="27"/>
      <c r="J413" s="635"/>
      <c r="K413" s="635"/>
      <c r="L413" s="635"/>
      <c r="M413" s="635"/>
      <c r="N413" s="636"/>
      <c r="O413" s="635"/>
      <c r="P413" s="637"/>
      <c r="Q413" s="637"/>
      <c r="R413" s="635"/>
      <c r="S413" s="637"/>
      <c r="T413" s="644"/>
    </row>
    <row r="414" spans="1:20" x14ac:dyDescent="0.25">
      <c r="A414" s="23"/>
      <c r="B414" s="24"/>
      <c r="C414" s="25"/>
      <c r="D414" s="27"/>
      <c r="E414" s="27"/>
      <c r="F414" s="28"/>
      <c r="G414" s="27"/>
      <c r="H414" s="548"/>
      <c r="I414" s="27"/>
      <c r="J414" s="635"/>
      <c r="K414" s="635"/>
      <c r="L414" s="635"/>
      <c r="M414" s="635"/>
      <c r="N414" s="636"/>
      <c r="O414" s="635"/>
      <c r="P414" s="637"/>
      <c r="Q414" s="637"/>
      <c r="R414" s="635"/>
      <c r="S414" s="637"/>
      <c r="T414" s="644"/>
    </row>
    <row r="415" spans="1:20" x14ac:dyDescent="0.25">
      <c r="A415" s="23"/>
      <c r="B415" s="24"/>
      <c r="C415" s="25"/>
      <c r="D415" s="27"/>
      <c r="E415" s="27"/>
      <c r="F415" s="28"/>
      <c r="G415" s="27"/>
      <c r="H415" s="548"/>
      <c r="I415" s="27"/>
      <c r="J415" s="635"/>
      <c r="K415" s="635"/>
      <c r="L415" s="635"/>
      <c r="M415" s="635"/>
      <c r="N415" s="636"/>
      <c r="O415" s="635"/>
      <c r="P415" s="637"/>
      <c r="Q415" s="637"/>
      <c r="R415" s="635"/>
      <c r="S415" s="637"/>
      <c r="T415" s="644"/>
    </row>
    <row r="416" spans="1:20" x14ac:dyDescent="0.25">
      <c r="A416" s="23"/>
      <c r="B416" s="24"/>
      <c r="C416" s="25"/>
      <c r="D416" s="27"/>
      <c r="E416" s="27"/>
      <c r="F416" s="28"/>
      <c r="G416" s="27"/>
      <c r="H416" s="548"/>
      <c r="I416" s="27"/>
      <c r="J416" s="635"/>
      <c r="K416" s="635"/>
      <c r="L416" s="635"/>
      <c r="M416" s="635"/>
      <c r="N416" s="636"/>
      <c r="O416" s="635"/>
      <c r="P416" s="637"/>
      <c r="Q416" s="637"/>
      <c r="R416" s="635"/>
      <c r="S416" s="637"/>
      <c r="T416" s="644"/>
    </row>
    <row r="417" spans="1:20" x14ac:dyDescent="0.25">
      <c r="A417" s="23"/>
      <c r="B417" s="24"/>
      <c r="C417" s="25"/>
      <c r="D417" s="27"/>
      <c r="E417" s="27"/>
      <c r="F417" s="28"/>
      <c r="G417" s="27"/>
      <c r="H417" s="548"/>
      <c r="I417" s="27"/>
      <c r="J417" s="635"/>
      <c r="K417" s="635"/>
      <c r="L417" s="635"/>
      <c r="M417" s="635"/>
      <c r="N417" s="636"/>
      <c r="O417" s="635"/>
      <c r="P417" s="637"/>
      <c r="Q417" s="637"/>
      <c r="R417" s="635"/>
      <c r="S417" s="637"/>
      <c r="T417" s="644"/>
    </row>
    <row r="418" spans="1:20" x14ac:dyDescent="0.25">
      <c r="A418" s="23"/>
      <c r="B418" s="24"/>
      <c r="C418" s="25"/>
      <c r="D418" s="27"/>
      <c r="E418" s="27"/>
      <c r="F418" s="28"/>
      <c r="G418" s="27"/>
      <c r="H418" s="548"/>
      <c r="I418" s="27"/>
      <c r="J418" s="635"/>
      <c r="K418" s="635"/>
      <c r="L418" s="635"/>
      <c r="M418" s="635"/>
      <c r="N418" s="636"/>
      <c r="O418" s="635"/>
      <c r="P418" s="637"/>
      <c r="Q418" s="637"/>
      <c r="R418" s="635"/>
      <c r="S418" s="637"/>
      <c r="T418" s="644"/>
    </row>
    <row r="419" spans="1:20" x14ac:dyDescent="0.25">
      <c r="A419" s="23"/>
      <c r="B419" s="24"/>
      <c r="C419" s="25"/>
      <c r="D419" s="27"/>
      <c r="E419" s="27"/>
      <c r="F419" s="28"/>
      <c r="G419" s="27"/>
      <c r="H419" s="548"/>
      <c r="I419" s="27"/>
      <c r="J419" s="635"/>
      <c r="K419" s="635"/>
      <c r="L419" s="635"/>
      <c r="M419" s="635"/>
      <c r="N419" s="636"/>
      <c r="O419" s="635"/>
      <c r="P419" s="637"/>
      <c r="Q419" s="637"/>
      <c r="R419" s="635"/>
      <c r="S419" s="637"/>
      <c r="T419" s="644"/>
    </row>
    <row r="420" spans="1:20" x14ac:dyDescent="0.25">
      <c r="A420" s="23"/>
      <c r="B420" s="24"/>
      <c r="C420" s="25"/>
      <c r="D420" s="27"/>
      <c r="E420" s="27"/>
      <c r="F420" s="28"/>
      <c r="G420" s="27"/>
      <c r="H420" s="548"/>
      <c r="I420" s="27"/>
      <c r="J420" s="635"/>
      <c r="K420" s="635"/>
      <c r="L420" s="635"/>
      <c r="M420" s="635"/>
      <c r="N420" s="636"/>
      <c r="O420" s="635"/>
      <c r="P420" s="637"/>
      <c r="Q420" s="637"/>
      <c r="R420" s="635"/>
      <c r="S420" s="637"/>
      <c r="T420" s="644"/>
    </row>
    <row r="421" spans="1:20" x14ac:dyDescent="0.25">
      <c r="A421" s="23"/>
      <c r="B421" s="24"/>
      <c r="C421" s="25"/>
      <c r="D421" s="27"/>
      <c r="E421" s="27"/>
      <c r="F421" s="28"/>
      <c r="G421" s="27"/>
      <c r="H421" s="548"/>
      <c r="I421" s="27"/>
      <c r="J421" s="635"/>
      <c r="K421" s="635"/>
      <c r="L421" s="635"/>
      <c r="M421" s="635"/>
      <c r="N421" s="636"/>
      <c r="O421" s="635"/>
      <c r="P421" s="637"/>
      <c r="Q421" s="637"/>
      <c r="R421" s="635"/>
      <c r="S421" s="637"/>
      <c r="T421" s="644"/>
    </row>
    <row r="422" spans="1:20" x14ac:dyDescent="0.25">
      <c r="A422" s="23"/>
      <c r="B422" s="24"/>
      <c r="C422" s="25"/>
      <c r="D422" s="27"/>
      <c r="E422" s="27"/>
      <c r="F422" s="28"/>
      <c r="G422" s="27"/>
      <c r="H422" s="548"/>
      <c r="I422" s="27"/>
      <c r="J422" s="635"/>
      <c r="K422" s="635"/>
      <c r="L422" s="635"/>
      <c r="M422" s="635"/>
      <c r="N422" s="636"/>
      <c r="O422" s="635"/>
      <c r="P422" s="637"/>
      <c r="Q422" s="637"/>
      <c r="R422" s="635"/>
      <c r="S422" s="637"/>
      <c r="T422" s="644"/>
    </row>
    <row r="423" spans="1:20" x14ac:dyDescent="0.25">
      <c r="A423" s="23"/>
      <c r="B423" s="24"/>
      <c r="C423" s="25"/>
      <c r="D423" s="27"/>
      <c r="E423" s="27"/>
      <c r="F423" s="28"/>
      <c r="G423" s="27"/>
      <c r="H423" s="548"/>
      <c r="I423" s="27"/>
      <c r="J423" s="635"/>
      <c r="K423" s="635"/>
      <c r="L423" s="635"/>
      <c r="M423" s="635"/>
      <c r="N423" s="636"/>
      <c r="O423" s="635"/>
      <c r="P423" s="637"/>
      <c r="Q423" s="637"/>
      <c r="R423" s="635"/>
      <c r="S423" s="637"/>
      <c r="T423" s="644"/>
    </row>
    <row r="424" spans="1:20" x14ac:dyDescent="0.25">
      <c r="A424" s="23"/>
      <c r="B424" s="24"/>
      <c r="C424" s="25"/>
      <c r="D424" s="27"/>
      <c r="E424" s="27"/>
      <c r="F424" s="28"/>
      <c r="G424" s="27"/>
      <c r="H424" s="548"/>
      <c r="I424" s="27"/>
      <c r="J424" s="635"/>
      <c r="K424" s="635"/>
      <c r="L424" s="635"/>
      <c r="M424" s="635"/>
      <c r="N424" s="636"/>
      <c r="O424" s="635"/>
      <c r="P424" s="637"/>
      <c r="Q424" s="637"/>
      <c r="R424" s="635"/>
      <c r="S424" s="637"/>
      <c r="T424" s="644"/>
    </row>
    <row r="425" spans="1:20" x14ac:dyDescent="0.25">
      <c r="A425" s="23"/>
      <c r="B425" s="24"/>
      <c r="C425" s="25"/>
      <c r="D425" s="27"/>
      <c r="E425" s="27"/>
      <c r="F425" s="28"/>
      <c r="G425" s="27"/>
      <c r="H425" s="548"/>
      <c r="I425" s="27"/>
      <c r="J425" s="635"/>
      <c r="K425" s="635"/>
      <c r="L425" s="635"/>
      <c r="M425" s="635"/>
      <c r="N425" s="636"/>
      <c r="O425" s="635"/>
      <c r="P425" s="637"/>
      <c r="Q425" s="637"/>
      <c r="R425" s="635"/>
      <c r="S425" s="637"/>
      <c r="T425" s="644"/>
    </row>
    <row r="426" spans="1:20" x14ac:dyDescent="0.25">
      <c r="A426" s="23"/>
      <c r="B426" s="24"/>
      <c r="C426" s="25"/>
      <c r="D426" s="27"/>
      <c r="E426" s="27"/>
      <c r="F426" s="28"/>
      <c r="G426" s="27"/>
      <c r="H426" s="548"/>
      <c r="I426" s="27"/>
      <c r="J426" s="635"/>
      <c r="K426" s="635"/>
      <c r="L426" s="635"/>
      <c r="M426" s="635"/>
      <c r="N426" s="636"/>
      <c r="O426" s="635"/>
      <c r="P426" s="637"/>
      <c r="Q426" s="637"/>
      <c r="R426" s="635"/>
      <c r="S426" s="637"/>
      <c r="T426" s="644"/>
    </row>
    <row r="427" spans="1:20" x14ac:dyDescent="0.25">
      <c r="A427" s="23"/>
      <c r="B427" s="24"/>
      <c r="C427" s="25"/>
      <c r="D427" s="27"/>
      <c r="E427" s="27"/>
      <c r="F427" s="28"/>
      <c r="G427" s="27"/>
      <c r="H427" s="548"/>
      <c r="I427" s="27"/>
      <c r="J427" s="635"/>
      <c r="K427" s="635"/>
      <c r="L427" s="635"/>
      <c r="M427" s="635"/>
      <c r="N427" s="636"/>
      <c r="O427" s="635"/>
      <c r="P427" s="637"/>
      <c r="Q427" s="637"/>
      <c r="R427" s="635"/>
      <c r="S427" s="637"/>
      <c r="T427" s="644"/>
    </row>
    <row r="428" spans="1:20" x14ac:dyDescent="0.25">
      <c r="A428" s="23"/>
      <c r="B428" s="24"/>
      <c r="C428" s="25"/>
      <c r="D428" s="27"/>
      <c r="E428" s="27"/>
      <c r="F428" s="28"/>
      <c r="G428" s="27"/>
      <c r="H428" s="548"/>
      <c r="I428" s="27"/>
      <c r="J428" s="635"/>
      <c r="K428" s="635"/>
      <c r="L428" s="635"/>
      <c r="M428" s="635"/>
      <c r="N428" s="636"/>
      <c r="O428" s="635"/>
      <c r="P428" s="637"/>
      <c r="Q428" s="637"/>
      <c r="R428" s="635"/>
      <c r="S428" s="637"/>
      <c r="T428" s="644"/>
    </row>
    <row r="429" spans="1:20" x14ac:dyDescent="0.25">
      <c r="A429" s="23"/>
      <c r="B429" s="24"/>
      <c r="C429" s="25"/>
      <c r="D429" s="27"/>
      <c r="E429" s="27"/>
      <c r="F429" s="28"/>
      <c r="G429" s="27"/>
      <c r="H429" s="548"/>
      <c r="I429" s="27"/>
      <c r="J429" s="635"/>
      <c r="K429" s="635"/>
      <c r="L429" s="635"/>
      <c r="M429" s="635"/>
      <c r="N429" s="636"/>
      <c r="O429" s="635"/>
      <c r="P429" s="637"/>
      <c r="Q429" s="637"/>
      <c r="R429" s="635"/>
      <c r="S429" s="637"/>
      <c r="T429" s="644"/>
    </row>
    <row r="430" spans="1:20" x14ac:dyDescent="0.25">
      <c r="A430" s="23"/>
      <c r="B430" s="24"/>
      <c r="C430" s="25"/>
      <c r="D430" s="27"/>
      <c r="E430" s="27"/>
      <c r="F430" s="28"/>
      <c r="G430" s="27"/>
      <c r="H430" s="548"/>
      <c r="I430" s="27"/>
      <c r="J430" s="635"/>
      <c r="K430" s="635"/>
      <c r="L430" s="635"/>
      <c r="M430" s="635"/>
      <c r="N430" s="636"/>
      <c r="O430" s="635"/>
      <c r="P430" s="637"/>
      <c r="Q430" s="637"/>
      <c r="R430" s="635"/>
      <c r="S430" s="637"/>
      <c r="T430" s="644"/>
    </row>
    <row r="431" spans="1:20" x14ac:dyDescent="0.25">
      <c r="A431" s="23"/>
      <c r="B431" s="24"/>
      <c r="C431" s="25"/>
      <c r="D431" s="27"/>
      <c r="E431" s="27"/>
      <c r="F431" s="28"/>
      <c r="G431" s="27"/>
      <c r="H431" s="548"/>
      <c r="I431" s="27"/>
      <c r="J431" s="635"/>
      <c r="K431" s="635"/>
      <c r="L431" s="635"/>
      <c r="M431" s="635"/>
      <c r="N431" s="636"/>
      <c r="O431" s="635"/>
      <c r="P431" s="637"/>
      <c r="Q431" s="637"/>
      <c r="R431" s="635"/>
      <c r="S431" s="637"/>
      <c r="T431" s="644"/>
    </row>
    <row r="432" spans="1:20" x14ac:dyDescent="0.25">
      <c r="A432" s="23"/>
      <c r="B432" s="24"/>
      <c r="C432" s="25"/>
      <c r="D432" s="27"/>
      <c r="E432" s="27"/>
      <c r="F432" s="28"/>
      <c r="G432" s="27"/>
      <c r="H432" s="548"/>
      <c r="I432" s="27"/>
      <c r="J432" s="635"/>
      <c r="K432" s="635"/>
      <c r="L432" s="635"/>
      <c r="M432" s="635"/>
      <c r="N432" s="636"/>
      <c r="O432" s="635"/>
      <c r="P432" s="637"/>
      <c r="Q432" s="637"/>
      <c r="R432" s="635"/>
      <c r="S432" s="637"/>
      <c r="T432" s="644"/>
    </row>
    <row r="433" spans="1:20" x14ac:dyDescent="0.25">
      <c r="A433" s="23"/>
      <c r="B433" s="24"/>
      <c r="C433" s="25"/>
      <c r="D433" s="27"/>
      <c r="E433" s="27"/>
      <c r="F433" s="28"/>
      <c r="G433" s="27"/>
      <c r="H433" s="548"/>
      <c r="I433" s="27"/>
      <c r="J433" s="635"/>
      <c r="K433" s="635"/>
      <c r="L433" s="635"/>
      <c r="M433" s="635"/>
      <c r="N433" s="636"/>
      <c r="O433" s="635"/>
      <c r="P433" s="637"/>
      <c r="Q433" s="637"/>
      <c r="R433" s="635"/>
      <c r="S433" s="637"/>
      <c r="T433" s="644"/>
    </row>
    <row r="434" spans="1:20" x14ac:dyDescent="0.25">
      <c r="A434" s="23"/>
      <c r="B434" s="24"/>
      <c r="C434" s="25"/>
      <c r="D434" s="27"/>
      <c r="E434" s="27"/>
      <c r="F434" s="28"/>
      <c r="G434" s="27"/>
      <c r="H434" s="548"/>
      <c r="I434" s="27"/>
      <c r="J434" s="635"/>
      <c r="K434" s="635"/>
      <c r="L434" s="635"/>
      <c r="M434" s="635"/>
      <c r="N434" s="636"/>
      <c r="O434" s="635"/>
      <c r="P434" s="637"/>
      <c r="Q434" s="637"/>
      <c r="R434" s="635"/>
      <c r="S434" s="637"/>
      <c r="T434" s="644"/>
    </row>
    <row r="435" spans="1:20" x14ac:dyDescent="0.25">
      <c r="A435" s="23"/>
      <c r="B435" s="24"/>
      <c r="C435" s="25"/>
      <c r="D435" s="27"/>
      <c r="E435" s="27"/>
      <c r="F435" s="28"/>
      <c r="G435" s="27"/>
      <c r="H435" s="548"/>
      <c r="I435" s="27"/>
      <c r="J435" s="635"/>
      <c r="K435" s="635"/>
      <c r="L435" s="635"/>
      <c r="M435" s="635"/>
      <c r="N435" s="636"/>
      <c r="O435" s="635"/>
      <c r="P435" s="637"/>
      <c r="Q435" s="637"/>
      <c r="R435" s="635"/>
      <c r="S435" s="637"/>
      <c r="T435" s="644"/>
    </row>
    <row r="436" spans="1:20" x14ac:dyDescent="0.25">
      <c r="A436" s="23"/>
      <c r="B436" s="24"/>
      <c r="C436" s="25"/>
      <c r="D436" s="27"/>
      <c r="E436" s="27"/>
      <c r="F436" s="28"/>
      <c r="G436" s="27"/>
      <c r="H436" s="548"/>
      <c r="I436" s="27"/>
      <c r="J436" s="635"/>
      <c r="K436" s="635"/>
      <c r="L436" s="635"/>
      <c r="M436" s="635"/>
      <c r="N436" s="636"/>
      <c r="O436" s="635"/>
      <c r="P436" s="637"/>
      <c r="Q436" s="637"/>
      <c r="R436" s="635"/>
      <c r="S436" s="637"/>
      <c r="T436" s="644"/>
    </row>
    <row r="437" spans="1:20" x14ac:dyDescent="0.25">
      <c r="A437" s="23"/>
      <c r="B437" s="24"/>
      <c r="C437" s="25"/>
      <c r="D437" s="27"/>
      <c r="E437" s="27"/>
      <c r="F437" s="28"/>
      <c r="G437" s="27"/>
      <c r="H437" s="548"/>
      <c r="I437" s="27"/>
      <c r="J437" s="635"/>
      <c r="K437" s="635"/>
      <c r="L437" s="635"/>
      <c r="M437" s="635"/>
      <c r="N437" s="636"/>
      <c r="O437" s="635"/>
      <c r="P437" s="637"/>
      <c r="Q437" s="637"/>
      <c r="R437" s="635"/>
      <c r="S437" s="637"/>
      <c r="T437" s="644"/>
    </row>
    <row r="438" spans="1:20" x14ac:dyDescent="0.25">
      <c r="A438" s="23"/>
      <c r="B438" s="24"/>
      <c r="C438" s="25"/>
      <c r="D438" s="27"/>
      <c r="E438" s="27"/>
      <c r="F438" s="28"/>
      <c r="G438" s="27"/>
      <c r="H438" s="548"/>
      <c r="I438" s="27"/>
      <c r="J438" s="635"/>
      <c r="K438" s="635"/>
      <c r="L438" s="635"/>
      <c r="M438" s="635"/>
      <c r="N438" s="636"/>
      <c r="O438" s="635"/>
      <c r="P438" s="637"/>
      <c r="Q438" s="637"/>
      <c r="R438" s="635"/>
      <c r="S438" s="637"/>
      <c r="T438" s="644"/>
    </row>
    <row r="439" spans="1:20" x14ac:dyDescent="0.25">
      <c r="A439" s="23"/>
      <c r="B439" s="24"/>
      <c r="C439" s="25"/>
      <c r="D439" s="27"/>
      <c r="E439" s="27"/>
      <c r="F439" s="28"/>
      <c r="G439" s="27"/>
      <c r="H439" s="548"/>
      <c r="I439" s="27"/>
      <c r="J439" s="635"/>
      <c r="K439" s="635"/>
      <c r="L439" s="635"/>
      <c r="M439" s="635"/>
      <c r="N439" s="636"/>
      <c r="O439" s="635"/>
      <c r="P439" s="637"/>
      <c r="Q439" s="637"/>
      <c r="R439" s="635"/>
      <c r="S439" s="637"/>
      <c r="T439" s="644"/>
    </row>
    <row r="440" spans="1:20" x14ac:dyDescent="0.25">
      <c r="A440" s="23"/>
      <c r="B440" s="24"/>
      <c r="C440" s="25"/>
      <c r="D440" s="27"/>
      <c r="E440" s="27"/>
      <c r="F440" s="28"/>
      <c r="G440" s="27"/>
      <c r="H440" s="548"/>
      <c r="I440" s="27"/>
      <c r="J440" s="635"/>
      <c r="K440" s="635"/>
      <c r="L440" s="635"/>
      <c r="M440" s="635"/>
      <c r="N440" s="636"/>
      <c r="O440" s="635"/>
      <c r="P440" s="637"/>
      <c r="Q440" s="637"/>
      <c r="R440" s="635"/>
      <c r="S440" s="637"/>
      <c r="T440" s="644"/>
    </row>
    <row r="441" spans="1:20" x14ac:dyDescent="0.25">
      <c r="A441" s="23"/>
      <c r="B441" s="24"/>
      <c r="C441" s="25"/>
      <c r="D441" s="27"/>
      <c r="E441" s="27"/>
      <c r="F441" s="28"/>
      <c r="G441" s="27"/>
      <c r="H441" s="548"/>
      <c r="I441" s="27"/>
      <c r="J441" s="635"/>
      <c r="K441" s="635"/>
      <c r="L441" s="635"/>
      <c r="M441" s="635"/>
      <c r="N441" s="636"/>
      <c r="O441" s="635"/>
      <c r="P441" s="637"/>
      <c r="Q441" s="637"/>
      <c r="R441" s="635"/>
      <c r="S441" s="637"/>
      <c r="T441" s="644"/>
    </row>
    <row r="442" spans="1:20" x14ac:dyDescent="0.25">
      <c r="A442" s="23"/>
      <c r="B442" s="24"/>
      <c r="C442" s="25"/>
      <c r="D442" s="27"/>
      <c r="E442" s="27"/>
      <c r="F442" s="28"/>
      <c r="G442" s="27"/>
      <c r="H442" s="548"/>
      <c r="I442" s="27"/>
      <c r="J442" s="635"/>
      <c r="K442" s="635"/>
      <c r="L442" s="635"/>
      <c r="M442" s="635"/>
      <c r="N442" s="636"/>
      <c r="O442" s="635"/>
      <c r="P442" s="637"/>
      <c r="Q442" s="637"/>
      <c r="R442" s="635"/>
      <c r="S442" s="637"/>
      <c r="T442" s="644"/>
    </row>
    <row r="443" spans="1:20" x14ac:dyDescent="0.25">
      <c r="A443" s="23"/>
      <c r="B443" s="24"/>
      <c r="C443" s="25"/>
      <c r="D443" s="27"/>
      <c r="E443" s="27"/>
      <c r="F443" s="28"/>
      <c r="G443" s="27"/>
      <c r="H443" s="548"/>
      <c r="I443" s="27"/>
      <c r="J443" s="635"/>
      <c r="K443" s="635"/>
      <c r="L443" s="635"/>
      <c r="M443" s="635"/>
      <c r="N443" s="636"/>
      <c r="O443" s="635"/>
      <c r="P443" s="637"/>
      <c r="Q443" s="637"/>
      <c r="R443" s="635"/>
      <c r="S443" s="637"/>
      <c r="T443" s="644"/>
    </row>
    <row r="444" spans="1:20" x14ac:dyDescent="0.25">
      <c r="A444" s="23"/>
      <c r="B444" s="24"/>
      <c r="C444" s="25"/>
      <c r="D444" s="27"/>
      <c r="E444" s="27"/>
      <c r="F444" s="28"/>
      <c r="G444" s="27"/>
      <c r="H444" s="548"/>
      <c r="I444" s="27"/>
      <c r="J444" s="635"/>
      <c r="K444" s="635"/>
      <c r="L444" s="635"/>
      <c r="M444" s="635"/>
      <c r="N444" s="636"/>
      <c r="O444" s="635"/>
      <c r="P444" s="637"/>
      <c r="Q444" s="637"/>
      <c r="R444" s="635"/>
      <c r="S444" s="637"/>
      <c r="T444" s="644"/>
    </row>
    <row r="445" spans="1:20" x14ac:dyDescent="0.25">
      <c r="A445" s="23"/>
      <c r="B445" s="24"/>
      <c r="C445" s="25"/>
      <c r="D445" s="27"/>
      <c r="E445" s="27"/>
      <c r="F445" s="28"/>
      <c r="G445" s="27"/>
      <c r="H445" s="548"/>
      <c r="I445" s="27"/>
      <c r="J445" s="635"/>
      <c r="K445" s="635"/>
      <c r="L445" s="635"/>
      <c r="M445" s="635"/>
      <c r="N445" s="636"/>
      <c r="O445" s="635"/>
      <c r="P445" s="637"/>
      <c r="Q445" s="637"/>
      <c r="R445" s="635"/>
      <c r="S445" s="637"/>
      <c r="T445" s="644"/>
    </row>
    <row r="446" spans="1:20" x14ac:dyDescent="0.25">
      <c r="A446" s="23"/>
      <c r="B446" s="24"/>
      <c r="C446" s="25"/>
      <c r="D446" s="27"/>
      <c r="E446" s="27"/>
      <c r="F446" s="28"/>
      <c r="G446" s="27"/>
      <c r="H446" s="548"/>
      <c r="I446" s="27"/>
      <c r="J446" s="635"/>
      <c r="K446" s="635"/>
      <c r="L446" s="635"/>
      <c r="M446" s="635"/>
      <c r="N446" s="636"/>
      <c r="O446" s="635"/>
      <c r="P446" s="637"/>
      <c r="Q446" s="637"/>
      <c r="R446" s="635"/>
      <c r="S446" s="637"/>
      <c r="T446" s="644"/>
    </row>
    <row r="447" spans="1:20" x14ac:dyDescent="0.25">
      <c r="A447" s="23"/>
      <c r="B447" s="24"/>
      <c r="C447" s="25"/>
      <c r="D447" s="27"/>
      <c r="E447" s="27"/>
      <c r="F447" s="28"/>
      <c r="G447" s="27"/>
      <c r="H447" s="548"/>
      <c r="I447" s="27"/>
      <c r="J447" s="635"/>
      <c r="K447" s="635"/>
      <c r="L447" s="635"/>
      <c r="M447" s="635"/>
      <c r="N447" s="636"/>
      <c r="O447" s="635"/>
      <c r="P447" s="637"/>
      <c r="Q447" s="637"/>
      <c r="R447" s="635"/>
      <c r="S447" s="637"/>
      <c r="T447" s="644"/>
    </row>
    <row r="448" spans="1:20" x14ac:dyDescent="0.25">
      <c r="A448" s="23"/>
      <c r="B448" s="24"/>
      <c r="C448" s="25"/>
      <c r="D448" s="27"/>
      <c r="E448" s="27"/>
      <c r="F448" s="28"/>
      <c r="G448" s="27"/>
      <c r="H448" s="548"/>
      <c r="I448" s="27"/>
      <c r="J448" s="635"/>
      <c r="K448" s="635"/>
      <c r="L448" s="635"/>
      <c r="M448" s="635"/>
      <c r="N448" s="636"/>
      <c r="O448" s="635"/>
      <c r="P448" s="637"/>
      <c r="Q448" s="637"/>
      <c r="R448" s="635"/>
      <c r="S448" s="637"/>
      <c r="T448" s="644"/>
    </row>
    <row r="449" spans="1:20" x14ac:dyDescent="0.25">
      <c r="A449" s="23"/>
      <c r="B449" s="24"/>
      <c r="C449" s="25"/>
      <c r="D449" s="27"/>
      <c r="E449" s="27"/>
      <c r="F449" s="28"/>
      <c r="G449" s="27"/>
      <c r="H449" s="548"/>
      <c r="I449" s="27"/>
      <c r="J449" s="635"/>
      <c r="K449" s="635"/>
      <c r="L449" s="635"/>
      <c r="M449" s="635"/>
      <c r="N449" s="636"/>
      <c r="O449" s="635"/>
      <c r="P449" s="637"/>
      <c r="Q449" s="637"/>
      <c r="R449" s="635"/>
      <c r="S449" s="637"/>
      <c r="T449" s="644"/>
    </row>
    <row r="450" spans="1:20" x14ac:dyDescent="0.25">
      <c r="A450" s="23"/>
      <c r="B450" s="24"/>
      <c r="C450" s="25"/>
      <c r="D450" s="27"/>
      <c r="E450" s="27"/>
      <c r="F450" s="28"/>
      <c r="G450" s="27"/>
      <c r="H450" s="548"/>
      <c r="I450" s="27"/>
      <c r="J450" s="635"/>
      <c r="K450" s="635"/>
      <c r="L450" s="635"/>
      <c r="M450" s="635"/>
      <c r="N450" s="636"/>
      <c r="O450" s="635"/>
      <c r="P450" s="637"/>
      <c r="Q450" s="637"/>
      <c r="R450" s="635"/>
      <c r="S450" s="637"/>
      <c r="T450" s="644"/>
    </row>
    <row r="451" spans="1:20" x14ac:dyDescent="0.25">
      <c r="A451" s="23"/>
      <c r="B451" s="24"/>
      <c r="C451" s="25"/>
      <c r="D451" s="27"/>
      <c r="E451" s="27"/>
      <c r="F451" s="28"/>
      <c r="G451" s="27"/>
      <c r="H451" s="548"/>
      <c r="I451" s="27"/>
      <c r="J451" s="635"/>
      <c r="K451" s="635"/>
      <c r="L451" s="635"/>
      <c r="M451" s="635"/>
      <c r="N451" s="636"/>
      <c r="O451" s="635"/>
      <c r="P451" s="637"/>
      <c r="Q451" s="637"/>
      <c r="R451" s="635"/>
      <c r="S451" s="637"/>
      <c r="T451" s="644"/>
    </row>
    <row r="452" spans="1:20" x14ac:dyDescent="0.25">
      <c r="A452" s="23"/>
      <c r="B452" s="24"/>
      <c r="C452" s="25"/>
      <c r="D452" s="27"/>
      <c r="E452" s="27"/>
      <c r="F452" s="28"/>
      <c r="G452" s="27"/>
      <c r="H452" s="548"/>
      <c r="I452" s="27"/>
      <c r="J452" s="635"/>
      <c r="K452" s="635"/>
      <c r="L452" s="635"/>
      <c r="M452" s="635"/>
      <c r="N452" s="636"/>
      <c r="O452" s="635"/>
      <c r="P452" s="637"/>
      <c r="Q452" s="637"/>
      <c r="R452" s="635"/>
      <c r="S452" s="637"/>
      <c r="T452" s="644"/>
    </row>
    <row r="453" spans="1:20" x14ac:dyDescent="0.25">
      <c r="A453" s="23"/>
      <c r="B453" s="24"/>
      <c r="C453" s="25"/>
      <c r="D453" s="27"/>
      <c r="E453" s="27"/>
      <c r="F453" s="28"/>
      <c r="G453" s="27"/>
      <c r="H453" s="548"/>
      <c r="I453" s="27"/>
      <c r="J453" s="635"/>
      <c r="K453" s="635"/>
      <c r="L453" s="635"/>
      <c r="M453" s="635"/>
      <c r="N453" s="636"/>
      <c r="O453" s="635"/>
      <c r="P453" s="637"/>
      <c r="Q453" s="637"/>
      <c r="R453" s="635"/>
      <c r="S453" s="637"/>
      <c r="T453" s="644"/>
    </row>
    <row r="454" spans="1:20" x14ac:dyDescent="0.25">
      <c r="A454" s="23"/>
      <c r="B454" s="24"/>
      <c r="C454" s="25"/>
      <c r="D454" s="27"/>
      <c r="E454" s="27"/>
      <c r="F454" s="28"/>
      <c r="G454" s="27"/>
      <c r="H454" s="548"/>
      <c r="I454" s="27"/>
      <c r="J454" s="635"/>
      <c r="K454" s="635"/>
      <c r="L454" s="635"/>
      <c r="M454" s="635"/>
      <c r="N454" s="636"/>
      <c r="O454" s="635"/>
      <c r="P454" s="637"/>
      <c r="Q454" s="637"/>
      <c r="R454" s="635"/>
      <c r="S454" s="637"/>
      <c r="T454" s="644"/>
    </row>
    <row r="455" spans="1:20" x14ac:dyDescent="0.25">
      <c r="A455" s="23"/>
      <c r="B455" s="24"/>
      <c r="C455" s="25"/>
      <c r="D455" s="27"/>
      <c r="E455" s="27"/>
      <c r="F455" s="28"/>
      <c r="G455" s="27"/>
      <c r="H455" s="548"/>
      <c r="I455" s="27"/>
      <c r="J455" s="635"/>
      <c r="K455" s="635"/>
      <c r="L455" s="635"/>
      <c r="M455" s="635"/>
      <c r="N455" s="636"/>
      <c r="O455" s="635"/>
      <c r="P455" s="637"/>
      <c r="Q455" s="637"/>
      <c r="R455" s="635"/>
      <c r="S455" s="637"/>
      <c r="T455" s="644"/>
    </row>
    <row r="456" spans="1:20" x14ac:dyDescent="0.25">
      <c r="A456" s="23"/>
      <c r="B456" s="24"/>
      <c r="C456" s="25"/>
      <c r="D456" s="27"/>
      <c r="E456" s="27"/>
      <c r="F456" s="28"/>
      <c r="G456" s="27"/>
      <c r="H456" s="548"/>
      <c r="I456" s="27"/>
      <c r="J456" s="635"/>
      <c r="K456" s="635"/>
      <c r="L456" s="635"/>
      <c r="M456" s="635"/>
      <c r="N456" s="636"/>
      <c r="O456" s="635"/>
      <c r="P456" s="637"/>
      <c r="Q456" s="637"/>
      <c r="R456" s="635"/>
      <c r="S456" s="637"/>
      <c r="T456" s="644"/>
    </row>
    <row r="457" spans="1:20" x14ac:dyDescent="0.25">
      <c r="A457" s="23"/>
      <c r="B457" s="24"/>
      <c r="C457" s="25"/>
      <c r="D457" s="27"/>
      <c r="E457" s="27"/>
      <c r="F457" s="28"/>
      <c r="G457" s="27"/>
      <c r="H457" s="548"/>
      <c r="I457" s="27"/>
      <c r="J457" s="635"/>
      <c r="K457" s="635"/>
      <c r="L457" s="635"/>
      <c r="M457" s="635"/>
      <c r="N457" s="636"/>
      <c r="O457" s="635"/>
      <c r="P457" s="637"/>
      <c r="Q457" s="637"/>
      <c r="R457" s="635"/>
      <c r="S457" s="637"/>
      <c r="T457" s="644"/>
    </row>
    <row r="458" spans="1:20" x14ac:dyDescent="0.25">
      <c r="A458" s="23"/>
      <c r="B458" s="24"/>
      <c r="C458" s="25"/>
      <c r="D458" s="27"/>
      <c r="E458" s="27"/>
      <c r="F458" s="28"/>
      <c r="G458" s="27"/>
      <c r="H458" s="548"/>
      <c r="I458" s="27"/>
      <c r="J458" s="635"/>
      <c r="K458" s="635"/>
      <c r="L458" s="635"/>
      <c r="M458" s="635"/>
      <c r="N458" s="636"/>
      <c r="O458" s="635"/>
      <c r="P458" s="637"/>
      <c r="Q458" s="637"/>
      <c r="R458" s="635"/>
      <c r="S458" s="637"/>
      <c r="T458" s="644"/>
    </row>
    <row r="459" spans="1:20" x14ac:dyDescent="0.25">
      <c r="A459" s="23"/>
      <c r="B459" s="24"/>
      <c r="C459" s="25"/>
      <c r="D459" s="27"/>
      <c r="E459" s="27"/>
      <c r="F459" s="28"/>
      <c r="G459" s="27"/>
      <c r="H459" s="548"/>
      <c r="I459" s="27"/>
      <c r="J459" s="635"/>
      <c r="K459" s="635"/>
      <c r="L459" s="635"/>
      <c r="M459" s="635"/>
      <c r="N459" s="636"/>
      <c r="O459" s="635"/>
      <c r="P459" s="637"/>
      <c r="Q459" s="637"/>
      <c r="R459" s="635"/>
      <c r="S459" s="637"/>
      <c r="T459" s="644"/>
    </row>
    <row r="460" spans="1:20" x14ac:dyDescent="0.25">
      <c r="A460" s="23"/>
      <c r="B460" s="24"/>
      <c r="C460" s="25"/>
      <c r="D460" s="27"/>
      <c r="E460" s="27"/>
      <c r="F460" s="28"/>
      <c r="G460" s="27"/>
      <c r="H460" s="548"/>
      <c r="I460" s="27"/>
      <c r="J460" s="635"/>
      <c r="K460" s="635"/>
      <c r="L460" s="635"/>
      <c r="M460" s="635"/>
      <c r="N460" s="636"/>
      <c r="O460" s="635"/>
      <c r="P460" s="637"/>
      <c r="Q460" s="637"/>
      <c r="R460" s="635"/>
      <c r="S460" s="637"/>
      <c r="T460" s="644"/>
    </row>
    <row r="461" spans="1:20" x14ac:dyDescent="0.25">
      <c r="A461" s="23"/>
      <c r="B461" s="24"/>
      <c r="C461" s="25"/>
      <c r="D461" s="27"/>
      <c r="E461" s="27"/>
      <c r="F461" s="28"/>
      <c r="G461" s="27"/>
      <c r="H461" s="548"/>
      <c r="I461" s="27"/>
      <c r="J461" s="635"/>
      <c r="K461" s="635"/>
      <c r="L461" s="635"/>
      <c r="M461" s="635"/>
      <c r="N461" s="636"/>
      <c r="O461" s="635"/>
      <c r="P461" s="637"/>
      <c r="Q461" s="637"/>
      <c r="R461" s="635"/>
      <c r="S461" s="637"/>
      <c r="T461" s="644"/>
    </row>
    <row r="462" spans="1:20" x14ac:dyDescent="0.25">
      <c r="A462" s="23"/>
      <c r="B462" s="24"/>
      <c r="C462" s="25"/>
      <c r="D462" s="27"/>
      <c r="E462" s="27"/>
      <c r="F462" s="28"/>
      <c r="G462" s="27"/>
      <c r="H462" s="548"/>
      <c r="I462" s="27"/>
      <c r="J462" s="635"/>
      <c r="K462" s="635"/>
      <c r="L462" s="635"/>
      <c r="M462" s="635"/>
      <c r="N462" s="636"/>
      <c r="O462" s="635"/>
      <c r="P462" s="637"/>
      <c r="Q462" s="637"/>
      <c r="R462" s="635"/>
      <c r="S462" s="637"/>
      <c r="T462" s="644"/>
    </row>
    <row r="463" spans="1:20" x14ac:dyDescent="0.25">
      <c r="A463" s="23"/>
      <c r="B463" s="24"/>
      <c r="C463" s="25"/>
      <c r="D463" s="27"/>
      <c r="E463" s="27"/>
      <c r="F463" s="28"/>
      <c r="G463" s="27"/>
      <c r="H463" s="548"/>
      <c r="I463" s="27"/>
      <c r="J463" s="635"/>
      <c r="K463" s="635"/>
      <c r="L463" s="635"/>
      <c r="M463" s="635"/>
      <c r="N463" s="636"/>
      <c r="O463" s="635"/>
      <c r="P463" s="637"/>
      <c r="Q463" s="637"/>
      <c r="R463" s="635"/>
      <c r="S463" s="637"/>
      <c r="T463" s="644"/>
    </row>
    <row r="464" spans="1:20" x14ac:dyDescent="0.25">
      <c r="A464" s="23"/>
      <c r="B464" s="24"/>
      <c r="C464" s="25"/>
      <c r="D464" s="27"/>
      <c r="E464" s="27"/>
      <c r="F464" s="28"/>
      <c r="G464" s="27"/>
      <c r="H464" s="548"/>
      <c r="I464" s="27"/>
      <c r="J464" s="635"/>
      <c r="K464" s="635"/>
      <c r="L464" s="635"/>
      <c r="M464" s="635"/>
      <c r="N464" s="636"/>
      <c r="O464" s="635"/>
      <c r="P464" s="637"/>
      <c r="Q464" s="637"/>
      <c r="R464" s="635"/>
      <c r="S464" s="637"/>
      <c r="T464" s="644"/>
    </row>
    <row r="465" spans="1:20" x14ac:dyDescent="0.25">
      <c r="A465" s="23"/>
      <c r="B465" s="24"/>
      <c r="C465" s="25"/>
      <c r="D465" s="27"/>
      <c r="E465" s="27"/>
      <c r="F465" s="28"/>
      <c r="G465" s="27"/>
      <c r="H465" s="548"/>
      <c r="I465" s="27"/>
      <c r="J465" s="635"/>
      <c r="K465" s="635"/>
      <c r="L465" s="635"/>
      <c r="M465" s="635"/>
      <c r="N465" s="636"/>
      <c r="O465" s="635"/>
      <c r="P465" s="637"/>
      <c r="Q465" s="637"/>
      <c r="R465" s="635"/>
      <c r="S465" s="637"/>
      <c r="T465" s="644"/>
    </row>
    <row r="466" spans="1:20" x14ac:dyDescent="0.25">
      <c r="A466" s="23"/>
      <c r="B466" s="24"/>
      <c r="C466" s="25"/>
      <c r="D466" s="27"/>
      <c r="E466" s="27"/>
      <c r="F466" s="28"/>
      <c r="G466" s="27"/>
      <c r="H466" s="548"/>
      <c r="I466" s="27"/>
      <c r="J466" s="635"/>
      <c r="K466" s="635"/>
      <c r="L466" s="635"/>
      <c r="M466" s="635"/>
      <c r="N466" s="636"/>
      <c r="O466" s="635"/>
      <c r="P466" s="637"/>
      <c r="Q466" s="637"/>
      <c r="R466" s="635"/>
      <c r="S466" s="637"/>
      <c r="T466" s="644"/>
    </row>
    <row r="467" spans="1:20" x14ac:dyDescent="0.25">
      <c r="A467" s="23"/>
      <c r="B467" s="24"/>
      <c r="C467" s="25"/>
      <c r="D467" s="27"/>
      <c r="E467" s="27"/>
      <c r="F467" s="28"/>
      <c r="G467" s="27"/>
      <c r="H467" s="548"/>
      <c r="I467" s="27"/>
      <c r="J467" s="635"/>
      <c r="K467" s="635"/>
      <c r="L467" s="635"/>
      <c r="M467" s="635"/>
      <c r="N467" s="636"/>
      <c r="O467" s="635"/>
      <c r="P467" s="637"/>
      <c r="Q467" s="637"/>
      <c r="R467" s="635"/>
      <c r="S467" s="637"/>
      <c r="T467" s="644"/>
    </row>
    <row r="468" spans="1:20" x14ac:dyDescent="0.25">
      <c r="A468" s="23"/>
      <c r="B468" s="24"/>
      <c r="C468" s="25"/>
      <c r="D468" s="27"/>
      <c r="E468" s="27"/>
      <c r="F468" s="28"/>
      <c r="G468" s="27"/>
      <c r="H468" s="548"/>
      <c r="I468" s="27"/>
      <c r="J468" s="635"/>
      <c r="K468" s="635"/>
      <c r="L468" s="635"/>
      <c r="M468" s="635"/>
      <c r="N468" s="636"/>
      <c r="O468" s="635"/>
      <c r="P468" s="637"/>
      <c r="Q468" s="637"/>
      <c r="R468" s="635"/>
      <c r="S468" s="637"/>
      <c r="T468" s="644"/>
    </row>
    <row r="469" spans="1:20" x14ac:dyDescent="0.25">
      <c r="A469" s="23"/>
      <c r="B469" s="24"/>
      <c r="C469" s="25"/>
      <c r="D469" s="27"/>
      <c r="E469" s="27"/>
      <c r="F469" s="28"/>
      <c r="G469" s="27"/>
      <c r="H469" s="548"/>
      <c r="I469" s="27"/>
      <c r="J469" s="635"/>
      <c r="K469" s="635"/>
      <c r="L469" s="635"/>
      <c r="M469" s="635"/>
      <c r="N469" s="636"/>
      <c r="O469" s="635"/>
      <c r="P469" s="637"/>
      <c r="Q469" s="637"/>
      <c r="R469" s="635"/>
      <c r="S469" s="637"/>
      <c r="T469" s="644"/>
    </row>
    <row r="470" spans="1:20" x14ac:dyDescent="0.25">
      <c r="A470" s="23"/>
      <c r="B470" s="24"/>
      <c r="C470" s="25"/>
      <c r="D470" s="27"/>
      <c r="E470" s="27"/>
      <c r="F470" s="28"/>
      <c r="G470" s="27"/>
      <c r="H470" s="548"/>
      <c r="I470" s="27"/>
      <c r="J470" s="635"/>
      <c r="K470" s="635"/>
      <c r="L470" s="635"/>
      <c r="M470" s="635"/>
      <c r="N470" s="636"/>
      <c r="O470" s="635"/>
      <c r="P470" s="637"/>
      <c r="Q470" s="637"/>
      <c r="R470" s="635"/>
      <c r="S470" s="637"/>
      <c r="T470" s="644"/>
    </row>
    <row r="471" spans="1:20" x14ac:dyDescent="0.25">
      <c r="A471" s="23"/>
      <c r="B471" s="24"/>
      <c r="C471" s="25"/>
      <c r="D471" s="27"/>
      <c r="E471" s="27"/>
      <c r="F471" s="28"/>
      <c r="G471" s="27"/>
      <c r="H471" s="548"/>
      <c r="I471" s="27"/>
      <c r="J471" s="635"/>
      <c r="K471" s="635"/>
      <c r="L471" s="635"/>
      <c r="M471" s="635"/>
      <c r="N471" s="636"/>
      <c r="O471" s="635"/>
      <c r="P471" s="637"/>
      <c r="Q471" s="637"/>
      <c r="R471" s="635"/>
      <c r="S471" s="637"/>
      <c r="T471" s="644"/>
    </row>
    <row r="472" spans="1:20" x14ac:dyDescent="0.25">
      <c r="A472" s="23"/>
      <c r="B472" s="24"/>
      <c r="C472" s="25"/>
      <c r="D472" s="27"/>
      <c r="E472" s="27"/>
      <c r="F472" s="28"/>
      <c r="G472" s="27"/>
      <c r="H472" s="548"/>
      <c r="I472" s="27"/>
      <c r="J472" s="635"/>
      <c r="K472" s="635"/>
      <c r="L472" s="635"/>
      <c r="M472" s="635"/>
      <c r="N472" s="636"/>
      <c r="O472" s="635"/>
      <c r="P472" s="637"/>
      <c r="Q472" s="637"/>
      <c r="R472" s="635"/>
      <c r="S472" s="637"/>
      <c r="T472" s="644"/>
    </row>
    <row r="473" spans="1:20" x14ac:dyDescent="0.25">
      <c r="A473" s="23"/>
      <c r="B473" s="24"/>
      <c r="C473" s="25"/>
      <c r="D473" s="27"/>
      <c r="E473" s="27"/>
      <c r="F473" s="28"/>
      <c r="G473" s="27"/>
      <c r="H473" s="548"/>
      <c r="I473" s="27"/>
      <c r="J473" s="635"/>
      <c r="K473" s="635"/>
      <c r="L473" s="635"/>
      <c r="M473" s="635"/>
      <c r="N473" s="636"/>
      <c r="O473" s="635"/>
      <c r="P473" s="637"/>
      <c r="Q473" s="637"/>
      <c r="R473" s="635"/>
      <c r="S473" s="637"/>
      <c r="T473" s="644"/>
    </row>
    <row r="474" spans="1:20" x14ac:dyDescent="0.25">
      <c r="A474" s="23"/>
      <c r="B474" s="24"/>
      <c r="C474" s="25"/>
      <c r="D474" s="27"/>
      <c r="E474" s="27"/>
      <c r="F474" s="28"/>
      <c r="G474" s="27"/>
      <c r="H474" s="548"/>
      <c r="I474" s="27"/>
      <c r="J474" s="635"/>
      <c r="K474" s="635"/>
      <c r="L474" s="635"/>
      <c r="M474" s="635"/>
      <c r="N474" s="636"/>
      <c r="O474" s="635"/>
      <c r="P474" s="637"/>
      <c r="Q474" s="637"/>
      <c r="R474" s="635"/>
      <c r="S474" s="637"/>
      <c r="T474" s="644"/>
    </row>
    <row r="475" spans="1:20" x14ac:dyDescent="0.25">
      <c r="A475" s="23"/>
      <c r="B475" s="24"/>
      <c r="C475" s="25"/>
      <c r="D475" s="27"/>
      <c r="E475" s="27"/>
      <c r="F475" s="28"/>
      <c r="G475" s="27"/>
      <c r="H475" s="548"/>
      <c r="I475" s="27"/>
      <c r="J475" s="635"/>
      <c r="K475" s="635"/>
      <c r="L475" s="635"/>
      <c r="M475" s="635"/>
      <c r="N475" s="636"/>
      <c r="O475" s="635"/>
      <c r="P475" s="637"/>
      <c r="Q475" s="637"/>
      <c r="R475" s="635"/>
      <c r="S475" s="637"/>
      <c r="T475" s="644"/>
    </row>
    <row r="476" spans="1:20" x14ac:dyDescent="0.25">
      <c r="A476" s="23"/>
      <c r="B476" s="24"/>
      <c r="C476" s="25"/>
      <c r="D476" s="27"/>
      <c r="E476" s="27"/>
      <c r="F476" s="28"/>
      <c r="G476" s="27"/>
      <c r="H476" s="548"/>
      <c r="I476" s="27"/>
      <c r="J476" s="635"/>
      <c r="K476" s="635"/>
      <c r="L476" s="635"/>
      <c r="M476" s="635"/>
      <c r="N476" s="636"/>
      <c r="O476" s="635"/>
      <c r="P476" s="637"/>
      <c r="Q476" s="637"/>
      <c r="R476" s="635"/>
      <c r="S476" s="637"/>
      <c r="T476" s="644"/>
    </row>
    <row r="477" spans="1:20" x14ac:dyDescent="0.25">
      <c r="A477" s="23"/>
      <c r="B477" s="24"/>
      <c r="C477" s="25"/>
      <c r="D477" s="27"/>
      <c r="E477" s="27"/>
      <c r="F477" s="28"/>
      <c r="G477" s="27"/>
      <c r="H477" s="548"/>
      <c r="I477" s="27"/>
      <c r="J477" s="635"/>
      <c r="K477" s="635"/>
      <c r="L477" s="635"/>
      <c r="M477" s="635"/>
      <c r="N477" s="636"/>
      <c r="O477" s="635"/>
      <c r="P477" s="637"/>
      <c r="Q477" s="637"/>
      <c r="R477" s="635"/>
      <c r="S477" s="637"/>
      <c r="T477" s="644"/>
    </row>
    <row r="478" spans="1:20" x14ac:dyDescent="0.25">
      <c r="A478" s="23"/>
      <c r="B478" s="24"/>
      <c r="C478" s="25"/>
      <c r="D478" s="27"/>
      <c r="E478" s="27"/>
      <c r="F478" s="28"/>
      <c r="G478" s="27"/>
      <c r="H478" s="548"/>
      <c r="I478" s="27"/>
      <c r="J478" s="635"/>
      <c r="K478" s="635"/>
      <c r="L478" s="635"/>
      <c r="M478" s="635"/>
      <c r="N478" s="636"/>
      <c r="O478" s="635"/>
      <c r="P478" s="637"/>
      <c r="Q478" s="637"/>
      <c r="R478" s="635"/>
      <c r="S478" s="637"/>
      <c r="T478" s="644"/>
    </row>
    <row r="479" spans="1:20" x14ac:dyDescent="0.25">
      <c r="A479" s="23"/>
      <c r="B479" s="24"/>
      <c r="C479" s="25"/>
      <c r="D479" s="27"/>
      <c r="E479" s="27"/>
      <c r="F479" s="28"/>
      <c r="G479" s="27"/>
      <c r="H479" s="548"/>
      <c r="I479" s="27"/>
      <c r="J479" s="635"/>
      <c r="K479" s="635"/>
      <c r="L479" s="635"/>
      <c r="M479" s="635"/>
      <c r="N479" s="636"/>
      <c r="O479" s="635"/>
      <c r="P479" s="637"/>
      <c r="Q479" s="637"/>
      <c r="R479" s="635"/>
      <c r="S479" s="637"/>
      <c r="T479" s="644"/>
    </row>
    <row r="480" spans="1:20" x14ac:dyDescent="0.25">
      <c r="A480" s="23"/>
      <c r="B480" s="24"/>
      <c r="C480" s="25"/>
      <c r="D480" s="27"/>
      <c r="E480" s="27"/>
      <c r="F480" s="28"/>
      <c r="G480" s="27"/>
      <c r="H480" s="548"/>
      <c r="I480" s="27"/>
      <c r="J480" s="635"/>
      <c r="K480" s="635"/>
      <c r="L480" s="635"/>
      <c r="M480" s="635"/>
      <c r="N480" s="636"/>
      <c r="O480" s="635"/>
      <c r="P480" s="637"/>
      <c r="Q480" s="637"/>
      <c r="R480" s="635"/>
      <c r="S480" s="637"/>
      <c r="T480" s="644"/>
    </row>
    <row r="481" spans="1:20" x14ac:dyDescent="0.25">
      <c r="A481" s="23"/>
      <c r="B481" s="24"/>
      <c r="C481" s="25"/>
      <c r="D481" s="27"/>
      <c r="E481" s="27"/>
      <c r="F481" s="28"/>
      <c r="G481" s="27"/>
      <c r="H481" s="548"/>
      <c r="I481" s="27"/>
      <c r="J481" s="635"/>
      <c r="K481" s="635"/>
      <c r="L481" s="635"/>
      <c r="M481" s="635"/>
      <c r="N481" s="636"/>
      <c r="O481" s="635"/>
      <c r="P481" s="637"/>
      <c r="Q481" s="637"/>
      <c r="R481" s="635"/>
      <c r="S481" s="637"/>
      <c r="T481" s="644"/>
    </row>
    <row r="482" spans="1:20" x14ac:dyDescent="0.25">
      <c r="A482" s="23"/>
      <c r="B482" s="24"/>
      <c r="C482" s="25"/>
      <c r="D482" s="27"/>
      <c r="E482" s="27"/>
      <c r="F482" s="28"/>
      <c r="G482" s="27"/>
      <c r="H482" s="548"/>
      <c r="I482" s="27"/>
      <c r="J482" s="635"/>
      <c r="K482" s="635"/>
      <c r="L482" s="635"/>
      <c r="M482" s="635"/>
      <c r="N482" s="636"/>
      <c r="O482" s="635"/>
      <c r="P482" s="637"/>
      <c r="Q482" s="637"/>
      <c r="R482" s="635"/>
      <c r="S482" s="637"/>
      <c r="T482" s="644"/>
    </row>
    <row r="483" spans="1:20" x14ac:dyDescent="0.25">
      <c r="A483" s="23"/>
      <c r="B483" s="24"/>
      <c r="C483" s="25"/>
      <c r="D483" s="27"/>
      <c r="E483" s="27"/>
      <c r="F483" s="28"/>
      <c r="G483" s="27"/>
      <c r="H483" s="548"/>
      <c r="I483" s="27"/>
      <c r="J483" s="635"/>
      <c r="K483" s="635"/>
      <c r="L483" s="635"/>
      <c r="M483" s="635"/>
      <c r="N483" s="636"/>
      <c r="O483" s="635"/>
      <c r="P483" s="637"/>
      <c r="Q483" s="637"/>
      <c r="R483" s="635"/>
      <c r="S483" s="637"/>
      <c r="T483" s="644"/>
    </row>
    <row r="484" spans="1:20" x14ac:dyDescent="0.25">
      <c r="A484" s="23"/>
      <c r="B484" s="24"/>
      <c r="C484" s="25"/>
      <c r="D484" s="27"/>
      <c r="E484" s="27"/>
      <c r="F484" s="28"/>
      <c r="G484" s="27"/>
      <c r="H484" s="548"/>
      <c r="I484" s="27"/>
      <c r="J484" s="635"/>
      <c r="K484" s="635"/>
      <c r="L484" s="635"/>
      <c r="M484" s="635"/>
      <c r="N484" s="636"/>
      <c r="O484" s="635"/>
      <c r="P484" s="637"/>
      <c r="Q484" s="637"/>
      <c r="R484" s="635"/>
      <c r="S484" s="637"/>
      <c r="T484" s="644"/>
    </row>
    <row r="485" spans="1:20" x14ac:dyDescent="0.25">
      <c r="A485" s="23"/>
      <c r="B485" s="24"/>
      <c r="C485" s="25"/>
      <c r="D485" s="27"/>
      <c r="E485" s="27"/>
      <c r="F485" s="28"/>
      <c r="G485" s="27"/>
      <c r="H485" s="548"/>
      <c r="I485" s="27"/>
      <c r="J485" s="635"/>
      <c r="K485" s="635"/>
      <c r="L485" s="635"/>
      <c r="M485" s="635"/>
      <c r="N485" s="636"/>
      <c r="O485" s="635"/>
      <c r="P485" s="637"/>
      <c r="Q485" s="637"/>
      <c r="R485" s="635"/>
      <c r="S485" s="637"/>
      <c r="T485" s="644"/>
    </row>
    <row r="486" spans="1:20" x14ac:dyDescent="0.25">
      <c r="A486" s="23"/>
      <c r="B486" s="24"/>
      <c r="C486" s="25"/>
      <c r="D486" s="27"/>
      <c r="E486" s="27"/>
      <c r="F486" s="28"/>
      <c r="G486" s="27"/>
      <c r="H486" s="548"/>
      <c r="I486" s="27"/>
      <c r="J486" s="635"/>
      <c r="K486" s="635"/>
      <c r="L486" s="635"/>
      <c r="M486" s="635"/>
      <c r="N486" s="636"/>
      <c r="O486" s="635"/>
      <c r="P486" s="637"/>
      <c r="Q486" s="637"/>
      <c r="R486" s="635"/>
      <c r="S486" s="637"/>
      <c r="T486" s="644"/>
    </row>
    <row r="487" spans="1:20" x14ac:dyDescent="0.25">
      <c r="A487" s="23"/>
      <c r="B487" s="24"/>
      <c r="C487" s="25"/>
      <c r="D487" s="27"/>
      <c r="E487" s="27"/>
      <c r="F487" s="28"/>
      <c r="G487" s="27"/>
      <c r="H487" s="548"/>
      <c r="I487" s="27"/>
      <c r="J487" s="635"/>
      <c r="K487" s="635"/>
      <c r="L487" s="635"/>
      <c r="M487" s="635"/>
      <c r="N487" s="636"/>
      <c r="O487" s="635"/>
      <c r="P487" s="637"/>
      <c r="Q487" s="637"/>
      <c r="R487" s="635"/>
      <c r="S487" s="637"/>
      <c r="T487" s="644"/>
    </row>
    <row r="488" spans="1:20" x14ac:dyDescent="0.25">
      <c r="A488" s="23"/>
      <c r="B488" s="24"/>
      <c r="C488" s="25"/>
      <c r="D488" s="27"/>
      <c r="E488" s="27"/>
      <c r="F488" s="28"/>
      <c r="G488" s="27"/>
      <c r="H488" s="548"/>
      <c r="I488" s="27"/>
      <c r="J488" s="635"/>
      <c r="K488" s="635"/>
      <c r="L488" s="635"/>
      <c r="M488" s="635"/>
      <c r="N488" s="636"/>
      <c r="O488" s="635"/>
      <c r="P488" s="637"/>
      <c r="Q488" s="637"/>
      <c r="R488" s="635"/>
      <c r="S488" s="637"/>
      <c r="T488" s="644"/>
    </row>
    <row r="489" spans="1:20" x14ac:dyDescent="0.25">
      <c r="A489" s="23"/>
      <c r="B489" s="24"/>
      <c r="C489" s="25"/>
      <c r="D489" s="27"/>
      <c r="E489" s="27"/>
      <c r="F489" s="28"/>
      <c r="G489" s="27"/>
      <c r="H489" s="548"/>
      <c r="I489" s="27"/>
      <c r="J489" s="635"/>
      <c r="K489" s="635"/>
      <c r="L489" s="635"/>
      <c r="M489" s="635"/>
      <c r="N489" s="636"/>
      <c r="O489" s="635"/>
      <c r="P489" s="637"/>
      <c r="Q489" s="637"/>
      <c r="R489" s="635"/>
      <c r="S489" s="637"/>
      <c r="T489" s="644"/>
    </row>
    <row r="490" spans="1:20" x14ac:dyDescent="0.25">
      <c r="A490" s="23"/>
      <c r="B490" s="24"/>
      <c r="C490" s="25"/>
      <c r="D490" s="27"/>
      <c r="E490" s="27"/>
      <c r="F490" s="28"/>
      <c r="G490" s="27"/>
      <c r="H490" s="548"/>
      <c r="I490" s="27"/>
      <c r="J490" s="635"/>
      <c r="K490" s="635"/>
      <c r="L490" s="635"/>
      <c r="M490" s="635"/>
      <c r="N490" s="636"/>
      <c r="O490" s="635"/>
      <c r="P490" s="637"/>
      <c r="Q490" s="637"/>
      <c r="R490" s="635"/>
      <c r="S490" s="637"/>
      <c r="T490" s="644"/>
    </row>
    <row r="491" spans="1:20" x14ac:dyDescent="0.25">
      <c r="A491" s="23"/>
      <c r="B491" s="24"/>
      <c r="C491" s="25"/>
      <c r="D491" s="27"/>
      <c r="E491" s="27"/>
      <c r="F491" s="28"/>
      <c r="G491" s="27"/>
      <c r="H491" s="548"/>
      <c r="I491" s="27"/>
      <c r="J491" s="635"/>
      <c r="K491" s="635"/>
      <c r="L491" s="635"/>
      <c r="M491" s="635"/>
      <c r="N491" s="636"/>
      <c r="O491" s="635"/>
      <c r="P491" s="637"/>
      <c r="Q491" s="637"/>
      <c r="R491" s="635"/>
      <c r="S491" s="637"/>
      <c r="T491" s="644"/>
    </row>
    <row r="492" spans="1:20" x14ac:dyDescent="0.25">
      <c r="A492" s="23"/>
      <c r="B492" s="24"/>
      <c r="C492" s="25"/>
      <c r="D492" s="27"/>
      <c r="E492" s="27"/>
      <c r="F492" s="28"/>
      <c r="G492" s="27"/>
      <c r="H492" s="548"/>
      <c r="I492" s="27"/>
      <c r="J492" s="635"/>
      <c r="K492" s="635"/>
      <c r="L492" s="635"/>
      <c r="M492" s="635"/>
      <c r="N492" s="636"/>
      <c r="O492" s="635"/>
      <c r="P492" s="637"/>
      <c r="Q492" s="637"/>
      <c r="R492" s="635"/>
      <c r="S492" s="637"/>
      <c r="T492" s="644"/>
    </row>
    <row r="493" spans="1:20" x14ac:dyDescent="0.25">
      <c r="A493" s="23"/>
      <c r="B493" s="24"/>
      <c r="C493" s="25"/>
      <c r="D493" s="27"/>
      <c r="E493" s="27"/>
      <c r="F493" s="28"/>
      <c r="G493" s="27"/>
      <c r="H493" s="548"/>
      <c r="I493" s="27"/>
      <c r="J493" s="635"/>
      <c r="K493" s="635"/>
      <c r="L493" s="635"/>
      <c r="M493" s="635"/>
      <c r="N493" s="636"/>
      <c r="O493" s="635"/>
      <c r="P493" s="637"/>
      <c r="Q493" s="637"/>
      <c r="R493" s="635"/>
      <c r="S493" s="637"/>
      <c r="T493" s="644"/>
    </row>
    <row r="494" spans="1:20" x14ac:dyDescent="0.25">
      <c r="A494" s="23"/>
      <c r="B494" s="24"/>
      <c r="C494" s="25"/>
      <c r="D494" s="27"/>
      <c r="E494" s="27"/>
      <c r="F494" s="28"/>
      <c r="G494" s="27"/>
      <c r="H494" s="548"/>
      <c r="I494" s="27"/>
      <c r="J494" s="635"/>
      <c r="K494" s="635"/>
      <c r="L494" s="635"/>
      <c r="M494" s="635"/>
      <c r="N494" s="636"/>
      <c r="O494" s="635"/>
      <c r="P494" s="637"/>
      <c r="Q494" s="637"/>
      <c r="R494" s="635"/>
      <c r="S494" s="637"/>
      <c r="T494" s="644"/>
    </row>
    <row r="495" spans="1:20" x14ac:dyDescent="0.25">
      <c r="A495" s="23"/>
      <c r="B495" s="24"/>
      <c r="C495" s="25"/>
      <c r="D495" s="27"/>
      <c r="E495" s="27"/>
      <c r="F495" s="28"/>
      <c r="G495" s="27"/>
      <c r="H495" s="548"/>
      <c r="I495" s="27"/>
      <c r="J495" s="635"/>
      <c r="K495" s="635"/>
      <c r="L495" s="635"/>
      <c r="M495" s="635"/>
      <c r="N495" s="636"/>
      <c r="O495" s="635"/>
      <c r="P495" s="637"/>
      <c r="Q495" s="637"/>
      <c r="R495" s="635"/>
      <c r="S495" s="637"/>
      <c r="T495" s="644"/>
    </row>
    <row r="496" spans="1:20" x14ac:dyDescent="0.25">
      <c r="A496" s="23"/>
      <c r="B496" s="24"/>
      <c r="C496" s="25"/>
      <c r="D496" s="27"/>
      <c r="E496" s="27"/>
      <c r="F496" s="28"/>
      <c r="G496" s="27"/>
      <c r="H496" s="548"/>
      <c r="I496" s="27"/>
      <c r="J496" s="635"/>
      <c r="K496" s="635"/>
      <c r="L496" s="635"/>
      <c r="M496" s="635"/>
      <c r="N496" s="636"/>
      <c r="O496" s="635"/>
      <c r="P496" s="637"/>
      <c r="Q496" s="637"/>
      <c r="R496" s="635"/>
      <c r="S496" s="637"/>
      <c r="T496" s="644"/>
    </row>
    <row r="497" spans="1:20" x14ac:dyDescent="0.25">
      <c r="A497" s="23"/>
      <c r="B497" s="24"/>
      <c r="C497" s="25"/>
      <c r="D497" s="27"/>
      <c r="E497" s="27"/>
      <c r="F497" s="28"/>
      <c r="G497" s="27"/>
      <c r="H497" s="548"/>
      <c r="I497" s="27"/>
      <c r="J497" s="635"/>
      <c r="K497" s="635"/>
      <c r="L497" s="635"/>
      <c r="M497" s="635"/>
      <c r="N497" s="636"/>
      <c r="O497" s="635"/>
      <c r="P497" s="637"/>
      <c r="Q497" s="637"/>
      <c r="R497" s="635"/>
      <c r="S497" s="637"/>
      <c r="T497" s="644"/>
    </row>
    <row r="498" spans="1:20" x14ac:dyDescent="0.25">
      <c r="A498" s="23"/>
      <c r="B498" s="24"/>
      <c r="C498" s="25"/>
      <c r="D498" s="27"/>
      <c r="E498" s="27"/>
      <c r="F498" s="28"/>
      <c r="G498" s="27"/>
      <c r="H498" s="548"/>
      <c r="I498" s="27"/>
      <c r="J498" s="635"/>
      <c r="K498" s="635"/>
      <c r="L498" s="635"/>
      <c r="M498" s="635"/>
      <c r="N498" s="636"/>
      <c r="O498" s="635"/>
      <c r="P498" s="637"/>
      <c r="Q498" s="637"/>
      <c r="R498" s="635"/>
      <c r="S498" s="637"/>
      <c r="T498" s="644"/>
    </row>
    <row r="499" spans="1:20" x14ac:dyDescent="0.25">
      <c r="A499" s="23"/>
      <c r="B499" s="24"/>
      <c r="C499" s="25"/>
      <c r="D499" s="27"/>
      <c r="E499" s="27"/>
      <c r="F499" s="28"/>
      <c r="G499" s="27"/>
      <c r="H499" s="548"/>
      <c r="I499" s="27"/>
      <c r="J499" s="635"/>
      <c r="K499" s="635"/>
      <c r="L499" s="635"/>
      <c r="M499" s="635"/>
      <c r="N499" s="636"/>
      <c r="O499" s="635"/>
      <c r="P499" s="637"/>
      <c r="Q499" s="637"/>
      <c r="R499" s="635"/>
      <c r="S499" s="637"/>
      <c r="T499" s="644"/>
    </row>
    <row r="500" spans="1:20" x14ac:dyDescent="0.25">
      <c r="A500" s="23"/>
      <c r="B500" s="24"/>
      <c r="C500" s="25"/>
      <c r="D500" s="27"/>
      <c r="E500" s="27"/>
      <c r="F500" s="28"/>
      <c r="G500" s="27"/>
      <c r="H500" s="548"/>
      <c r="I500" s="27"/>
      <c r="J500" s="635"/>
      <c r="K500" s="635"/>
      <c r="L500" s="635"/>
      <c r="M500" s="635"/>
      <c r="N500" s="636"/>
      <c r="O500" s="635"/>
      <c r="P500" s="637"/>
      <c r="Q500" s="637"/>
      <c r="R500" s="635"/>
      <c r="S500" s="637"/>
      <c r="T500" s="644"/>
    </row>
    <row r="501" spans="1:20" x14ac:dyDescent="0.25">
      <c r="A501" s="23"/>
      <c r="B501" s="24"/>
      <c r="C501" s="25"/>
      <c r="D501" s="27"/>
      <c r="E501" s="27"/>
      <c r="F501" s="28"/>
      <c r="G501" s="27"/>
      <c r="H501" s="548"/>
      <c r="I501" s="27"/>
      <c r="J501" s="635"/>
      <c r="K501" s="635"/>
      <c r="L501" s="635"/>
      <c r="M501" s="635"/>
      <c r="N501" s="636"/>
      <c r="O501" s="635"/>
      <c r="P501" s="637"/>
      <c r="Q501" s="637"/>
      <c r="R501" s="635"/>
      <c r="S501" s="637"/>
      <c r="T501" s="644"/>
    </row>
    <row r="502" spans="1:20" x14ac:dyDescent="0.25">
      <c r="A502" s="23"/>
      <c r="B502" s="24"/>
      <c r="C502" s="25"/>
      <c r="D502" s="27"/>
      <c r="E502" s="27"/>
      <c r="F502" s="28"/>
      <c r="G502" s="27"/>
      <c r="H502" s="548"/>
      <c r="I502" s="27"/>
      <c r="J502" s="635"/>
      <c r="K502" s="635"/>
      <c r="L502" s="635"/>
      <c r="M502" s="635"/>
      <c r="N502" s="636"/>
      <c r="O502" s="635"/>
      <c r="P502" s="637"/>
      <c r="Q502" s="637"/>
      <c r="R502" s="635"/>
      <c r="S502" s="637"/>
      <c r="T502" s="644"/>
    </row>
    <row r="503" spans="1:20" x14ac:dyDescent="0.25">
      <c r="A503" s="23"/>
      <c r="B503" s="24"/>
      <c r="C503" s="25"/>
      <c r="D503" s="27"/>
      <c r="E503" s="27"/>
      <c r="F503" s="28"/>
      <c r="G503" s="27"/>
      <c r="H503" s="548"/>
      <c r="I503" s="27"/>
      <c r="J503" s="635"/>
      <c r="K503" s="635"/>
      <c r="L503" s="635"/>
      <c r="M503" s="635"/>
      <c r="N503" s="636"/>
      <c r="O503" s="635"/>
      <c r="P503" s="637"/>
      <c r="Q503" s="637"/>
      <c r="R503" s="635"/>
      <c r="S503" s="637"/>
      <c r="T503" s="644"/>
    </row>
    <row r="504" spans="1:20" x14ac:dyDescent="0.25">
      <c r="A504" s="23"/>
      <c r="B504" s="24"/>
      <c r="C504" s="25"/>
      <c r="D504" s="27"/>
      <c r="E504" s="27"/>
      <c r="F504" s="28"/>
      <c r="G504" s="27"/>
      <c r="H504" s="548"/>
      <c r="I504" s="27"/>
      <c r="J504" s="635"/>
      <c r="K504" s="635"/>
      <c r="L504" s="635"/>
      <c r="M504" s="635"/>
      <c r="N504" s="636"/>
      <c r="O504" s="635"/>
      <c r="P504" s="637"/>
      <c r="Q504" s="637"/>
      <c r="R504" s="635"/>
      <c r="S504" s="637"/>
      <c r="T504" s="644"/>
    </row>
    <row r="505" spans="1:20" x14ac:dyDescent="0.25">
      <c r="A505" s="23"/>
      <c r="B505" s="24"/>
      <c r="C505" s="25"/>
      <c r="D505" s="27"/>
      <c r="E505" s="27"/>
      <c r="F505" s="28"/>
      <c r="G505" s="27"/>
      <c r="H505" s="548"/>
      <c r="I505" s="27"/>
      <c r="J505" s="635"/>
      <c r="K505" s="635"/>
      <c r="L505" s="635"/>
      <c r="M505" s="635"/>
      <c r="N505" s="636"/>
      <c r="O505" s="635"/>
      <c r="P505" s="637"/>
      <c r="Q505" s="637"/>
      <c r="R505" s="635"/>
      <c r="S505" s="637"/>
      <c r="T505" s="644"/>
    </row>
    <row r="506" spans="1:20" x14ac:dyDescent="0.25">
      <c r="A506" s="23"/>
      <c r="B506" s="24"/>
      <c r="C506" s="25"/>
      <c r="D506" s="27"/>
      <c r="E506" s="27"/>
      <c r="F506" s="28"/>
      <c r="G506" s="27"/>
      <c r="H506" s="548"/>
      <c r="I506" s="27"/>
      <c r="J506" s="635"/>
      <c r="K506" s="635"/>
      <c r="L506" s="635"/>
      <c r="M506" s="635"/>
      <c r="N506" s="636"/>
      <c r="O506" s="635"/>
      <c r="P506" s="637"/>
      <c r="Q506" s="637"/>
      <c r="R506" s="635"/>
      <c r="S506" s="637"/>
      <c r="T506" s="644"/>
    </row>
    <row r="507" spans="1:20" x14ac:dyDescent="0.25">
      <c r="A507" s="23"/>
      <c r="B507" s="24"/>
      <c r="C507" s="25"/>
      <c r="D507" s="27"/>
      <c r="E507" s="27"/>
      <c r="F507" s="28"/>
      <c r="G507" s="27"/>
      <c r="H507" s="548"/>
      <c r="I507" s="27"/>
      <c r="J507" s="635"/>
      <c r="K507" s="635"/>
      <c r="L507" s="635"/>
      <c r="M507" s="635"/>
      <c r="N507" s="636"/>
      <c r="O507" s="635"/>
      <c r="P507" s="637"/>
      <c r="Q507" s="637"/>
      <c r="R507" s="635"/>
      <c r="S507" s="637"/>
      <c r="T507" s="644"/>
    </row>
    <row r="508" spans="1:20" x14ac:dyDescent="0.25">
      <c r="A508" s="23"/>
      <c r="B508" s="24"/>
      <c r="C508" s="25"/>
      <c r="D508" s="27"/>
      <c r="E508" s="27"/>
      <c r="F508" s="28"/>
      <c r="G508" s="27"/>
      <c r="H508" s="548"/>
      <c r="I508" s="27"/>
      <c r="J508" s="635"/>
      <c r="K508" s="635"/>
      <c r="L508" s="635"/>
      <c r="M508" s="635"/>
      <c r="N508" s="636"/>
      <c r="O508" s="635"/>
      <c r="P508" s="637"/>
      <c r="Q508" s="637"/>
      <c r="R508" s="635"/>
      <c r="S508" s="637"/>
      <c r="T508" s="644"/>
    </row>
    <row r="509" spans="1:20" x14ac:dyDescent="0.25">
      <c r="A509" s="23"/>
      <c r="B509" s="24"/>
      <c r="C509" s="25"/>
      <c r="D509" s="27"/>
      <c r="E509" s="27"/>
      <c r="F509" s="28"/>
      <c r="G509" s="27"/>
      <c r="H509" s="548"/>
      <c r="I509" s="27"/>
      <c r="J509" s="635"/>
      <c r="K509" s="635"/>
      <c r="L509" s="635"/>
      <c r="M509" s="635"/>
      <c r="N509" s="636"/>
      <c r="O509" s="635"/>
      <c r="P509" s="637"/>
      <c r="Q509" s="637"/>
      <c r="R509" s="635"/>
      <c r="S509" s="637"/>
      <c r="T509" s="644"/>
    </row>
    <row r="510" spans="1:20" x14ac:dyDescent="0.25">
      <c r="A510" s="23"/>
      <c r="B510" s="24"/>
      <c r="C510" s="25"/>
      <c r="D510" s="27"/>
      <c r="E510" s="27"/>
      <c r="F510" s="28"/>
      <c r="G510" s="27"/>
      <c r="H510" s="548"/>
      <c r="I510" s="27"/>
      <c r="J510" s="635"/>
      <c r="K510" s="635"/>
      <c r="L510" s="635"/>
      <c r="M510" s="635"/>
      <c r="N510" s="636"/>
      <c r="O510" s="635"/>
      <c r="P510" s="637"/>
      <c r="Q510" s="637"/>
      <c r="R510" s="635"/>
      <c r="S510" s="637"/>
      <c r="T510" s="644"/>
    </row>
    <row r="511" spans="1:20" x14ac:dyDescent="0.25">
      <c r="A511" s="23"/>
      <c r="B511" s="24"/>
      <c r="C511" s="25"/>
      <c r="D511" s="27"/>
      <c r="E511" s="27"/>
      <c r="F511" s="28"/>
      <c r="G511" s="27"/>
      <c r="H511" s="548"/>
      <c r="I511" s="27"/>
      <c r="J511" s="635"/>
      <c r="K511" s="635"/>
      <c r="L511" s="635"/>
      <c r="M511" s="635"/>
      <c r="N511" s="636"/>
      <c r="O511" s="635"/>
      <c r="P511" s="637"/>
      <c r="Q511" s="637"/>
      <c r="R511" s="635"/>
      <c r="S511" s="637"/>
      <c r="T511" s="644"/>
    </row>
    <row r="512" spans="1:20" x14ac:dyDescent="0.25">
      <c r="A512" s="23"/>
      <c r="B512" s="24"/>
      <c r="C512" s="25"/>
      <c r="D512" s="27"/>
      <c r="E512" s="27"/>
      <c r="F512" s="28"/>
      <c r="G512" s="27"/>
      <c r="H512" s="548"/>
      <c r="I512" s="27"/>
      <c r="J512" s="635"/>
      <c r="K512" s="635"/>
      <c r="L512" s="635"/>
      <c r="M512" s="635"/>
      <c r="N512" s="636"/>
      <c r="O512" s="635"/>
      <c r="P512" s="637"/>
      <c r="Q512" s="637"/>
      <c r="R512" s="635"/>
      <c r="S512" s="637"/>
      <c r="T512" s="644"/>
    </row>
    <row r="513" spans="1:20" x14ac:dyDescent="0.25">
      <c r="A513" s="23"/>
      <c r="B513" s="24"/>
      <c r="C513" s="25"/>
      <c r="D513" s="27"/>
      <c r="E513" s="27"/>
      <c r="F513" s="28"/>
      <c r="G513" s="27"/>
      <c r="H513" s="548"/>
      <c r="I513" s="27"/>
      <c r="J513" s="635"/>
      <c r="K513" s="635"/>
      <c r="L513" s="635"/>
      <c r="M513" s="635"/>
      <c r="N513" s="636"/>
      <c r="O513" s="635"/>
      <c r="P513" s="637"/>
      <c r="Q513" s="637"/>
      <c r="R513" s="635"/>
      <c r="S513" s="637"/>
      <c r="T513" s="644"/>
    </row>
    <row r="514" spans="1:20" x14ac:dyDescent="0.25">
      <c r="A514" s="23"/>
      <c r="B514" s="24"/>
      <c r="C514" s="25"/>
      <c r="D514" s="27"/>
      <c r="E514" s="27"/>
      <c r="F514" s="28"/>
      <c r="G514" s="27"/>
      <c r="H514" s="548"/>
      <c r="I514" s="27"/>
      <c r="J514" s="635"/>
      <c r="K514" s="635"/>
      <c r="L514" s="635"/>
      <c r="M514" s="635"/>
      <c r="N514" s="636"/>
      <c r="O514" s="635"/>
      <c r="P514" s="637"/>
      <c r="Q514" s="637"/>
      <c r="R514" s="635"/>
      <c r="S514" s="637"/>
      <c r="T514" s="644"/>
    </row>
    <row r="515" spans="1:20" x14ac:dyDescent="0.25">
      <c r="A515" s="23"/>
      <c r="B515" s="24"/>
      <c r="C515" s="25"/>
      <c r="D515" s="27"/>
      <c r="E515" s="27"/>
      <c r="F515" s="28"/>
      <c r="G515" s="27"/>
      <c r="H515" s="548"/>
      <c r="I515" s="27"/>
      <c r="J515" s="635"/>
      <c r="K515" s="635"/>
      <c r="L515" s="635"/>
      <c r="M515" s="635"/>
      <c r="N515" s="636"/>
      <c r="O515" s="635"/>
      <c r="P515" s="637"/>
      <c r="Q515" s="637"/>
      <c r="R515" s="635"/>
      <c r="S515" s="637"/>
      <c r="T515" s="644"/>
    </row>
    <row r="516" spans="1:20" x14ac:dyDescent="0.25">
      <c r="A516" s="23"/>
      <c r="B516" s="24"/>
      <c r="C516" s="25"/>
      <c r="D516" s="27"/>
      <c r="E516" s="27"/>
      <c r="F516" s="28"/>
      <c r="G516" s="27"/>
      <c r="H516" s="548"/>
      <c r="I516" s="27"/>
      <c r="J516" s="635"/>
      <c r="K516" s="635"/>
      <c r="L516" s="635"/>
      <c r="M516" s="635"/>
      <c r="N516" s="636"/>
      <c r="O516" s="635"/>
      <c r="P516" s="637"/>
      <c r="Q516" s="637"/>
      <c r="R516" s="635"/>
      <c r="S516" s="637"/>
      <c r="T516" s="644"/>
    </row>
    <row r="517" spans="1:20" x14ac:dyDescent="0.25">
      <c r="A517" s="23"/>
      <c r="B517" s="24"/>
      <c r="C517" s="25"/>
      <c r="D517" s="27"/>
      <c r="E517" s="27"/>
      <c r="F517" s="28"/>
      <c r="G517" s="27"/>
      <c r="H517" s="548"/>
      <c r="I517" s="27"/>
      <c r="J517" s="635"/>
      <c r="K517" s="635"/>
      <c r="L517" s="635"/>
      <c r="M517" s="635"/>
      <c r="N517" s="636"/>
      <c r="O517" s="635"/>
      <c r="P517" s="637"/>
      <c r="Q517" s="637"/>
      <c r="R517" s="635"/>
      <c r="S517" s="637"/>
      <c r="T517" s="644"/>
    </row>
    <row r="518" spans="1:20" x14ac:dyDescent="0.25">
      <c r="A518" s="23"/>
      <c r="B518" s="24"/>
      <c r="C518" s="25"/>
      <c r="D518" s="27"/>
      <c r="E518" s="27"/>
      <c r="F518" s="28"/>
      <c r="G518" s="27"/>
      <c r="H518" s="548"/>
      <c r="I518" s="27"/>
      <c r="J518" s="635"/>
      <c r="K518" s="635"/>
      <c r="L518" s="635"/>
      <c r="M518" s="635"/>
      <c r="N518" s="636"/>
      <c r="O518" s="635"/>
      <c r="P518" s="637"/>
      <c r="Q518" s="637"/>
      <c r="R518" s="635"/>
      <c r="S518" s="637"/>
      <c r="T518" s="644"/>
    </row>
    <row r="519" spans="1:20" x14ac:dyDescent="0.25">
      <c r="A519" s="23"/>
      <c r="B519" s="24"/>
      <c r="C519" s="25"/>
      <c r="D519" s="27"/>
      <c r="E519" s="27"/>
      <c r="F519" s="28"/>
      <c r="G519" s="27"/>
      <c r="H519" s="548"/>
      <c r="I519" s="27"/>
      <c r="J519" s="635"/>
      <c r="K519" s="635"/>
      <c r="L519" s="635"/>
      <c r="M519" s="635"/>
      <c r="N519" s="636"/>
      <c r="O519" s="635"/>
      <c r="P519" s="637"/>
      <c r="Q519" s="637"/>
      <c r="R519" s="635"/>
      <c r="S519" s="637"/>
      <c r="T519" s="644"/>
    </row>
    <row r="520" spans="1:20" x14ac:dyDescent="0.25">
      <c r="A520" s="23"/>
      <c r="B520" s="24"/>
      <c r="C520" s="25"/>
      <c r="D520" s="27"/>
      <c r="E520" s="27"/>
      <c r="F520" s="28"/>
      <c r="G520" s="27"/>
      <c r="H520" s="548"/>
      <c r="I520" s="27"/>
      <c r="J520" s="635"/>
      <c r="K520" s="635"/>
      <c r="L520" s="635"/>
      <c r="M520" s="635"/>
      <c r="N520" s="636"/>
      <c r="O520" s="635"/>
      <c r="P520" s="637"/>
      <c r="Q520" s="637"/>
      <c r="R520" s="635"/>
      <c r="S520" s="637"/>
      <c r="T520" s="644"/>
    </row>
    <row r="521" spans="1:20" x14ac:dyDescent="0.25">
      <c r="A521" s="23"/>
      <c r="B521" s="24"/>
      <c r="C521" s="25"/>
      <c r="D521" s="27"/>
      <c r="E521" s="27"/>
      <c r="F521" s="28"/>
      <c r="G521" s="27"/>
      <c r="H521" s="548"/>
      <c r="I521" s="27"/>
      <c r="J521" s="635"/>
      <c r="K521" s="635"/>
      <c r="L521" s="635"/>
      <c r="M521" s="635"/>
      <c r="N521" s="636"/>
      <c r="O521" s="635"/>
      <c r="P521" s="637"/>
      <c r="Q521" s="637"/>
      <c r="R521" s="635"/>
      <c r="S521" s="637"/>
      <c r="T521" s="644"/>
    </row>
    <row r="522" spans="1:20" x14ac:dyDescent="0.25">
      <c r="A522" s="23"/>
      <c r="B522" s="24"/>
      <c r="C522" s="25"/>
      <c r="D522" s="27"/>
      <c r="E522" s="27"/>
      <c r="F522" s="28"/>
      <c r="G522" s="27"/>
      <c r="H522" s="548"/>
      <c r="I522" s="27"/>
      <c r="J522" s="635"/>
      <c r="K522" s="635"/>
      <c r="L522" s="635"/>
      <c r="M522" s="635"/>
      <c r="N522" s="636"/>
      <c r="O522" s="635"/>
      <c r="P522" s="637"/>
      <c r="Q522" s="637"/>
      <c r="R522" s="635"/>
      <c r="S522" s="637"/>
      <c r="T522" s="644"/>
    </row>
    <row r="523" spans="1:20" x14ac:dyDescent="0.25">
      <c r="A523" s="23"/>
      <c r="B523" s="24"/>
      <c r="C523" s="25"/>
      <c r="D523" s="27"/>
      <c r="E523" s="27"/>
      <c r="F523" s="28"/>
      <c r="G523" s="27"/>
      <c r="H523" s="548"/>
      <c r="I523" s="27"/>
      <c r="J523" s="635"/>
      <c r="K523" s="635"/>
      <c r="L523" s="635"/>
      <c r="M523" s="635"/>
      <c r="N523" s="636"/>
      <c r="O523" s="635"/>
      <c r="P523" s="637"/>
      <c r="Q523" s="637"/>
      <c r="R523" s="635"/>
      <c r="S523" s="637"/>
      <c r="T523" s="644"/>
    </row>
    <row r="524" spans="1:20" x14ac:dyDescent="0.25">
      <c r="A524" s="23"/>
      <c r="B524" s="24"/>
      <c r="C524" s="25"/>
      <c r="D524" s="27"/>
      <c r="E524" s="27"/>
      <c r="F524" s="28"/>
      <c r="G524" s="27"/>
      <c r="H524" s="548"/>
      <c r="I524" s="27"/>
      <c r="J524" s="635"/>
      <c r="K524" s="635"/>
      <c r="L524" s="635"/>
      <c r="M524" s="635"/>
      <c r="N524" s="636"/>
      <c r="O524" s="635"/>
      <c r="P524" s="637"/>
      <c r="Q524" s="637"/>
      <c r="R524" s="635"/>
      <c r="S524" s="637"/>
      <c r="T524" s="644"/>
    </row>
    <row r="525" spans="1:20" x14ac:dyDescent="0.25">
      <c r="A525" s="23"/>
      <c r="B525" s="24"/>
      <c r="C525" s="25"/>
      <c r="D525" s="27"/>
      <c r="E525" s="27"/>
      <c r="F525" s="28"/>
      <c r="G525" s="27"/>
      <c r="H525" s="548"/>
      <c r="I525" s="27"/>
      <c r="J525" s="635"/>
      <c r="K525" s="635"/>
      <c r="L525" s="635"/>
      <c r="M525" s="635"/>
      <c r="N525" s="636"/>
      <c r="O525" s="635"/>
      <c r="P525" s="637"/>
      <c r="Q525" s="637"/>
      <c r="R525" s="635"/>
      <c r="S525" s="637"/>
      <c r="T525" s="644"/>
    </row>
    <row r="526" spans="1:20" x14ac:dyDescent="0.25">
      <c r="A526" s="23"/>
      <c r="B526" s="24"/>
      <c r="C526" s="25"/>
      <c r="D526" s="27"/>
      <c r="E526" s="27"/>
      <c r="F526" s="28"/>
      <c r="G526" s="27"/>
      <c r="H526" s="548"/>
      <c r="I526" s="27"/>
      <c r="J526" s="635"/>
      <c r="K526" s="635"/>
      <c r="L526" s="635"/>
      <c r="M526" s="635"/>
      <c r="N526" s="636"/>
      <c r="O526" s="635"/>
      <c r="P526" s="637"/>
      <c r="Q526" s="637"/>
      <c r="R526" s="635"/>
      <c r="S526" s="637"/>
      <c r="T526" s="644"/>
    </row>
    <row r="527" spans="1:20" x14ac:dyDescent="0.25">
      <c r="A527" s="23"/>
      <c r="B527" s="24"/>
      <c r="C527" s="25"/>
      <c r="D527" s="27"/>
      <c r="E527" s="27"/>
      <c r="F527" s="28"/>
      <c r="G527" s="27"/>
      <c r="H527" s="548"/>
      <c r="I527" s="27"/>
      <c r="J527" s="635"/>
      <c r="K527" s="635"/>
      <c r="L527" s="635"/>
      <c r="M527" s="635"/>
      <c r="N527" s="636"/>
      <c r="O527" s="635"/>
      <c r="P527" s="637"/>
      <c r="Q527" s="637"/>
      <c r="R527" s="635"/>
      <c r="S527" s="637"/>
      <c r="T527" s="644"/>
    </row>
    <row r="528" spans="1:20" x14ac:dyDescent="0.25">
      <c r="A528" s="23"/>
      <c r="B528" s="24"/>
      <c r="C528" s="25"/>
      <c r="D528" s="27"/>
      <c r="E528" s="27"/>
      <c r="F528" s="28"/>
      <c r="G528" s="27"/>
      <c r="H528" s="548"/>
      <c r="I528" s="27"/>
      <c r="J528" s="635"/>
      <c r="K528" s="635"/>
      <c r="L528" s="635"/>
      <c r="M528" s="635"/>
      <c r="N528" s="636"/>
      <c r="O528" s="635"/>
      <c r="P528" s="637"/>
      <c r="Q528" s="637"/>
      <c r="R528" s="635"/>
      <c r="S528" s="637"/>
      <c r="T528" s="644"/>
    </row>
    <row r="529" spans="1:20" x14ac:dyDescent="0.25">
      <c r="A529" s="23"/>
      <c r="B529" s="24"/>
      <c r="C529" s="25"/>
      <c r="D529" s="27"/>
      <c r="E529" s="27"/>
      <c r="F529" s="28"/>
      <c r="G529" s="27"/>
      <c r="H529" s="548"/>
      <c r="I529" s="27"/>
      <c r="J529" s="635"/>
      <c r="K529" s="635"/>
      <c r="L529" s="635"/>
      <c r="M529" s="635"/>
      <c r="N529" s="636"/>
      <c r="O529" s="635"/>
      <c r="P529" s="637"/>
      <c r="Q529" s="637"/>
      <c r="R529" s="635"/>
      <c r="S529" s="637"/>
      <c r="T529" s="644"/>
    </row>
    <row r="530" spans="1:20" x14ac:dyDescent="0.25">
      <c r="A530" s="23"/>
      <c r="B530" s="24"/>
      <c r="C530" s="25"/>
      <c r="D530" s="27"/>
      <c r="E530" s="27"/>
      <c r="F530" s="28"/>
      <c r="G530" s="27"/>
      <c r="H530" s="548"/>
      <c r="I530" s="27"/>
      <c r="J530" s="635"/>
      <c r="K530" s="635"/>
      <c r="L530" s="635"/>
      <c r="M530" s="635"/>
      <c r="N530" s="636"/>
      <c r="O530" s="635"/>
      <c r="P530" s="637"/>
      <c r="Q530" s="637"/>
      <c r="R530" s="635"/>
      <c r="S530" s="637"/>
      <c r="T530" s="644"/>
    </row>
    <row r="531" spans="1:20" x14ac:dyDescent="0.25">
      <c r="A531" s="23"/>
      <c r="B531" s="24"/>
      <c r="C531" s="25"/>
      <c r="D531" s="27"/>
      <c r="E531" s="27"/>
      <c r="F531" s="28"/>
      <c r="G531" s="27"/>
      <c r="H531" s="548"/>
      <c r="I531" s="27"/>
      <c r="J531" s="635"/>
      <c r="K531" s="635"/>
      <c r="L531" s="635"/>
      <c r="M531" s="635"/>
      <c r="N531" s="636"/>
      <c r="O531" s="635"/>
      <c r="P531" s="637"/>
      <c r="Q531" s="637"/>
      <c r="R531" s="635"/>
      <c r="S531" s="637"/>
      <c r="T531" s="644"/>
    </row>
    <row r="532" spans="1:20" x14ac:dyDescent="0.25">
      <c r="A532" s="23"/>
      <c r="B532" s="24"/>
      <c r="C532" s="25"/>
      <c r="D532" s="27"/>
      <c r="E532" s="27"/>
      <c r="F532" s="28"/>
      <c r="G532" s="27"/>
      <c r="H532" s="548"/>
      <c r="I532" s="27"/>
      <c r="J532" s="635"/>
      <c r="K532" s="635"/>
      <c r="L532" s="635"/>
      <c r="M532" s="635"/>
      <c r="N532" s="636"/>
      <c r="O532" s="635"/>
      <c r="P532" s="637"/>
      <c r="Q532" s="637"/>
      <c r="R532" s="635"/>
      <c r="S532" s="637"/>
      <c r="T532" s="644"/>
    </row>
    <row r="533" spans="1:20" x14ac:dyDescent="0.25">
      <c r="A533" s="23"/>
      <c r="B533" s="24"/>
      <c r="C533" s="25"/>
      <c r="D533" s="27"/>
      <c r="E533" s="27"/>
      <c r="F533" s="28"/>
      <c r="G533" s="27"/>
      <c r="H533" s="548"/>
      <c r="I533" s="27"/>
      <c r="J533" s="635"/>
      <c r="K533" s="635"/>
      <c r="L533" s="635"/>
      <c r="M533" s="635"/>
      <c r="N533" s="636"/>
      <c r="O533" s="635"/>
      <c r="P533" s="637"/>
      <c r="Q533" s="637"/>
      <c r="R533" s="635"/>
      <c r="S533" s="637"/>
      <c r="T533" s="644"/>
    </row>
    <row r="534" spans="1:20" x14ac:dyDescent="0.25">
      <c r="A534" s="23"/>
      <c r="B534" s="24"/>
      <c r="C534" s="25"/>
      <c r="D534" s="27"/>
      <c r="E534" s="27"/>
      <c r="F534" s="28"/>
      <c r="G534" s="27"/>
      <c r="H534" s="548"/>
      <c r="I534" s="27"/>
      <c r="J534" s="635"/>
      <c r="K534" s="635"/>
      <c r="L534" s="635"/>
      <c r="M534" s="635"/>
      <c r="N534" s="636"/>
      <c r="O534" s="635"/>
      <c r="P534" s="637"/>
      <c r="Q534" s="637"/>
      <c r="R534" s="635"/>
      <c r="S534" s="637"/>
      <c r="T534" s="644"/>
    </row>
    <row r="535" spans="1:20" x14ac:dyDescent="0.25">
      <c r="A535" s="23"/>
      <c r="B535" s="24"/>
      <c r="C535" s="25"/>
      <c r="D535" s="27"/>
      <c r="E535" s="27"/>
      <c r="F535" s="28"/>
      <c r="G535" s="27"/>
      <c r="H535" s="548"/>
      <c r="I535" s="27"/>
      <c r="J535" s="635"/>
      <c r="K535" s="635"/>
      <c r="L535" s="635"/>
      <c r="M535" s="635"/>
      <c r="N535" s="636"/>
      <c r="O535" s="635"/>
      <c r="P535" s="637"/>
      <c r="Q535" s="637"/>
      <c r="R535" s="635"/>
      <c r="S535" s="637"/>
      <c r="T535" s="644"/>
    </row>
    <row r="536" spans="1:20" x14ac:dyDescent="0.25">
      <c r="A536" s="23"/>
      <c r="B536" s="24"/>
      <c r="C536" s="25"/>
      <c r="D536" s="27"/>
      <c r="E536" s="27"/>
      <c r="F536" s="28"/>
      <c r="G536" s="27"/>
      <c r="H536" s="548"/>
      <c r="I536" s="27"/>
      <c r="J536" s="635"/>
      <c r="K536" s="635"/>
      <c r="L536" s="635"/>
      <c r="M536" s="635"/>
      <c r="N536" s="636"/>
      <c r="O536" s="635"/>
      <c r="P536" s="637"/>
      <c r="Q536" s="637"/>
      <c r="R536" s="635"/>
      <c r="S536" s="637"/>
      <c r="T536" s="644"/>
    </row>
    <row r="537" spans="1:20" x14ac:dyDescent="0.25">
      <c r="A537" s="23"/>
      <c r="B537" s="24"/>
      <c r="C537" s="25"/>
      <c r="D537" s="27"/>
      <c r="E537" s="27"/>
      <c r="F537" s="28"/>
      <c r="G537" s="27"/>
      <c r="H537" s="548"/>
      <c r="I537" s="27"/>
      <c r="J537" s="635"/>
      <c r="K537" s="635"/>
      <c r="L537" s="635"/>
      <c r="M537" s="635"/>
      <c r="N537" s="636"/>
      <c r="O537" s="635"/>
      <c r="P537" s="637"/>
      <c r="Q537" s="637"/>
      <c r="R537" s="635"/>
      <c r="S537" s="637"/>
      <c r="T537" s="644"/>
    </row>
    <row r="538" spans="1:20" x14ac:dyDescent="0.25">
      <c r="A538" s="23"/>
      <c r="B538" s="24"/>
      <c r="C538" s="25"/>
      <c r="D538" s="27"/>
      <c r="E538" s="27"/>
      <c r="F538" s="28"/>
      <c r="G538" s="27"/>
      <c r="H538" s="548"/>
      <c r="I538" s="27"/>
      <c r="J538" s="635"/>
      <c r="K538" s="635"/>
      <c r="L538" s="635"/>
      <c r="M538" s="635"/>
      <c r="N538" s="636"/>
      <c r="O538" s="635"/>
      <c r="P538" s="637"/>
      <c r="Q538" s="637"/>
      <c r="R538" s="635"/>
      <c r="S538" s="637"/>
      <c r="T538" s="644"/>
    </row>
    <row r="539" spans="1:20" x14ac:dyDescent="0.25">
      <c r="A539" s="23"/>
      <c r="B539" s="24"/>
      <c r="C539" s="25"/>
      <c r="D539" s="27"/>
      <c r="E539" s="27"/>
      <c r="F539" s="28"/>
      <c r="G539" s="27"/>
      <c r="H539" s="548"/>
      <c r="I539" s="27"/>
      <c r="J539" s="635"/>
      <c r="K539" s="635"/>
      <c r="L539" s="635"/>
      <c r="M539" s="635"/>
      <c r="N539" s="636"/>
      <c r="O539" s="635"/>
      <c r="P539" s="637"/>
      <c r="Q539" s="637"/>
      <c r="R539" s="635"/>
      <c r="S539" s="637"/>
      <c r="T539" s="644"/>
    </row>
    <row r="540" spans="1:20" x14ac:dyDescent="0.25">
      <c r="A540" s="23"/>
      <c r="B540" s="24"/>
      <c r="C540" s="25"/>
      <c r="D540" s="27"/>
      <c r="E540" s="27"/>
      <c r="F540" s="28"/>
      <c r="G540" s="27"/>
      <c r="H540" s="548"/>
      <c r="I540" s="27"/>
      <c r="J540" s="635"/>
      <c r="K540" s="635"/>
      <c r="L540" s="635"/>
      <c r="M540" s="635"/>
      <c r="N540" s="636"/>
      <c r="O540" s="635"/>
      <c r="P540" s="637"/>
      <c r="Q540" s="637"/>
      <c r="R540" s="635"/>
      <c r="S540" s="637"/>
      <c r="T540" s="644"/>
    </row>
    <row r="541" spans="1:20" x14ac:dyDescent="0.25">
      <c r="A541" s="23"/>
      <c r="B541" s="24"/>
      <c r="C541" s="25"/>
      <c r="D541" s="27"/>
      <c r="E541" s="27"/>
      <c r="F541" s="28"/>
      <c r="G541" s="27"/>
      <c r="H541" s="548"/>
      <c r="I541" s="27"/>
      <c r="J541" s="635"/>
      <c r="K541" s="635"/>
      <c r="L541" s="635"/>
      <c r="M541" s="635"/>
      <c r="N541" s="636"/>
      <c r="O541" s="635"/>
      <c r="P541" s="637"/>
      <c r="Q541" s="637"/>
      <c r="R541" s="635"/>
      <c r="S541" s="637"/>
      <c r="T541" s="644"/>
    </row>
    <row r="542" spans="1:20" x14ac:dyDescent="0.25">
      <c r="A542" s="23"/>
      <c r="B542" s="24"/>
      <c r="C542" s="25"/>
      <c r="D542" s="27"/>
      <c r="E542" s="27"/>
      <c r="F542" s="28"/>
      <c r="G542" s="27"/>
      <c r="H542" s="548"/>
      <c r="I542" s="27"/>
      <c r="J542" s="635"/>
      <c r="K542" s="635"/>
      <c r="L542" s="635"/>
      <c r="M542" s="635"/>
      <c r="N542" s="636"/>
      <c r="O542" s="635"/>
      <c r="P542" s="637"/>
      <c r="Q542" s="637"/>
      <c r="R542" s="635"/>
      <c r="S542" s="637"/>
      <c r="T542" s="644"/>
    </row>
    <row r="543" spans="1:20" x14ac:dyDescent="0.25">
      <c r="A543" s="23"/>
      <c r="B543" s="24"/>
      <c r="C543" s="25"/>
      <c r="D543" s="27"/>
      <c r="E543" s="27"/>
      <c r="F543" s="28"/>
      <c r="G543" s="27"/>
      <c r="H543" s="548"/>
      <c r="I543" s="27"/>
      <c r="J543" s="635"/>
      <c r="K543" s="635"/>
      <c r="L543" s="635"/>
      <c r="M543" s="635"/>
      <c r="N543" s="636"/>
      <c r="O543" s="635"/>
      <c r="P543" s="637"/>
      <c r="Q543" s="637"/>
      <c r="R543" s="635"/>
      <c r="S543" s="637"/>
      <c r="T543" s="644"/>
    </row>
    <row r="544" spans="1:20" x14ac:dyDescent="0.25">
      <c r="A544" s="23"/>
      <c r="B544" s="24"/>
      <c r="C544" s="25"/>
      <c r="D544" s="27"/>
      <c r="E544" s="27"/>
      <c r="F544" s="28"/>
      <c r="G544" s="27"/>
      <c r="H544" s="548"/>
      <c r="I544" s="27"/>
      <c r="J544" s="635"/>
      <c r="K544" s="635"/>
      <c r="L544" s="635"/>
      <c r="M544" s="635"/>
      <c r="N544" s="636"/>
      <c r="O544" s="635"/>
      <c r="P544" s="637"/>
      <c r="Q544" s="637"/>
      <c r="R544" s="635"/>
      <c r="S544" s="637"/>
      <c r="T544" s="644"/>
    </row>
    <row r="545" spans="1:20" x14ac:dyDescent="0.25">
      <c r="A545" s="23"/>
      <c r="B545" s="24"/>
      <c r="C545" s="25"/>
      <c r="D545" s="27"/>
      <c r="E545" s="27"/>
      <c r="F545" s="28"/>
      <c r="G545" s="27"/>
      <c r="H545" s="548"/>
      <c r="I545" s="27"/>
      <c r="J545" s="635"/>
      <c r="K545" s="635"/>
      <c r="L545" s="635"/>
      <c r="M545" s="635"/>
      <c r="N545" s="636"/>
      <c r="O545" s="635"/>
      <c r="P545" s="637"/>
      <c r="Q545" s="637"/>
      <c r="R545" s="635"/>
      <c r="S545" s="637"/>
      <c r="T545" s="644"/>
    </row>
    <row r="546" spans="1:20" x14ac:dyDescent="0.25">
      <c r="A546" s="23"/>
      <c r="B546" s="24"/>
      <c r="C546" s="25"/>
      <c r="D546" s="27"/>
      <c r="E546" s="27"/>
      <c r="F546" s="28"/>
      <c r="G546" s="27"/>
      <c r="H546" s="548"/>
      <c r="I546" s="27"/>
      <c r="J546" s="635"/>
      <c r="K546" s="635"/>
      <c r="L546" s="635"/>
      <c r="M546" s="635"/>
      <c r="N546" s="636"/>
      <c r="O546" s="635"/>
      <c r="P546" s="637"/>
      <c r="Q546" s="637"/>
      <c r="R546" s="635"/>
      <c r="S546" s="637"/>
      <c r="T546" s="644"/>
    </row>
    <row r="547" spans="1:20" x14ac:dyDescent="0.25">
      <c r="A547" s="23"/>
      <c r="B547" s="24"/>
      <c r="C547" s="25"/>
      <c r="D547" s="27"/>
      <c r="E547" s="27"/>
      <c r="F547" s="28"/>
      <c r="G547" s="27"/>
      <c r="H547" s="548"/>
      <c r="I547" s="27"/>
      <c r="J547" s="635"/>
      <c r="K547" s="635"/>
      <c r="L547" s="635"/>
      <c r="M547" s="635"/>
      <c r="N547" s="636"/>
      <c r="O547" s="635"/>
      <c r="P547" s="637"/>
      <c r="Q547" s="637"/>
      <c r="R547" s="635"/>
      <c r="S547" s="637"/>
      <c r="T547" s="644"/>
    </row>
    <row r="548" spans="1:20" x14ac:dyDescent="0.25">
      <c r="A548" s="23"/>
      <c r="B548" s="24"/>
      <c r="C548" s="25"/>
      <c r="D548" s="27"/>
      <c r="E548" s="27"/>
      <c r="F548" s="28"/>
      <c r="G548" s="27"/>
      <c r="H548" s="548"/>
      <c r="I548" s="27"/>
      <c r="J548" s="635"/>
      <c r="K548" s="635"/>
      <c r="L548" s="635"/>
      <c r="M548" s="635"/>
      <c r="N548" s="636"/>
      <c r="O548" s="635"/>
      <c r="P548" s="637"/>
      <c r="Q548" s="637"/>
      <c r="R548" s="635"/>
      <c r="S548" s="637"/>
      <c r="T548" s="644"/>
    </row>
    <row r="549" spans="1:20" x14ac:dyDescent="0.25">
      <c r="A549" s="23"/>
      <c r="B549" s="24"/>
      <c r="C549" s="25"/>
      <c r="D549" s="27"/>
      <c r="E549" s="27"/>
      <c r="F549" s="28"/>
      <c r="G549" s="27"/>
      <c r="H549" s="548"/>
      <c r="I549" s="27"/>
      <c r="J549" s="635"/>
      <c r="K549" s="635"/>
      <c r="L549" s="635"/>
      <c r="M549" s="635"/>
      <c r="N549" s="636"/>
      <c r="O549" s="635"/>
      <c r="P549" s="637"/>
      <c r="Q549" s="637"/>
      <c r="R549" s="635"/>
      <c r="S549" s="637"/>
      <c r="T549" s="644"/>
    </row>
    <row r="550" spans="1:20" x14ac:dyDescent="0.25">
      <c r="A550" s="23"/>
      <c r="B550" s="24"/>
      <c r="C550" s="25"/>
      <c r="D550" s="27"/>
      <c r="E550" s="27"/>
      <c r="F550" s="28"/>
      <c r="G550" s="27"/>
      <c r="H550" s="548"/>
      <c r="I550" s="27"/>
      <c r="J550" s="635"/>
      <c r="K550" s="635"/>
      <c r="L550" s="635"/>
      <c r="M550" s="635"/>
      <c r="N550" s="636"/>
      <c r="O550" s="635"/>
      <c r="P550" s="637"/>
      <c r="Q550" s="637"/>
      <c r="R550" s="635"/>
      <c r="S550" s="637"/>
      <c r="T550" s="644"/>
    </row>
    <row r="551" spans="1:20" x14ac:dyDescent="0.25">
      <c r="A551" s="23"/>
      <c r="B551" s="24"/>
      <c r="C551" s="25"/>
      <c r="D551" s="27"/>
      <c r="E551" s="27"/>
      <c r="F551" s="28"/>
      <c r="G551" s="27"/>
      <c r="H551" s="548"/>
      <c r="I551" s="27"/>
      <c r="J551" s="635"/>
      <c r="K551" s="635"/>
      <c r="L551" s="635"/>
      <c r="M551" s="635"/>
      <c r="N551" s="636"/>
      <c r="O551" s="635"/>
      <c r="P551" s="637"/>
      <c r="Q551" s="637"/>
      <c r="R551" s="635"/>
      <c r="S551" s="637"/>
      <c r="T551" s="644"/>
    </row>
    <row r="552" spans="1:20" x14ac:dyDescent="0.25">
      <c r="A552" s="23"/>
      <c r="B552" s="24"/>
      <c r="C552" s="25"/>
      <c r="D552" s="27"/>
      <c r="E552" s="27"/>
      <c r="F552" s="28"/>
      <c r="G552" s="27"/>
      <c r="H552" s="548"/>
      <c r="I552" s="27"/>
      <c r="J552" s="635"/>
      <c r="K552" s="635"/>
      <c r="L552" s="635"/>
      <c r="M552" s="635"/>
      <c r="N552" s="636"/>
      <c r="O552" s="635"/>
      <c r="P552" s="637"/>
      <c r="Q552" s="637"/>
      <c r="R552" s="635"/>
      <c r="S552" s="637"/>
      <c r="T552" s="644"/>
    </row>
    <row r="553" spans="1:20" x14ac:dyDescent="0.25">
      <c r="A553" s="23"/>
      <c r="B553" s="24"/>
      <c r="C553" s="25"/>
      <c r="D553" s="27"/>
      <c r="E553" s="27"/>
      <c r="F553" s="28"/>
      <c r="G553" s="27"/>
      <c r="H553" s="548"/>
      <c r="I553" s="27"/>
      <c r="J553" s="635"/>
      <c r="K553" s="635"/>
      <c r="L553" s="635"/>
      <c r="M553" s="635"/>
      <c r="N553" s="636"/>
      <c r="O553" s="635"/>
      <c r="P553" s="637"/>
      <c r="Q553" s="637"/>
      <c r="R553" s="635"/>
      <c r="S553" s="637"/>
      <c r="T553" s="644"/>
    </row>
    <row r="554" spans="1:20" x14ac:dyDescent="0.25">
      <c r="A554" s="23"/>
      <c r="B554" s="24"/>
      <c r="C554" s="25"/>
      <c r="D554" s="27"/>
      <c r="E554" s="27"/>
      <c r="F554" s="28"/>
      <c r="G554" s="27"/>
      <c r="H554" s="548"/>
      <c r="I554" s="27"/>
      <c r="J554" s="635"/>
      <c r="K554" s="635"/>
      <c r="L554" s="635"/>
      <c r="M554" s="635"/>
      <c r="N554" s="636"/>
      <c r="O554" s="635"/>
      <c r="P554" s="637"/>
      <c r="Q554" s="637"/>
      <c r="R554" s="635"/>
      <c r="S554" s="637"/>
      <c r="T554" s="644"/>
    </row>
    <row r="555" spans="1:20" x14ac:dyDescent="0.25">
      <c r="A555" s="23"/>
      <c r="B555" s="24"/>
      <c r="C555" s="25"/>
      <c r="D555" s="27"/>
      <c r="E555" s="27"/>
      <c r="F555" s="28"/>
      <c r="G555" s="27"/>
      <c r="H555" s="548"/>
      <c r="I555" s="27"/>
      <c r="J555" s="635"/>
      <c r="K555" s="635"/>
      <c r="L555" s="635"/>
      <c r="M555" s="635"/>
      <c r="N555" s="636"/>
      <c r="O555" s="635"/>
      <c r="P555" s="637"/>
      <c r="Q555" s="637"/>
      <c r="R555" s="635"/>
      <c r="S555" s="637"/>
      <c r="T555" s="644"/>
    </row>
    <row r="556" spans="1:20" x14ac:dyDescent="0.25">
      <c r="A556" s="23"/>
      <c r="B556" s="24"/>
      <c r="C556" s="25"/>
      <c r="D556" s="27"/>
      <c r="E556" s="27"/>
      <c r="F556" s="28"/>
      <c r="G556" s="27"/>
      <c r="H556" s="548"/>
      <c r="I556" s="27"/>
      <c r="J556" s="635"/>
      <c r="K556" s="635"/>
      <c r="L556" s="635"/>
      <c r="M556" s="635"/>
      <c r="N556" s="636"/>
      <c r="O556" s="635"/>
      <c r="P556" s="637"/>
      <c r="Q556" s="637"/>
      <c r="R556" s="635"/>
      <c r="S556" s="637"/>
      <c r="T556" s="644"/>
    </row>
    <row r="557" spans="1:20" x14ac:dyDescent="0.25">
      <c r="A557" s="23"/>
      <c r="B557" s="24"/>
      <c r="C557" s="25"/>
      <c r="D557" s="27"/>
      <c r="E557" s="27"/>
      <c r="F557" s="28"/>
      <c r="G557" s="27"/>
      <c r="H557" s="548"/>
      <c r="I557" s="27"/>
      <c r="J557" s="635"/>
      <c r="K557" s="635"/>
      <c r="L557" s="635"/>
      <c r="M557" s="635"/>
      <c r="N557" s="636"/>
      <c r="O557" s="635"/>
      <c r="P557" s="637"/>
      <c r="Q557" s="637"/>
      <c r="R557" s="635"/>
      <c r="S557" s="637"/>
      <c r="T557" s="644"/>
    </row>
    <row r="558" spans="1:20" x14ac:dyDescent="0.25">
      <c r="A558" s="23"/>
      <c r="B558" s="24"/>
      <c r="C558" s="25"/>
      <c r="D558" s="27"/>
      <c r="E558" s="27"/>
      <c r="F558" s="28"/>
      <c r="G558" s="27"/>
      <c r="H558" s="548"/>
      <c r="I558" s="27"/>
      <c r="J558" s="635"/>
      <c r="K558" s="635"/>
      <c r="L558" s="635"/>
      <c r="M558" s="635"/>
      <c r="N558" s="636"/>
      <c r="O558" s="635"/>
      <c r="P558" s="637"/>
      <c r="Q558" s="637"/>
      <c r="R558" s="635"/>
      <c r="S558" s="637"/>
      <c r="T558" s="644"/>
    </row>
    <row r="559" spans="1:20" x14ac:dyDescent="0.25">
      <c r="A559" s="23"/>
      <c r="B559" s="24"/>
      <c r="C559" s="25"/>
      <c r="D559" s="27"/>
      <c r="E559" s="27"/>
      <c r="F559" s="28"/>
      <c r="G559" s="27"/>
      <c r="H559" s="548"/>
      <c r="I559" s="27"/>
      <c r="J559" s="635"/>
      <c r="K559" s="635"/>
      <c r="L559" s="635"/>
      <c r="M559" s="635"/>
      <c r="N559" s="636"/>
      <c r="O559" s="635"/>
      <c r="P559" s="637"/>
      <c r="Q559" s="637"/>
      <c r="R559" s="635"/>
      <c r="S559" s="637"/>
      <c r="T559" s="644"/>
    </row>
    <row r="560" spans="1:20" x14ac:dyDescent="0.25">
      <c r="A560" s="23"/>
      <c r="B560" s="24"/>
      <c r="C560" s="25"/>
      <c r="D560" s="27"/>
      <c r="E560" s="27"/>
      <c r="F560" s="28"/>
      <c r="G560" s="27"/>
      <c r="H560" s="548"/>
      <c r="I560" s="27"/>
      <c r="J560" s="635"/>
      <c r="K560" s="635"/>
      <c r="L560" s="635"/>
      <c r="M560" s="635"/>
      <c r="N560" s="636"/>
      <c r="O560" s="635"/>
      <c r="P560" s="637"/>
      <c r="Q560" s="637"/>
      <c r="R560" s="635"/>
      <c r="S560" s="637"/>
      <c r="T560" s="644"/>
    </row>
    <row r="561" spans="1:20" x14ac:dyDescent="0.25">
      <c r="A561" s="23"/>
      <c r="B561" s="24"/>
      <c r="C561" s="25"/>
      <c r="D561" s="27"/>
      <c r="E561" s="27"/>
      <c r="F561" s="28"/>
      <c r="G561" s="27"/>
      <c r="H561" s="548"/>
      <c r="I561" s="27"/>
      <c r="J561" s="635"/>
      <c r="K561" s="635"/>
      <c r="L561" s="635"/>
      <c r="M561" s="635"/>
      <c r="N561" s="636"/>
      <c r="O561" s="635"/>
      <c r="P561" s="637"/>
      <c r="Q561" s="637"/>
      <c r="R561" s="635"/>
      <c r="S561" s="637"/>
      <c r="T561" s="644"/>
    </row>
    <row r="562" spans="1:20" x14ac:dyDescent="0.25">
      <c r="A562" s="23"/>
      <c r="B562" s="24"/>
      <c r="C562" s="25"/>
      <c r="D562" s="27"/>
      <c r="E562" s="27"/>
      <c r="F562" s="28"/>
      <c r="G562" s="27"/>
      <c r="H562" s="548"/>
      <c r="I562" s="27"/>
      <c r="J562" s="635"/>
      <c r="K562" s="635"/>
      <c r="L562" s="635"/>
      <c r="M562" s="635"/>
      <c r="N562" s="636"/>
      <c r="O562" s="635"/>
      <c r="P562" s="637"/>
      <c r="Q562" s="637"/>
      <c r="R562" s="635"/>
      <c r="S562" s="637"/>
      <c r="T562" s="644"/>
    </row>
    <row r="563" spans="1:20" x14ac:dyDescent="0.25">
      <c r="A563" s="23"/>
      <c r="B563" s="24"/>
      <c r="C563" s="25"/>
      <c r="D563" s="27"/>
      <c r="E563" s="27"/>
      <c r="F563" s="28"/>
      <c r="G563" s="27"/>
      <c r="H563" s="548"/>
      <c r="I563" s="27"/>
      <c r="J563" s="635"/>
      <c r="K563" s="635"/>
      <c r="L563" s="635"/>
      <c r="M563" s="635"/>
      <c r="N563" s="636"/>
      <c r="O563" s="635"/>
      <c r="P563" s="637"/>
      <c r="Q563" s="637"/>
      <c r="R563" s="635"/>
      <c r="S563" s="637"/>
      <c r="T563" s="644"/>
    </row>
    <row r="564" spans="1:20" x14ac:dyDescent="0.25">
      <c r="A564" s="23"/>
      <c r="B564" s="24"/>
      <c r="C564" s="25"/>
      <c r="D564" s="27"/>
      <c r="E564" s="27"/>
      <c r="F564" s="28"/>
      <c r="G564" s="27"/>
      <c r="H564" s="548"/>
      <c r="I564" s="27"/>
      <c r="J564" s="635"/>
      <c r="K564" s="635"/>
      <c r="L564" s="635"/>
      <c r="M564" s="635"/>
      <c r="N564" s="636"/>
      <c r="O564" s="635"/>
      <c r="P564" s="637"/>
      <c r="Q564" s="637"/>
      <c r="R564" s="635"/>
      <c r="S564" s="637"/>
      <c r="T564" s="644"/>
    </row>
    <row r="565" spans="1:20" x14ac:dyDescent="0.25">
      <c r="A565" s="23"/>
      <c r="B565" s="24"/>
      <c r="C565" s="25"/>
      <c r="D565" s="27"/>
      <c r="E565" s="27"/>
      <c r="F565" s="28"/>
      <c r="G565" s="27"/>
      <c r="H565" s="548"/>
      <c r="I565" s="27"/>
      <c r="J565" s="635"/>
      <c r="K565" s="635"/>
      <c r="L565" s="635"/>
      <c r="M565" s="635"/>
      <c r="N565" s="636"/>
      <c r="O565" s="635"/>
      <c r="P565" s="637"/>
      <c r="Q565" s="637"/>
      <c r="R565" s="635"/>
      <c r="S565" s="637"/>
      <c r="T565" s="644"/>
    </row>
    <row r="566" spans="1:20" x14ac:dyDescent="0.25">
      <c r="A566" s="23"/>
      <c r="B566" s="24"/>
      <c r="C566" s="25"/>
      <c r="D566" s="27"/>
      <c r="E566" s="27"/>
      <c r="F566" s="28"/>
      <c r="G566" s="27"/>
      <c r="H566" s="548"/>
      <c r="I566" s="27"/>
      <c r="J566" s="635"/>
      <c r="K566" s="635"/>
      <c r="L566" s="635"/>
      <c r="M566" s="635"/>
      <c r="N566" s="636"/>
      <c r="O566" s="635"/>
      <c r="P566" s="637"/>
      <c r="Q566" s="637"/>
      <c r="R566" s="635"/>
      <c r="S566" s="637"/>
      <c r="T566" s="644"/>
    </row>
    <row r="567" spans="1:20" x14ac:dyDescent="0.25">
      <c r="A567" s="23"/>
      <c r="B567" s="24"/>
      <c r="C567" s="25"/>
      <c r="D567" s="27"/>
      <c r="E567" s="27"/>
      <c r="F567" s="28"/>
      <c r="G567" s="27"/>
      <c r="H567" s="548"/>
      <c r="I567" s="27"/>
      <c r="J567" s="635"/>
      <c r="K567" s="635"/>
      <c r="L567" s="635"/>
      <c r="M567" s="635"/>
      <c r="N567" s="636"/>
      <c r="O567" s="635"/>
      <c r="P567" s="637"/>
      <c r="Q567" s="637"/>
      <c r="R567" s="635"/>
      <c r="S567" s="637"/>
      <c r="T567" s="644"/>
    </row>
    <row r="568" spans="1:20" x14ac:dyDescent="0.25">
      <c r="A568" s="23"/>
      <c r="B568" s="24"/>
      <c r="C568" s="25"/>
      <c r="D568" s="27"/>
      <c r="E568" s="27"/>
      <c r="F568" s="28"/>
      <c r="G568" s="27"/>
      <c r="H568" s="548"/>
      <c r="I568" s="27"/>
      <c r="J568" s="635"/>
      <c r="K568" s="635"/>
      <c r="L568" s="635"/>
      <c r="M568" s="635"/>
      <c r="N568" s="636"/>
      <c r="O568" s="635"/>
      <c r="P568" s="637"/>
      <c r="Q568" s="637"/>
      <c r="R568" s="635"/>
      <c r="S568" s="637"/>
      <c r="T568" s="644"/>
    </row>
    <row r="569" spans="1:20" x14ac:dyDescent="0.25">
      <c r="A569" s="23"/>
      <c r="B569" s="24"/>
      <c r="C569" s="25"/>
      <c r="D569" s="27"/>
      <c r="E569" s="27"/>
      <c r="F569" s="28"/>
      <c r="G569" s="27"/>
      <c r="H569" s="548"/>
      <c r="I569" s="27"/>
      <c r="J569" s="635"/>
      <c r="K569" s="635"/>
      <c r="L569" s="635"/>
      <c r="M569" s="635"/>
      <c r="N569" s="636"/>
      <c r="O569" s="635"/>
      <c r="P569" s="637"/>
      <c r="Q569" s="637"/>
      <c r="R569" s="635"/>
      <c r="S569" s="637"/>
      <c r="T569" s="644"/>
    </row>
    <row r="570" spans="1:20" x14ac:dyDescent="0.25">
      <c r="A570" s="23"/>
      <c r="B570" s="24"/>
      <c r="C570" s="25"/>
      <c r="D570" s="27"/>
      <c r="E570" s="27"/>
      <c r="F570" s="28"/>
      <c r="G570" s="27"/>
      <c r="H570" s="548"/>
      <c r="I570" s="27"/>
      <c r="J570" s="635"/>
      <c r="K570" s="635"/>
      <c r="L570" s="635"/>
      <c r="M570" s="635"/>
      <c r="N570" s="636"/>
      <c r="O570" s="635"/>
      <c r="P570" s="637"/>
      <c r="Q570" s="637"/>
      <c r="R570" s="635"/>
      <c r="S570" s="637"/>
      <c r="T570" s="644"/>
    </row>
    <row r="571" spans="1:20" x14ac:dyDescent="0.25">
      <c r="A571" s="23"/>
      <c r="B571" s="24"/>
      <c r="C571" s="25"/>
      <c r="D571" s="27"/>
      <c r="E571" s="27"/>
      <c r="F571" s="28"/>
      <c r="G571" s="27"/>
      <c r="H571" s="548"/>
      <c r="I571" s="27"/>
      <c r="J571" s="635"/>
      <c r="K571" s="635"/>
      <c r="L571" s="635"/>
      <c r="M571" s="635"/>
      <c r="N571" s="636"/>
      <c r="O571" s="635"/>
      <c r="P571" s="637"/>
      <c r="Q571" s="637"/>
      <c r="R571" s="635"/>
      <c r="S571" s="637"/>
      <c r="T571" s="644"/>
    </row>
    <row r="572" spans="1:20" x14ac:dyDescent="0.25">
      <c r="A572" s="23"/>
      <c r="B572" s="24"/>
      <c r="C572" s="25"/>
      <c r="D572" s="27"/>
      <c r="E572" s="27"/>
      <c r="F572" s="28"/>
      <c r="G572" s="27"/>
      <c r="H572" s="548"/>
      <c r="I572" s="27"/>
      <c r="J572" s="635"/>
      <c r="K572" s="635"/>
      <c r="L572" s="635"/>
      <c r="M572" s="635"/>
      <c r="N572" s="636"/>
      <c r="O572" s="635"/>
      <c r="P572" s="637"/>
      <c r="Q572" s="637"/>
      <c r="R572" s="635"/>
      <c r="S572" s="637"/>
      <c r="T572" s="644"/>
    </row>
    <row r="573" spans="1:20" x14ac:dyDescent="0.25">
      <c r="A573" s="23"/>
      <c r="B573" s="24"/>
      <c r="C573" s="25"/>
      <c r="D573" s="27"/>
      <c r="E573" s="27"/>
      <c r="F573" s="28"/>
      <c r="G573" s="27"/>
      <c r="H573" s="548"/>
      <c r="I573" s="27"/>
      <c r="J573" s="635"/>
      <c r="K573" s="635"/>
      <c r="L573" s="635"/>
      <c r="M573" s="635"/>
      <c r="N573" s="636"/>
      <c r="O573" s="635"/>
      <c r="P573" s="637"/>
      <c r="Q573" s="637"/>
      <c r="R573" s="635"/>
      <c r="S573" s="637"/>
      <c r="T573" s="644"/>
    </row>
    <row r="574" spans="1:20" x14ac:dyDescent="0.25">
      <c r="A574" s="23"/>
      <c r="B574" s="24"/>
      <c r="C574" s="25"/>
      <c r="D574" s="27"/>
      <c r="E574" s="27"/>
      <c r="F574" s="28"/>
      <c r="G574" s="27"/>
      <c r="H574" s="548"/>
      <c r="I574" s="27"/>
      <c r="J574" s="635"/>
      <c r="K574" s="635"/>
      <c r="L574" s="635"/>
      <c r="M574" s="635"/>
      <c r="N574" s="636"/>
      <c r="O574" s="635"/>
      <c r="P574" s="637"/>
      <c r="Q574" s="637"/>
      <c r="R574" s="635"/>
      <c r="S574" s="637"/>
      <c r="T574" s="644"/>
    </row>
    <row r="575" spans="1:20" x14ac:dyDescent="0.25">
      <c r="A575" s="23"/>
      <c r="B575" s="24"/>
      <c r="C575" s="25"/>
      <c r="D575" s="27"/>
      <c r="E575" s="27"/>
      <c r="F575" s="28"/>
      <c r="G575" s="27"/>
      <c r="H575" s="548"/>
      <c r="I575" s="27"/>
      <c r="J575" s="635"/>
      <c r="K575" s="635"/>
      <c r="L575" s="635"/>
      <c r="M575" s="635"/>
      <c r="N575" s="636"/>
      <c r="O575" s="635"/>
      <c r="P575" s="637"/>
      <c r="Q575" s="637"/>
      <c r="R575" s="635"/>
      <c r="S575" s="637"/>
      <c r="T575" s="644"/>
    </row>
    <row r="576" spans="1:20" x14ac:dyDescent="0.25">
      <c r="A576" s="23"/>
      <c r="B576" s="24"/>
      <c r="C576" s="25"/>
      <c r="D576" s="27"/>
      <c r="E576" s="27"/>
      <c r="F576" s="28"/>
      <c r="G576" s="27"/>
      <c r="H576" s="548"/>
      <c r="I576" s="27"/>
      <c r="J576" s="635"/>
      <c r="K576" s="635"/>
      <c r="L576" s="635"/>
      <c r="M576" s="635"/>
      <c r="N576" s="636"/>
      <c r="O576" s="635"/>
      <c r="P576" s="637"/>
      <c r="Q576" s="637"/>
      <c r="R576" s="635"/>
      <c r="S576" s="637"/>
      <c r="T576" s="644"/>
    </row>
    <row r="577" spans="1:20" x14ac:dyDescent="0.25">
      <c r="A577" s="23"/>
      <c r="B577" s="24"/>
      <c r="C577" s="25"/>
      <c r="D577" s="27"/>
      <c r="E577" s="27"/>
      <c r="F577" s="28"/>
      <c r="G577" s="27"/>
      <c r="H577" s="548"/>
      <c r="I577" s="27"/>
      <c r="J577" s="635"/>
      <c r="K577" s="635"/>
      <c r="L577" s="635"/>
      <c r="M577" s="635"/>
      <c r="N577" s="636"/>
      <c r="O577" s="635"/>
      <c r="P577" s="637"/>
      <c r="Q577" s="637"/>
      <c r="R577" s="635"/>
      <c r="S577" s="637"/>
      <c r="T577" s="644"/>
    </row>
    <row r="578" spans="1:20" x14ac:dyDescent="0.25">
      <c r="A578" s="23"/>
      <c r="B578" s="24"/>
      <c r="C578" s="25"/>
      <c r="D578" s="27"/>
      <c r="E578" s="27"/>
      <c r="F578" s="28"/>
      <c r="G578" s="27"/>
      <c r="H578" s="548"/>
      <c r="I578" s="27"/>
      <c r="J578" s="635"/>
      <c r="K578" s="635"/>
      <c r="L578" s="635"/>
      <c r="M578" s="635"/>
      <c r="N578" s="636"/>
      <c r="O578" s="635"/>
      <c r="P578" s="637"/>
      <c r="Q578" s="637"/>
      <c r="R578" s="635"/>
      <c r="S578" s="637"/>
      <c r="T578" s="644"/>
    </row>
    <row r="579" spans="1:20" x14ac:dyDescent="0.25">
      <c r="A579" s="23"/>
      <c r="B579" s="24"/>
      <c r="C579" s="25"/>
      <c r="D579" s="27"/>
      <c r="E579" s="27"/>
      <c r="F579" s="28"/>
      <c r="G579" s="27"/>
      <c r="H579" s="548"/>
      <c r="I579" s="27"/>
      <c r="J579" s="635"/>
      <c r="K579" s="635"/>
      <c r="L579" s="635"/>
      <c r="M579" s="635"/>
      <c r="N579" s="636"/>
      <c r="O579" s="635"/>
      <c r="P579" s="637"/>
      <c r="Q579" s="637"/>
      <c r="R579" s="635"/>
      <c r="S579" s="637"/>
      <c r="T579" s="644"/>
    </row>
    <row r="580" spans="1:20" x14ac:dyDescent="0.25">
      <c r="A580" s="23"/>
      <c r="B580" s="24"/>
      <c r="C580" s="25"/>
      <c r="D580" s="27"/>
      <c r="E580" s="27"/>
      <c r="F580" s="28"/>
      <c r="G580" s="27"/>
      <c r="H580" s="548"/>
      <c r="I580" s="27"/>
      <c r="J580" s="635"/>
      <c r="K580" s="635"/>
      <c r="L580" s="635"/>
      <c r="M580" s="635"/>
      <c r="N580" s="636"/>
      <c r="O580" s="635"/>
      <c r="P580" s="637"/>
      <c r="Q580" s="637"/>
      <c r="R580" s="635"/>
      <c r="S580" s="637"/>
      <c r="T580" s="644"/>
    </row>
    <row r="581" spans="1:20" x14ac:dyDescent="0.25">
      <c r="A581" s="23"/>
      <c r="B581" s="24"/>
      <c r="C581" s="25"/>
      <c r="D581" s="27"/>
      <c r="E581" s="27"/>
      <c r="F581" s="28"/>
      <c r="G581" s="27"/>
      <c r="H581" s="548"/>
      <c r="I581" s="27"/>
      <c r="J581" s="635"/>
      <c r="K581" s="635"/>
      <c r="L581" s="635"/>
      <c r="M581" s="635"/>
      <c r="N581" s="636"/>
      <c r="O581" s="635"/>
      <c r="P581" s="637"/>
      <c r="Q581" s="637"/>
      <c r="R581" s="635"/>
      <c r="S581" s="637"/>
      <c r="T581" s="644"/>
    </row>
    <row r="582" spans="1:20" x14ac:dyDescent="0.25">
      <c r="A582" s="23"/>
      <c r="B582" s="24"/>
      <c r="C582" s="25"/>
      <c r="D582" s="27"/>
      <c r="E582" s="27"/>
      <c r="F582" s="28"/>
      <c r="G582" s="27"/>
      <c r="H582" s="548"/>
      <c r="I582" s="27"/>
      <c r="J582" s="635"/>
      <c r="K582" s="635"/>
      <c r="L582" s="635"/>
      <c r="M582" s="635"/>
      <c r="N582" s="636"/>
      <c r="O582" s="635"/>
      <c r="P582" s="637"/>
      <c r="Q582" s="637"/>
      <c r="R582" s="635"/>
      <c r="S582" s="637"/>
      <c r="T582" s="644"/>
    </row>
    <row r="583" spans="1:20" x14ac:dyDescent="0.25">
      <c r="A583" s="23"/>
      <c r="B583" s="24"/>
      <c r="C583" s="25"/>
      <c r="D583" s="27"/>
      <c r="E583" s="27"/>
      <c r="F583" s="28"/>
      <c r="G583" s="27"/>
      <c r="H583" s="548"/>
      <c r="I583" s="27"/>
      <c r="J583" s="635"/>
      <c r="K583" s="635"/>
      <c r="L583" s="635"/>
      <c r="M583" s="635"/>
      <c r="N583" s="636"/>
      <c r="O583" s="635"/>
      <c r="P583" s="637"/>
      <c r="Q583" s="637"/>
      <c r="R583" s="635"/>
      <c r="S583" s="637"/>
      <c r="T583" s="644"/>
    </row>
    <row r="584" spans="1:20" x14ac:dyDescent="0.25">
      <c r="A584" s="23"/>
      <c r="B584" s="24"/>
      <c r="C584" s="25"/>
      <c r="D584" s="27"/>
      <c r="E584" s="27"/>
      <c r="F584" s="28"/>
      <c r="G584" s="27"/>
      <c r="H584" s="548"/>
      <c r="I584" s="27"/>
      <c r="J584" s="635"/>
      <c r="K584" s="635"/>
      <c r="L584" s="635"/>
      <c r="M584" s="635"/>
      <c r="N584" s="636"/>
      <c r="O584" s="635"/>
      <c r="P584" s="637"/>
      <c r="Q584" s="637"/>
      <c r="R584" s="635"/>
      <c r="S584" s="637"/>
      <c r="T584" s="644"/>
    </row>
    <row r="585" spans="1:20" x14ac:dyDescent="0.25">
      <c r="A585" s="23"/>
      <c r="B585" s="24"/>
      <c r="C585" s="25"/>
      <c r="D585" s="27"/>
      <c r="E585" s="27"/>
      <c r="F585" s="28"/>
      <c r="G585" s="27"/>
      <c r="H585" s="548"/>
      <c r="I585" s="27"/>
      <c r="J585" s="635"/>
      <c r="K585" s="635"/>
      <c r="L585" s="635"/>
      <c r="M585" s="635"/>
      <c r="N585" s="636"/>
      <c r="O585" s="635"/>
      <c r="P585" s="637"/>
      <c r="Q585" s="637"/>
      <c r="R585" s="635"/>
      <c r="S585" s="637"/>
      <c r="T585" s="644"/>
    </row>
    <row r="586" spans="1:20" x14ac:dyDescent="0.25">
      <c r="A586" s="23"/>
      <c r="B586" s="24"/>
      <c r="C586" s="25"/>
      <c r="D586" s="27"/>
      <c r="E586" s="27"/>
      <c r="F586" s="28"/>
      <c r="G586" s="27"/>
      <c r="H586" s="548"/>
      <c r="I586" s="27"/>
      <c r="J586" s="635"/>
      <c r="K586" s="635"/>
      <c r="L586" s="635"/>
      <c r="M586" s="635"/>
      <c r="N586" s="636"/>
      <c r="O586" s="635"/>
      <c r="P586" s="637"/>
      <c r="Q586" s="637"/>
      <c r="R586" s="635"/>
      <c r="S586" s="637"/>
      <c r="T586" s="644"/>
    </row>
    <row r="587" spans="1:20" x14ac:dyDescent="0.25">
      <c r="A587" s="23"/>
      <c r="B587" s="24"/>
      <c r="C587" s="25"/>
      <c r="D587" s="27"/>
      <c r="E587" s="27"/>
      <c r="F587" s="28"/>
      <c r="G587" s="27"/>
      <c r="H587" s="548"/>
      <c r="I587" s="27"/>
      <c r="J587" s="635"/>
      <c r="K587" s="635"/>
      <c r="L587" s="635"/>
      <c r="M587" s="635"/>
      <c r="N587" s="636"/>
      <c r="O587" s="635"/>
      <c r="P587" s="637"/>
      <c r="Q587" s="637"/>
      <c r="R587" s="635"/>
      <c r="S587" s="637"/>
      <c r="T587" s="644"/>
    </row>
    <row r="588" spans="1:20" x14ac:dyDescent="0.25">
      <c r="A588" s="23"/>
      <c r="B588" s="24"/>
      <c r="C588" s="25"/>
      <c r="D588" s="27"/>
      <c r="E588" s="27"/>
      <c r="F588" s="28"/>
      <c r="G588" s="27"/>
      <c r="H588" s="548"/>
      <c r="I588" s="27"/>
      <c r="J588" s="635"/>
      <c r="K588" s="635"/>
      <c r="L588" s="635"/>
      <c r="M588" s="635"/>
      <c r="N588" s="636"/>
      <c r="O588" s="635"/>
      <c r="P588" s="637"/>
      <c r="Q588" s="637"/>
      <c r="R588" s="635"/>
      <c r="S588" s="637"/>
      <c r="T588" s="644"/>
    </row>
    <row r="589" spans="1:20" x14ac:dyDescent="0.25">
      <c r="A589" s="23"/>
      <c r="B589" s="24"/>
      <c r="C589" s="25"/>
      <c r="D589" s="27"/>
      <c r="E589" s="27"/>
      <c r="F589" s="28"/>
      <c r="G589" s="27"/>
      <c r="H589" s="548"/>
      <c r="I589" s="27"/>
      <c r="J589" s="635"/>
      <c r="K589" s="635"/>
      <c r="L589" s="635"/>
      <c r="M589" s="635"/>
      <c r="N589" s="636"/>
      <c r="O589" s="635"/>
      <c r="P589" s="637"/>
      <c r="Q589" s="637"/>
      <c r="R589" s="635"/>
      <c r="S589" s="637"/>
      <c r="T589" s="644"/>
    </row>
    <row r="590" spans="1:20" x14ac:dyDescent="0.25">
      <c r="A590" s="23"/>
      <c r="B590" s="24"/>
      <c r="C590" s="25"/>
      <c r="D590" s="27"/>
      <c r="E590" s="27"/>
      <c r="F590" s="28"/>
      <c r="G590" s="27"/>
      <c r="H590" s="548"/>
      <c r="I590" s="27"/>
      <c r="J590" s="635"/>
      <c r="K590" s="635"/>
      <c r="L590" s="635"/>
      <c r="M590" s="635"/>
      <c r="N590" s="636"/>
      <c r="O590" s="635"/>
      <c r="P590" s="637"/>
      <c r="Q590" s="637"/>
      <c r="R590" s="635"/>
      <c r="S590" s="637"/>
      <c r="T590" s="644"/>
    </row>
    <row r="591" spans="1:20" x14ac:dyDescent="0.25">
      <c r="A591" s="23"/>
      <c r="B591" s="24"/>
      <c r="C591" s="25"/>
      <c r="D591" s="27"/>
      <c r="E591" s="27"/>
      <c r="F591" s="28"/>
      <c r="G591" s="27"/>
      <c r="H591" s="548"/>
      <c r="I591" s="27"/>
      <c r="J591" s="635"/>
      <c r="K591" s="635"/>
      <c r="L591" s="635"/>
      <c r="M591" s="635"/>
      <c r="N591" s="636"/>
      <c r="O591" s="635"/>
      <c r="P591" s="637"/>
      <c r="Q591" s="637"/>
      <c r="R591" s="635"/>
      <c r="S591" s="637"/>
      <c r="T591" s="644"/>
    </row>
    <row r="592" spans="1:20" x14ac:dyDescent="0.25">
      <c r="A592" s="23"/>
      <c r="B592" s="24"/>
      <c r="C592" s="25"/>
      <c r="D592" s="27"/>
      <c r="E592" s="27"/>
      <c r="F592" s="28"/>
      <c r="G592" s="27"/>
      <c r="H592" s="548"/>
      <c r="I592" s="27"/>
      <c r="J592" s="635"/>
      <c r="K592" s="635"/>
      <c r="L592" s="635"/>
      <c r="M592" s="635"/>
      <c r="N592" s="636"/>
      <c r="O592" s="635"/>
      <c r="P592" s="637"/>
      <c r="Q592" s="637"/>
      <c r="R592" s="635"/>
      <c r="S592" s="637"/>
      <c r="T592" s="644"/>
    </row>
    <row r="593" spans="1:20" x14ac:dyDescent="0.25">
      <c r="A593" s="23"/>
      <c r="B593" s="24"/>
      <c r="C593" s="25"/>
      <c r="D593" s="27"/>
      <c r="E593" s="27"/>
      <c r="F593" s="28"/>
      <c r="G593" s="27"/>
      <c r="H593" s="548"/>
      <c r="I593" s="27"/>
      <c r="J593" s="635"/>
      <c r="K593" s="635"/>
      <c r="L593" s="635"/>
      <c r="M593" s="635"/>
      <c r="N593" s="636"/>
      <c r="O593" s="635"/>
      <c r="P593" s="637"/>
      <c r="Q593" s="637"/>
      <c r="R593" s="635"/>
      <c r="S593" s="637"/>
      <c r="T593" s="644"/>
    </row>
    <row r="594" spans="1:20" x14ac:dyDescent="0.25">
      <c r="A594" s="23"/>
      <c r="B594" s="24"/>
      <c r="C594" s="25"/>
      <c r="D594" s="27"/>
      <c r="E594" s="27"/>
      <c r="F594" s="28"/>
      <c r="G594" s="27"/>
      <c r="H594" s="548"/>
      <c r="I594" s="27"/>
      <c r="J594" s="635"/>
      <c r="K594" s="635"/>
      <c r="L594" s="635"/>
      <c r="M594" s="635"/>
      <c r="N594" s="636"/>
      <c r="O594" s="635"/>
      <c r="P594" s="637"/>
      <c r="Q594" s="637"/>
      <c r="R594" s="635"/>
      <c r="S594" s="637"/>
      <c r="T594" s="644"/>
    </row>
    <row r="595" spans="1:20" x14ac:dyDescent="0.25">
      <c r="A595" s="23"/>
      <c r="B595" s="24"/>
      <c r="C595" s="25"/>
      <c r="D595" s="27"/>
      <c r="E595" s="27"/>
      <c r="F595" s="28"/>
      <c r="G595" s="27"/>
      <c r="H595" s="548"/>
      <c r="I595" s="27"/>
      <c r="J595" s="635"/>
      <c r="K595" s="635"/>
      <c r="L595" s="635"/>
      <c r="M595" s="635"/>
      <c r="N595" s="636"/>
      <c r="O595" s="635"/>
      <c r="P595" s="637"/>
      <c r="Q595" s="637"/>
      <c r="R595" s="635"/>
      <c r="S595" s="637"/>
      <c r="T595" s="644"/>
    </row>
    <row r="596" spans="1:20" x14ac:dyDescent="0.25">
      <c r="A596" s="23"/>
      <c r="B596" s="24"/>
      <c r="C596" s="25"/>
      <c r="D596" s="27"/>
      <c r="E596" s="27"/>
      <c r="F596" s="28"/>
      <c r="G596" s="27"/>
      <c r="H596" s="548"/>
      <c r="I596" s="27"/>
      <c r="J596" s="635"/>
      <c r="K596" s="635"/>
      <c r="L596" s="635"/>
      <c r="M596" s="635"/>
      <c r="N596" s="636"/>
      <c r="O596" s="635"/>
      <c r="P596" s="637"/>
      <c r="Q596" s="637"/>
      <c r="R596" s="635"/>
      <c r="S596" s="637"/>
      <c r="T596" s="644"/>
    </row>
    <row r="597" spans="1:20" x14ac:dyDescent="0.25">
      <c r="A597" s="23"/>
      <c r="B597" s="24"/>
      <c r="C597" s="25"/>
      <c r="D597" s="27"/>
      <c r="E597" s="27"/>
      <c r="F597" s="28"/>
      <c r="G597" s="27"/>
      <c r="H597" s="548"/>
      <c r="I597" s="27"/>
      <c r="J597" s="635"/>
      <c r="K597" s="635"/>
      <c r="L597" s="635"/>
      <c r="M597" s="635"/>
      <c r="N597" s="636"/>
      <c r="O597" s="635"/>
      <c r="P597" s="637"/>
      <c r="Q597" s="637"/>
      <c r="R597" s="635"/>
      <c r="S597" s="637"/>
      <c r="T597" s="644"/>
    </row>
    <row r="598" spans="1:20" x14ac:dyDescent="0.25">
      <c r="A598" s="23"/>
      <c r="B598" s="24"/>
      <c r="C598" s="25"/>
      <c r="D598" s="27"/>
      <c r="E598" s="27"/>
      <c r="F598" s="28"/>
      <c r="G598" s="27"/>
      <c r="H598" s="548"/>
      <c r="I598" s="27"/>
      <c r="J598" s="635"/>
      <c r="K598" s="635"/>
      <c r="L598" s="635"/>
      <c r="M598" s="635"/>
      <c r="N598" s="636"/>
      <c r="O598" s="635"/>
      <c r="P598" s="637"/>
      <c r="Q598" s="637"/>
      <c r="R598" s="635"/>
      <c r="S598" s="637"/>
      <c r="T598" s="644"/>
    </row>
    <row r="599" spans="1:20" x14ac:dyDescent="0.25">
      <c r="A599" s="23"/>
      <c r="B599" s="24"/>
      <c r="C599" s="25"/>
      <c r="D599" s="27"/>
      <c r="E599" s="27"/>
      <c r="F599" s="28"/>
      <c r="G599" s="27"/>
      <c r="H599" s="548"/>
      <c r="I599" s="27"/>
      <c r="J599" s="635"/>
      <c r="K599" s="635"/>
      <c r="L599" s="635"/>
      <c r="M599" s="635"/>
      <c r="N599" s="636"/>
      <c r="O599" s="635"/>
      <c r="P599" s="637"/>
      <c r="Q599" s="637"/>
      <c r="R599" s="635"/>
      <c r="S599" s="637"/>
      <c r="T599" s="644"/>
    </row>
    <row r="600" spans="1:20" x14ac:dyDescent="0.25">
      <c r="A600" s="23"/>
      <c r="B600" s="24"/>
      <c r="C600" s="25"/>
      <c r="D600" s="27"/>
      <c r="E600" s="27"/>
      <c r="F600" s="28"/>
      <c r="G600" s="27"/>
      <c r="H600" s="548"/>
      <c r="I600" s="27"/>
      <c r="J600" s="635"/>
      <c r="K600" s="635"/>
      <c r="L600" s="635"/>
      <c r="M600" s="635"/>
      <c r="N600" s="636"/>
      <c r="O600" s="635"/>
      <c r="P600" s="637"/>
      <c r="Q600" s="637"/>
      <c r="R600" s="635"/>
      <c r="S600" s="637"/>
      <c r="T600" s="644"/>
    </row>
    <row r="601" spans="1:20" x14ac:dyDescent="0.25">
      <c r="A601" s="23"/>
      <c r="B601" s="24"/>
      <c r="C601" s="25"/>
      <c r="D601" s="27"/>
      <c r="E601" s="27"/>
      <c r="F601" s="28"/>
      <c r="G601" s="27"/>
      <c r="H601" s="548"/>
      <c r="I601" s="27"/>
      <c r="J601" s="635"/>
      <c r="K601" s="635"/>
      <c r="L601" s="635"/>
      <c r="M601" s="635"/>
      <c r="N601" s="636"/>
      <c r="O601" s="635"/>
      <c r="P601" s="637"/>
      <c r="Q601" s="637"/>
      <c r="R601" s="635"/>
      <c r="S601" s="637"/>
      <c r="T601" s="644"/>
    </row>
    <row r="602" spans="1:20" x14ac:dyDescent="0.25">
      <c r="A602" s="23"/>
      <c r="B602" s="24"/>
      <c r="C602" s="25"/>
      <c r="D602" s="27"/>
      <c r="E602" s="27"/>
      <c r="F602" s="28"/>
      <c r="G602" s="27"/>
      <c r="H602" s="548"/>
      <c r="I602" s="27"/>
      <c r="J602" s="635"/>
      <c r="K602" s="635"/>
      <c r="L602" s="635"/>
      <c r="M602" s="635"/>
      <c r="N602" s="636"/>
      <c r="O602" s="635"/>
      <c r="P602" s="637"/>
      <c r="Q602" s="637"/>
      <c r="R602" s="635"/>
      <c r="S602" s="637"/>
      <c r="T602" s="644"/>
    </row>
    <row r="603" spans="1:20" x14ac:dyDescent="0.25">
      <c r="A603" s="23"/>
      <c r="B603" s="24"/>
      <c r="C603" s="25"/>
      <c r="D603" s="27"/>
      <c r="E603" s="27"/>
      <c r="F603" s="28"/>
      <c r="G603" s="27"/>
      <c r="H603" s="548"/>
      <c r="I603" s="27"/>
      <c r="J603" s="635"/>
      <c r="K603" s="635"/>
      <c r="L603" s="635"/>
      <c r="M603" s="635"/>
      <c r="N603" s="636"/>
      <c r="O603" s="635"/>
      <c r="P603" s="637"/>
      <c r="Q603" s="637"/>
      <c r="R603" s="635"/>
      <c r="S603" s="637"/>
      <c r="T603" s="644"/>
    </row>
    <row r="604" spans="1:20" x14ac:dyDescent="0.25">
      <c r="A604" s="23"/>
      <c r="B604" s="24"/>
      <c r="C604" s="25"/>
      <c r="D604" s="27"/>
      <c r="E604" s="27"/>
      <c r="F604" s="28"/>
      <c r="G604" s="27"/>
      <c r="H604" s="548"/>
      <c r="I604" s="27"/>
      <c r="J604" s="635"/>
      <c r="K604" s="635"/>
      <c r="L604" s="635"/>
      <c r="M604" s="635"/>
      <c r="N604" s="636"/>
      <c r="O604" s="635"/>
      <c r="P604" s="637"/>
      <c r="Q604" s="637"/>
      <c r="R604" s="635"/>
      <c r="S604" s="637"/>
      <c r="T604" s="644"/>
    </row>
    <row r="605" spans="1:20" x14ac:dyDescent="0.25">
      <c r="A605" s="23"/>
      <c r="B605" s="24"/>
      <c r="C605" s="25"/>
      <c r="D605" s="27"/>
      <c r="E605" s="27"/>
      <c r="F605" s="28"/>
      <c r="G605" s="27"/>
      <c r="H605" s="548"/>
      <c r="I605" s="27"/>
      <c r="J605" s="635"/>
      <c r="K605" s="635"/>
      <c r="L605" s="635"/>
      <c r="M605" s="635"/>
      <c r="N605" s="636"/>
      <c r="O605" s="635"/>
      <c r="P605" s="637"/>
      <c r="Q605" s="637"/>
      <c r="R605" s="635"/>
      <c r="S605" s="637"/>
      <c r="T605" s="644"/>
    </row>
    <row r="606" spans="1:20" x14ac:dyDescent="0.25">
      <c r="A606" s="23"/>
      <c r="B606" s="24"/>
      <c r="C606" s="25"/>
      <c r="D606" s="27"/>
      <c r="E606" s="27"/>
      <c r="F606" s="28"/>
      <c r="G606" s="27"/>
      <c r="H606" s="548"/>
      <c r="I606" s="27"/>
      <c r="J606" s="635"/>
      <c r="K606" s="635"/>
      <c r="L606" s="635"/>
      <c r="M606" s="635"/>
      <c r="N606" s="636"/>
      <c r="O606" s="635"/>
      <c r="P606" s="637"/>
      <c r="Q606" s="637"/>
      <c r="R606" s="635"/>
      <c r="S606" s="637"/>
      <c r="T606" s="644"/>
    </row>
    <row r="607" spans="1:20" x14ac:dyDescent="0.25">
      <c r="A607" s="23"/>
      <c r="B607" s="24"/>
      <c r="C607" s="25"/>
      <c r="D607" s="27"/>
      <c r="E607" s="27"/>
      <c r="F607" s="28"/>
      <c r="G607" s="27"/>
      <c r="H607" s="548"/>
      <c r="I607" s="27"/>
      <c r="J607" s="635"/>
      <c r="K607" s="635"/>
      <c r="L607" s="635"/>
      <c r="M607" s="635"/>
      <c r="N607" s="636"/>
      <c r="O607" s="635"/>
      <c r="P607" s="637"/>
      <c r="Q607" s="637"/>
      <c r="R607" s="635"/>
      <c r="S607" s="637"/>
      <c r="T607" s="644"/>
    </row>
    <row r="608" spans="1:20" x14ac:dyDescent="0.25">
      <c r="A608" s="23"/>
      <c r="B608" s="24"/>
      <c r="C608" s="25"/>
      <c r="D608" s="27"/>
      <c r="E608" s="27"/>
      <c r="F608" s="28"/>
      <c r="G608" s="27"/>
      <c r="H608" s="548"/>
      <c r="I608" s="27"/>
      <c r="J608" s="635"/>
      <c r="K608" s="635"/>
      <c r="L608" s="635"/>
      <c r="M608" s="635"/>
      <c r="N608" s="636"/>
      <c r="O608" s="635"/>
      <c r="P608" s="637"/>
      <c r="Q608" s="637"/>
      <c r="R608" s="635"/>
      <c r="S608" s="637"/>
      <c r="T608" s="644"/>
    </row>
    <row r="609" spans="1:20" x14ac:dyDescent="0.25">
      <c r="A609" s="23"/>
      <c r="B609" s="24"/>
      <c r="C609" s="25"/>
      <c r="D609" s="27"/>
      <c r="E609" s="27"/>
      <c r="F609" s="28"/>
      <c r="G609" s="27"/>
      <c r="H609" s="548"/>
      <c r="I609" s="27"/>
      <c r="J609" s="635"/>
      <c r="K609" s="635"/>
      <c r="L609" s="635"/>
      <c r="M609" s="635"/>
      <c r="N609" s="636"/>
      <c r="O609" s="635"/>
      <c r="P609" s="637"/>
      <c r="Q609" s="637"/>
      <c r="R609" s="635"/>
      <c r="S609" s="637"/>
      <c r="T609" s="644"/>
    </row>
    <row r="610" spans="1:20" x14ac:dyDescent="0.25">
      <c r="A610" s="23"/>
      <c r="B610" s="24"/>
      <c r="C610" s="25"/>
      <c r="D610" s="27"/>
      <c r="E610" s="27"/>
      <c r="F610" s="28"/>
      <c r="G610" s="27"/>
      <c r="H610" s="548"/>
      <c r="I610" s="27"/>
      <c r="J610" s="635"/>
      <c r="K610" s="635"/>
      <c r="L610" s="635"/>
      <c r="M610" s="635"/>
      <c r="N610" s="636"/>
      <c r="O610" s="635"/>
      <c r="P610" s="637"/>
      <c r="Q610" s="637"/>
      <c r="R610" s="635"/>
      <c r="S610" s="637"/>
      <c r="T610" s="644"/>
    </row>
    <row r="611" spans="1:20" x14ac:dyDescent="0.25">
      <c r="A611" s="23"/>
      <c r="B611" s="24"/>
      <c r="C611" s="25"/>
      <c r="D611" s="27"/>
      <c r="E611" s="27"/>
      <c r="F611" s="28"/>
      <c r="G611" s="27"/>
      <c r="H611" s="548"/>
      <c r="I611" s="27"/>
      <c r="J611" s="635"/>
      <c r="K611" s="635"/>
      <c r="L611" s="635"/>
      <c r="M611" s="635"/>
      <c r="N611" s="636"/>
      <c r="O611" s="635"/>
      <c r="P611" s="637"/>
      <c r="Q611" s="637"/>
      <c r="R611" s="635"/>
      <c r="S611" s="637"/>
      <c r="T611" s="644"/>
    </row>
    <row r="612" spans="1:20" x14ac:dyDescent="0.25">
      <c r="A612" s="23"/>
      <c r="B612" s="24"/>
      <c r="C612" s="25"/>
      <c r="D612" s="27"/>
      <c r="E612" s="27"/>
      <c r="F612" s="28"/>
      <c r="G612" s="27"/>
      <c r="H612" s="548"/>
      <c r="I612" s="27"/>
      <c r="J612" s="635"/>
      <c r="K612" s="635"/>
      <c r="L612" s="635"/>
      <c r="M612" s="635"/>
      <c r="N612" s="636"/>
      <c r="O612" s="635"/>
      <c r="P612" s="637"/>
      <c r="Q612" s="637"/>
      <c r="R612" s="635"/>
      <c r="S612" s="637"/>
      <c r="T612" s="644"/>
    </row>
    <row r="613" spans="1:20" x14ac:dyDescent="0.25">
      <c r="A613" s="23"/>
      <c r="B613" s="24"/>
      <c r="C613" s="25"/>
      <c r="D613" s="27"/>
      <c r="E613" s="27"/>
      <c r="F613" s="28"/>
      <c r="G613" s="27"/>
      <c r="H613" s="548"/>
      <c r="I613" s="27"/>
      <c r="J613" s="635"/>
      <c r="K613" s="635"/>
      <c r="L613" s="635"/>
      <c r="M613" s="635"/>
      <c r="N613" s="636"/>
      <c r="O613" s="635"/>
      <c r="P613" s="637"/>
      <c r="Q613" s="637"/>
      <c r="R613" s="635"/>
      <c r="S613" s="637"/>
      <c r="T613" s="644"/>
    </row>
    <row r="614" spans="1:20" x14ac:dyDescent="0.25">
      <c r="A614" s="23"/>
      <c r="B614" s="24"/>
      <c r="C614" s="25"/>
      <c r="D614" s="27"/>
      <c r="E614" s="27"/>
      <c r="F614" s="28"/>
      <c r="G614" s="27"/>
      <c r="H614" s="548"/>
      <c r="I614" s="27"/>
      <c r="J614" s="635"/>
      <c r="K614" s="635"/>
      <c r="L614" s="635"/>
      <c r="M614" s="635"/>
      <c r="N614" s="636"/>
      <c r="O614" s="635"/>
      <c r="P614" s="637"/>
      <c r="Q614" s="637"/>
      <c r="R614" s="635"/>
      <c r="S614" s="637"/>
      <c r="T614" s="644"/>
    </row>
    <row r="615" spans="1:20" x14ac:dyDescent="0.25">
      <c r="A615" s="23"/>
      <c r="B615" s="24"/>
      <c r="C615" s="25"/>
      <c r="D615" s="27"/>
      <c r="E615" s="27"/>
      <c r="F615" s="28"/>
      <c r="G615" s="27"/>
      <c r="H615" s="548"/>
      <c r="I615" s="27"/>
      <c r="J615" s="635"/>
      <c r="K615" s="635"/>
      <c r="L615" s="635"/>
      <c r="M615" s="635"/>
      <c r="N615" s="636"/>
      <c r="O615" s="635"/>
      <c r="P615" s="637"/>
      <c r="Q615" s="637"/>
      <c r="R615" s="635"/>
      <c r="S615" s="637"/>
      <c r="T615" s="644"/>
    </row>
    <row r="616" spans="1:20" x14ac:dyDescent="0.25">
      <c r="A616" s="23"/>
      <c r="B616" s="24"/>
      <c r="C616" s="25"/>
      <c r="D616" s="27"/>
      <c r="E616" s="27"/>
      <c r="F616" s="28"/>
      <c r="G616" s="27"/>
      <c r="H616" s="548"/>
      <c r="I616" s="27"/>
      <c r="J616" s="635"/>
      <c r="K616" s="635"/>
      <c r="L616" s="635"/>
      <c r="M616" s="635"/>
      <c r="N616" s="636"/>
      <c r="O616" s="635"/>
      <c r="P616" s="637"/>
      <c r="Q616" s="637"/>
      <c r="R616" s="635"/>
      <c r="S616" s="637"/>
      <c r="T616" s="644"/>
    </row>
    <row r="617" spans="1:20" x14ac:dyDescent="0.25">
      <c r="A617" s="23"/>
      <c r="B617" s="24"/>
      <c r="C617" s="25"/>
      <c r="D617" s="27"/>
      <c r="E617" s="27"/>
      <c r="F617" s="28"/>
      <c r="G617" s="27"/>
      <c r="H617" s="548"/>
      <c r="I617" s="27"/>
      <c r="J617" s="635"/>
      <c r="K617" s="635"/>
      <c r="L617" s="635"/>
      <c r="M617" s="635"/>
      <c r="N617" s="636"/>
      <c r="O617" s="635"/>
      <c r="P617" s="637"/>
      <c r="Q617" s="637"/>
      <c r="R617" s="635"/>
      <c r="S617" s="637"/>
      <c r="T617" s="644"/>
    </row>
    <row r="618" spans="1:20" x14ac:dyDescent="0.25">
      <c r="A618" s="23"/>
      <c r="B618" s="24"/>
      <c r="C618" s="25"/>
      <c r="D618" s="27"/>
      <c r="E618" s="27"/>
      <c r="F618" s="28"/>
      <c r="G618" s="27"/>
      <c r="H618" s="548"/>
      <c r="I618" s="27"/>
      <c r="J618" s="635"/>
      <c r="K618" s="635"/>
      <c r="L618" s="635"/>
      <c r="M618" s="635"/>
      <c r="N618" s="636"/>
      <c r="O618" s="635"/>
      <c r="P618" s="637"/>
      <c r="Q618" s="637"/>
      <c r="R618" s="635"/>
      <c r="S618" s="637"/>
      <c r="T618" s="644"/>
    </row>
    <row r="619" spans="1:20" x14ac:dyDescent="0.25">
      <c r="A619" s="23"/>
      <c r="B619" s="24"/>
      <c r="C619" s="25"/>
      <c r="D619" s="27"/>
      <c r="E619" s="27"/>
      <c r="F619" s="28"/>
      <c r="G619" s="27"/>
      <c r="H619" s="548"/>
      <c r="I619" s="27"/>
      <c r="J619" s="635"/>
      <c r="K619" s="635"/>
      <c r="L619" s="635"/>
      <c r="M619" s="635"/>
      <c r="N619" s="636"/>
      <c r="O619" s="635"/>
      <c r="P619" s="637"/>
      <c r="Q619" s="637"/>
      <c r="R619" s="635"/>
      <c r="S619" s="637"/>
      <c r="T619" s="644"/>
    </row>
    <row r="620" spans="1:20" x14ac:dyDescent="0.25">
      <c r="A620" s="23"/>
      <c r="B620" s="24"/>
      <c r="C620" s="25"/>
      <c r="D620" s="27"/>
      <c r="E620" s="27"/>
      <c r="F620" s="28"/>
      <c r="G620" s="27"/>
      <c r="H620" s="548"/>
      <c r="I620" s="27"/>
      <c r="J620" s="635"/>
      <c r="K620" s="635"/>
      <c r="L620" s="635"/>
      <c r="M620" s="635"/>
      <c r="N620" s="636"/>
      <c r="O620" s="635"/>
      <c r="P620" s="637"/>
      <c r="Q620" s="637"/>
      <c r="R620" s="635"/>
      <c r="S620" s="637"/>
      <c r="T620" s="644"/>
    </row>
    <row r="621" spans="1:20" x14ac:dyDescent="0.25">
      <c r="A621" s="23"/>
      <c r="B621" s="24"/>
      <c r="C621" s="25"/>
      <c r="D621" s="27"/>
      <c r="E621" s="27"/>
      <c r="F621" s="28"/>
      <c r="G621" s="27"/>
      <c r="H621" s="548"/>
      <c r="I621" s="27"/>
      <c r="J621" s="635"/>
      <c r="K621" s="635"/>
      <c r="L621" s="635"/>
      <c r="M621" s="635"/>
      <c r="N621" s="636"/>
      <c r="O621" s="635"/>
      <c r="P621" s="637"/>
      <c r="Q621" s="637"/>
      <c r="R621" s="635"/>
      <c r="S621" s="637"/>
      <c r="T621" s="644"/>
    </row>
    <row r="622" spans="1:20" x14ac:dyDescent="0.25">
      <c r="A622" s="23"/>
      <c r="B622" s="24"/>
      <c r="C622" s="25"/>
      <c r="D622" s="27"/>
      <c r="E622" s="27"/>
      <c r="F622" s="28"/>
      <c r="G622" s="27"/>
      <c r="H622" s="548"/>
      <c r="I622" s="27"/>
      <c r="J622" s="635"/>
      <c r="K622" s="635"/>
      <c r="L622" s="635"/>
      <c r="M622" s="635"/>
      <c r="N622" s="636"/>
      <c r="O622" s="635"/>
      <c r="P622" s="637"/>
      <c r="Q622" s="637"/>
      <c r="R622" s="635"/>
      <c r="S622" s="637"/>
      <c r="T622" s="644"/>
    </row>
    <row r="623" spans="1:20" x14ac:dyDescent="0.25">
      <c r="A623" s="23"/>
      <c r="B623" s="24"/>
      <c r="C623" s="25"/>
      <c r="D623" s="27"/>
      <c r="E623" s="27"/>
      <c r="F623" s="28"/>
      <c r="G623" s="27"/>
      <c r="H623" s="548"/>
      <c r="I623" s="27"/>
      <c r="J623" s="635"/>
      <c r="K623" s="635"/>
      <c r="L623" s="635"/>
      <c r="M623" s="635"/>
      <c r="N623" s="636"/>
      <c r="O623" s="635"/>
      <c r="P623" s="637"/>
      <c r="Q623" s="637"/>
      <c r="R623" s="635"/>
      <c r="S623" s="637"/>
      <c r="T623" s="644"/>
    </row>
    <row r="624" spans="1:20" x14ac:dyDescent="0.25">
      <c r="A624" s="23"/>
      <c r="B624" s="24"/>
      <c r="C624" s="25"/>
      <c r="D624" s="27"/>
      <c r="E624" s="27"/>
      <c r="F624" s="28"/>
      <c r="G624" s="27"/>
      <c r="H624" s="548"/>
      <c r="I624" s="27"/>
      <c r="J624" s="635"/>
      <c r="K624" s="635"/>
      <c r="L624" s="635"/>
      <c r="M624" s="635"/>
      <c r="N624" s="636"/>
      <c r="O624" s="635"/>
      <c r="P624" s="637"/>
      <c r="Q624" s="637"/>
      <c r="R624" s="635"/>
      <c r="S624" s="637"/>
      <c r="T624" s="644"/>
    </row>
    <row r="625" spans="1:20" x14ac:dyDescent="0.25">
      <c r="A625" s="23"/>
      <c r="B625" s="24"/>
      <c r="C625" s="25"/>
      <c r="D625" s="27"/>
      <c r="E625" s="27"/>
      <c r="F625" s="28"/>
      <c r="G625" s="27"/>
      <c r="H625" s="548"/>
      <c r="I625" s="27"/>
      <c r="J625" s="635"/>
      <c r="K625" s="635"/>
      <c r="L625" s="635"/>
      <c r="M625" s="635"/>
      <c r="N625" s="636"/>
      <c r="O625" s="635"/>
      <c r="P625" s="637"/>
      <c r="Q625" s="637"/>
      <c r="R625" s="635"/>
      <c r="S625" s="637"/>
      <c r="T625" s="644"/>
    </row>
    <row r="626" spans="1:20" x14ac:dyDescent="0.25">
      <c r="A626" s="23"/>
      <c r="B626" s="24"/>
      <c r="C626" s="25"/>
      <c r="D626" s="27"/>
      <c r="E626" s="27"/>
      <c r="F626" s="28"/>
      <c r="G626" s="27"/>
      <c r="H626" s="548"/>
      <c r="I626" s="27"/>
      <c r="J626" s="635"/>
      <c r="K626" s="635"/>
      <c r="L626" s="635"/>
      <c r="M626" s="635"/>
      <c r="N626" s="636"/>
      <c r="O626" s="635"/>
      <c r="P626" s="637"/>
      <c r="Q626" s="637"/>
      <c r="R626" s="635"/>
      <c r="S626" s="637"/>
      <c r="T626" s="644"/>
    </row>
    <row r="627" spans="1:20" x14ac:dyDescent="0.25">
      <c r="A627" s="23"/>
      <c r="B627" s="24"/>
      <c r="C627" s="25"/>
      <c r="D627" s="27"/>
      <c r="E627" s="27"/>
      <c r="F627" s="28"/>
      <c r="G627" s="27"/>
      <c r="H627" s="548"/>
      <c r="I627" s="27"/>
      <c r="J627" s="635"/>
      <c r="K627" s="635"/>
      <c r="L627" s="635"/>
      <c r="M627" s="635"/>
      <c r="N627" s="636"/>
      <c r="O627" s="635"/>
      <c r="P627" s="637"/>
      <c r="Q627" s="637"/>
      <c r="R627" s="635"/>
      <c r="S627" s="637"/>
      <c r="T627" s="644"/>
    </row>
    <row r="628" spans="1:20" x14ac:dyDescent="0.25">
      <c r="A628" s="23"/>
      <c r="B628" s="24"/>
      <c r="C628" s="25"/>
      <c r="D628" s="27"/>
      <c r="E628" s="27"/>
      <c r="F628" s="28"/>
      <c r="G628" s="27"/>
      <c r="H628" s="548"/>
      <c r="I628" s="27"/>
      <c r="J628" s="635"/>
      <c r="K628" s="635"/>
      <c r="L628" s="635"/>
      <c r="M628" s="635"/>
      <c r="N628" s="636"/>
      <c r="O628" s="635"/>
      <c r="P628" s="637"/>
      <c r="Q628" s="637"/>
      <c r="R628" s="635"/>
      <c r="S628" s="637"/>
      <c r="T628" s="644"/>
    </row>
    <row r="629" spans="1:20" x14ac:dyDescent="0.25">
      <c r="A629" s="23"/>
      <c r="B629" s="24"/>
      <c r="C629" s="25"/>
      <c r="D629" s="27"/>
      <c r="E629" s="27"/>
      <c r="F629" s="28"/>
      <c r="G629" s="27"/>
      <c r="H629" s="548"/>
      <c r="I629" s="27"/>
      <c r="J629" s="635"/>
      <c r="K629" s="635"/>
      <c r="L629" s="635"/>
      <c r="M629" s="635"/>
      <c r="N629" s="636"/>
      <c r="O629" s="635"/>
      <c r="P629" s="637"/>
      <c r="Q629" s="637"/>
      <c r="R629" s="635"/>
      <c r="S629" s="637"/>
      <c r="T629" s="644"/>
    </row>
    <row r="630" spans="1:20" x14ac:dyDescent="0.25">
      <c r="A630" s="23"/>
      <c r="B630" s="24"/>
      <c r="C630" s="25"/>
      <c r="D630" s="27"/>
      <c r="E630" s="27"/>
      <c r="F630" s="28"/>
      <c r="G630" s="27"/>
      <c r="H630" s="548"/>
      <c r="I630" s="27"/>
      <c r="J630" s="635"/>
      <c r="K630" s="635"/>
      <c r="L630" s="635"/>
      <c r="M630" s="635"/>
      <c r="N630" s="636"/>
      <c r="O630" s="635"/>
      <c r="P630" s="637"/>
      <c r="Q630" s="637"/>
      <c r="R630" s="635"/>
      <c r="S630" s="637"/>
      <c r="T630" s="644"/>
    </row>
    <row r="631" spans="1:20" x14ac:dyDescent="0.25">
      <c r="A631" s="23"/>
      <c r="B631" s="24"/>
      <c r="C631" s="25"/>
      <c r="D631" s="27"/>
      <c r="E631" s="27"/>
      <c r="F631" s="28"/>
      <c r="G631" s="27"/>
      <c r="H631" s="548"/>
      <c r="I631" s="27"/>
      <c r="J631" s="635"/>
      <c r="K631" s="635"/>
      <c r="L631" s="635"/>
      <c r="M631" s="635"/>
      <c r="N631" s="636"/>
      <c r="O631" s="635"/>
      <c r="P631" s="637"/>
      <c r="Q631" s="637"/>
      <c r="R631" s="635"/>
      <c r="S631" s="637"/>
      <c r="T631" s="644"/>
    </row>
    <row r="632" spans="1:20" x14ac:dyDescent="0.25">
      <c r="A632" s="23"/>
      <c r="B632" s="24"/>
      <c r="C632" s="25"/>
      <c r="D632" s="27"/>
      <c r="E632" s="27"/>
      <c r="F632" s="28"/>
      <c r="G632" s="27"/>
      <c r="H632" s="548"/>
      <c r="I632" s="27"/>
      <c r="J632" s="635"/>
      <c r="K632" s="635"/>
      <c r="L632" s="635"/>
      <c r="M632" s="635"/>
      <c r="N632" s="636"/>
      <c r="O632" s="635"/>
      <c r="P632" s="637"/>
      <c r="Q632" s="637"/>
      <c r="R632" s="635"/>
      <c r="S632" s="637"/>
      <c r="T632" s="644"/>
    </row>
    <row r="633" spans="1:20" x14ac:dyDescent="0.25">
      <c r="A633" s="23"/>
      <c r="B633" s="24"/>
      <c r="C633" s="25"/>
      <c r="D633" s="27"/>
      <c r="E633" s="27"/>
      <c r="F633" s="28"/>
      <c r="G633" s="27"/>
      <c r="H633" s="548"/>
      <c r="I633" s="27"/>
      <c r="J633" s="635"/>
      <c r="K633" s="635"/>
      <c r="L633" s="635"/>
      <c r="M633" s="635"/>
      <c r="N633" s="636"/>
      <c r="O633" s="635"/>
      <c r="P633" s="637"/>
      <c r="Q633" s="637"/>
      <c r="R633" s="635"/>
      <c r="S633" s="637"/>
      <c r="T633" s="644"/>
    </row>
    <row r="634" spans="1:20" x14ac:dyDescent="0.25">
      <c r="A634" s="23"/>
      <c r="B634" s="24"/>
      <c r="C634" s="25"/>
      <c r="D634" s="27"/>
      <c r="E634" s="27"/>
      <c r="F634" s="28"/>
      <c r="G634" s="27"/>
      <c r="H634" s="548"/>
      <c r="I634" s="27"/>
      <c r="J634" s="635"/>
      <c r="K634" s="635"/>
      <c r="L634" s="635"/>
      <c r="M634" s="635"/>
      <c r="N634" s="636"/>
      <c r="O634" s="635"/>
      <c r="P634" s="637"/>
      <c r="Q634" s="637"/>
      <c r="R634" s="635"/>
      <c r="S634" s="637"/>
      <c r="T634" s="644"/>
    </row>
    <row r="635" spans="1:20" x14ac:dyDescent="0.25">
      <c r="A635" s="23"/>
      <c r="B635" s="24"/>
      <c r="C635" s="25"/>
      <c r="D635" s="27"/>
      <c r="E635" s="27"/>
      <c r="F635" s="28"/>
      <c r="G635" s="27"/>
      <c r="H635" s="548"/>
      <c r="I635" s="27"/>
      <c r="J635" s="635"/>
      <c r="K635" s="635"/>
      <c r="L635" s="635"/>
      <c r="M635" s="635"/>
      <c r="N635" s="636"/>
      <c r="O635" s="635"/>
      <c r="P635" s="637"/>
      <c r="Q635" s="637"/>
      <c r="R635" s="635"/>
      <c r="S635" s="637"/>
      <c r="T635" s="644"/>
    </row>
    <row r="636" spans="1:20" x14ac:dyDescent="0.25">
      <c r="A636" s="23"/>
      <c r="B636" s="24"/>
      <c r="C636" s="25"/>
      <c r="D636" s="27"/>
      <c r="E636" s="27"/>
      <c r="F636" s="28"/>
      <c r="G636" s="27"/>
      <c r="H636" s="548"/>
      <c r="I636" s="27"/>
      <c r="J636" s="635"/>
      <c r="K636" s="635"/>
      <c r="L636" s="635"/>
      <c r="M636" s="635"/>
      <c r="N636" s="636"/>
      <c r="O636" s="635"/>
      <c r="P636" s="637"/>
      <c r="Q636" s="637"/>
      <c r="R636" s="635"/>
      <c r="S636" s="637"/>
      <c r="T636" s="644"/>
    </row>
    <row r="637" spans="1:20" x14ac:dyDescent="0.25">
      <c r="A637" s="23"/>
      <c r="B637" s="24"/>
      <c r="C637" s="25"/>
      <c r="D637" s="27"/>
      <c r="E637" s="27"/>
      <c r="F637" s="28"/>
      <c r="G637" s="27"/>
      <c r="H637" s="548"/>
      <c r="I637" s="27"/>
      <c r="J637" s="635"/>
      <c r="K637" s="635"/>
      <c r="L637" s="635"/>
      <c r="M637" s="635"/>
      <c r="N637" s="636"/>
      <c r="O637" s="635"/>
      <c r="P637" s="637"/>
      <c r="Q637" s="637"/>
      <c r="R637" s="635"/>
      <c r="S637" s="637"/>
      <c r="T637" s="644"/>
    </row>
    <row r="638" spans="1:20" x14ac:dyDescent="0.25">
      <c r="A638" s="23"/>
      <c r="B638" s="24"/>
      <c r="C638" s="25"/>
      <c r="D638" s="27"/>
      <c r="E638" s="27"/>
      <c r="F638" s="28"/>
      <c r="G638" s="27"/>
      <c r="H638" s="548"/>
      <c r="I638" s="27"/>
      <c r="J638" s="635"/>
      <c r="K638" s="635"/>
      <c r="L638" s="635"/>
      <c r="M638" s="635"/>
      <c r="N638" s="636"/>
      <c r="O638" s="635"/>
      <c r="P638" s="637"/>
      <c r="Q638" s="637"/>
      <c r="R638" s="635"/>
      <c r="S638" s="637"/>
      <c r="T638" s="644"/>
    </row>
    <row r="639" spans="1:20" x14ac:dyDescent="0.25">
      <c r="A639" s="23"/>
      <c r="B639" s="24"/>
      <c r="C639" s="25"/>
      <c r="D639" s="27"/>
      <c r="E639" s="27"/>
      <c r="F639" s="28"/>
      <c r="G639" s="27"/>
      <c r="H639" s="548"/>
      <c r="I639" s="27"/>
      <c r="J639" s="635"/>
      <c r="K639" s="635"/>
      <c r="L639" s="635"/>
      <c r="M639" s="635"/>
      <c r="N639" s="636"/>
      <c r="O639" s="635"/>
      <c r="P639" s="637"/>
      <c r="Q639" s="637"/>
      <c r="R639" s="635"/>
      <c r="S639" s="637"/>
      <c r="T639" s="644"/>
    </row>
    <row r="640" spans="1:20" x14ac:dyDescent="0.25">
      <c r="A640" s="23"/>
      <c r="B640" s="24"/>
      <c r="C640" s="25"/>
      <c r="D640" s="27"/>
      <c r="E640" s="27"/>
      <c r="F640" s="28"/>
      <c r="G640" s="27"/>
      <c r="H640" s="548"/>
      <c r="I640" s="27"/>
      <c r="J640" s="635"/>
      <c r="K640" s="635"/>
      <c r="L640" s="635"/>
      <c r="M640" s="635"/>
      <c r="N640" s="636"/>
      <c r="O640" s="635"/>
      <c r="P640" s="637"/>
      <c r="Q640" s="637"/>
      <c r="R640" s="635"/>
      <c r="S640" s="637"/>
      <c r="T640" s="644"/>
    </row>
    <row r="641" spans="1:20" x14ac:dyDescent="0.25">
      <c r="A641" s="23"/>
      <c r="B641" s="24"/>
      <c r="C641" s="25"/>
      <c r="D641" s="27"/>
      <c r="E641" s="27"/>
      <c r="F641" s="28"/>
      <c r="G641" s="27"/>
      <c r="H641" s="548"/>
      <c r="I641" s="27"/>
      <c r="J641" s="635"/>
      <c r="K641" s="635"/>
      <c r="L641" s="635"/>
      <c r="M641" s="635"/>
      <c r="N641" s="636"/>
      <c r="O641" s="635"/>
      <c r="P641" s="637"/>
      <c r="Q641" s="637"/>
      <c r="R641" s="635"/>
      <c r="S641" s="637"/>
      <c r="T641" s="644"/>
    </row>
    <row r="642" spans="1:20" x14ac:dyDescent="0.25">
      <c r="A642" s="23"/>
      <c r="B642" s="24"/>
      <c r="C642" s="25"/>
      <c r="D642" s="27"/>
      <c r="E642" s="27"/>
      <c r="F642" s="28"/>
      <c r="G642" s="27"/>
      <c r="H642" s="548"/>
      <c r="I642" s="27"/>
      <c r="J642" s="635"/>
      <c r="K642" s="635"/>
      <c r="L642" s="635"/>
      <c r="M642" s="635"/>
      <c r="N642" s="636"/>
      <c r="O642" s="635"/>
      <c r="P642" s="637"/>
      <c r="Q642" s="637"/>
      <c r="R642" s="635"/>
      <c r="S642" s="637"/>
      <c r="T642" s="644"/>
    </row>
    <row r="643" spans="1:20" x14ac:dyDescent="0.25">
      <c r="A643" s="23"/>
      <c r="B643" s="24"/>
      <c r="C643" s="25"/>
      <c r="D643" s="27"/>
      <c r="E643" s="27"/>
      <c r="F643" s="28"/>
      <c r="G643" s="27"/>
      <c r="H643" s="548"/>
      <c r="I643" s="27"/>
      <c r="J643" s="635"/>
      <c r="K643" s="635"/>
      <c r="L643" s="635"/>
      <c r="M643" s="635"/>
      <c r="N643" s="636"/>
      <c r="O643" s="635"/>
      <c r="P643" s="637"/>
      <c r="Q643" s="637"/>
      <c r="R643" s="635"/>
      <c r="S643" s="637"/>
      <c r="T643" s="644"/>
    </row>
    <row r="644" spans="1:20" x14ac:dyDescent="0.25">
      <c r="A644" s="23"/>
      <c r="B644" s="24"/>
      <c r="C644" s="25"/>
      <c r="D644" s="27"/>
      <c r="E644" s="27"/>
      <c r="F644" s="28"/>
      <c r="G644" s="27"/>
      <c r="H644" s="548"/>
      <c r="I644" s="27"/>
      <c r="J644" s="635"/>
      <c r="K644" s="635"/>
      <c r="L644" s="635"/>
      <c r="M644" s="635"/>
      <c r="N644" s="636"/>
      <c r="O644" s="635"/>
      <c r="P644" s="637"/>
      <c r="Q644" s="637"/>
      <c r="R644" s="635"/>
      <c r="S644" s="637"/>
      <c r="T644" s="644"/>
    </row>
    <row r="645" spans="1:20" x14ac:dyDescent="0.25">
      <c r="A645" s="23"/>
      <c r="B645" s="24"/>
      <c r="C645" s="25"/>
      <c r="D645" s="27"/>
      <c r="E645" s="27"/>
      <c r="F645" s="28"/>
      <c r="G645" s="27"/>
      <c r="H645" s="548"/>
      <c r="I645" s="27"/>
      <c r="J645" s="635"/>
      <c r="K645" s="635"/>
      <c r="L645" s="635"/>
      <c r="M645" s="635"/>
      <c r="N645" s="636"/>
      <c r="O645" s="635"/>
      <c r="P645" s="637"/>
      <c r="Q645" s="637"/>
      <c r="R645" s="635"/>
      <c r="S645" s="637"/>
      <c r="T645" s="644"/>
    </row>
    <row r="646" spans="1:20" x14ac:dyDescent="0.25">
      <c r="A646" s="23"/>
      <c r="B646" s="24"/>
      <c r="C646" s="25"/>
      <c r="D646" s="27"/>
      <c r="E646" s="27"/>
      <c r="F646" s="28"/>
      <c r="G646" s="27"/>
      <c r="H646" s="548"/>
      <c r="I646" s="27"/>
      <c r="J646" s="635"/>
      <c r="K646" s="635"/>
      <c r="L646" s="635"/>
      <c r="M646" s="635"/>
      <c r="N646" s="636"/>
      <c r="O646" s="635"/>
      <c r="P646" s="637"/>
      <c r="Q646" s="637"/>
      <c r="R646" s="635"/>
      <c r="S646" s="637"/>
      <c r="T646" s="644"/>
    </row>
    <row r="647" spans="1:20" x14ac:dyDescent="0.25">
      <c r="A647" s="23"/>
      <c r="B647" s="24"/>
      <c r="C647" s="25"/>
      <c r="D647" s="27"/>
      <c r="E647" s="27"/>
      <c r="F647" s="28"/>
      <c r="G647" s="27"/>
      <c r="H647" s="548"/>
      <c r="I647" s="27"/>
      <c r="J647" s="635"/>
      <c r="K647" s="635"/>
      <c r="L647" s="635"/>
      <c r="M647" s="635"/>
      <c r="N647" s="636"/>
      <c r="O647" s="635"/>
      <c r="P647" s="637"/>
      <c r="Q647" s="637"/>
      <c r="R647" s="635"/>
      <c r="S647" s="637"/>
      <c r="T647" s="644"/>
    </row>
    <row r="648" spans="1:20" x14ac:dyDescent="0.25">
      <c r="A648" s="23"/>
      <c r="B648" s="24"/>
      <c r="C648" s="25"/>
      <c r="D648" s="27"/>
      <c r="E648" s="27"/>
      <c r="F648" s="28"/>
      <c r="G648" s="27"/>
      <c r="H648" s="548"/>
      <c r="I648" s="27"/>
      <c r="J648" s="635"/>
      <c r="K648" s="635"/>
      <c r="L648" s="635"/>
      <c r="M648" s="635"/>
      <c r="N648" s="636"/>
      <c r="O648" s="635"/>
      <c r="P648" s="637"/>
      <c r="Q648" s="637"/>
      <c r="R648" s="635"/>
      <c r="S648" s="637"/>
      <c r="T648" s="644"/>
    </row>
    <row r="649" spans="1:20" x14ac:dyDescent="0.25">
      <c r="A649" s="23"/>
      <c r="B649" s="24"/>
      <c r="C649" s="25"/>
      <c r="D649" s="27"/>
      <c r="E649" s="27"/>
      <c r="F649" s="28"/>
      <c r="G649" s="27"/>
      <c r="H649" s="548"/>
      <c r="I649" s="27"/>
      <c r="J649" s="635"/>
      <c r="K649" s="635"/>
      <c r="L649" s="635"/>
      <c r="M649" s="635"/>
      <c r="N649" s="636"/>
      <c r="O649" s="635"/>
      <c r="P649" s="637"/>
      <c r="Q649" s="637"/>
      <c r="R649" s="635"/>
      <c r="S649" s="637"/>
      <c r="T649" s="644"/>
    </row>
    <row r="650" spans="1:20" x14ac:dyDescent="0.25">
      <c r="A650" s="23"/>
      <c r="B650" s="24"/>
      <c r="C650" s="25"/>
      <c r="D650" s="27"/>
      <c r="E650" s="27"/>
      <c r="F650" s="28"/>
      <c r="G650" s="27"/>
      <c r="H650" s="548"/>
      <c r="I650" s="27"/>
      <c r="J650" s="635"/>
      <c r="K650" s="635"/>
      <c r="L650" s="635"/>
      <c r="M650" s="635"/>
      <c r="N650" s="636"/>
      <c r="O650" s="635"/>
      <c r="P650" s="637"/>
      <c r="Q650" s="637"/>
      <c r="R650" s="635"/>
      <c r="S650" s="637"/>
      <c r="T650" s="644"/>
    </row>
    <row r="651" spans="1:20" x14ac:dyDescent="0.25">
      <c r="A651" s="23"/>
      <c r="B651" s="24"/>
      <c r="C651" s="25"/>
      <c r="D651" s="27"/>
      <c r="E651" s="27"/>
      <c r="F651" s="28"/>
      <c r="G651" s="27"/>
      <c r="H651" s="548"/>
      <c r="I651" s="27"/>
      <c r="J651" s="635"/>
      <c r="K651" s="635"/>
      <c r="L651" s="635"/>
      <c r="M651" s="635"/>
      <c r="N651" s="636"/>
      <c r="O651" s="635"/>
      <c r="P651" s="637"/>
      <c r="Q651" s="637"/>
      <c r="R651" s="635"/>
      <c r="S651" s="637"/>
      <c r="T651" s="644"/>
    </row>
    <row r="652" spans="1:20" x14ac:dyDescent="0.25">
      <c r="A652" s="23"/>
      <c r="B652" s="24"/>
      <c r="C652" s="25"/>
      <c r="D652" s="27"/>
      <c r="E652" s="27"/>
      <c r="F652" s="28"/>
      <c r="G652" s="27"/>
      <c r="H652" s="548"/>
      <c r="I652" s="27"/>
      <c r="J652" s="635"/>
      <c r="K652" s="635"/>
      <c r="L652" s="635"/>
      <c r="M652" s="635"/>
      <c r="N652" s="636"/>
      <c r="O652" s="635"/>
      <c r="P652" s="637"/>
      <c r="Q652" s="637"/>
      <c r="R652" s="635"/>
      <c r="S652" s="637"/>
      <c r="T652" s="644"/>
    </row>
    <row r="653" spans="1:20" x14ac:dyDescent="0.25">
      <c r="A653" s="23"/>
      <c r="B653" s="24"/>
      <c r="C653" s="25"/>
      <c r="D653" s="27"/>
      <c r="E653" s="27"/>
      <c r="F653" s="28"/>
      <c r="G653" s="27"/>
      <c r="H653" s="548"/>
      <c r="I653" s="27"/>
      <c r="J653" s="635"/>
      <c r="K653" s="635"/>
      <c r="L653" s="635"/>
      <c r="M653" s="635"/>
      <c r="N653" s="636"/>
      <c r="O653" s="635"/>
      <c r="P653" s="637"/>
      <c r="Q653" s="637"/>
      <c r="R653" s="635"/>
      <c r="S653" s="637"/>
      <c r="T653" s="644"/>
    </row>
    <row r="654" spans="1:20" x14ac:dyDescent="0.25">
      <c r="A654" s="23"/>
      <c r="B654" s="24"/>
      <c r="C654" s="25"/>
      <c r="D654" s="27"/>
      <c r="E654" s="27"/>
      <c r="F654" s="28"/>
      <c r="G654" s="27"/>
      <c r="H654" s="548"/>
      <c r="I654" s="27"/>
      <c r="J654" s="635"/>
      <c r="K654" s="635"/>
      <c r="L654" s="635"/>
      <c r="M654" s="635"/>
      <c r="N654" s="636"/>
      <c r="O654" s="635"/>
      <c r="P654" s="637"/>
      <c r="Q654" s="637"/>
      <c r="R654" s="635"/>
      <c r="S654" s="637"/>
      <c r="T654" s="644"/>
    </row>
    <row r="655" spans="1:20" x14ac:dyDescent="0.25">
      <c r="A655" s="23"/>
      <c r="B655" s="24"/>
      <c r="C655" s="25"/>
      <c r="D655" s="27"/>
      <c r="E655" s="27"/>
      <c r="F655" s="28"/>
      <c r="G655" s="27"/>
      <c r="H655" s="548"/>
      <c r="I655" s="27"/>
      <c r="J655" s="635"/>
      <c r="K655" s="635"/>
      <c r="L655" s="635"/>
      <c r="M655" s="635"/>
      <c r="N655" s="636"/>
      <c r="O655" s="635"/>
      <c r="P655" s="637"/>
      <c r="Q655" s="637"/>
      <c r="R655" s="635"/>
      <c r="S655" s="637"/>
      <c r="T655" s="644"/>
    </row>
    <row r="656" spans="1:20" x14ac:dyDescent="0.25">
      <c r="A656" s="23"/>
      <c r="B656" s="24"/>
      <c r="C656" s="25"/>
      <c r="D656" s="27"/>
      <c r="E656" s="27"/>
      <c r="F656" s="28"/>
      <c r="G656" s="27"/>
      <c r="H656" s="548"/>
      <c r="I656" s="27"/>
      <c r="J656" s="635"/>
      <c r="K656" s="635"/>
      <c r="L656" s="635"/>
      <c r="M656" s="635"/>
      <c r="N656" s="636"/>
      <c r="O656" s="635"/>
      <c r="P656" s="637"/>
      <c r="Q656" s="637"/>
      <c r="R656" s="635"/>
      <c r="S656" s="637"/>
      <c r="T656" s="644"/>
    </row>
    <row r="657" spans="1:20" x14ac:dyDescent="0.25">
      <c r="A657" s="23"/>
      <c r="B657" s="24"/>
      <c r="C657" s="25"/>
      <c r="D657" s="27"/>
      <c r="E657" s="27"/>
      <c r="F657" s="28"/>
      <c r="G657" s="27"/>
      <c r="H657" s="548"/>
      <c r="I657" s="27"/>
      <c r="J657" s="635"/>
      <c r="K657" s="635"/>
      <c r="L657" s="635"/>
      <c r="M657" s="635"/>
      <c r="N657" s="636"/>
      <c r="O657" s="635"/>
      <c r="P657" s="637"/>
      <c r="Q657" s="637"/>
      <c r="R657" s="635"/>
      <c r="S657" s="637"/>
      <c r="T657" s="644"/>
    </row>
    <row r="658" spans="1:20" x14ac:dyDescent="0.25">
      <c r="A658" s="23"/>
      <c r="B658" s="24"/>
      <c r="C658" s="25"/>
      <c r="D658" s="27"/>
      <c r="E658" s="27"/>
      <c r="F658" s="28"/>
      <c r="G658" s="27"/>
      <c r="H658" s="548"/>
      <c r="I658" s="27"/>
      <c r="J658" s="635"/>
      <c r="K658" s="635"/>
      <c r="L658" s="635"/>
      <c r="M658" s="635"/>
      <c r="N658" s="636"/>
      <c r="O658" s="635"/>
      <c r="P658" s="637"/>
      <c r="Q658" s="637"/>
      <c r="R658" s="635"/>
      <c r="S658" s="637"/>
      <c r="T658" s="644"/>
    </row>
    <row r="659" spans="1:20" x14ac:dyDescent="0.25">
      <c r="A659" s="23"/>
      <c r="B659" s="24"/>
      <c r="C659" s="25"/>
      <c r="D659" s="27"/>
      <c r="E659" s="27"/>
      <c r="F659" s="28"/>
      <c r="G659" s="27"/>
      <c r="H659" s="548"/>
      <c r="I659" s="27"/>
      <c r="J659" s="635"/>
      <c r="K659" s="635"/>
      <c r="L659" s="635"/>
      <c r="M659" s="635"/>
      <c r="N659" s="636"/>
      <c r="O659" s="635"/>
      <c r="P659" s="637"/>
      <c r="Q659" s="637"/>
      <c r="R659" s="635"/>
      <c r="S659" s="637"/>
      <c r="T659" s="644"/>
    </row>
    <row r="660" spans="1:20" x14ac:dyDescent="0.25">
      <c r="A660" s="23"/>
      <c r="B660" s="24"/>
      <c r="C660" s="25"/>
      <c r="D660" s="27"/>
      <c r="E660" s="27"/>
      <c r="F660" s="28"/>
      <c r="G660" s="27"/>
      <c r="H660" s="548"/>
      <c r="I660" s="27"/>
      <c r="J660" s="635"/>
      <c r="K660" s="635"/>
      <c r="L660" s="635"/>
      <c r="M660" s="635"/>
      <c r="N660" s="636"/>
      <c r="O660" s="635"/>
      <c r="P660" s="637"/>
      <c r="Q660" s="637"/>
      <c r="R660" s="635"/>
      <c r="S660" s="637"/>
      <c r="T660" s="644"/>
    </row>
    <row r="661" spans="1:20" x14ac:dyDescent="0.25">
      <c r="A661" s="23"/>
      <c r="B661" s="24"/>
      <c r="C661" s="25"/>
      <c r="D661" s="27"/>
      <c r="E661" s="27"/>
      <c r="F661" s="28"/>
      <c r="G661" s="27"/>
      <c r="H661" s="548"/>
      <c r="I661" s="27"/>
      <c r="J661" s="635"/>
      <c r="K661" s="635"/>
      <c r="L661" s="635"/>
      <c r="M661" s="635"/>
      <c r="N661" s="636"/>
      <c r="O661" s="635"/>
      <c r="P661" s="637"/>
      <c r="Q661" s="637"/>
      <c r="R661" s="635"/>
      <c r="S661" s="637"/>
      <c r="T661" s="644"/>
    </row>
    <row r="662" spans="1:20" x14ac:dyDescent="0.25">
      <c r="A662" s="23"/>
      <c r="B662" s="24"/>
      <c r="C662" s="25"/>
      <c r="D662" s="27"/>
      <c r="E662" s="27"/>
      <c r="F662" s="28"/>
      <c r="G662" s="27"/>
      <c r="H662" s="548"/>
      <c r="I662" s="27"/>
      <c r="J662" s="635"/>
      <c r="K662" s="635"/>
      <c r="L662" s="635"/>
      <c r="M662" s="635"/>
      <c r="N662" s="636"/>
      <c r="O662" s="635"/>
      <c r="P662" s="637"/>
      <c r="Q662" s="637"/>
      <c r="R662" s="635"/>
      <c r="S662" s="637"/>
      <c r="T662" s="644"/>
    </row>
    <row r="663" spans="1:20" x14ac:dyDescent="0.25">
      <c r="A663" s="23"/>
      <c r="B663" s="24"/>
      <c r="C663" s="25"/>
      <c r="D663" s="27"/>
      <c r="E663" s="27"/>
      <c r="F663" s="28"/>
      <c r="G663" s="27"/>
      <c r="H663" s="548"/>
      <c r="I663" s="27"/>
      <c r="J663" s="635"/>
      <c r="K663" s="635"/>
      <c r="L663" s="635"/>
      <c r="M663" s="635"/>
      <c r="N663" s="636"/>
      <c r="O663" s="635"/>
      <c r="P663" s="637"/>
      <c r="Q663" s="637"/>
      <c r="R663" s="635"/>
      <c r="S663" s="637"/>
      <c r="T663" s="644"/>
    </row>
    <row r="664" spans="1:20" x14ac:dyDescent="0.25">
      <c r="A664" s="23"/>
      <c r="B664" s="24"/>
      <c r="C664" s="25"/>
      <c r="D664" s="27"/>
      <c r="E664" s="27"/>
      <c r="F664" s="28"/>
      <c r="G664" s="27"/>
      <c r="H664" s="548"/>
      <c r="I664" s="27"/>
      <c r="J664" s="635"/>
      <c r="K664" s="635"/>
      <c r="L664" s="635"/>
      <c r="M664" s="635"/>
      <c r="N664" s="636"/>
      <c r="O664" s="635"/>
      <c r="P664" s="637"/>
      <c r="Q664" s="637"/>
      <c r="R664" s="635"/>
      <c r="S664" s="637"/>
      <c r="T664" s="644"/>
    </row>
    <row r="665" spans="1:20" x14ac:dyDescent="0.25">
      <c r="A665" s="23"/>
      <c r="B665" s="24"/>
      <c r="C665" s="25"/>
      <c r="D665" s="27"/>
      <c r="E665" s="27"/>
      <c r="F665" s="28"/>
      <c r="G665" s="27"/>
      <c r="H665" s="548"/>
      <c r="I665" s="27"/>
      <c r="J665" s="635"/>
      <c r="K665" s="635"/>
      <c r="L665" s="635"/>
      <c r="M665" s="635"/>
      <c r="N665" s="636"/>
      <c r="O665" s="635"/>
      <c r="P665" s="637"/>
      <c r="Q665" s="637"/>
      <c r="R665" s="635"/>
      <c r="S665" s="637"/>
      <c r="T665" s="644"/>
    </row>
    <row r="666" spans="1:20" x14ac:dyDescent="0.25">
      <c r="A666" s="23"/>
      <c r="B666" s="24"/>
      <c r="C666" s="25"/>
      <c r="D666" s="27"/>
      <c r="E666" s="27"/>
      <c r="F666" s="28"/>
      <c r="G666" s="27"/>
      <c r="H666" s="548"/>
      <c r="I666" s="27"/>
      <c r="J666" s="635"/>
      <c r="K666" s="635"/>
      <c r="L666" s="635"/>
      <c r="M666" s="635"/>
      <c r="N666" s="636"/>
      <c r="O666" s="635"/>
      <c r="P666" s="637"/>
      <c r="Q666" s="637"/>
      <c r="R666" s="635"/>
      <c r="S666" s="637"/>
      <c r="T666" s="644"/>
    </row>
    <row r="667" spans="1:20" x14ac:dyDescent="0.25">
      <c r="A667" s="23"/>
      <c r="B667" s="24"/>
      <c r="C667" s="25"/>
      <c r="D667" s="27"/>
      <c r="E667" s="27"/>
      <c r="F667" s="28"/>
      <c r="G667" s="27"/>
      <c r="H667" s="548"/>
      <c r="I667" s="27"/>
      <c r="J667" s="635"/>
      <c r="K667" s="635"/>
      <c r="L667" s="635"/>
      <c r="M667" s="635"/>
      <c r="N667" s="636"/>
      <c r="O667" s="635"/>
      <c r="P667" s="637"/>
      <c r="Q667" s="637"/>
      <c r="R667" s="635"/>
      <c r="S667" s="637"/>
      <c r="T667" s="644"/>
    </row>
    <row r="668" spans="1:20" x14ac:dyDescent="0.25">
      <c r="A668" s="23"/>
      <c r="B668" s="24"/>
      <c r="C668" s="25"/>
      <c r="D668" s="27"/>
      <c r="E668" s="27"/>
      <c r="F668" s="28"/>
      <c r="G668" s="27"/>
      <c r="H668" s="548"/>
      <c r="I668" s="27"/>
      <c r="J668" s="635"/>
      <c r="K668" s="635"/>
      <c r="L668" s="635"/>
      <c r="M668" s="635"/>
      <c r="N668" s="636"/>
      <c r="O668" s="635"/>
      <c r="P668" s="637"/>
      <c r="Q668" s="637"/>
      <c r="R668" s="635"/>
      <c r="S668" s="637"/>
      <c r="T668" s="644"/>
    </row>
    <row r="669" spans="1:20" x14ac:dyDescent="0.25">
      <c r="A669" s="23"/>
      <c r="B669" s="24"/>
      <c r="C669" s="25"/>
      <c r="D669" s="27"/>
      <c r="E669" s="27"/>
      <c r="F669" s="28"/>
      <c r="G669" s="27"/>
      <c r="H669" s="548"/>
      <c r="I669" s="27"/>
      <c r="J669" s="635"/>
      <c r="K669" s="635"/>
      <c r="L669" s="635"/>
      <c r="M669" s="635"/>
      <c r="N669" s="636"/>
      <c r="O669" s="635"/>
      <c r="P669" s="637"/>
      <c r="Q669" s="637"/>
      <c r="R669" s="635"/>
      <c r="S669" s="637"/>
      <c r="T669" s="644"/>
    </row>
    <row r="670" spans="1:20" x14ac:dyDescent="0.25">
      <c r="A670" s="23"/>
      <c r="B670" s="24"/>
      <c r="C670" s="25"/>
      <c r="D670" s="27"/>
      <c r="E670" s="27"/>
      <c r="F670" s="28"/>
      <c r="G670" s="27"/>
      <c r="H670" s="548"/>
      <c r="I670" s="27"/>
      <c r="J670" s="635"/>
      <c r="K670" s="635"/>
      <c r="L670" s="635"/>
      <c r="M670" s="635"/>
      <c r="N670" s="636"/>
      <c r="O670" s="635"/>
      <c r="P670" s="637"/>
      <c r="Q670" s="637"/>
      <c r="R670" s="635"/>
      <c r="S670" s="637"/>
      <c r="T670" s="644"/>
    </row>
    <row r="671" spans="1:20" x14ac:dyDescent="0.25">
      <c r="A671" s="23"/>
      <c r="B671" s="24"/>
      <c r="C671" s="25"/>
      <c r="D671" s="27"/>
      <c r="E671" s="27"/>
      <c r="F671" s="28"/>
      <c r="G671" s="27"/>
      <c r="H671" s="548"/>
      <c r="I671" s="27"/>
      <c r="J671" s="635"/>
      <c r="K671" s="635"/>
      <c r="L671" s="635"/>
      <c r="M671" s="635"/>
      <c r="N671" s="636"/>
      <c r="O671" s="635"/>
      <c r="P671" s="637"/>
      <c r="Q671" s="637"/>
      <c r="R671" s="635"/>
      <c r="S671" s="637"/>
      <c r="T671" s="644"/>
    </row>
    <row r="672" spans="1:20" x14ac:dyDescent="0.25">
      <c r="A672" s="23"/>
      <c r="B672" s="24"/>
      <c r="C672" s="25"/>
      <c r="D672" s="27"/>
      <c r="E672" s="27"/>
      <c r="F672" s="28"/>
      <c r="G672" s="27"/>
      <c r="H672" s="548"/>
      <c r="I672" s="27"/>
      <c r="J672" s="635"/>
      <c r="K672" s="635"/>
      <c r="L672" s="635"/>
      <c r="M672" s="635"/>
      <c r="N672" s="636"/>
      <c r="O672" s="635"/>
      <c r="P672" s="637"/>
      <c r="Q672" s="637"/>
      <c r="R672" s="635"/>
      <c r="S672" s="637"/>
      <c r="T672" s="644"/>
    </row>
    <row r="673" spans="1:20" x14ac:dyDescent="0.25">
      <c r="A673" s="23"/>
      <c r="B673" s="24"/>
      <c r="C673" s="25"/>
      <c r="D673" s="27"/>
      <c r="E673" s="27"/>
      <c r="F673" s="28"/>
      <c r="G673" s="27"/>
      <c r="H673" s="548"/>
      <c r="I673" s="27"/>
      <c r="J673" s="635"/>
      <c r="K673" s="635"/>
      <c r="L673" s="635"/>
      <c r="M673" s="635"/>
      <c r="N673" s="636"/>
      <c r="O673" s="635"/>
      <c r="P673" s="637"/>
      <c r="Q673" s="637"/>
      <c r="R673" s="635"/>
      <c r="S673" s="637"/>
      <c r="T673" s="644"/>
    </row>
    <row r="674" spans="1:20" x14ac:dyDescent="0.25">
      <c r="A674" s="23"/>
      <c r="B674" s="24"/>
      <c r="C674" s="25"/>
      <c r="D674" s="27"/>
      <c r="E674" s="27"/>
      <c r="F674" s="28"/>
      <c r="G674" s="27"/>
      <c r="H674" s="548"/>
      <c r="I674" s="27"/>
      <c r="J674" s="635"/>
      <c r="K674" s="635"/>
      <c r="L674" s="635"/>
      <c r="M674" s="635"/>
      <c r="N674" s="636"/>
      <c r="O674" s="635"/>
      <c r="P674" s="637"/>
      <c r="Q674" s="637"/>
      <c r="R674" s="635"/>
      <c r="S674" s="637"/>
      <c r="T674" s="644"/>
    </row>
    <row r="675" spans="1:20" x14ac:dyDescent="0.25">
      <c r="A675" s="23"/>
      <c r="B675" s="24"/>
      <c r="C675" s="25"/>
      <c r="D675" s="27"/>
      <c r="E675" s="27"/>
      <c r="F675" s="28"/>
      <c r="G675" s="27"/>
      <c r="H675" s="548"/>
      <c r="I675" s="27"/>
      <c r="J675" s="635"/>
      <c r="K675" s="635"/>
      <c r="L675" s="635"/>
      <c r="M675" s="635"/>
      <c r="N675" s="636"/>
      <c r="O675" s="635"/>
      <c r="P675" s="637"/>
      <c r="Q675" s="637"/>
      <c r="R675" s="635"/>
      <c r="S675" s="637"/>
      <c r="T675" s="644"/>
    </row>
    <row r="676" spans="1:20" x14ac:dyDescent="0.25">
      <c r="A676" s="23"/>
      <c r="B676" s="24"/>
      <c r="C676" s="25"/>
      <c r="D676" s="27"/>
      <c r="E676" s="27"/>
      <c r="F676" s="28"/>
      <c r="G676" s="27"/>
      <c r="H676" s="548"/>
      <c r="I676" s="27"/>
      <c r="J676" s="635"/>
      <c r="K676" s="635"/>
      <c r="L676" s="635"/>
      <c r="M676" s="635"/>
      <c r="N676" s="636"/>
      <c r="O676" s="635"/>
      <c r="P676" s="637"/>
      <c r="Q676" s="637"/>
      <c r="R676" s="635"/>
      <c r="S676" s="637"/>
      <c r="T676" s="644"/>
    </row>
    <row r="677" spans="1:20" x14ac:dyDescent="0.25">
      <c r="A677" s="23"/>
      <c r="B677" s="24"/>
      <c r="C677" s="25"/>
      <c r="D677" s="27"/>
      <c r="E677" s="27"/>
      <c r="F677" s="28"/>
      <c r="G677" s="27"/>
      <c r="H677" s="548"/>
      <c r="I677" s="27"/>
      <c r="J677" s="635"/>
      <c r="K677" s="635"/>
      <c r="L677" s="635"/>
      <c r="M677" s="635"/>
      <c r="N677" s="636"/>
      <c r="O677" s="635"/>
      <c r="P677" s="637"/>
      <c r="Q677" s="637"/>
      <c r="R677" s="635"/>
      <c r="S677" s="637"/>
      <c r="T677" s="644"/>
    </row>
    <row r="678" spans="1:20" x14ac:dyDescent="0.25">
      <c r="A678" s="23"/>
      <c r="B678" s="24"/>
      <c r="C678" s="25"/>
      <c r="D678" s="27"/>
      <c r="E678" s="27"/>
      <c r="F678" s="28"/>
      <c r="G678" s="27"/>
      <c r="H678" s="548"/>
      <c r="I678" s="27"/>
      <c r="J678" s="635"/>
      <c r="K678" s="635"/>
      <c r="L678" s="635"/>
      <c r="M678" s="635"/>
      <c r="N678" s="636"/>
      <c r="O678" s="635"/>
      <c r="P678" s="637"/>
      <c r="Q678" s="637"/>
      <c r="R678" s="635"/>
      <c r="S678" s="637"/>
      <c r="T678" s="644"/>
    </row>
    <row r="679" spans="1:20" x14ac:dyDescent="0.25">
      <c r="A679" s="23"/>
      <c r="B679" s="24"/>
      <c r="C679" s="25"/>
      <c r="D679" s="27"/>
      <c r="E679" s="27"/>
      <c r="F679" s="28"/>
      <c r="G679" s="27"/>
      <c r="H679" s="548"/>
      <c r="I679" s="27"/>
      <c r="J679" s="635"/>
      <c r="K679" s="635"/>
      <c r="L679" s="635"/>
      <c r="M679" s="635"/>
      <c r="N679" s="636"/>
      <c r="O679" s="635"/>
      <c r="P679" s="637"/>
      <c r="Q679" s="637"/>
      <c r="R679" s="635"/>
      <c r="S679" s="637"/>
      <c r="T679" s="644"/>
    </row>
    <row r="680" spans="1:20" x14ac:dyDescent="0.25">
      <c r="A680" s="23"/>
      <c r="B680" s="24"/>
      <c r="C680" s="25"/>
      <c r="D680" s="27"/>
      <c r="E680" s="27"/>
      <c r="F680" s="28"/>
      <c r="G680" s="27"/>
      <c r="H680" s="548"/>
      <c r="I680" s="27"/>
      <c r="J680" s="635"/>
      <c r="K680" s="635"/>
      <c r="L680" s="635"/>
      <c r="M680" s="635"/>
      <c r="N680" s="636"/>
      <c r="O680" s="635"/>
      <c r="P680" s="637"/>
      <c r="Q680" s="637"/>
      <c r="R680" s="635"/>
      <c r="S680" s="637"/>
      <c r="T680" s="644"/>
    </row>
    <row r="681" spans="1:20" x14ac:dyDescent="0.25">
      <c r="A681" s="23"/>
      <c r="B681" s="24"/>
      <c r="C681" s="25"/>
      <c r="D681" s="27"/>
      <c r="E681" s="27"/>
      <c r="F681" s="28"/>
      <c r="G681" s="27"/>
      <c r="H681" s="548"/>
      <c r="I681" s="27"/>
      <c r="J681" s="635"/>
      <c r="K681" s="635"/>
      <c r="L681" s="635"/>
      <c r="M681" s="635"/>
      <c r="N681" s="636"/>
      <c r="O681" s="635"/>
      <c r="P681" s="637"/>
      <c r="Q681" s="637"/>
      <c r="R681" s="635"/>
      <c r="S681" s="637"/>
      <c r="T681" s="644"/>
    </row>
    <row r="682" spans="1:20" x14ac:dyDescent="0.25">
      <c r="A682" s="23"/>
      <c r="B682" s="24"/>
      <c r="C682" s="25"/>
      <c r="D682" s="27"/>
      <c r="E682" s="27"/>
      <c r="F682" s="28"/>
      <c r="G682" s="27"/>
      <c r="H682" s="548"/>
      <c r="I682" s="27"/>
      <c r="J682" s="635"/>
      <c r="K682" s="635"/>
      <c r="L682" s="635"/>
      <c r="M682" s="635"/>
      <c r="N682" s="636"/>
      <c r="O682" s="635"/>
      <c r="P682" s="637"/>
      <c r="Q682" s="637"/>
      <c r="R682" s="635"/>
      <c r="S682" s="637"/>
      <c r="T682" s="644"/>
    </row>
    <row r="683" spans="1:20" x14ac:dyDescent="0.25">
      <c r="A683" s="23"/>
      <c r="B683" s="24"/>
      <c r="C683" s="25"/>
      <c r="D683" s="27"/>
      <c r="E683" s="27"/>
      <c r="F683" s="28"/>
      <c r="G683" s="27"/>
      <c r="H683" s="548"/>
      <c r="I683" s="27"/>
      <c r="J683" s="635"/>
      <c r="K683" s="635"/>
      <c r="L683" s="635"/>
      <c r="M683" s="635"/>
      <c r="N683" s="636"/>
      <c r="O683" s="635"/>
      <c r="P683" s="637"/>
      <c r="Q683" s="637"/>
      <c r="R683" s="635"/>
      <c r="S683" s="637"/>
      <c r="T683" s="644"/>
    </row>
    <row r="684" spans="1:20" x14ac:dyDescent="0.25">
      <c r="A684" s="23"/>
      <c r="B684" s="24"/>
      <c r="C684" s="25"/>
      <c r="D684" s="27"/>
      <c r="E684" s="27"/>
      <c r="F684" s="28"/>
      <c r="G684" s="27"/>
      <c r="H684" s="548"/>
      <c r="I684" s="27"/>
      <c r="J684" s="635"/>
      <c r="K684" s="635"/>
      <c r="L684" s="635"/>
      <c r="M684" s="635"/>
      <c r="N684" s="636"/>
      <c r="O684" s="635"/>
      <c r="P684" s="637"/>
      <c r="Q684" s="637"/>
      <c r="R684" s="635"/>
      <c r="S684" s="637"/>
      <c r="T684" s="644"/>
    </row>
    <row r="685" spans="1:20" x14ac:dyDescent="0.25">
      <c r="A685" s="23"/>
      <c r="B685" s="24"/>
      <c r="C685" s="25"/>
      <c r="D685" s="27"/>
      <c r="E685" s="27"/>
      <c r="F685" s="28"/>
      <c r="G685" s="27"/>
      <c r="H685" s="548"/>
      <c r="I685" s="27"/>
      <c r="J685" s="635"/>
      <c r="K685" s="635"/>
      <c r="L685" s="635"/>
      <c r="M685" s="635"/>
      <c r="N685" s="636"/>
      <c r="O685" s="635"/>
      <c r="P685" s="637"/>
      <c r="Q685" s="637"/>
      <c r="R685" s="635"/>
      <c r="S685" s="637"/>
      <c r="T685" s="644"/>
    </row>
    <row r="686" spans="1:20" x14ac:dyDescent="0.25">
      <c r="A686" s="23"/>
      <c r="B686" s="24"/>
      <c r="C686" s="25"/>
      <c r="D686" s="27"/>
      <c r="E686" s="27"/>
      <c r="F686" s="28"/>
      <c r="G686" s="27"/>
      <c r="H686" s="548"/>
      <c r="I686" s="27"/>
      <c r="J686" s="635"/>
      <c r="K686" s="635"/>
      <c r="L686" s="635"/>
      <c r="M686" s="635"/>
      <c r="N686" s="636"/>
      <c r="O686" s="635"/>
      <c r="P686" s="637"/>
      <c r="Q686" s="637"/>
      <c r="R686" s="635"/>
      <c r="S686" s="637"/>
      <c r="T686" s="644"/>
    </row>
    <row r="687" spans="1:20" x14ac:dyDescent="0.25">
      <c r="A687" s="23"/>
      <c r="B687" s="24"/>
      <c r="C687" s="25"/>
      <c r="D687" s="27"/>
      <c r="E687" s="27"/>
      <c r="F687" s="28"/>
      <c r="G687" s="27"/>
      <c r="H687" s="548"/>
      <c r="I687" s="27"/>
      <c r="J687" s="635"/>
      <c r="K687" s="635"/>
      <c r="L687" s="635"/>
      <c r="M687" s="635"/>
      <c r="N687" s="636"/>
      <c r="O687" s="635"/>
      <c r="P687" s="637"/>
      <c r="Q687" s="637"/>
      <c r="R687" s="635"/>
      <c r="S687" s="637"/>
      <c r="T687" s="644"/>
    </row>
    <row r="688" spans="1:20" x14ac:dyDescent="0.25">
      <c r="A688" s="23"/>
      <c r="B688" s="24"/>
      <c r="C688" s="25"/>
      <c r="D688" s="27"/>
      <c r="E688" s="27"/>
      <c r="F688" s="28"/>
      <c r="G688" s="27"/>
      <c r="H688" s="548"/>
      <c r="I688" s="27"/>
      <c r="J688" s="635"/>
      <c r="K688" s="635"/>
      <c r="L688" s="635"/>
      <c r="M688" s="635"/>
      <c r="N688" s="636"/>
      <c r="O688" s="635"/>
      <c r="P688" s="637"/>
      <c r="Q688" s="637"/>
      <c r="R688" s="635"/>
      <c r="S688" s="637"/>
      <c r="T688" s="644"/>
    </row>
    <row r="689" spans="1:20" x14ac:dyDescent="0.25">
      <c r="A689" s="23"/>
      <c r="B689" s="24"/>
      <c r="C689" s="25"/>
      <c r="D689" s="27"/>
      <c r="E689" s="27"/>
      <c r="F689" s="28"/>
      <c r="G689" s="27"/>
      <c r="H689" s="548"/>
      <c r="I689" s="27"/>
      <c r="J689" s="635"/>
      <c r="K689" s="635"/>
      <c r="L689" s="635"/>
      <c r="M689" s="635"/>
      <c r="N689" s="636"/>
      <c r="O689" s="635"/>
      <c r="P689" s="637"/>
      <c r="Q689" s="637"/>
      <c r="R689" s="635"/>
      <c r="S689" s="637"/>
      <c r="T689" s="644"/>
    </row>
    <row r="690" spans="1:20" x14ac:dyDescent="0.25">
      <c r="A690" s="23"/>
      <c r="B690" s="24"/>
      <c r="C690" s="25"/>
      <c r="D690" s="27"/>
      <c r="E690" s="27"/>
      <c r="F690" s="28"/>
      <c r="G690" s="27"/>
      <c r="H690" s="548"/>
      <c r="I690" s="27"/>
      <c r="J690" s="635"/>
      <c r="K690" s="635"/>
      <c r="L690" s="635"/>
      <c r="M690" s="635"/>
      <c r="N690" s="636"/>
      <c r="O690" s="635"/>
      <c r="P690" s="637"/>
      <c r="Q690" s="637"/>
      <c r="R690" s="635"/>
      <c r="S690" s="637"/>
      <c r="T690" s="644"/>
    </row>
    <row r="691" spans="1:20" x14ac:dyDescent="0.25">
      <c r="A691" s="23"/>
      <c r="B691" s="24"/>
      <c r="C691" s="25"/>
      <c r="D691" s="27"/>
      <c r="E691" s="27"/>
      <c r="F691" s="28"/>
      <c r="G691" s="27"/>
      <c r="H691" s="548"/>
      <c r="I691" s="27"/>
      <c r="J691" s="635"/>
      <c r="K691" s="635"/>
      <c r="L691" s="635"/>
      <c r="M691" s="635"/>
      <c r="N691" s="636"/>
      <c r="O691" s="635"/>
      <c r="P691" s="637"/>
      <c r="Q691" s="637"/>
      <c r="R691" s="635"/>
      <c r="S691" s="637"/>
      <c r="T691" s="644"/>
    </row>
    <row r="692" spans="1:20" x14ac:dyDescent="0.25">
      <c r="A692" s="23"/>
      <c r="B692" s="24"/>
      <c r="C692" s="25"/>
      <c r="D692" s="27"/>
      <c r="E692" s="27"/>
      <c r="F692" s="28"/>
      <c r="G692" s="27"/>
      <c r="H692" s="548"/>
      <c r="I692" s="27"/>
      <c r="J692" s="635"/>
      <c r="K692" s="635"/>
      <c r="L692" s="635"/>
      <c r="M692" s="635"/>
      <c r="N692" s="636"/>
      <c r="O692" s="635"/>
      <c r="P692" s="637"/>
      <c r="Q692" s="637"/>
      <c r="R692" s="635"/>
      <c r="S692" s="637"/>
      <c r="T692" s="644"/>
    </row>
    <row r="693" spans="1:20" x14ac:dyDescent="0.25">
      <c r="A693" s="23"/>
      <c r="B693" s="24"/>
      <c r="C693" s="25"/>
      <c r="D693" s="27"/>
      <c r="E693" s="27"/>
      <c r="F693" s="28"/>
      <c r="G693" s="27"/>
      <c r="H693" s="548"/>
      <c r="I693" s="27"/>
      <c r="J693" s="635"/>
      <c r="K693" s="635"/>
      <c r="L693" s="635"/>
      <c r="M693" s="635"/>
      <c r="N693" s="636"/>
      <c r="O693" s="635"/>
      <c r="P693" s="637"/>
      <c r="Q693" s="637"/>
      <c r="R693" s="635"/>
      <c r="S693" s="637"/>
      <c r="T693" s="644"/>
    </row>
    <row r="694" spans="1:20" x14ac:dyDescent="0.25">
      <c r="A694" s="23"/>
      <c r="B694" s="24"/>
      <c r="C694" s="25"/>
      <c r="D694" s="27"/>
      <c r="E694" s="27"/>
      <c r="F694" s="28"/>
      <c r="G694" s="27"/>
      <c r="H694" s="548"/>
      <c r="I694" s="27"/>
      <c r="J694" s="635"/>
      <c r="K694" s="635"/>
      <c r="L694" s="635"/>
      <c r="M694" s="635"/>
      <c r="N694" s="636"/>
      <c r="O694" s="635"/>
      <c r="P694" s="637"/>
      <c r="Q694" s="637"/>
      <c r="R694" s="635"/>
      <c r="S694" s="637"/>
      <c r="T694" s="644"/>
    </row>
    <row r="695" spans="1:20" x14ac:dyDescent="0.25">
      <c r="A695" s="23"/>
      <c r="B695" s="24"/>
      <c r="C695" s="25"/>
      <c r="D695" s="27"/>
      <c r="E695" s="27"/>
      <c r="F695" s="28"/>
      <c r="G695" s="27"/>
      <c r="H695" s="548"/>
      <c r="I695" s="27"/>
      <c r="J695" s="635"/>
      <c r="K695" s="635"/>
      <c r="L695" s="635"/>
      <c r="M695" s="635"/>
      <c r="N695" s="636"/>
      <c r="O695" s="635"/>
      <c r="P695" s="637"/>
      <c r="Q695" s="637"/>
      <c r="R695" s="635"/>
      <c r="S695" s="637"/>
      <c r="T695" s="644"/>
    </row>
    <row r="696" spans="1:20" x14ac:dyDescent="0.25">
      <c r="A696" s="23"/>
      <c r="B696" s="24"/>
      <c r="C696" s="25"/>
      <c r="D696" s="27"/>
      <c r="E696" s="27"/>
      <c r="F696" s="28"/>
      <c r="G696" s="27"/>
      <c r="H696" s="548"/>
      <c r="I696" s="27"/>
      <c r="J696" s="635"/>
      <c r="K696" s="635"/>
      <c r="L696" s="635"/>
      <c r="M696" s="635"/>
      <c r="N696" s="636"/>
      <c r="O696" s="635"/>
      <c r="P696" s="637"/>
      <c r="Q696" s="637"/>
      <c r="R696" s="635"/>
      <c r="S696" s="637"/>
      <c r="T696" s="644"/>
    </row>
    <row r="697" spans="1:20" x14ac:dyDescent="0.25">
      <c r="A697" s="23"/>
      <c r="B697" s="24"/>
      <c r="C697" s="25"/>
      <c r="D697" s="27"/>
      <c r="E697" s="27"/>
      <c r="F697" s="28"/>
      <c r="G697" s="27"/>
      <c r="H697" s="548"/>
      <c r="I697" s="27"/>
      <c r="J697" s="635"/>
      <c r="K697" s="635"/>
      <c r="L697" s="635"/>
      <c r="M697" s="635"/>
      <c r="N697" s="636"/>
      <c r="O697" s="635"/>
      <c r="P697" s="637"/>
      <c r="Q697" s="637"/>
      <c r="R697" s="635"/>
      <c r="S697" s="637"/>
      <c r="T697" s="644"/>
    </row>
    <row r="698" spans="1:20" x14ac:dyDescent="0.25">
      <c r="A698" s="23"/>
      <c r="B698" s="24"/>
      <c r="C698" s="25"/>
      <c r="D698" s="27"/>
      <c r="E698" s="27"/>
      <c r="F698" s="28"/>
      <c r="G698" s="27"/>
      <c r="H698" s="548"/>
      <c r="I698" s="27"/>
      <c r="J698" s="635"/>
      <c r="K698" s="635"/>
      <c r="L698" s="635"/>
      <c r="M698" s="635"/>
      <c r="N698" s="636"/>
      <c r="O698" s="635"/>
      <c r="P698" s="637"/>
      <c r="Q698" s="637"/>
      <c r="R698" s="635"/>
      <c r="S698" s="637"/>
      <c r="T698" s="644"/>
    </row>
    <row r="699" spans="1:20" x14ac:dyDescent="0.25">
      <c r="A699" s="23"/>
      <c r="B699" s="24"/>
      <c r="C699" s="25"/>
      <c r="D699" s="27"/>
      <c r="E699" s="27"/>
      <c r="F699" s="28"/>
      <c r="G699" s="27"/>
      <c r="H699" s="548"/>
      <c r="I699" s="27"/>
      <c r="J699" s="635"/>
      <c r="K699" s="635"/>
      <c r="L699" s="635"/>
      <c r="M699" s="635"/>
      <c r="N699" s="636"/>
      <c r="O699" s="635"/>
      <c r="P699" s="637"/>
      <c r="Q699" s="637"/>
      <c r="R699" s="635"/>
      <c r="S699" s="637"/>
      <c r="T699" s="644"/>
    </row>
    <row r="700" spans="1:20" x14ac:dyDescent="0.25">
      <c r="A700" s="23"/>
      <c r="B700" s="24"/>
      <c r="C700" s="25"/>
      <c r="D700" s="27"/>
      <c r="E700" s="27"/>
      <c r="F700" s="28"/>
      <c r="G700" s="27"/>
      <c r="H700" s="548"/>
      <c r="I700" s="27"/>
      <c r="J700" s="635"/>
      <c r="K700" s="635"/>
      <c r="L700" s="635"/>
      <c r="M700" s="635"/>
      <c r="N700" s="636"/>
      <c r="O700" s="635"/>
      <c r="P700" s="637"/>
      <c r="Q700" s="637"/>
      <c r="R700" s="635"/>
      <c r="S700" s="637"/>
      <c r="T700" s="644"/>
    </row>
    <row r="701" spans="1:20" x14ac:dyDescent="0.25">
      <c r="A701" s="23"/>
      <c r="B701" s="24"/>
      <c r="C701" s="25"/>
      <c r="D701" s="27"/>
      <c r="E701" s="27"/>
      <c r="F701" s="28"/>
      <c r="G701" s="27"/>
      <c r="H701" s="548"/>
      <c r="I701" s="27"/>
      <c r="J701" s="635"/>
      <c r="K701" s="635"/>
      <c r="L701" s="635"/>
      <c r="M701" s="635"/>
      <c r="N701" s="636"/>
      <c r="O701" s="635"/>
      <c r="P701" s="637"/>
      <c r="Q701" s="637"/>
      <c r="R701" s="635"/>
      <c r="S701" s="637"/>
      <c r="T701" s="644"/>
    </row>
    <row r="702" spans="1:20" x14ac:dyDescent="0.25">
      <c r="A702" s="23"/>
      <c r="B702" s="24"/>
      <c r="C702" s="25"/>
      <c r="D702" s="27"/>
      <c r="E702" s="27"/>
      <c r="F702" s="28"/>
      <c r="G702" s="27"/>
      <c r="H702" s="548"/>
      <c r="I702" s="27"/>
      <c r="J702" s="635"/>
      <c r="K702" s="635"/>
      <c r="L702" s="635"/>
      <c r="M702" s="635"/>
      <c r="N702" s="636"/>
      <c r="O702" s="635"/>
      <c r="P702" s="637"/>
      <c r="Q702" s="637"/>
      <c r="R702" s="635"/>
      <c r="S702" s="637"/>
      <c r="T702" s="644"/>
    </row>
    <row r="703" spans="1:20" x14ac:dyDescent="0.25">
      <c r="A703" s="23"/>
      <c r="B703" s="24"/>
      <c r="C703" s="25"/>
      <c r="D703" s="27"/>
      <c r="E703" s="27"/>
      <c r="F703" s="28"/>
      <c r="G703" s="27"/>
      <c r="H703" s="548"/>
      <c r="I703" s="27"/>
      <c r="J703" s="635"/>
      <c r="K703" s="635"/>
      <c r="L703" s="635"/>
      <c r="M703" s="635"/>
      <c r="N703" s="636"/>
      <c r="O703" s="635"/>
      <c r="P703" s="637"/>
      <c r="Q703" s="637"/>
      <c r="R703" s="635"/>
      <c r="S703" s="637"/>
      <c r="T703" s="644"/>
    </row>
    <row r="704" spans="1:20" x14ac:dyDescent="0.25">
      <c r="A704" s="23"/>
      <c r="B704" s="24"/>
      <c r="C704" s="25"/>
      <c r="D704" s="27"/>
      <c r="E704" s="27"/>
      <c r="F704" s="28"/>
      <c r="G704" s="27"/>
      <c r="H704" s="548"/>
      <c r="I704" s="27"/>
      <c r="J704" s="635"/>
      <c r="K704" s="635"/>
      <c r="L704" s="635"/>
      <c r="M704" s="635"/>
      <c r="N704" s="636"/>
      <c r="O704" s="635"/>
      <c r="P704" s="637"/>
      <c r="Q704" s="637"/>
      <c r="R704" s="635"/>
      <c r="S704" s="637"/>
      <c r="T704" s="644"/>
    </row>
    <row r="705" spans="1:20" x14ac:dyDescent="0.25">
      <c r="A705" s="23"/>
      <c r="B705" s="24"/>
      <c r="C705" s="25"/>
      <c r="D705" s="27"/>
      <c r="E705" s="27"/>
      <c r="F705" s="28"/>
      <c r="G705" s="27"/>
      <c r="H705" s="548"/>
      <c r="I705" s="27"/>
      <c r="J705" s="635"/>
      <c r="K705" s="635"/>
      <c r="L705" s="635"/>
      <c r="M705" s="635"/>
      <c r="N705" s="636"/>
      <c r="O705" s="635"/>
      <c r="P705" s="637"/>
      <c r="Q705" s="637"/>
      <c r="R705" s="635"/>
      <c r="S705" s="637"/>
      <c r="T705" s="644"/>
    </row>
    <row r="706" spans="1:20" x14ac:dyDescent="0.25">
      <c r="A706" s="23"/>
      <c r="B706" s="24"/>
      <c r="C706" s="25"/>
      <c r="D706" s="27"/>
      <c r="E706" s="27"/>
      <c r="F706" s="28"/>
      <c r="G706" s="27"/>
      <c r="H706" s="548"/>
      <c r="I706" s="27"/>
      <c r="J706" s="635"/>
      <c r="K706" s="635"/>
      <c r="L706" s="635"/>
      <c r="M706" s="635"/>
      <c r="N706" s="636"/>
      <c r="O706" s="635"/>
      <c r="P706" s="637"/>
      <c r="Q706" s="637"/>
      <c r="R706" s="635"/>
      <c r="S706" s="637"/>
      <c r="T706" s="644"/>
    </row>
    <row r="707" spans="1:20" x14ac:dyDescent="0.25">
      <c r="A707" s="23"/>
      <c r="B707" s="24"/>
      <c r="C707" s="25"/>
      <c r="D707" s="27"/>
      <c r="E707" s="27"/>
      <c r="F707" s="28"/>
      <c r="G707" s="27"/>
      <c r="H707" s="548"/>
      <c r="I707" s="27"/>
      <c r="J707" s="635"/>
      <c r="K707" s="635"/>
      <c r="L707" s="635"/>
      <c r="M707" s="635"/>
      <c r="N707" s="636"/>
      <c r="O707" s="635"/>
      <c r="P707" s="637"/>
      <c r="Q707" s="637"/>
      <c r="R707" s="635"/>
      <c r="S707" s="637"/>
      <c r="T707" s="644"/>
    </row>
    <row r="708" spans="1:20" x14ac:dyDescent="0.25">
      <c r="A708" s="23"/>
      <c r="B708" s="24"/>
      <c r="C708" s="25"/>
      <c r="D708" s="27"/>
      <c r="E708" s="27"/>
      <c r="F708" s="28"/>
      <c r="G708" s="27"/>
      <c r="H708" s="548"/>
      <c r="I708" s="27"/>
      <c r="J708" s="635"/>
      <c r="K708" s="635"/>
      <c r="L708" s="635"/>
      <c r="M708" s="635"/>
      <c r="N708" s="636"/>
      <c r="O708" s="635"/>
      <c r="P708" s="637"/>
      <c r="Q708" s="637"/>
      <c r="R708" s="635"/>
      <c r="S708" s="637"/>
      <c r="T708" s="644"/>
    </row>
    <row r="709" spans="1:20" x14ac:dyDescent="0.25">
      <c r="A709" s="23"/>
      <c r="B709" s="24"/>
      <c r="C709" s="25"/>
      <c r="D709" s="27"/>
      <c r="E709" s="27"/>
      <c r="F709" s="28"/>
      <c r="G709" s="27"/>
      <c r="H709" s="548"/>
      <c r="I709" s="27"/>
      <c r="J709" s="635"/>
      <c r="K709" s="635"/>
      <c r="L709" s="635"/>
      <c r="M709" s="635"/>
      <c r="N709" s="636"/>
      <c r="O709" s="635"/>
      <c r="P709" s="637"/>
      <c r="Q709" s="637"/>
      <c r="R709" s="635"/>
      <c r="S709" s="637"/>
      <c r="T709" s="644"/>
    </row>
    <row r="710" spans="1:20" x14ac:dyDescent="0.25">
      <c r="A710" s="23"/>
      <c r="B710" s="24"/>
      <c r="C710" s="25"/>
      <c r="D710" s="27"/>
      <c r="E710" s="27"/>
      <c r="F710" s="28"/>
      <c r="G710" s="27"/>
      <c r="H710" s="548"/>
      <c r="I710" s="27"/>
      <c r="J710" s="635"/>
      <c r="K710" s="635"/>
      <c r="L710" s="635"/>
      <c r="M710" s="635"/>
      <c r="N710" s="636"/>
      <c r="O710" s="635"/>
      <c r="P710" s="637"/>
      <c r="Q710" s="637"/>
      <c r="R710" s="635"/>
      <c r="S710" s="637"/>
      <c r="T710" s="644"/>
    </row>
    <row r="711" spans="1:20" x14ac:dyDescent="0.25">
      <c r="A711" s="23"/>
      <c r="B711" s="24"/>
      <c r="C711" s="25"/>
      <c r="D711" s="27"/>
      <c r="E711" s="27"/>
      <c r="F711" s="28"/>
      <c r="G711" s="27"/>
      <c r="H711" s="548"/>
      <c r="I711" s="27"/>
      <c r="J711" s="635"/>
      <c r="K711" s="635"/>
      <c r="L711" s="635"/>
      <c r="M711" s="635"/>
      <c r="N711" s="636"/>
      <c r="O711" s="635"/>
      <c r="P711" s="637"/>
      <c r="Q711" s="637"/>
      <c r="R711" s="635"/>
      <c r="S711" s="637"/>
      <c r="T711" s="644"/>
    </row>
    <row r="712" spans="1:20" x14ac:dyDescent="0.25">
      <c r="A712" s="23"/>
      <c r="B712" s="24"/>
      <c r="C712" s="25"/>
      <c r="D712" s="27"/>
      <c r="E712" s="27"/>
      <c r="F712" s="28"/>
      <c r="G712" s="27"/>
      <c r="H712" s="548"/>
      <c r="I712" s="27"/>
      <c r="J712" s="635"/>
      <c r="K712" s="635"/>
      <c r="L712" s="635"/>
      <c r="M712" s="635"/>
      <c r="N712" s="636"/>
      <c r="O712" s="635"/>
      <c r="P712" s="637"/>
      <c r="Q712" s="637"/>
      <c r="R712" s="635"/>
      <c r="S712" s="637"/>
      <c r="T712" s="644"/>
    </row>
    <row r="713" spans="1:20" x14ac:dyDescent="0.25">
      <c r="A713" s="23"/>
      <c r="B713" s="24"/>
      <c r="C713" s="25"/>
      <c r="D713" s="27"/>
      <c r="E713" s="27"/>
      <c r="F713" s="28"/>
      <c r="G713" s="27"/>
      <c r="H713" s="548"/>
      <c r="I713" s="27"/>
      <c r="J713" s="635"/>
      <c r="K713" s="635"/>
      <c r="L713" s="635"/>
      <c r="M713" s="635"/>
      <c r="N713" s="636"/>
      <c r="O713" s="635"/>
      <c r="P713" s="637"/>
      <c r="Q713" s="637"/>
      <c r="R713" s="635"/>
      <c r="S713" s="637"/>
      <c r="T713" s="644"/>
    </row>
    <row r="714" spans="1:20" x14ac:dyDescent="0.25">
      <c r="A714" s="23"/>
      <c r="B714" s="24"/>
      <c r="C714" s="25"/>
      <c r="D714" s="27"/>
      <c r="E714" s="27"/>
      <c r="F714" s="28"/>
      <c r="G714" s="27"/>
      <c r="H714" s="548"/>
      <c r="I714" s="27"/>
      <c r="J714" s="635"/>
      <c r="K714" s="635"/>
      <c r="L714" s="635"/>
      <c r="M714" s="635"/>
      <c r="N714" s="636"/>
      <c r="O714" s="635"/>
      <c r="P714" s="637"/>
      <c r="Q714" s="637"/>
      <c r="R714" s="635"/>
      <c r="S714" s="637"/>
      <c r="T714" s="644"/>
    </row>
    <row r="715" spans="1:20" x14ac:dyDescent="0.25">
      <c r="A715" s="23"/>
      <c r="B715" s="24"/>
      <c r="C715" s="25"/>
      <c r="D715" s="27"/>
      <c r="E715" s="27"/>
      <c r="F715" s="28"/>
      <c r="G715" s="27"/>
      <c r="H715" s="548"/>
      <c r="I715" s="27"/>
      <c r="J715" s="635"/>
      <c r="K715" s="635"/>
      <c r="L715" s="635"/>
      <c r="M715" s="635"/>
      <c r="N715" s="636"/>
      <c r="O715" s="635"/>
      <c r="P715" s="637"/>
      <c r="Q715" s="637"/>
      <c r="R715" s="635"/>
      <c r="S715" s="637"/>
      <c r="T715" s="644"/>
    </row>
    <row r="716" spans="1:20" x14ac:dyDescent="0.25">
      <c r="A716" s="23"/>
      <c r="B716" s="24"/>
      <c r="C716" s="25"/>
      <c r="D716" s="27"/>
      <c r="E716" s="27"/>
      <c r="F716" s="28"/>
      <c r="G716" s="27"/>
      <c r="H716" s="548"/>
      <c r="I716" s="27"/>
      <c r="J716" s="635"/>
      <c r="K716" s="635"/>
      <c r="L716" s="635"/>
      <c r="M716" s="635"/>
      <c r="N716" s="636"/>
      <c r="O716" s="635"/>
      <c r="P716" s="637"/>
      <c r="Q716" s="637"/>
      <c r="R716" s="635"/>
      <c r="S716" s="637"/>
      <c r="T716" s="644"/>
    </row>
    <row r="717" spans="1:20" x14ac:dyDescent="0.25">
      <c r="A717" s="23"/>
      <c r="B717" s="24"/>
      <c r="C717" s="25"/>
      <c r="D717" s="27"/>
      <c r="E717" s="27"/>
      <c r="F717" s="28"/>
      <c r="G717" s="27"/>
      <c r="H717" s="548"/>
      <c r="I717" s="27"/>
      <c r="J717" s="635"/>
      <c r="K717" s="635"/>
      <c r="L717" s="635"/>
      <c r="M717" s="635"/>
      <c r="N717" s="636"/>
      <c r="O717" s="635"/>
      <c r="P717" s="637"/>
      <c r="Q717" s="637"/>
      <c r="R717" s="635"/>
      <c r="S717" s="637"/>
      <c r="T717" s="644"/>
    </row>
    <row r="718" spans="1:20" x14ac:dyDescent="0.25">
      <c r="A718" s="23"/>
      <c r="B718" s="24"/>
      <c r="C718" s="25"/>
      <c r="D718" s="27"/>
      <c r="E718" s="27"/>
      <c r="F718" s="28"/>
      <c r="G718" s="27"/>
      <c r="H718" s="548"/>
      <c r="I718" s="27"/>
      <c r="J718" s="635"/>
      <c r="K718" s="635"/>
      <c r="L718" s="635"/>
      <c r="M718" s="635"/>
      <c r="N718" s="636"/>
      <c r="O718" s="635"/>
      <c r="P718" s="637"/>
      <c r="Q718" s="637"/>
      <c r="R718" s="635"/>
      <c r="S718" s="637"/>
      <c r="T718" s="644"/>
    </row>
    <row r="719" spans="1:20" x14ac:dyDescent="0.25">
      <c r="A719" s="23"/>
      <c r="B719" s="24"/>
      <c r="C719" s="25"/>
      <c r="D719" s="27"/>
      <c r="E719" s="27"/>
      <c r="F719" s="28"/>
      <c r="G719" s="27"/>
      <c r="H719" s="548"/>
      <c r="I719" s="27"/>
      <c r="J719" s="635"/>
      <c r="K719" s="635"/>
      <c r="L719" s="635"/>
      <c r="M719" s="635"/>
      <c r="N719" s="636"/>
      <c r="O719" s="635"/>
      <c r="P719" s="637"/>
      <c r="Q719" s="637"/>
      <c r="R719" s="635"/>
      <c r="S719" s="637"/>
      <c r="T719" s="644"/>
    </row>
    <row r="720" spans="1:20" x14ac:dyDescent="0.25">
      <c r="A720" s="23"/>
      <c r="B720" s="24"/>
      <c r="C720" s="25"/>
      <c r="D720" s="27"/>
      <c r="E720" s="27"/>
      <c r="F720" s="28"/>
      <c r="G720" s="27"/>
      <c r="H720" s="548"/>
      <c r="I720" s="27"/>
      <c r="J720" s="635"/>
      <c r="K720" s="635"/>
      <c r="L720" s="635"/>
      <c r="M720" s="635"/>
      <c r="N720" s="636"/>
      <c r="O720" s="635"/>
      <c r="P720" s="637"/>
      <c r="Q720" s="637"/>
      <c r="R720" s="635"/>
      <c r="S720" s="637"/>
      <c r="T720" s="644"/>
    </row>
    <row r="721" spans="1:20" x14ac:dyDescent="0.25">
      <c r="A721" s="23"/>
      <c r="B721" s="24"/>
      <c r="C721" s="25"/>
      <c r="D721" s="27"/>
      <c r="E721" s="27"/>
      <c r="F721" s="28"/>
      <c r="G721" s="27"/>
      <c r="H721" s="548"/>
      <c r="I721" s="27"/>
      <c r="J721" s="635"/>
      <c r="K721" s="635"/>
      <c r="L721" s="635"/>
      <c r="M721" s="635"/>
      <c r="N721" s="636"/>
      <c r="O721" s="635"/>
      <c r="P721" s="637"/>
      <c r="Q721" s="637"/>
      <c r="R721" s="635"/>
      <c r="S721" s="637"/>
      <c r="T721" s="644"/>
    </row>
    <row r="722" spans="1:20" x14ac:dyDescent="0.25">
      <c r="A722" s="23"/>
      <c r="B722" s="24"/>
      <c r="C722" s="25"/>
      <c r="D722" s="27"/>
      <c r="E722" s="27"/>
      <c r="F722" s="28"/>
      <c r="G722" s="27"/>
      <c r="H722" s="548"/>
      <c r="I722" s="27"/>
      <c r="J722" s="635"/>
      <c r="K722" s="635"/>
      <c r="L722" s="635"/>
      <c r="M722" s="635"/>
      <c r="N722" s="636"/>
      <c r="O722" s="635"/>
      <c r="P722" s="637"/>
      <c r="Q722" s="637"/>
      <c r="R722" s="635"/>
      <c r="S722" s="637"/>
      <c r="T722" s="644"/>
    </row>
    <row r="723" spans="1:20" x14ac:dyDescent="0.25">
      <c r="A723" s="23"/>
      <c r="B723" s="24"/>
      <c r="C723" s="25"/>
      <c r="D723" s="27"/>
      <c r="E723" s="27"/>
      <c r="F723" s="28"/>
      <c r="G723" s="27"/>
      <c r="H723" s="548"/>
      <c r="I723" s="27"/>
      <c r="J723" s="635"/>
      <c r="K723" s="635"/>
      <c r="L723" s="635"/>
      <c r="M723" s="635"/>
      <c r="N723" s="636"/>
      <c r="O723" s="635"/>
      <c r="P723" s="637"/>
      <c r="Q723" s="637"/>
      <c r="R723" s="635"/>
      <c r="S723" s="637"/>
      <c r="T723" s="644"/>
    </row>
    <row r="724" spans="1:20" x14ac:dyDescent="0.25">
      <c r="A724" s="23"/>
      <c r="B724" s="24"/>
      <c r="C724" s="25"/>
      <c r="D724" s="27"/>
      <c r="E724" s="27"/>
      <c r="F724" s="28"/>
      <c r="G724" s="27"/>
      <c r="H724" s="548"/>
      <c r="I724" s="27"/>
      <c r="J724" s="635"/>
      <c r="K724" s="635"/>
      <c r="L724" s="635"/>
      <c r="M724" s="635"/>
      <c r="N724" s="636"/>
      <c r="O724" s="635"/>
      <c r="P724" s="637"/>
      <c r="Q724" s="637"/>
      <c r="R724" s="635"/>
      <c r="S724" s="637"/>
      <c r="T724" s="644"/>
    </row>
    <row r="725" spans="1:20" x14ac:dyDescent="0.25">
      <c r="A725" s="23"/>
      <c r="B725" s="24"/>
      <c r="C725" s="25"/>
      <c r="D725" s="27"/>
      <c r="E725" s="27"/>
      <c r="F725" s="28"/>
      <c r="G725" s="27"/>
      <c r="H725" s="548"/>
      <c r="I725" s="27"/>
      <c r="J725" s="635"/>
      <c r="K725" s="635"/>
      <c r="L725" s="635"/>
      <c r="M725" s="635"/>
      <c r="N725" s="636"/>
      <c r="O725" s="635"/>
      <c r="P725" s="637"/>
      <c r="Q725" s="637"/>
      <c r="R725" s="635"/>
      <c r="S725" s="637"/>
      <c r="T725" s="644"/>
    </row>
    <row r="726" spans="1:20" x14ac:dyDescent="0.25">
      <c r="A726" s="23"/>
      <c r="B726" s="24"/>
      <c r="C726" s="25"/>
      <c r="D726" s="27"/>
      <c r="E726" s="27"/>
      <c r="F726" s="28"/>
      <c r="G726" s="27"/>
      <c r="H726" s="548"/>
      <c r="I726" s="27"/>
      <c r="J726" s="635"/>
      <c r="K726" s="635"/>
      <c r="L726" s="635"/>
      <c r="M726" s="635"/>
      <c r="N726" s="636"/>
      <c r="O726" s="635"/>
      <c r="P726" s="637"/>
      <c r="Q726" s="637"/>
      <c r="R726" s="635"/>
      <c r="S726" s="637"/>
      <c r="T726" s="644"/>
    </row>
    <row r="727" spans="1:20" x14ac:dyDescent="0.25">
      <c r="A727" s="23"/>
      <c r="B727" s="24"/>
      <c r="C727" s="25"/>
      <c r="D727" s="27"/>
      <c r="E727" s="27"/>
      <c r="F727" s="28"/>
      <c r="G727" s="27"/>
      <c r="H727" s="548"/>
      <c r="I727" s="27"/>
      <c r="J727" s="635"/>
      <c r="K727" s="635"/>
      <c r="L727" s="635"/>
      <c r="M727" s="635"/>
      <c r="N727" s="636"/>
      <c r="O727" s="635"/>
      <c r="P727" s="637"/>
      <c r="Q727" s="637"/>
      <c r="R727" s="635"/>
      <c r="S727" s="637"/>
      <c r="T727" s="644"/>
    </row>
    <row r="728" spans="1:20" x14ac:dyDescent="0.25">
      <c r="A728" s="23"/>
      <c r="B728" s="24"/>
      <c r="C728" s="25"/>
      <c r="D728" s="27"/>
      <c r="E728" s="27"/>
      <c r="F728" s="28"/>
      <c r="G728" s="27"/>
      <c r="H728" s="548"/>
      <c r="I728" s="27"/>
      <c r="J728" s="635"/>
      <c r="K728" s="635"/>
      <c r="L728" s="635"/>
      <c r="M728" s="635"/>
      <c r="N728" s="636"/>
      <c r="O728" s="635"/>
      <c r="P728" s="637"/>
      <c r="Q728" s="637"/>
      <c r="R728" s="635"/>
      <c r="S728" s="637"/>
      <c r="T728" s="644"/>
    </row>
    <row r="729" spans="1:20" x14ac:dyDescent="0.25">
      <c r="A729" s="23"/>
      <c r="B729" s="24"/>
      <c r="C729" s="25"/>
      <c r="D729" s="27"/>
      <c r="E729" s="27"/>
      <c r="F729" s="28"/>
      <c r="G729" s="27"/>
      <c r="H729" s="548"/>
      <c r="I729" s="27"/>
      <c r="J729" s="635"/>
      <c r="K729" s="635"/>
      <c r="L729" s="635"/>
      <c r="M729" s="635"/>
      <c r="N729" s="636"/>
      <c r="O729" s="635"/>
      <c r="P729" s="637"/>
      <c r="Q729" s="637"/>
      <c r="R729" s="635"/>
      <c r="S729" s="637"/>
      <c r="T729" s="644"/>
    </row>
    <row r="730" spans="1:20" x14ac:dyDescent="0.25">
      <c r="A730" s="23"/>
      <c r="B730" s="24"/>
      <c r="C730" s="25"/>
      <c r="D730" s="27"/>
      <c r="E730" s="27"/>
      <c r="F730" s="28"/>
      <c r="G730" s="27"/>
      <c r="H730" s="548"/>
      <c r="I730" s="27"/>
      <c r="J730" s="635"/>
      <c r="K730" s="635"/>
      <c r="L730" s="635"/>
      <c r="M730" s="635"/>
      <c r="N730" s="636"/>
      <c r="O730" s="635"/>
      <c r="P730" s="637"/>
      <c r="Q730" s="637"/>
      <c r="R730" s="635"/>
      <c r="S730" s="637"/>
      <c r="T730" s="644"/>
    </row>
    <row r="731" spans="1:20" x14ac:dyDescent="0.25">
      <c r="A731" s="23"/>
      <c r="B731" s="24"/>
      <c r="C731" s="25"/>
      <c r="D731" s="27"/>
      <c r="E731" s="27"/>
      <c r="F731" s="28"/>
      <c r="G731" s="27"/>
      <c r="H731" s="548"/>
      <c r="I731" s="27"/>
      <c r="J731" s="635"/>
      <c r="K731" s="635"/>
      <c r="L731" s="635"/>
      <c r="M731" s="635"/>
      <c r="N731" s="636"/>
      <c r="O731" s="635"/>
      <c r="P731" s="637"/>
      <c r="Q731" s="637"/>
      <c r="R731" s="635"/>
      <c r="S731" s="637"/>
      <c r="T731" s="644"/>
    </row>
    <row r="732" spans="1:20" x14ac:dyDescent="0.25">
      <c r="A732" s="23"/>
      <c r="B732" s="24"/>
      <c r="C732" s="25"/>
      <c r="D732" s="27"/>
      <c r="E732" s="27"/>
      <c r="F732" s="28"/>
      <c r="G732" s="27"/>
      <c r="H732" s="548"/>
      <c r="I732" s="27"/>
      <c r="J732" s="635"/>
      <c r="K732" s="635"/>
      <c r="L732" s="635"/>
      <c r="M732" s="635"/>
      <c r="N732" s="636"/>
      <c r="O732" s="635"/>
      <c r="P732" s="637"/>
      <c r="Q732" s="637"/>
      <c r="R732" s="635"/>
      <c r="S732" s="637"/>
      <c r="T732" s="644"/>
    </row>
    <row r="733" spans="1:20" x14ac:dyDescent="0.25">
      <c r="A733" s="23"/>
      <c r="B733" s="24"/>
      <c r="C733" s="25"/>
      <c r="D733" s="27"/>
      <c r="E733" s="27"/>
      <c r="F733" s="28"/>
      <c r="G733" s="27"/>
      <c r="H733" s="548"/>
      <c r="I733" s="27"/>
      <c r="J733" s="635"/>
      <c r="K733" s="635"/>
      <c r="L733" s="635"/>
      <c r="M733" s="635"/>
      <c r="N733" s="636"/>
      <c r="O733" s="635"/>
      <c r="P733" s="637"/>
      <c r="Q733" s="637"/>
      <c r="R733" s="635"/>
      <c r="S733" s="637"/>
      <c r="T733" s="644"/>
    </row>
    <row r="734" spans="1:20" x14ac:dyDescent="0.25">
      <c r="A734" s="23"/>
      <c r="B734" s="24"/>
      <c r="C734" s="25"/>
      <c r="D734" s="27"/>
      <c r="E734" s="27"/>
      <c r="F734" s="28"/>
      <c r="G734" s="27"/>
      <c r="H734" s="548"/>
      <c r="I734" s="27"/>
      <c r="J734" s="635"/>
      <c r="K734" s="635"/>
      <c r="L734" s="635"/>
      <c r="M734" s="635"/>
      <c r="N734" s="636"/>
      <c r="O734" s="635"/>
      <c r="P734" s="637"/>
      <c r="Q734" s="637"/>
      <c r="R734" s="635"/>
      <c r="S734" s="637"/>
      <c r="T734" s="644"/>
    </row>
    <row r="735" spans="1:20" x14ac:dyDescent="0.25">
      <c r="A735" s="23"/>
      <c r="B735" s="24"/>
      <c r="C735" s="25"/>
      <c r="D735" s="27"/>
      <c r="E735" s="27"/>
      <c r="F735" s="28"/>
      <c r="G735" s="27"/>
      <c r="H735" s="548"/>
      <c r="I735" s="27"/>
      <c r="J735" s="635"/>
      <c r="K735" s="635"/>
      <c r="L735" s="635"/>
      <c r="M735" s="635"/>
      <c r="N735" s="636"/>
      <c r="O735" s="635"/>
      <c r="P735" s="637"/>
      <c r="Q735" s="637"/>
      <c r="R735" s="635"/>
      <c r="S735" s="637"/>
      <c r="T735" s="644"/>
    </row>
    <row r="736" spans="1:20" x14ac:dyDescent="0.25">
      <c r="A736" s="23"/>
      <c r="B736" s="24"/>
      <c r="C736" s="25"/>
      <c r="D736" s="27"/>
      <c r="E736" s="27"/>
      <c r="F736" s="28"/>
      <c r="G736" s="27"/>
      <c r="H736" s="548"/>
      <c r="I736" s="27"/>
      <c r="J736" s="635"/>
      <c r="K736" s="635"/>
      <c r="L736" s="635"/>
      <c r="M736" s="635"/>
      <c r="N736" s="636"/>
      <c r="O736" s="635"/>
      <c r="P736" s="637"/>
      <c r="Q736" s="637"/>
      <c r="R736" s="635"/>
      <c r="S736" s="637"/>
      <c r="T736" s="644"/>
    </row>
    <row r="737" spans="1:20" x14ac:dyDescent="0.25">
      <c r="A737" s="23"/>
      <c r="B737" s="24"/>
      <c r="C737" s="25"/>
      <c r="D737" s="27"/>
      <c r="E737" s="27"/>
      <c r="F737" s="28"/>
      <c r="G737" s="27"/>
      <c r="H737" s="548"/>
      <c r="I737" s="27"/>
      <c r="J737" s="635"/>
      <c r="K737" s="635"/>
      <c r="L737" s="635"/>
      <c r="M737" s="635"/>
      <c r="N737" s="636"/>
      <c r="O737" s="635"/>
      <c r="P737" s="637"/>
      <c r="Q737" s="637"/>
      <c r="R737" s="635"/>
      <c r="S737" s="637"/>
      <c r="T737" s="644"/>
    </row>
    <row r="738" spans="1:20" x14ac:dyDescent="0.25">
      <c r="A738" s="23"/>
      <c r="B738" s="24"/>
      <c r="C738" s="25"/>
      <c r="D738" s="27"/>
      <c r="E738" s="27"/>
      <c r="F738" s="28"/>
      <c r="G738" s="27"/>
      <c r="H738" s="548"/>
      <c r="I738" s="27"/>
      <c r="J738" s="635"/>
      <c r="K738" s="635"/>
      <c r="L738" s="635"/>
      <c r="M738" s="635"/>
      <c r="N738" s="636"/>
      <c r="O738" s="635"/>
      <c r="P738" s="637"/>
      <c r="Q738" s="637"/>
      <c r="R738" s="635"/>
      <c r="S738" s="637"/>
      <c r="T738" s="644"/>
    </row>
    <row r="739" spans="1:20" x14ac:dyDescent="0.25">
      <c r="A739" s="23"/>
      <c r="B739" s="24"/>
      <c r="C739" s="25"/>
      <c r="D739" s="27"/>
      <c r="E739" s="27"/>
      <c r="F739" s="28"/>
      <c r="G739" s="27"/>
      <c r="H739" s="548"/>
      <c r="I739" s="27"/>
      <c r="J739" s="635"/>
      <c r="K739" s="635"/>
      <c r="L739" s="635"/>
      <c r="M739" s="635"/>
      <c r="N739" s="636"/>
      <c r="O739" s="635"/>
      <c r="P739" s="637"/>
      <c r="Q739" s="637"/>
      <c r="R739" s="635"/>
      <c r="S739" s="637"/>
      <c r="T739" s="644"/>
    </row>
    <row r="740" spans="1:20" x14ac:dyDescent="0.25">
      <c r="A740" s="23"/>
      <c r="B740" s="24"/>
      <c r="C740" s="25"/>
      <c r="D740" s="27"/>
      <c r="E740" s="27"/>
      <c r="F740" s="28"/>
      <c r="G740" s="27"/>
      <c r="H740" s="548"/>
      <c r="I740" s="27"/>
      <c r="J740" s="635"/>
      <c r="K740" s="635"/>
      <c r="L740" s="635"/>
      <c r="M740" s="635"/>
      <c r="N740" s="636"/>
      <c r="O740" s="635"/>
      <c r="P740" s="637"/>
      <c r="Q740" s="637"/>
      <c r="R740" s="635"/>
      <c r="S740" s="637"/>
      <c r="T740" s="644"/>
    </row>
    <row r="741" spans="1:20" x14ac:dyDescent="0.25">
      <c r="A741" s="23"/>
      <c r="B741" s="24"/>
      <c r="C741" s="25"/>
      <c r="D741" s="27"/>
      <c r="E741" s="27"/>
      <c r="F741" s="28"/>
      <c r="G741" s="27"/>
      <c r="H741" s="548"/>
      <c r="I741" s="27"/>
      <c r="J741" s="635"/>
      <c r="K741" s="635"/>
      <c r="L741" s="635"/>
      <c r="M741" s="635"/>
      <c r="N741" s="636"/>
      <c r="O741" s="635"/>
      <c r="P741" s="637"/>
      <c r="Q741" s="637"/>
      <c r="R741" s="635"/>
      <c r="S741" s="637"/>
      <c r="T741" s="644"/>
    </row>
    <row r="742" spans="1:20" x14ac:dyDescent="0.25">
      <c r="A742" s="23"/>
      <c r="B742" s="24"/>
      <c r="C742" s="25"/>
      <c r="D742" s="27"/>
      <c r="E742" s="27"/>
      <c r="F742" s="28"/>
      <c r="G742" s="27"/>
      <c r="H742" s="548"/>
      <c r="I742" s="27"/>
      <c r="J742" s="635"/>
      <c r="K742" s="635"/>
      <c r="L742" s="635"/>
      <c r="M742" s="635"/>
      <c r="N742" s="636"/>
      <c r="O742" s="635"/>
      <c r="P742" s="637"/>
      <c r="Q742" s="637"/>
      <c r="R742" s="635"/>
      <c r="S742" s="637"/>
      <c r="T742" s="644"/>
    </row>
    <row r="743" spans="1:20" x14ac:dyDescent="0.25">
      <c r="A743" s="23"/>
      <c r="B743" s="24"/>
      <c r="C743" s="25"/>
      <c r="D743" s="27"/>
      <c r="E743" s="27"/>
      <c r="F743" s="28"/>
      <c r="G743" s="27"/>
      <c r="H743" s="548"/>
      <c r="I743" s="27"/>
      <c r="J743" s="635"/>
      <c r="K743" s="635"/>
      <c r="L743" s="635"/>
      <c r="M743" s="635"/>
      <c r="N743" s="636"/>
      <c r="O743" s="635"/>
      <c r="P743" s="637"/>
      <c r="Q743" s="637"/>
      <c r="R743" s="635"/>
      <c r="S743" s="637"/>
      <c r="T743" s="644"/>
    </row>
    <row r="744" spans="1:20" x14ac:dyDescent="0.25">
      <c r="A744" s="23"/>
      <c r="B744" s="24"/>
      <c r="C744" s="25"/>
      <c r="D744" s="27"/>
      <c r="E744" s="27"/>
      <c r="F744" s="28"/>
      <c r="G744" s="27"/>
      <c r="H744" s="548"/>
      <c r="I744" s="27"/>
      <c r="J744" s="635"/>
      <c r="K744" s="635"/>
      <c r="L744" s="635"/>
      <c r="M744" s="635"/>
      <c r="N744" s="636"/>
      <c r="O744" s="635"/>
      <c r="P744" s="637"/>
      <c r="Q744" s="637"/>
      <c r="R744" s="635"/>
      <c r="S744" s="637"/>
      <c r="T744" s="644"/>
    </row>
    <row r="745" spans="1:20" x14ac:dyDescent="0.25">
      <c r="A745" s="23"/>
      <c r="B745" s="24"/>
      <c r="C745" s="25"/>
      <c r="D745" s="27"/>
      <c r="E745" s="27"/>
      <c r="F745" s="28"/>
      <c r="G745" s="27"/>
      <c r="H745" s="548"/>
      <c r="I745" s="27"/>
      <c r="J745" s="635"/>
      <c r="K745" s="635"/>
      <c r="L745" s="635"/>
      <c r="M745" s="635"/>
      <c r="N745" s="636"/>
      <c r="O745" s="635"/>
      <c r="P745" s="637"/>
      <c r="Q745" s="637"/>
      <c r="R745" s="635"/>
      <c r="S745" s="637"/>
      <c r="T745" s="644"/>
    </row>
    <row r="746" spans="1:20" x14ac:dyDescent="0.25">
      <c r="A746" s="23"/>
      <c r="B746" s="24"/>
      <c r="C746" s="25"/>
      <c r="D746" s="27"/>
      <c r="E746" s="27"/>
      <c r="F746" s="28"/>
      <c r="G746" s="27"/>
      <c r="H746" s="548"/>
      <c r="I746" s="27"/>
      <c r="J746" s="635"/>
      <c r="K746" s="635"/>
      <c r="L746" s="635"/>
      <c r="M746" s="635"/>
      <c r="N746" s="636"/>
      <c r="O746" s="635"/>
      <c r="P746" s="637"/>
      <c r="Q746" s="637"/>
      <c r="R746" s="635"/>
      <c r="S746" s="637"/>
      <c r="T746" s="644"/>
    </row>
    <row r="747" spans="1:20" x14ac:dyDescent="0.25">
      <c r="A747" s="23"/>
      <c r="B747" s="24"/>
      <c r="C747" s="25"/>
      <c r="D747" s="27"/>
      <c r="E747" s="27"/>
      <c r="F747" s="28"/>
      <c r="G747" s="27"/>
      <c r="H747" s="548"/>
      <c r="I747" s="27"/>
      <c r="J747" s="635"/>
      <c r="K747" s="635"/>
      <c r="L747" s="635"/>
      <c r="M747" s="635"/>
      <c r="N747" s="636"/>
      <c r="O747" s="635"/>
      <c r="P747" s="637"/>
      <c r="Q747" s="637"/>
      <c r="R747" s="635"/>
      <c r="S747" s="637"/>
      <c r="T747" s="644"/>
    </row>
    <row r="748" spans="1:20" x14ac:dyDescent="0.25">
      <c r="A748" s="23"/>
      <c r="B748" s="24"/>
      <c r="C748" s="25"/>
      <c r="D748" s="27"/>
      <c r="E748" s="27"/>
      <c r="F748" s="28"/>
      <c r="G748" s="27"/>
      <c r="H748" s="548"/>
      <c r="I748" s="27"/>
      <c r="J748" s="635"/>
      <c r="K748" s="635"/>
      <c r="L748" s="635"/>
      <c r="M748" s="635"/>
      <c r="N748" s="636"/>
      <c r="O748" s="635"/>
      <c r="P748" s="637"/>
      <c r="Q748" s="637"/>
      <c r="R748" s="635"/>
      <c r="S748" s="637"/>
      <c r="T748" s="644"/>
    </row>
    <row r="749" spans="1:20" x14ac:dyDescent="0.25">
      <c r="A749" s="23"/>
      <c r="B749" s="24"/>
      <c r="C749" s="25"/>
      <c r="D749" s="27"/>
      <c r="E749" s="27"/>
      <c r="F749" s="28"/>
      <c r="G749" s="27"/>
      <c r="H749" s="548"/>
      <c r="I749" s="27"/>
      <c r="J749" s="635"/>
      <c r="K749" s="635"/>
      <c r="L749" s="635"/>
      <c r="M749" s="635"/>
      <c r="N749" s="636"/>
      <c r="O749" s="635"/>
      <c r="P749" s="637"/>
      <c r="Q749" s="637"/>
      <c r="R749" s="635"/>
      <c r="S749" s="637"/>
      <c r="T749" s="644"/>
    </row>
    <row r="750" spans="1:20" x14ac:dyDescent="0.25">
      <c r="A750" s="23"/>
      <c r="B750" s="24"/>
      <c r="C750" s="25"/>
      <c r="D750" s="27"/>
      <c r="E750" s="27"/>
      <c r="F750" s="28"/>
      <c r="G750" s="27"/>
      <c r="H750" s="548"/>
      <c r="I750" s="27"/>
      <c r="J750" s="635"/>
      <c r="K750" s="635"/>
      <c r="L750" s="635"/>
      <c r="M750" s="635"/>
      <c r="N750" s="636"/>
      <c r="O750" s="635"/>
      <c r="P750" s="637"/>
      <c r="Q750" s="637"/>
      <c r="R750" s="635"/>
      <c r="S750" s="637"/>
      <c r="T750" s="644"/>
    </row>
    <row r="751" spans="1:20" x14ac:dyDescent="0.25">
      <c r="A751" s="23"/>
      <c r="B751" s="24"/>
      <c r="C751" s="25"/>
      <c r="D751" s="27"/>
      <c r="E751" s="27"/>
      <c r="F751" s="28"/>
      <c r="G751" s="27"/>
      <c r="H751" s="548"/>
      <c r="I751" s="27"/>
      <c r="J751" s="635"/>
      <c r="K751" s="635"/>
      <c r="L751" s="635"/>
      <c r="M751" s="635"/>
      <c r="N751" s="636"/>
      <c r="O751" s="635"/>
      <c r="P751" s="637"/>
      <c r="Q751" s="637"/>
      <c r="R751" s="635"/>
      <c r="S751" s="637"/>
      <c r="T751" s="644"/>
    </row>
    <row r="752" spans="1:20" x14ac:dyDescent="0.25">
      <c r="A752" s="23"/>
      <c r="B752" s="24"/>
      <c r="C752" s="25"/>
      <c r="D752" s="27"/>
      <c r="E752" s="27"/>
      <c r="F752" s="28"/>
      <c r="G752" s="27"/>
      <c r="H752" s="548"/>
      <c r="I752" s="27"/>
      <c r="J752" s="635"/>
      <c r="K752" s="635"/>
      <c r="L752" s="635"/>
      <c r="M752" s="635"/>
      <c r="N752" s="636"/>
      <c r="O752" s="635"/>
      <c r="P752" s="637"/>
      <c r="Q752" s="637"/>
      <c r="R752" s="635"/>
      <c r="S752" s="637"/>
      <c r="T752" s="644"/>
    </row>
    <row r="753" spans="1:20" x14ac:dyDescent="0.25">
      <c r="A753" s="23"/>
      <c r="B753" s="24"/>
      <c r="C753" s="25"/>
      <c r="D753" s="27"/>
      <c r="E753" s="27"/>
      <c r="F753" s="28"/>
      <c r="G753" s="27"/>
      <c r="H753" s="548"/>
      <c r="I753" s="27"/>
      <c r="J753" s="635"/>
      <c r="K753" s="635"/>
      <c r="L753" s="635"/>
      <c r="M753" s="635"/>
      <c r="N753" s="636"/>
      <c r="O753" s="635"/>
      <c r="P753" s="637"/>
      <c r="Q753" s="637"/>
      <c r="R753" s="635"/>
      <c r="S753" s="637"/>
      <c r="T753" s="644"/>
    </row>
    <row r="754" spans="1:20" x14ac:dyDescent="0.25">
      <c r="A754" s="23"/>
      <c r="B754" s="24"/>
      <c r="C754" s="25"/>
      <c r="D754" s="27"/>
      <c r="E754" s="27"/>
      <c r="F754" s="28"/>
      <c r="G754" s="27"/>
      <c r="H754" s="548"/>
      <c r="I754" s="27"/>
      <c r="J754" s="635"/>
      <c r="K754" s="635"/>
      <c r="L754" s="635"/>
      <c r="M754" s="635"/>
      <c r="N754" s="636"/>
      <c r="O754" s="635"/>
      <c r="P754" s="637"/>
      <c r="Q754" s="637"/>
      <c r="R754" s="635"/>
      <c r="S754" s="637"/>
      <c r="T754" s="644"/>
    </row>
    <row r="755" spans="1:20" x14ac:dyDescent="0.25">
      <c r="A755" s="23"/>
      <c r="B755" s="24"/>
      <c r="C755" s="25"/>
      <c r="D755" s="27"/>
      <c r="E755" s="27"/>
      <c r="F755" s="28"/>
      <c r="G755" s="27"/>
      <c r="H755" s="548"/>
      <c r="I755" s="27"/>
      <c r="J755" s="635"/>
      <c r="K755" s="635"/>
      <c r="L755" s="635"/>
      <c r="M755" s="635"/>
      <c r="N755" s="636"/>
      <c r="O755" s="635"/>
      <c r="P755" s="637"/>
      <c r="Q755" s="637"/>
      <c r="R755" s="635"/>
      <c r="S755" s="637"/>
      <c r="T755" s="644"/>
    </row>
    <row r="756" spans="1:20" x14ac:dyDescent="0.25">
      <c r="A756" s="23"/>
      <c r="B756" s="24"/>
      <c r="C756" s="25"/>
      <c r="D756" s="27"/>
      <c r="E756" s="27"/>
      <c r="F756" s="28"/>
      <c r="G756" s="27"/>
      <c r="H756" s="548"/>
      <c r="I756" s="27"/>
      <c r="J756" s="635"/>
      <c r="K756" s="635"/>
      <c r="L756" s="635"/>
      <c r="M756" s="635"/>
      <c r="N756" s="636"/>
      <c r="O756" s="635"/>
      <c r="P756" s="637"/>
      <c r="Q756" s="637"/>
      <c r="R756" s="635"/>
      <c r="S756" s="637"/>
      <c r="T756" s="644"/>
    </row>
    <row r="757" spans="1:20" x14ac:dyDescent="0.25">
      <c r="A757" s="23"/>
      <c r="B757" s="24"/>
      <c r="C757" s="25"/>
      <c r="D757" s="27"/>
      <c r="E757" s="27"/>
      <c r="F757" s="28"/>
      <c r="G757" s="27"/>
      <c r="H757" s="548"/>
      <c r="I757" s="27"/>
      <c r="J757" s="635"/>
      <c r="K757" s="635"/>
      <c r="L757" s="635"/>
      <c r="M757" s="635"/>
      <c r="N757" s="636"/>
      <c r="O757" s="635"/>
      <c r="P757" s="637"/>
      <c r="Q757" s="637"/>
      <c r="R757" s="635"/>
      <c r="S757" s="637"/>
      <c r="T757" s="644"/>
    </row>
    <row r="758" spans="1:20" x14ac:dyDescent="0.25">
      <c r="A758" s="23"/>
      <c r="B758" s="24"/>
      <c r="C758" s="25"/>
      <c r="D758" s="27"/>
      <c r="E758" s="27"/>
      <c r="F758" s="28"/>
      <c r="G758" s="27"/>
      <c r="H758" s="548"/>
      <c r="I758" s="27"/>
      <c r="J758" s="635"/>
      <c r="K758" s="635"/>
      <c r="L758" s="635"/>
      <c r="M758" s="635"/>
      <c r="N758" s="636"/>
      <c r="O758" s="635"/>
      <c r="P758" s="637"/>
      <c r="Q758" s="637"/>
      <c r="R758" s="635"/>
      <c r="S758" s="637"/>
      <c r="T758" s="644"/>
    </row>
    <row r="759" spans="1:20" x14ac:dyDescent="0.25">
      <c r="A759" s="23"/>
      <c r="B759" s="24"/>
      <c r="C759" s="25"/>
      <c r="D759" s="27"/>
      <c r="E759" s="27"/>
      <c r="F759" s="28"/>
      <c r="G759" s="27"/>
      <c r="H759" s="548"/>
      <c r="I759" s="27"/>
      <c r="J759" s="635"/>
      <c r="K759" s="635"/>
      <c r="L759" s="635"/>
      <c r="M759" s="635"/>
      <c r="N759" s="636"/>
      <c r="O759" s="635"/>
      <c r="P759" s="637"/>
      <c r="Q759" s="637"/>
      <c r="R759" s="635"/>
      <c r="S759" s="637"/>
      <c r="T759" s="644"/>
    </row>
    <row r="760" spans="1:20" x14ac:dyDescent="0.25">
      <c r="A760" s="23"/>
      <c r="B760" s="24"/>
      <c r="C760" s="25"/>
      <c r="D760" s="27"/>
      <c r="E760" s="27"/>
      <c r="F760" s="28"/>
      <c r="G760" s="27"/>
      <c r="H760" s="548"/>
      <c r="I760" s="27"/>
      <c r="J760" s="635"/>
      <c r="K760" s="635"/>
      <c r="L760" s="635"/>
      <c r="M760" s="635"/>
      <c r="N760" s="636"/>
      <c r="O760" s="635"/>
      <c r="P760" s="637"/>
      <c r="Q760" s="637"/>
      <c r="R760" s="635"/>
      <c r="S760" s="637"/>
      <c r="T760" s="644"/>
    </row>
    <row r="761" spans="1:20" x14ac:dyDescent="0.25">
      <c r="A761" s="23"/>
      <c r="B761" s="24"/>
      <c r="C761" s="25"/>
      <c r="D761" s="27"/>
      <c r="E761" s="27"/>
      <c r="F761" s="28"/>
      <c r="G761" s="27"/>
      <c r="H761" s="548"/>
      <c r="I761" s="27"/>
      <c r="J761" s="635"/>
      <c r="K761" s="635"/>
      <c r="L761" s="635"/>
      <c r="M761" s="635"/>
      <c r="N761" s="636"/>
      <c r="O761" s="635"/>
      <c r="P761" s="637"/>
      <c r="Q761" s="637"/>
      <c r="R761" s="635"/>
      <c r="S761" s="637"/>
      <c r="T761" s="644"/>
    </row>
    <row r="762" spans="1:20" x14ac:dyDescent="0.25">
      <c r="A762" s="23"/>
      <c r="B762" s="24"/>
      <c r="C762" s="25"/>
      <c r="D762" s="27"/>
      <c r="E762" s="27"/>
      <c r="F762" s="28"/>
      <c r="G762" s="27"/>
      <c r="H762" s="548"/>
      <c r="I762" s="27"/>
      <c r="J762" s="635"/>
      <c r="K762" s="635"/>
      <c r="L762" s="635"/>
      <c r="M762" s="635"/>
      <c r="N762" s="636"/>
      <c r="O762" s="635"/>
      <c r="P762" s="637"/>
      <c r="Q762" s="637"/>
      <c r="R762" s="635"/>
      <c r="S762" s="637"/>
      <c r="T762" s="644"/>
    </row>
    <row r="763" spans="1:20" x14ac:dyDescent="0.25">
      <c r="A763" s="23"/>
      <c r="B763" s="24"/>
      <c r="C763" s="25"/>
      <c r="D763" s="27"/>
      <c r="E763" s="27"/>
      <c r="F763" s="28"/>
      <c r="G763" s="27"/>
      <c r="H763" s="548"/>
      <c r="I763" s="27"/>
      <c r="J763" s="635"/>
      <c r="K763" s="635"/>
      <c r="L763" s="635"/>
      <c r="M763" s="635"/>
      <c r="N763" s="636"/>
      <c r="O763" s="635"/>
      <c r="P763" s="637"/>
      <c r="Q763" s="637"/>
      <c r="R763" s="635"/>
      <c r="S763" s="637"/>
      <c r="T763" s="644"/>
    </row>
    <row r="764" spans="1:20" x14ac:dyDescent="0.25">
      <c r="A764" s="23"/>
      <c r="B764" s="24"/>
      <c r="C764" s="25"/>
      <c r="D764" s="27"/>
      <c r="E764" s="27"/>
      <c r="F764" s="28"/>
      <c r="G764" s="27"/>
      <c r="H764" s="548"/>
      <c r="I764" s="27"/>
      <c r="J764" s="635"/>
      <c r="K764" s="635"/>
      <c r="L764" s="635"/>
      <c r="M764" s="635"/>
      <c r="N764" s="636"/>
      <c r="O764" s="635"/>
      <c r="P764" s="637"/>
      <c r="Q764" s="637"/>
      <c r="R764" s="635"/>
      <c r="S764" s="637"/>
      <c r="T764" s="644"/>
    </row>
  </sheetData>
  <dataValidations count="1">
    <dataValidation type="list" allowBlank="1" showInputMessage="1" showErrorMessage="1" sqref="C6:C7 C9 C11">
      <formula1>$H$6:$H$11</formula1>
    </dataValidation>
  </dataValidations>
  <hyperlinks>
    <hyperlink ref="I2:J2" location="Instructions!A1" display="Return to Menu"/>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0" r:id="rId4" name="Button 2">
              <controlPr defaultSize="0" print="0" autoFill="0" autoPict="0" macro="[0]!Button2_Click">
                <anchor moveWithCells="1" sizeWithCells="1">
                  <from>
                    <xdr:col>3</xdr:col>
                    <xdr:colOff>22860</xdr:colOff>
                    <xdr:row>2</xdr:row>
                    <xdr:rowOff>144780</xdr:rowOff>
                  </from>
                  <to>
                    <xdr:col>4</xdr:col>
                    <xdr:colOff>266700</xdr:colOff>
                    <xdr:row>3</xdr:row>
                    <xdr:rowOff>160020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53"/>
  </sheetPr>
  <dimension ref="A1:T764"/>
  <sheetViews>
    <sheetView zoomScaleNormal="100" workbookViewId="0">
      <selection activeCell="M14" sqref="M14:M18"/>
    </sheetView>
  </sheetViews>
  <sheetFormatPr defaultRowHeight="13.2" x14ac:dyDescent="0.25"/>
  <cols>
    <col min="1" max="1" width="12.88671875" customWidth="1"/>
    <col min="2" max="2" width="14.5546875" customWidth="1"/>
    <col min="20" max="20" width="9.33203125" customWidth="1"/>
  </cols>
  <sheetData>
    <row r="1" spans="1:20" ht="15.6" x14ac:dyDescent="0.3">
      <c r="A1" s="56" t="s">
        <v>1035</v>
      </c>
    </row>
    <row r="2" spans="1:20" ht="16.8" x14ac:dyDescent="0.3">
      <c r="A2" s="80" t="s">
        <v>94</v>
      </c>
      <c r="B2" s="81" t="str">
        <f>Weather_Site!D2</f>
        <v>Nicholson Street Melbourne</v>
      </c>
      <c r="C2" s="81"/>
      <c r="D2" s="81"/>
      <c r="E2" s="81"/>
      <c r="I2" s="170" t="s">
        <v>202</v>
      </c>
      <c r="J2" s="169"/>
    </row>
    <row r="4" spans="1:20" x14ac:dyDescent="0.25">
      <c r="A4" s="107" t="s">
        <v>35</v>
      </c>
      <c r="B4" s="175"/>
      <c r="C4" s="35">
        <f>Weather_Site!D6</f>
        <v>0</v>
      </c>
    </row>
    <row r="5" spans="1:20" s="89" customFormat="1" x14ac:dyDescent="0.25">
      <c r="A5" s="184"/>
      <c r="B5" s="185"/>
      <c r="C5" s="211" t="s">
        <v>246</v>
      </c>
      <c r="D5" s="174" t="s">
        <v>245</v>
      </c>
      <c r="E5" s="89" t="s">
        <v>221</v>
      </c>
      <c r="H5" s="210" t="s">
        <v>247</v>
      </c>
      <c r="I5" s="211" t="s">
        <v>248</v>
      </c>
    </row>
    <row r="6" spans="1:20" x14ac:dyDescent="0.25">
      <c r="A6" s="176" t="s">
        <v>208</v>
      </c>
      <c r="B6" s="177"/>
      <c r="C6" s="206" t="s">
        <v>251</v>
      </c>
      <c r="D6" s="208">
        <f>IF(C6="Low",1,IF(C6="Moderate",2,IF(C6="High",3,IF(C6="Very High",3.5,IF(C6="Extreme",4,0)))))</f>
        <v>3</v>
      </c>
      <c r="E6" s="186">
        <f>IF(D6=4,20,IF(D6=3.5,14,IF(D6=3,12,IF(D6=2,8,IF(D6=1,4,0)))))</f>
        <v>12</v>
      </c>
      <c r="H6" s="209" t="s">
        <v>249</v>
      </c>
      <c r="I6" s="213" t="s">
        <v>268</v>
      </c>
    </row>
    <row r="7" spans="1:20" x14ac:dyDescent="0.25">
      <c r="A7" s="176" t="s">
        <v>209</v>
      </c>
      <c r="B7" s="177"/>
      <c r="C7" s="206" t="s">
        <v>250</v>
      </c>
      <c r="D7" s="208">
        <f>IF(C7="Low",1,IF(C7="Moderate",2,IF(C7="High",3,IF(C7="Very High",3.5,IF(C7="Extreme",4,0)))))</f>
        <v>2</v>
      </c>
      <c r="E7" s="186">
        <f>IF(D7=4,4,IF(D7=3.5,3.5,IF(D7=3,3,IF(D7=2,2,IF(D7=1,1,0)))))</f>
        <v>2</v>
      </c>
      <c r="H7" s="209" t="s">
        <v>788</v>
      </c>
      <c r="I7" s="213" t="s">
        <v>255</v>
      </c>
    </row>
    <row r="8" spans="1:20" x14ac:dyDescent="0.25">
      <c r="A8" s="176" t="s">
        <v>210</v>
      </c>
      <c r="B8" s="177"/>
      <c r="C8" s="206">
        <v>50</v>
      </c>
      <c r="D8" s="207"/>
      <c r="E8" s="205"/>
      <c r="H8" s="209" t="s">
        <v>250</v>
      </c>
      <c r="I8" s="213" t="s">
        <v>256</v>
      </c>
    </row>
    <row r="9" spans="1:20" x14ac:dyDescent="0.25">
      <c r="A9" s="176" t="s">
        <v>220</v>
      </c>
      <c r="B9" s="177"/>
      <c r="C9" s="206" t="s">
        <v>250</v>
      </c>
      <c r="D9" s="208">
        <f>IF(C9="Low",1,IF(C9="Moderate",2,IF(C9="High",3,IF(C9="Very High",3.5,IF(C9="Extreme",4,0)))))</f>
        <v>2</v>
      </c>
      <c r="E9" s="186">
        <f>IF(D9=4,6,IF(D9=3.5,4,IF(D9=3,3,IF(D9=2,2,IF(D9=1,1,0)))))</f>
        <v>2</v>
      </c>
      <c r="H9" s="209" t="s">
        <v>251</v>
      </c>
      <c r="I9" s="213" t="s">
        <v>257</v>
      </c>
    </row>
    <row r="10" spans="1:20" x14ac:dyDescent="0.25">
      <c r="A10" s="176" t="s">
        <v>211</v>
      </c>
      <c r="B10" s="177"/>
      <c r="C10" s="206">
        <v>0.8</v>
      </c>
      <c r="D10" s="207"/>
      <c r="E10" s="205"/>
      <c r="F10" s="2" t="s">
        <v>222</v>
      </c>
      <c r="H10" s="209" t="s">
        <v>252</v>
      </c>
      <c r="I10" s="213" t="s">
        <v>258</v>
      </c>
    </row>
    <row r="11" spans="1:20" x14ac:dyDescent="0.25">
      <c r="A11" s="176" t="s">
        <v>213</v>
      </c>
      <c r="B11" s="177"/>
      <c r="C11" s="206" t="s">
        <v>253</v>
      </c>
      <c r="D11" s="208">
        <f>IF(C11="Low",1,IF(C11="Moderate",2,IF(C11="High",3,IF(C11="Very High",3.5,IF(C11="Extreme",4,0)))))</f>
        <v>4</v>
      </c>
      <c r="E11" s="186">
        <f>IF(D11=4,7,IF(D11=3.5,6,IF(D11=3,5,IF(D11=2,2,IF(D11=1,1,0)))))</f>
        <v>7</v>
      </c>
      <c r="F11" s="186">
        <f>E6+E7+E9+E11</f>
        <v>23</v>
      </c>
      <c r="H11" s="209" t="s">
        <v>253</v>
      </c>
      <c r="I11" s="213" t="s">
        <v>259</v>
      </c>
    </row>
    <row r="13" spans="1:20" ht="79.2" x14ac:dyDescent="0.25">
      <c r="A13" s="26" t="s">
        <v>28</v>
      </c>
      <c r="B13" s="26" t="s">
        <v>32</v>
      </c>
      <c r="C13" s="26" t="s">
        <v>27</v>
      </c>
      <c r="D13" s="26" t="s">
        <v>18</v>
      </c>
      <c r="E13" s="26" t="s">
        <v>19</v>
      </c>
      <c r="F13" s="26" t="s">
        <v>24</v>
      </c>
      <c r="G13" s="26" t="s">
        <v>20</v>
      </c>
      <c r="H13" s="179" t="s">
        <v>35</v>
      </c>
      <c r="I13" s="57" t="s">
        <v>113</v>
      </c>
      <c r="J13" s="57" t="s">
        <v>217</v>
      </c>
      <c r="K13" s="57" t="s">
        <v>218</v>
      </c>
      <c r="L13" s="57" t="s">
        <v>219</v>
      </c>
      <c r="M13" s="57" t="s">
        <v>206</v>
      </c>
      <c r="N13" s="57" t="s">
        <v>204</v>
      </c>
      <c r="O13" s="57" t="s">
        <v>205</v>
      </c>
      <c r="P13" s="10" t="s">
        <v>207</v>
      </c>
      <c r="Q13" s="44" t="s">
        <v>267</v>
      </c>
      <c r="R13" s="10" t="s">
        <v>212</v>
      </c>
      <c r="S13" s="44" t="s">
        <v>44</v>
      </c>
      <c r="T13" s="10" t="s">
        <v>45</v>
      </c>
    </row>
    <row r="14" spans="1:2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27">
        <f>IF(Weather_Site!M12&lt;180,Weather_Site!M12+180,Weather_Site!M12-180)</f>
        <v>216</v>
      </c>
      <c r="J14" s="32">
        <f>((1.6779*D14^0.09655)*(196.1*D14^0.3204)+(18.944*317433^(1/D14))*E14^(1.5002*0.0196^(1/D14)))/((196.1*D14^0.3204)+E14^(1.5002*0.0196^(1/D14)))</f>
        <v>5.1555860882510895</v>
      </c>
      <c r="K14" s="32">
        <f>((2.143+0.0322*D14-0.0006135*D14^2)*(663.6+17.8*D14)+((193-1.366*D14)*E14^(0.9367+0.00487*D14)))/((663.6+17.8*D14)+E14^(0.9367+0.00487*D14))</f>
        <v>6.6083606092261462</v>
      </c>
      <c r="L14" s="32">
        <f>(2.943-0.0415*D14)+(0.196*1.2256^(1/D14))*E14</f>
        <v>6.7348951822491241</v>
      </c>
      <c r="M14" s="32">
        <f>IF(AND(OR(MONTH(B14)&gt;10,MONTH(B14)&lt;3),AND(HOUR(C14)&gt;=13,HOUR(C14)&lt;=17)),J14,IF(OR(HOUR(C14)&lt;8,HOUR(C14)&gt;=20),L14,K14))</f>
        <v>6.7348951822491241</v>
      </c>
      <c r="N14" s="31">
        <f>M14^-1.495/0.0545</f>
        <v>1.0598609482733079</v>
      </c>
      <c r="O14" s="32">
        <f>EXP(0.069*H14)</f>
        <v>1</v>
      </c>
      <c r="P14" s="33">
        <f>(30+3.102*(IF(G14&lt;5,0,G14-5))^0.904*EXP(0.279*$D$6+0.611*$D$7+0.013*$C$8))*N14*O14</f>
        <v>463.1295601681332</v>
      </c>
      <c r="Q14" s="33">
        <f>(30+3.102*(IF((0.2*G14+4)&lt;5,0,(0.2*G14+6)-5))^0.904*EXP(0.279*$D$6+0.611*$D$7+0.013*$C$8))*N14</f>
        <v>212.43494220512034</v>
      </c>
      <c r="R14" s="32">
        <f>0.0193*P14^0.723*EXP(0.64*$C$10)</f>
        <v>2.7240745726522704</v>
      </c>
      <c r="S14" s="33">
        <f>MAX(50,ABS(176.969*(ATAN($D$6)*(P14/G14^0.25)^0.5)+1568800*($D$6^-1*(P14/G14^0.25)^-1.5)-3015.09))</f>
        <v>496.96902884209157</v>
      </c>
      <c r="T14" s="322">
        <f>18600*P14/3600*F$11/10</f>
        <v>5503.5229399979826</v>
      </c>
    </row>
    <row r="15" spans="1:2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8" si="0">C$4</f>
        <v>0</v>
      </c>
      <c r="I15" s="27">
        <f>IF(Weather_Site!M13&lt;180,Weather_Site!M13+180,Weather_Site!M13-180)</f>
        <v>132</v>
      </c>
      <c r="J15" s="32">
        <f t="shared" ref="J15:J18" si="1">((1.6779*D15^0.09655)*(196.1*D15^0.3204)+(18.944*317433^(1/D15))*E15^(1.5002*0.0196^(1/D15)))/((196.1*D15^0.3204)+E15^(1.5002*0.0196^(1/D15)))</f>
        <v>5.1898227944031854</v>
      </c>
      <c r="K15" s="32">
        <f t="shared" ref="K15:K18" si="2">((2.143+0.0322*D15-0.0006135*D15^2)*(663.6+17.8*D15)+((193-1.366*D15)*E15^(0.9367+0.00487*D15)))/((663.6+17.8*D15)+E15^(0.9367+0.00487*D15))</f>
        <v>6.6533659314286835</v>
      </c>
      <c r="L15" s="32">
        <f t="shared" ref="L15:L18" si="3">(2.943-0.0415*D15)+(0.196*1.2256^(1/D15))*E15</f>
        <v>6.7874021737989096</v>
      </c>
      <c r="M15" s="32">
        <f t="shared" ref="M15:M18" si="4">IF(AND(OR(MONTH(B15)&gt;10,MONTH(B15)&lt;3),AND(HOUR(C15)&gt;=13,HOUR(C15)&lt;=17)),J15,IF(OR(HOUR(C15)&lt;8,HOUR(C15)&gt;=20),L15,K15))</f>
        <v>6.7874021737989096</v>
      </c>
      <c r="N15" s="31">
        <f t="shared" ref="N15:N18" si="5">M15^-1.495/0.0545</f>
        <v>1.0476268988785697</v>
      </c>
      <c r="O15" s="32">
        <f t="shared" ref="O15:O18" si="6">EXP(0.069*H15)</f>
        <v>1</v>
      </c>
      <c r="P15" s="33">
        <f t="shared" ref="P15:P18" si="7">(30+3.102*(IF(G15&lt;5,0,G15-5))^0.904*EXP(0.279*$D$6+0.611*$D$7+0.013*$C$8))*N15*O15</f>
        <v>351.13094012633343</v>
      </c>
      <c r="Q15" s="33">
        <f t="shared" ref="Q15:Q18" si="8">(30+3.102*(IF((0.2*G15+4)&lt;5,0,(0.2*G15+6)-5))^0.904*EXP(0.279*$D$6+0.611*$D$7+0.013*$C$8))*N15</f>
        <v>186.756769833466</v>
      </c>
      <c r="R15" s="32">
        <f t="shared" ref="R15:R18" si="9">0.0193*P15^0.723*EXP(0.64*$C$10)</f>
        <v>2.2299249283226392</v>
      </c>
      <c r="S15" s="33">
        <f t="shared" ref="S15:S18" si="10">MAX(50,ABS(176.969*(ATAN($D$6)*(P15/G15^0.25)^0.5)+1568800*($D$6^-1*(P15/G15^0.25)^-1.5)-3015.09))</f>
        <v>198.71513771077116</v>
      </c>
      <c r="T15" s="322">
        <f t="shared" ref="T15:T18" si="11">18600*P15/3600*F$11/10</f>
        <v>4172.6060051679287</v>
      </c>
    </row>
    <row r="16" spans="1:2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0"/>
        <v>0</v>
      </c>
      <c r="I16" s="27">
        <f>IF(Weather_Site!M14&lt;180,Weather_Site!M14+180,Weather_Site!M14-180)</f>
        <v>156</v>
      </c>
      <c r="J16" s="32">
        <f t="shared" si="1"/>
        <v>5.6107471720050883</v>
      </c>
      <c r="K16" s="32">
        <f t="shared" si="2"/>
        <v>7.1856164696254314</v>
      </c>
      <c r="L16" s="32">
        <f t="shared" si="3"/>
        <v>7.3999177579141477</v>
      </c>
      <c r="M16" s="32">
        <f t="shared" si="4"/>
        <v>7.3999177579141477</v>
      </c>
      <c r="N16" s="31">
        <f t="shared" si="5"/>
        <v>0.92068123715710248</v>
      </c>
      <c r="O16" s="32">
        <f t="shared" si="6"/>
        <v>1</v>
      </c>
      <c r="P16" s="33">
        <f t="shared" si="7"/>
        <v>402.31192319548182</v>
      </c>
      <c r="Q16" s="33">
        <f t="shared" si="8"/>
        <v>184.53823185338459</v>
      </c>
      <c r="R16" s="32">
        <f t="shared" si="9"/>
        <v>2.4604529417569716</v>
      </c>
      <c r="S16" s="33">
        <f t="shared" si="10"/>
        <v>303.23564919270393</v>
      </c>
      <c r="T16" s="322">
        <f t="shared" si="11"/>
        <v>4780.806687306309</v>
      </c>
    </row>
    <row r="17" spans="1:20"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0"/>
        <v>0</v>
      </c>
      <c r="I17" s="27">
        <f>IF(Weather_Site!M15&lt;180,Weather_Site!M15+180,Weather_Site!M15-180)</f>
        <v>182</v>
      </c>
      <c r="J17" s="32">
        <f t="shared" si="1"/>
        <v>5.7265079723032581</v>
      </c>
      <c r="K17" s="32">
        <f t="shared" si="2"/>
        <v>7.3291234450641936</v>
      </c>
      <c r="L17" s="32">
        <f t="shared" si="3"/>
        <v>7.5648038442493846</v>
      </c>
      <c r="M17" s="32">
        <f t="shared" si="4"/>
        <v>7.5648038442493846</v>
      </c>
      <c r="N17" s="31">
        <f t="shared" si="5"/>
        <v>0.8908426050533973</v>
      </c>
      <c r="O17" s="32">
        <f t="shared" si="6"/>
        <v>1</v>
      </c>
      <c r="P17" s="33">
        <f t="shared" si="7"/>
        <v>649.13682396262016</v>
      </c>
      <c r="Q17" s="33">
        <f t="shared" si="8"/>
        <v>236.32719717460066</v>
      </c>
      <c r="R17" s="32">
        <f t="shared" si="9"/>
        <v>3.4772441873693594</v>
      </c>
      <c r="S17" s="33">
        <f t="shared" si="10"/>
        <v>856.8138619618644</v>
      </c>
      <c r="T17" s="322">
        <f t="shared" si="11"/>
        <v>7713.9092580891356</v>
      </c>
    </row>
    <row r="18" spans="1:20"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0"/>
        <v>0</v>
      </c>
      <c r="I18" s="27">
        <f>IF(Weather_Site!M16&lt;180,Weather_Site!M16+180,Weather_Site!M16-180)</f>
        <v>180</v>
      </c>
      <c r="J18" s="32">
        <f t="shared" si="1"/>
        <v>5.3696737495995741</v>
      </c>
      <c r="K18" s="32">
        <f t="shared" si="2"/>
        <v>6.8653866297808044</v>
      </c>
      <c r="L18" s="32">
        <f t="shared" si="3"/>
        <v>7.0301907495674092</v>
      </c>
      <c r="M18" s="32">
        <f t="shared" si="4"/>
        <v>6.8653866297808044</v>
      </c>
      <c r="N18" s="31">
        <f t="shared" si="5"/>
        <v>1.0298863992602199</v>
      </c>
      <c r="O18" s="32">
        <f t="shared" si="6"/>
        <v>1</v>
      </c>
      <c r="P18" s="33">
        <f t="shared" si="7"/>
        <v>974.71340734836269</v>
      </c>
      <c r="Q18" s="33">
        <f t="shared" si="8"/>
        <v>323.79724669473899</v>
      </c>
      <c r="R18" s="32">
        <f t="shared" si="9"/>
        <v>4.6652412961187704</v>
      </c>
      <c r="S18" s="33">
        <f t="shared" si="10"/>
        <v>1522.7075750573804</v>
      </c>
      <c r="T18" s="322">
        <f t="shared" si="11"/>
        <v>11582.844323989711</v>
      </c>
    </row>
    <row r="19" spans="1:20" x14ac:dyDescent="0.25">
      <c r="A19" s="45"/>
      <c r="B19" s="46"/>
      <c r="C19" s="47"/>
      <c r="D19" s="48"/>
      <c r="E19" s="48"/>
      <c r="F19" s="49"/>
      <c r="G19" s="48"/>
      <c r="H19" s="180"/>
      <c r="I19" s="48"/>
      <c r="J19" s="51"/>
      <c r="K19" s="51"/>
      <c r="L19" s="51"/>
      <c r="M19" s="51"/>
      <c r="N19" s="54"/>
      <c r="O19" s="51"/>
      <c r="P19" s="52"/>
      <c r="Q19" s="52"/>
      <c r="R19" s="51"/>
      <c r="S19" s="52"/>
      <c r="T19" s="321"/>
    </row>
    <row r="20" spans="1:20" x14ac:dyDescent="0.25">
      <c r="A20" s="45"/>
      <c r="B20" s="46"/>
      <c r="C20" s="47"/>
      <c r="D20" s="48"/>
      <c r="E20" s="48"/>
      <c r="F20" s="49"/>
      <c r="G20" s="48"/>
      <c r="H20" s="180"/>
      <c r="I20" s="48"/>
      <c r="J20" s="51"/>
      <c r="K20" s="51"/>
      <c r="L20" s="51"/>
      <c r="M20" s="51"/>
      <c r="N20" s="54"/>
      <c r="O20" s="51"/>
      <c r="P20" s="52"/>
      <c r="Q20" s="52"/>
      <c r="R20" s="51"/>
      <c r="S20" s="52"/>
      <c r="T20" s="321"/>
    </row>
    <row r="21" spans="1:20" x14ac:dyDescent="0.25">
      <c r="A21" s="45"/>
      <c r="B21" s="46"/>
      <c r="C21" s="47"/>
      <c r="D21" s="48"/>
      <c r="E21" s="48"/>
      <c r="F21" s="49"/>
      <c r="G21" s="48"/>
      <c r="H21" s="180"/>
      <c r="I21" s="48"/>
      <c r="J21" s="51"/>
      <c r="K21" s="51"/>
      <c r="L21" s="51"/>
      <c r="M21" s="51"/>
      <c r="N21" s="54"/>
      <c r="O21" s="51"/>
      <c r="P21" s="52"/>
      <c r="Q21" s="52"/>
      <c r="R21" s="51"/>
      <c r="S21" s="52"/>
      <c r="T21" s="243"/>
    </row>
    <row r="22" spans="1:20" x14ac:dyDescent="0.25">
      <c r="A22" s="45"/>
      <c r="B22" s="46"/>
      <c r="C22" s="47"/>
      <c r="D22" s="48"/>
      <c r="E22" s="48"/>
      <c r="F22" s="49"/>
      <c r="G22" s="48"/>
      <c r="H22" s="180"/>
      <c r="I22" s="48"/>
      <c r="J22" s="51"/>
      <c r="K22" s="51"/>
      <c r="L22" s="51"/>
      <c r="M22" s="51"/>
      <c r="N22" s="54"/>
      <c r="O22" s="51"/>
      <c r="P22" s="52"/>
      <c r="Q22" s="52"/>
      <c r="R22" s="51"/>
      <c r="S22" s="52"/>
      <c r="T22" s="243"/>
    </row>
    <row r="23" spans="1:20" x14ac:dyDescent="0.25">
      <c r="A23" s="45"/>
      <c r="B23" s="46"/>
      <c r="C23" s="47"/>
      <c r="D23" s="48"/>
      <c r="E23" s="48"/>
      <c r="F23" s="49"/>
      <c r="G23" s="48"/>
      <c r="H23" s="180"/>
      <c r="I23" s="48"/>
      <c r="J23" s="51"/>
      <c r="K23" s="51"/>
      <c r="L23" s="51"/>
      <c r="M23" s="51"/>
      <c r="N23" s="54"/>
      <c r="O23" s="51"/>
      <c r="P23" s="52"/>
      <c r="Q23" s="52"/>
      <c r="R23" s="51"/>
      <c r="S23" s="52"/>
      <c r="T23" s="243"/>
    </row>
    <row r="24" spans="1:20" x14ac:dyDescent="0.25">
      <c r="A24" s="23"/>
      <c r="B24" s="24"/>
      <c r="C24" s="25"/>
      <c r="D24" s="27"/>
      <c r="E24" s="27"/>
      <c r="F24" s="28"/>
      <c r="G24" s="27"/>
      <c r="H24" s="180"/>
      <c r="I24" s="27"/>
      <c r="J24" s="32"/>
      <c r="K24" s="32"/>
      <c r="L24" s="32"/>
      <c r="M24" s="32"/>
      <c r="N24" s="31"/>
      <c r="O24" s="32"/>
      <c r="P24" s="33"/>
      <c r="Q24" s="33"/>
      <c r="R24" s="32"/>
      <c r="S24" s="33"/>
      <c r="T24" s="5"/>
    </row>
    <row r="25" spans="1:20" x14ac:dyDescent="0.25">
      <c r="A25" s="23"/>
      <c r="B25" s="24"/>
      <c r="C25" s="25"/>
      <c r="D25" s="27"/>
      <c r="E25" s="27"/>
      <c r="F25" s="28"/>
      <c r="G25" s="27"/>
      <c r="H25" s="180"/>
      <c r="I25" s="27"/>
      <c r="J25" s="32"/>
      <c r="K25" s="32"/>
      <c r="L25" s="32"/>
      <c r="M25" s="32"/>
      <c r="N25" s="31"/>
      <c r="O25" s="32"/>
      <c r="P25" s="33"/>
      <c r="Q25" s="33"/>
      <c r="R25" s="32"/>
      <c r="S25" s="33"/>
      <c r="T25" s="5"/>
    </row>
    <row r="26" spans="1:20" x14ac:dyDescent="0.25">
      <c r="A26" s="23"/>
      <c r="B26" s="24"/>
      <c r="C26" s="25"/>
      <c r="D26" s="27"/>
      <c r="E26" s="27"/>
      <c r="F26" s="28"/>
      <c r="G26" s="27"/>
      <c r="H26" s="180"/>
      <c r="I26" s="27"/>
      <c r="J26" s="32"/>
      <c r="K26" s="32"/>
      <c r="L26" s="32"/>
      <c r="M26" s="32"/>
      <c r="N26" s="31"/>
      <c r="O26" s="32"/>
      <c r="P26" s="33"/>
      <c r="Q26" s="33"/>
      <c r="R26" s="32"/>
      <c r="S26" s="33"/>
      <c r="T26" s="5"/>
    </row>
    <row r="27" spans="1:20" x14ac:dyDescent="0.25">
      <c r="A27" s="23"/>
      <c r="B27" s="24"/>
      <c r="C27" s="25"/>
      <c r="D27" s="27"/>
      <c r="E27" s="27"/>
      <c r="F27" s="28"/>
      <c r="G27" s="27"/>
      <c r="H27" s="180"/>
      <c r="I27" s="27"/>
      <c r="J27" s="32"/>
      <c r="K27" s="32"/>
      <c r="L27" s="32"/>
      <c r="M27" s="32"/>
      <c r="N27" s="31"/>
      <c r="O27" s="32"/>
      <c r="P27" s="33"/>
      <c r="Q27" s="33"/>
      <c r="R27" s="32"/>
      <c r="S27" s="33"/>
      <c r="T27" s="5"/>
    </row>
    <row r="28" spans="1:20" x14ac:dyDescent="0.25">
      <c r="A28" s="23"/>
      <c r="B28" s="24"/>
      <c r="C28" s="25"/>
      <c r="D28" s="27"/>
      <c r="E28" s="27"/>
      <c r="F28" s="28"/>
      <c r="G28" s="27"/>
      <c r="H28" s="180"/>
      <c r="I28" s="27"/>
      <c r="J28" s="32"/>
      <c r="K28" s="32"/>
      <c r="L28" s="32"/>
      <c r="M28" s="32"/>
      <c r="N28" s="31"/>
      <c r="O28" s="32"/>
      <c r="P28" s="33"/>
      <c r="Q28" s="33"/>
      <c r="R28" s="32"/>
      <c r="S28" s="33"/>
      <c r="T28" s="5"/>
    </row>
    <row r="29" spans="1:20" x14ac:dyDescent="0.25">
      <c r="A29" s="45"/>
      <c r="B29" s="46"/>
      <c r="C29" s="47"/>
      <c r="D29" s="48"/>
      <c r="E29" s="48"/>
      <c r="F29" s="49"/>
      <c r="G29" s="48"/>
      <c r="H29" s="180"/>
      <c r="I29" s="48"/>
      <c r="J29" s="51"/>
      <c r="K29" s="51"/>
      <c r="L29" s="51"/>
      <c r="M29" s="51"/>
      <c r="N29" s="54"/>
      <c r="O29" s="51"/>
      <c r="P29" s="52"/>
      <c r="Q29" s="52"/>
      <c r="R29" s="51"/>
      <c r="S29" s="52"/>
      <c r="T29" s="243"/>
    </row>
    <row r="30" spans="1:20" x14ac:dyDescent="0.25">
      <c r="A30" s="45"/>
      <c r="B30" s="46"/>
      <c r="C30" s="47"/>
      <c r="D30" s="48"/>
      <c r="E30" s="48"/>
      <c r="F30" s="49"/>
      <c r="G30" s="48"/>
      <c r="H30" s="180"/>
      <c r="I30" s="48"/>
      <c r="J30" s="51"/>
      <c r="K30" s="51"/>
      <c r="L30" s="51"/>
      <c r="M30" s="51"/>
      <c r="N30" s="54"/>
      <c r="O30" s="51"/>
      <c r="P30" s="52"/>
      <c r="Q30" s="52"/>
      <c r="R30" s="51"/>
      <c r="S30" s="52"/>
      <c r="T30" s="243"/>
    </row>
    <row r="31" spans="1:20" x14ac:dyDescent="0.25">
      <c r="A31" s="45"/>
      <c r="B31" s="46"/>
      <c r="C31" s="47"/>
      <c r="D31" s="48"/>
      <c r="E31" s="48"/>
      <c r="F31" s="49"/>
      <c r="G31" s="48"/>
      <c r="H31" s="180"/>
      <c r="I31" s="48"/>
      <c r="J31" s="51"/>
      <c r="K31" s="51"/>
      <c r="L31" s="51"/>
      <c r="M31" s="51"/>
      <c r="N31" s="54"/>
      <c r="O31" s="51"/>
      <c r="P31" s="52"/>
      <c r="Q31" s="52"/>
      <c r="R31" s="51"/>
      <c r="S31" s="52"/>
      <c r="T31" s="243"/>
    </row>
    <row r="32" spans="1:20" x14ac:dyDescent="0.25">
      <c r="A32" s="45"/>
      <c r="B32" s="46"/>
      <c r="C32" s="47"/>
      <c r="D32" s="48"/>
      <c r="E32" s="48"/>
      <c r="F32" s="49"/>
      <c r="G32" s="48"/>
      <c r="H32" s="180"/>
      <c r="I32" s="48"/>
      <c r="J32" s="51"/>
      <c r="K32" s="51"/>
      <c r="L32" s="51"/>
      <c r="M32" s="51"/>
      <c r="N32" s="54"/>
      <c r="O32" s="51"/>
      <c r="P32" s="52"/>
      <c r="Q32" s="52"/>
      <c r="R32" s="51"/>
      <c r="S32" s="52"/>
      <c r="T32" s="243"/>
    </row>
    <row r="33" spans="1:20" x14ac:dyDescent="0.25">
      <c r="A33" s="45"/>
      <c r="B33" s="46"/>
      <c r="C33" s="47"/>
      <c r="D33" s="48"/>
      <c r="E33" s="48"/>
      <c r="F33" s="49"/>
      <c r="G33" s="48"/>
      <c r="H33" s="180"/>
      <c r="I33" s="48"/>
      <c r="J33" s="51"/>
      <c r="K33" s="51"/>
      <c r="L33" s="51"/>
      <c r="M33" s="51"/>
      <c r="N33" s="54"/>
      <c r="O33" s="51"/>
      <c r="P33" s="52"/>
      <c r="Q33" s="52"/>
      <c r="R33" s="51"/>
      <c r="S33" s="52"/>
      <c r="T33" s="243"/>
    </row>
    <row r="34" spans="1:20" x14ac:dyDescent="0.25">
      <c r="A34" s="23"/>
      <c r="B34" s="24"/>
      <c r="C34" s="25"/>
      <c r="D34" s="27"/>
      <c r="E34" s="27"/>
      <c r="F34" s="28"/>
      <c r="G34" s="27"/>
      <c r="H34" s="180"/>
      <c r="I34" s="27"/>
      <c r="J34" s="32"/>
      <c r="K34" s="32"/>
      <c r="L34" s="32"/>
      <c r="M34" s="32"/>
      <c r="N34" s="31"/>
      <c r="O34" s="32"/>
      <c r="P34" s="33"/>
      <c r="Q34" s="33"/>
      <c r="R34" s="32"/>
      <c r="S34" s="33"/>
      <c r="T34" s="5"/>
    </row>
    <row r="35" spans="1:20" x14ac:dyDescent="0.25">
      <c r="A35" s="23"/>
      <c r="B35" s="24"/>
      <c r="C35" s="25"/>
      <c r="D35" s="27"/>
      <c r="E35" s="27"/>
      <c r="F35" s="28"/>
      <c r="G35" s="27"/>
      <c r="H35" s="180"/>
      <c r="I35" s="27"/>
      <c r="J35" s="32"/>
      <c r="K35" s="32"/>
      <c r="L35" s="32"/>
      <c r="M35" s="32"/>
      <c r="N35" s="31"/>
      <c r="O35" s="32"/>
      <c r="P35" s="33"/>
      <c r="Q35" s="33"/>
      <c r="R35" s="32"/>
      <c r="S35" s="33"/>
      <c r="T35" s="5"/>
    </row>
    <row r="36" spans="1:20" x14ac:dyDescent="0.25">
      <c r="A36" s="23"/>
      <c r="B36" s="24"/>
      <c r="C36" s="25"/>
      <c r="D36" s="27"/>
      <c r="E36" s="27"/>
      <c r="F36" s="28"/>
      <c r="G36" s="27"/>
      <c r="H36" s="180"/>
      <c r="I36" s="27"/>
      <c r="J36" s="32"/>
      <c r="K36" s="32"/>
      <c r="L36" s="32"/>
      <c r="M36" s="32"/>
      <c r="N36" s="31"/>
      <c r="O36" s="32"/>
      <c r="P36" s="33"/>
      <c r="Q36" s="33"/>
      <c r="R36" s="32"/>
      <c r="S36" s="33"/>
      <c r="T36" s="5"/>
    </row>
    <row r="37" spans="1:20" x14ac:dyDescent="0.25">
      <c r="A37" s="23"/>
      <c r="B37" s="24"/>
      <c r="C37" s="25"/>
      <c r="D37" s="27"/>
      <c r="E37" s="27"/>
      <c r="F37" s="28"/>
      <c r="G37" s="27"/>
      <c r="H37" s="180"/>
      <c r="I37" s="27"/>
      <c r="J37" s="32"/>
      <c r="K37" s="32"/>
      <c r="L37" s="32"/>
      <c r="M37" s="32"/>
      <c r="N37" s="31"/>
      <c r="O37" s="32"/>
      <c r="P37" s="33"/>
      <c r="Q37" s="33"/>
      <c r="R37" s="32"/>
      <c r="S37" s="33"/>
      <c r="T37" s="5"/>
    </row>
    <row r="38" spans="1:20" x14ac:dyDescent="0.25">
      <c r="A38" s="23"/>
      <c r="B38" s="24"/>
      <c r="C38" s="25"/>
      <c r="D38" s="27"/>
      <c r="E38" s="27"/>
      <c r="F38" s="28"/>
      <c r="G38" s="27"/>
      <c r="H38" s="180"/>
      <c r="I38" s="27"/>
      <c r="J38" s="32"/>
      <c r="K38" s="32"/>
      <c r="L38" s="32"/>
      <c r="M38" s="32"/>
      <c r="N38" s="31"/>
      <c r="O38" s="32"/>
      <c r="P38" s="33"/>
      <c r="Q38" s="33"/>
      <c r="R38" s="32"/>
      <c r="S38" s="33"/>
      <c r="T38" s="5"/>
    </row>
    <row r="39" spans="1:20" x14ac:dyDescent="0.25">
      <c r="A39" s="45"/>
      <c r="B39" s="46"/>
      <c r="C39" s="47"/>
      <c r="D39" s="48"/>
      <c r="E39" s="48"/>
      <c r="F39" s="49"/>
      <c r="G39" s="48"/>
      <c r="H39" s="180"/>
      <c r="I39" s="48"/>
      <c r="J39" s="51"/>
      <c r="K39" s="51"/>
      <c r="L39" s="51"/>
      <c r="M39" s="51"/>
      <c r="N39" s="54"/>
      <c r="O39" s="51"/>
      <c r="P39" s="52"/>
      <c r="Q39" s="52"/>
      <c r="R39" s="51"/>
      <c r="S39" s="52"/>
      <c r="T39" s="243"/>
    </row>
    <row r="40" spans="1:20" x14ac:dyDescent="0.25">
      <c r="A40" s="45"/>
      <c r="B40" s="46"/>
      <c r="C40" s="47"/>
      <c r="D40" s="48"/>
      <c r="E40" s="48"/>
      <c r="F40" s="49"/>
      <c r="G40" s="48"/>
      <c r="H40" s="180"/>
      <c r="I40" s="48"/>
      <c r="J40" s="51"/>
      <c r="K40" s="51"/>
      <c r="L40" s="51"/>
      <c r="M40" s="51"/>
      <c r="N40" s="54"/>
      <c r="O40" s="51"/>
      <c r="P40" s="52"/>
      <c r="Q40" s="52"/>
      <c r="R40" s="51"/>
      <c r="S40" s="52"/>
      <c r="T40" s="243"/>
    </row>
    <row r="41" spans="1:20" x14ac:dyDescent="0.25">
      <c r="A41" s="45"/>
      <c r="B41" s="46"/>
      <c r="C41" s="47"/>
      <c r="D41" s="48"/>
      <c r="E41" s="48"/>
      <c r="F41" s="49"/>
      <c r="G41" s="48"/>
      <c r="H41" s="180"/>
      <c r="I41" s="48"/>
      <c r="J41" s="51"/>
      <c r="K41" s="51"/>
      <c r="L41" s="51"/>
      <c r="M41" s="51"/>
      <c r="N41" s="54"/>
      <c r="O41" s="51"/>
      <c r="P41" s="52"/>
      <c r="Q41" s="52"/>
      <c r="R41" s="51"/>
      <c r="S41" s="52"/>
      <c r="T41" s="243"/>
    </row>
    <row r="42" spans="1:20" x14ac:dyDescent="0.25">
      <c r="A42" s="45"/>
      <c r="B42" s="46"/>
      <c r="C42" s="47"/>
      <c r="D42" s="48"/>
      <c r="E42" s="48"/>
      <c r="F42" s="49"/>
      <c r="G42" s="48"/>
      <c r="H42" s="180"/>
      <c r="I42" s="48"/>
      <c r="J42" s="51"/>
      <c r="K42" s="51"/>
      <c r="L42" s="51"/>
      <c r="M42" s="51"/>
      <c r="N42" s="54"/>
      <c r="O42" s="51"/>
      <c r="P42" s="52"/>
      <c r="Q42" s="52"/>
      <c r="R42" s="51"/>
      <c r="S42" s="52"/>
      <c r="T42" s="243"/>
    </row>
    <row r="43" spans="1:20" x14ac:dyDescent="0.25">
      <c r="A43" s="45"/>
      <c r="B43" s="46"/>
      <c r="C43" s="47"/>
      <c r="D43" s="48"/>
      <c r="E43" s="48"/>
      <c r="F43" s="49"/>
      <c r="G43" s="48"/>
      <c r="H43" s="180"/>
      <c r="I43" s="48"/>
      <c r="J43" s="51"/>
      <c r="K43" s="51"/>
      <c r="L43" s="51"/>
      <c r="M43" s="51"/>
      <c r="N43" s="54"/>
      <c r="O43" s="51"/>
      <c r="P43" s="52"/>
      <c r="Q43" s="52"/>
      <c r="R43" s="51"/>
      <c r="S43" s="52"/>
      <c r="T43" s="243"/>
    </row>
    <row r="44" spans="1:20" x14ac:dyDescent="0.25">
      <c r="A44" s="23"/>
      <c r="B44" s="24"/>
      <c r="C44" s="25"/>
      <c r="D44" s="27"/>
      <c r="E44" s="27"/>
      <c r="F44" s="28"/>
      <c r="G44" s="27"/>
      <c r="H44" s="180"/>
      <c r="I44" s="27"/>
      <c r="J44" s="32"/>
      <c r="K44" s="32"/>
      <c r="L44" s="32"/>
      <c r="M44" s="32"/>
      <c r="N44" s="31"/>
      <c r="O44" s="32"/>
      <c r="P44" s="33"/>
      <c r="Q44" s="33"/>
      <c r="R44" s="32"/>
      <c r="S44" s="33"/>
      <c r="T44" s="5"/>
    </row>
    <row r="45" spans="1:20" x14ac:dyDescent="0.25">
      <c r="A45" s="23"/>
      <c r="B45" s="24"/>
      <c r="C45" s="25"/>
      <c r="D45" s="27"/>
      <c r="E45" s="27"/>
      <c r="F45" s="28"/>
      <c r="G45" s="27"/>
      <c r="H45" s="180"/>
      <c r="I45" s="27"/>
      <c r="J45" s="32"/>
      <c r="K45" s="32"/>
      <c r="L45" s="32"/>
      <c r="M45" s="32"/>
      <c r="N45" s="31"/>
      <c r="O45" s="32"/>
      <c r="P45" s="33"/>
      <c r="Q45" s="33"/>
      <c r="R45" s="32"/>
      <c r="S45" s="33"/>
      <c r="T45" s="5"/>
    </row>
    <row r="46" spans="1:20" x14ac:dyDescent="0.25">
      <c r="A46" s="23"/>
      <c r="B46" s="24"/>
      <c r="C46" s="25"/>
      <c r="D46" s="27"/>
      <c r="E46" s="27"/>
      <c r="F46" s="28"/>
      <c r="G46" s="27"/>
      <c r="H46" s="180"/>
      <c r="I46" s="27"/>
      <c r="J46" s="32"/>
      <c r="K46" s="32"/>
      <c r="L46" s="32"/>
      <c r="M46" s="32"/>
      <c r="N46" s="31"/>
      <c r="O46" s="32"/>
      <c r="P46" s="33"/>
      <c r="Q46" s="33"/>
      <c r="R46" s="32"/>
      <c r="S46" s="33"/>
      <c r="T46" s="5"/>
    </row>
    <row r="47" spans="1:20" x14ac:dyDescent="0.25">
      <c r="A47" s="23"/>
      <c r="B47" s="24"/>
      <c r="C47" s="25"/>
      <c r="D47" s="27"/>
      <c r="E47" s="27"/>
      <c r="F47" s="28"/>
      <c r="G47" s="27"/>
      <c r="H47" s="180"/>
      <c r="I47" s="27"/>
      <c r="J47" s="32"/>
      <c r="K47" s="32"/>
      <c r="L47" s="32"/>
      <c r="M47" s="32"/>
      <c r="N47" s="31"/>
      <c r="O47" s="32"/>
      <c r="P47" s="33"/>
      <c r="Q47" s="33"/>
      <c r="R47" s="32"/>
      <c r="S47" s="33"/>
      <c r="T47" s="5"/>
    </row>
    <row r="48" spans="1:20" x14ac:dyDescent="0.25">
      <c r="A48" s="23"/>
      <c r="B48" s="24"/>
      <c r="C48" s="25"/>
      <c r="D48" s="27"/>
      <c r="E48" s="27"/>
      <c r="F48" s="28"/>
      <c r="G48" s="27"/>
      <c r="H48" s="180"/>
      <c r="I48" s="27"/>
      <c r="J48" s="32"/>
      <c r="K48" s="32"/>
      <c r="L48" s="32"/>
      <c r="M48" s="32"/>
      <c r="N48" s="31"/>
      <c r="O48" s="32"/>
      <c r="P48" s="33"/>
      <c r="Q48" s="33"/>
      <c r="R48" s="32"/>
      <c r="S48" s="33"/>
      <c r="T48" s="5"/>
    </row>
    <row r="49" spans="1:20" x14ac:dyDescent="0.25">
      <c r="A49" s="45"/>
      <c r="B49" s="46"/>
      <c r="C49" s="47"/>
      <c r="D49" s="48"/>
      <c r="E49" s="48"/>
      <c r="F49" s="49"/>
      <c r="G49" s="48"/>
      <c r="H49" s="180"/>
      <c r="I49" s="48"/>
      <c r="J49" s="51"/>
      <c r="K49" s="51"/>
      <c r="L49" s="51"/>
      <c r="M49" s="51"/>
      <c r="N49" s="54"/>
      <c r="O49" s="51"/>
      <c r="P49" s="52"/>
      <c r="Q49" s="52"/>
      <c r="R49" s="51"/>
      <c r="S49" s="52"/>
      <c r="T49" s="243"/>
    </row>
    <row r="50" spans="1:20" x14ac:dyDescent="0.25">
      <c r="A50" s="45"/>
      <c r="B50" s="46"/>
      <c r="C50" s="47"/>
      <c r="D50" s="48"/>
      <c r="E50" s="48"/>
      <c r="F50" s="49"/>
      <c r="G50" s="48"/>
      <c r="H50" s="180"/>
      <c r="I50" s="48"/>
      <c r="J50" s="51"/>
      <c r="K50" s="51"/>
      <c r="L50" s="51"/>
      <c r="M50" s="51"/>
      <c r="N50" s="54"/>
      <c r="O50" s="51"/>
      <c r="P50" s="52"/>
      <c r="Q50" s="52"/>
      <c r="R50" s="51"/>
      <c r="S50" s="52"/>
      <c r="T50" s="243"/>
    </row>
    <row r="51" spans="1:20" x14ac:dyDescent="0.25">
      <c r="A51" s="45"/>
      <c r="B51" s="46"/>
      <c r="C51" s="47"/>
      <c r="D51" s="48"/>
      <c r="E51" s="48"/>
      <c r="F51" s="49"/>
      <c r="G51" s="48"/>
      <c r="H51" s="180"/>
      <c r="I51" s="48"/>
      <c r="J51" s="51"/>
      <c r="K51" s="51"/>
      <c r="L51" s="51"/>
      <c r="M51" s="51"/>
      <c r="N51" s="54"/>
      <c r="O51" s="51"/>
      <c r="P51" s="52"/>
      <c r="Q51" s="52"/>
      <c r="R51" s="51"/>
      <c r="S51" s="52"/>
      <c r="T51" s="243"/>
    </row>
    <row r="52" spans="1:20" x14ac:dyDescent="0.25">
      <c r="A52" s="45"/>
      <c r="B52" s="46"/>
      <c r="C52" s="47"/>
      <c r="D52" s="48"/>
      <c r="E52" s="48"/>
      <c r="F52" s="49"/>
      <c r="G52" s="48"/>
      <c r="H52" s="180"/>
      <c r="I52" s="48"/>
      <c r="J52" s="51"/>
      <c r="K52" s="51"/>
      <c r="L52" s="51"/>
      <c r="M52" s="51"/>
      <c r="N52" s="54"/>
      <c r="O52" s="51"/>
      <c r="P52" s="52"/>
      <c r="Q52" s="52"/>
      <c r="R52" s="51"/>
      <c r="S52" s="52"/>
      <c r="T52" s="243"/>
    </row>
    <row r="53" spans="1:20" x14ac:dyDescent="0.25">
      <c r="A53" s="45"/>
      <c r="B53" s="46"/>
      <c r="C53" s="47"/>
      <c r="D53" s="48"/>
      <c r="E53" s="48"/>
      <c r="F53" s="49"/>
      <c r="G53" s="48"/>
      <c r="H53" s="180"/>
      <c r="I53" s="48"/>
      <c r="J53" s="51"/>
      <c r="K53" s="51"/>
      <c r="L53" s="51"/>
      <c r="M53" s="51"/>
      <c r="N53" s="54"/>
      <c r="O53" s="51"/>
      <c r="P53" s="52"/>
      <c r="Q53" s="52"/>
      <c r="R53" s="51"/>
      <c r="S53" s="52"/>
      <c r="T53" s="243"/>
    </row>
    <row r="54" spans="1:20" x14ac:dyDescent="0.25">
      <c r="A54" s="23"/>
      <c r="B54" s="24"/>
      <c r="C54" s="25"/>
      <c r="D54" s="27"/>
      <c r="E54" s="27"/>
      <c r="F54" s="28"/>
      <c r="G54" s="27"/>
      <c r="H54" s="180"/>
      <c r="I54" s="27"/>
      <c r="J54" s="32"/>
      <c r="K54" s="32"/>
      <c r="L54" s="32"/>
      <c r="M54" s="32"/>
      <c r="N54" s="31"/>
      <c r="O54" s="32"/>
      <c r="P54" s="33"/>
      <c r="Q54" s="33"/>
      <c r="R54" s="32"/>
      <c r="S54" s="33"/>
      <c r="T54" s="5"/>
    </row>
    <row r="55" spans="1:20" x14ac:dyDescent="0.25">
      <c r="A55" s="23"/>
      <c r="B55" s="24"/>
      <c r="C55" s="25"/>
      <c r="D55" s="27"/>
      <c r="E55" s="27"/>
      <c r="F55" s="28"/>
      <c r="G55" s="27"/>
      <c r="H55" s="180"/>
      <c r="I55" s="27"/>
      <c r="J55" s="32"/>
      <c r="K55" s="32"/>
      <c r="L55" s="32"/>
      <c r="M55" s="32"/>
      <c r="N55" s="31"/>
      <c r="O55" s="32"/>
      <c r="P55" s="33"/>
      <c r="Q55" s="33"/>
      <c r="R55" s="32"/>
      <c r="S55" s="33"/>
      <c r="T55" s="5"/>
    </row>
    <row r="56" spans="1:20" x14ac:dyDescent="0.25">
      <c r="A56" s="23"/>
      <c r="B56" s="24"/>
      <c r="C56" s="25"/>
      <c r="D56" s="27"/>
      <c r="E56" s="27"/>
      <c r="F56" s="28"/>
      <c r="G56" s="27"/>
      <c r="H56" s="180"/>
      <c r="I56" s="27"/>
      <c r="J56" s="32"/>
      <c r="K56" s="32"/>
      <c r="L56" s="32"/>
      <c r="M56" s="32"/>
      <c r="N56" s="31"/>
      <c r="O56" s="32"/>
      <c r="P56" s="33"/>
      <c r="Q56" s="33"/>
      <c r="R56" s="32"/>
      <c r="S56" s="33"/>
      <c r="T56" s="5"/>
    </row>
    <row r="57" spans="1:20" x14ac:dyDescent="0.25">
      <c r="A57" s="23"/>
      <c r="B57" s="24"/>
      <c r="C57" s="25"/>
      <c r="D57" s="27"/>
      <c r="E57" s="27"/>
      <c r="F57" s="28"/>
      <c r="G57" s="27"/>
      <c r="H57" s="180"/>
      <c r="I57" s="27"/>
      <c r="J57" s="32"/>
      <c r="K57" s="32"/>
      <c r="L57" s="32"/>
      <c r="M57" s="32"/>
      <c r="N57" s="31"/>
      <c r="O57" s="32"/>
      <c r="P57" s="33"/>
      <c r="Q57" s="33"/>
      <c r="R57" s="32"/>
      <c r="S57" s="33"/>
      <c r="T57" s="5"/>
    </row>
    <row r="58" spans="1:20" x14ac:dyDescent="0.25">
      <c r="A58" s="23"/>
      <c r="B58" s="24"/>
      <c r="C58" s="25"/>
      <c r="D58" s="27"/>
      <c r="E58" s="27"/>
      <c r="F58" s="28"/>
      <c r="G58" s="27"/>
      <c r="H58" s="180"/>
      <c r="I58" s="27"/>
      <c r="J58" s="32"/>
      <c r="K58" s="32"/>
      <c r="L58" s="32"/>
      <c r="M58" s="32"/>
      <c r="N58" s="31"/>
      <c r="O58" s="32"/>
      <c r="P58" s="33"/>
      <c r="Q58" s="33"/>
      <c r="R58" s="32"/>
      <c r="S58" s="33"/>
      <c r="T58" s="5"/>
    </row>
    <row r="59" spans="1:20" x14ac:dyDescent="0.25">
      <c r="A59" s="45"/>
      <c r="B59" s="46"/>
      <c r="C59" s="47"/>
      <c r="D59" s="48"/>
      <c r="E59" s="48"/>
      <c r="F59" s="49"/>
      <c r="G59" s="48"/>
      <c r="H59" s="180"/>
      <c r="I59" s="48"/>
      <c r="J59" s="51"/>
      <c r="K59" s="51"/>
      <c r="L59" s="51"/>
      <c r="M59" s="51"/>
      <c r="N59" s="54"/>
      <c r="O59" s="51"/>
      <c r="P59" s="52"/>
      <c r="Q59" s="52"/>
      <c r="R59" s="51"/>
      <c r="S59" s="52"/>
      <c r="T59" s="243"/>
    </row>
    <row r="60" spans="1:20" x14ac:dyDescent="0.25">
      <c r="A60" s="45"/>
      <c r="B60" s="46"/>
      <c r="C60" s="47"/>
      <c r="D60" s="48"/>
      <c r="E60" s="48"/>
      <c r="F60" s="49"/>
      <c r="G60" s="48"/>
      <c r="H60" s="180"/>
      <c r="I60" s="48"/>
      <c r="J60" s="51"/>
      <c r="K60" s="51"/>
      <c r="L60" s="51"/>
      <c r="M60" s="51"/>
      <c r="N60" s="54"/>
      <c r="O60" s="51"/>
      <c r="P60" s="52"/>
      <c r="Q60" s="52"/>
      <c r="R60" s="51"/>
      <c r="S60" s="52"/>
      <c r="T60" s="243"/>
    </row>
    <row r="61" spans="1:20" x14ac:dyDescent="0.25">
      <c r="A61" s="45"/>
      <c r="B61" s="46"/>
      <c r="C61" s="47"/>
      <c r="D61" s="48"/>
      <c r="E61" s="48"/>
      <c r="F61" s="49"/>
      <c r="G61" s="48"/>
      <c r="H61" s="180"/>
      <c r="I61" s="48"/>
      <c r="J61" s="51"/>
      <c r="K61" s="51"/>
      <c r="L61" s="51"/>
      <c r="M61" s="51"/>
      <c r="N61" s="54"/>
      <c r="O61" s="51"/>
      <c r="P61" s="52"/>
      <c r="Q61" s="52"/>
      <c r="R61" s="51"/>
      <c r="S61" s="52"/>
      <c r="T61" s="243"/>
    </row>
    <row r="62" spans="1:20" x14ac:dyDescent="0.25">
      <c r="A62" s="45"/>
      <c r="B62" s="46"/>
      <c r="C62" s="47"/>
      <c r="D62" s="48"/>
      <c r="E62" s="48"/>
      <c r="F62" s="49"/>
      <c r="G62" s="48"/>
      <c r="H62" s="180"/>
      <c r="I62" s="48"/>
      <c r="J62" s="51"/>
      <c r="K62" s="51"/>
      <c r="L62" s="51"/>
      <c r="M62" s="51"/>
      <c r="N62" s="54"/>
      <c r="O62" s="51"/>
      <c r="P62" s="52"/>
      <c r="Q62" s="52"/>
      <c r="R62" s="51"/>
      <c r="S62" s="52"/>
      <c r="T62" s="243"/>
    </row>
    <row r="63" spans="1:20" x14ac:dyDescent="0.25">
      <c r="A63" s="45"/>
      <c r="B63" s="46"/>
      <c r="C63" s="47"/>
      <c r="D63" s="48"/>
      <c r="E63" s="48"/>
      <c r="F63" s="49"/>
      <c r="G63" s="48"/>
      <c r="H63" s="180"/>
      <c r="I63" s="48"/>
      <c r="J63" s="51"/>
      <c r="K63" s="51"/>
      <c r="L63" s="51"/>
      <c r="M63" s="51"/>
      <c r="N63" s="54"/>
      <c r="O63" s="51"/>
      <c r="P63" s="52"/>
      <c r="Q63" s="52"/>
      <c r="R63" s="51"/>
      <c r="S63" s="52"/>
      <c r="T63" s="243"/>
    </row>
    <row r="64" spans="1:20" x14ac:dyDescent="0.25">
      <c r="A64" s="23"/>
      <c r="B64" s="24"/>
      <c r="C64" s="25"/>
      <c r="D64" s="27"/>
      <c r="E64" s="27"/>
      <c r="F64" s="28"/>
      <c r="G64" s="27"/>
      <c r="H64" s="180"/>
      <c r="I64" s="27"/>
      <c r="J64" s="32"/>
      <c r="K64" s="32"/>
      <c r="L64" s="32"/>
      <c r="M64" s="32"/>
      <c r="N64" s="31"/>
      <c r="O64" s="32"/>
      <c r="P64" s="33"/>
      <c r="Q64" s="33"/>
      <c r="R64" s="32"/>
      <c r="S64" s="33"/>
      <c r="T64" s="5"/>
    </row>
    <row r="65" spans="1:20" x14ac:dyDescent="0.25">
      <c r="A65" s="23"/>
      <c r="B65" s="24"/>
      <c r="C65" s="25"/>
      <c r="D65" s="27"/>
      <c r="E65" s="27"/>
      <c r="F65" s="28"/>
      <c r="G65" s="27"/>
      <c r="H65" s="180"/>
      <c r="I65" s="27"/>
      <c r="J65" s="32"/>
      <c r="K65" s="32"/>
      <c r="L65" s="32"/>
      <c r="M65" s="32"/>
      <c r="N65" s="31"/>
      <c r="O65" s="32"/>
      <c r="P65" s="33"/>
      <c r="Q65" s="33"/>
      <c r="R65" s="32"/>
      <c r="S65" s="33"/>
      <c r="T65" s="5"/>
    </row>
    <row r="66" spans="1:20" x14ac:dyDescent="0.25">
      <c r="A66" s="23"/>
      <c r="B66" s="24"/>
      <c r="C66" s="25"/>
      <c r="D66" s="27"/>
      <c r="E66" s="27"/>
      <c r="F66" s="28"/>
      <c r="G66" s="27"/>
      <c r="H66" s="180"/>
      <c r="I66" s="27"/>
      <c r="J66" s="32"/>
      <c r="K66" s="32"/>
      <c r="L66" s="32"/>
      <c r="M66" s="32"/>
      <c r="N66" s="31"/>
      <c r="O66" s="32"/>
      <c r="P66" s="33"/>
      <c r="Q66" s="33"/>
      <c r="R66" s="32"/>
      <c r="S66" s="33"/>
      <c r="T66" s="5"/>
    </row>
    <row r="67" spans="1:20" x14ac:dyDescent="0.25">
      <c r="A67" s="23"/>
      <c r="B67" s="24"/>
      <c r="C67" s="25"/>
      <c r="D67" s="27"/>
      <c r="E67" s="27"/>
      <c r="F67" s="28"/>
      <c r="G67" s="27"/>
      <c r="H67" s="180"/>
      <c r="I67" s="27"/>
      <c r="J67" s="32"/>
      <c r="K67" s="32"/>
      <c r="L67" s="32"/>
      <c r="M67" s="32"/>
      <c r="N67" s="31"/>
      <c r="O67" s="32"/>
      <c r="P67" s="33"/>
      <c r="Q67" s="33"/>
      <c r="R67" s="32"/>
      <c r="S67" s="33"/>
      <c r="T67" s="5"/>
    </row>
    <row r="68" spans="1:20" x14ac:dyDescent="0.25">
      <c r="A68" s="23"/>
      <c r="B68" s="24"/>
      <c r="C68" s="25"/>
      <c r="D68" s="27"/>
      <c r="E68" s="27"/>
      <c r="F68" s="28"/>
      <c r="G68" s="27"/>
      <c r="H68" s="180"/>
      <c r="I68" s="27"/>
      <c r="J68" s="32"/>
      <c r="K68" s="32"/>
      <c r="L68" s="32"/>
      <c r="M68" s="32"/>
      <c r="N68" s="31"/>
      <c r="O68" s="32"/>
      <c r="P68" s="33"/>
      <c r="Q68" s="33"/>
      <c r="R68" s="32"/>
      <c r="S68" s="33"/>
      <c r="T68" s="5"/>
    </row>
    <row r="69" spans="1:20" x14ac:dyDescent="0.25">
      <c r="A69" s="45"/>
      <c r="B69" s="46"/>
      <c r="C69" s="47"/>
      <c r="D69" s="48"/>
      <c r="E69" s="48"/>
      <c r="F69" s="49"/>
      <c r="G69" s="48"/>
      <c r="H69" s="180"/>
      <c r="I69" s="48"/>
      <c r="J69" s="51"/>
      <c r="K69" s="51"/>
      <c r="L69" s="51"/>
      <c r="M69" s="51"/>
      <c r="N69" s="54"/>
      <c r="O69" s="51"/>
      <c r="P69" s="52"/>
      <c r="Q69" s="52"/>
      <c r="R69" s="51"/>
      <c r="S69" s="52"/>
      <c r="T69" s="243"/>
    </row>
    <row r="70" spans="1:20" x14ac:dyDescent="0.25">
      <c r="A70" s="45"/>
      <c r="B70" s="46"/>
      <c r="C70" s="47"/>
      <c r="D70" s="48"/>
      <c r="E70" s="48"/>
      <c r="F70" s="49"/>
      <c r="G70" s="48"/>
      <c r="H70" s="180"/>
      <c r="I70" s="48"/>
      <c r="J70" s="51"/>
      <c r="K70" s="51"/>
      <c r="L70" s="51"/>
      <c r="M70" s="51"/>
      <c r="N70" s="54"/>
      <c r="O70" s="51"/>
      <c r="P70" s="52"/>
      <c r="Q70" s="52"/>
      <c r="R70" s="51"/>
      <c r="S70" s="52"/>
      <c r="T70" s="243"/>
    </row>
    <row r="71" spans="1:20" x14ac:dyDescent="0.25">
      <c r="A71" s="45"/>
      <c r="B71" s="46"/>
      <c r="C71" s="47"/>
      <c r="D71" s="48"/>
      <c r="E71" s="48"/>
      <c r="F71" s="49"/>
      <c r="G71" s="48"/>
      <c r="H71" s="180"/>
      <c r="I71" s="48"/>
      <c r="J71" s="51"/>
      <c r="K71" s="51"/>
      <c r="L71" s="51"/>
      <c r="M71" s="51"/>
      <c r="N71" s="54"/>
      <c r="O71" s="51"/>
      <c r="P71" s="52"/>
      <c r="Q71" s="52"/>
      <c r="R71" s="51"/>
      <c r="S71" s="52"/>
      <c r="T71" s="243"/>
    </row>
    <row r="72" spans="1:20" x14ac:dyDescent="0.25">
      <c r="A72" s="45"/>
      <c r="B72" s="46"/>
      <c r="C72" s="47"/>
      <c r="D72" s="48"/>
      <c r="E72" s="48"/>
      <c r="F72" s="49"/>
      <c r="G72" s="48"/>
      <c r="H72" s="180"/>
      <c r="I72" s="48"/>
      <c r="J72" s="51"/>
      <c r="K72" s="51"/>
      <c r="L72" s="51"/>
      <c r="M72" s="51"/>
      <c r="N72" s="54"/>
      <c r="O72" s="51"/>
      <c r="P72" s="52"/>
      <c r="Q72" s="52"/>
      <c r="R72" s="51"/>
      <c r="S72" s="52"/>
      <c r="T72" s="243"/>
    </row>
    <row r="73" spans="1:20" x14ac:dyDescent="0.25">
      <c r="A73" s="45"/>
      <c r="B73" s="46"/>
      <c r="C73" s="47"/>
      <c r="D73" s="48"/>
      <c r="E73" s="48"/>
      <c r="F73" s="49"/>
      <c r="G73" s="48"/>
      <c r="H73" s="180"/>
      <c r="I73" s="48"/>
      <c r="J73" s="51"/>
      <c r="K73" s="51"/>
      <c r="L73" s="51"/>
      <c r="M73" s="51"/>
      <c r="N73" s="54"/>
      <c r="O73" s="51"/>
      <c r="P73" s="52"/>
      <c r="Q73" s="52"/>
      <c r="R73" s="51"/>
      <c r="S73" s="52"/>
      <c r="T73" s="243"/>
    </row>
    <row r="74" spans="1:20" x14ac:dyDescent="0.25">
      <c r="A74" s="23"/>
      <c r="B74" s="24"/>
      <c r="C74" s="25"/>
      <c r="D74" s="27"/>
      <c r="E74" s="27"/>
      <c r="F74" s="28"/>
      <c r="G74" s="27"/>
      <c r="H74" s="180"/>
      <c r="I74" s="27"/>
      <c r="J74" s="32"/>
      <c r="K74" s="32"/>
      <c r="L74" s="32"/>
      <c r="M74" s="32"/>
      <c r="N74" s="31"/>
      <c r="O74" s="32"/>
      <c r="P74" s="33"/>
      <c r="Q74" s="33"/>
      <c r="R74" s="32"/>
      <c r="S74" s="33"/>
      <c r="T74" s="5"/>
    </row>
    <row r="75" spans="1:20" x14ac:dyDescent="0.25">
      <c r="A75" s="23"/>
      <c r="B75" s="24"/>
      <c r="C75" s="25"/>
      <c r="D75" s="27"/>
      <c r="E75" s="27"/>
      <c r="F75" s="28"/>
      <c r="G75" s="27"/>
      <c r="H75" s="180"/>
      <c r="I75" s="27"/>
      <c r="J75" s="32"/>
      <c r="K75" s="32"/>
      <c r="L75" s="32"/>
      <c r="M75" s="32"/>
      <c r="N75" s="31"/>
      <c r="O75" s="32"/>
      <c r="P75" s="33"/>
      <c r="Q75" s="33"/>
      <c r="R75" s="32"/>
      <c r="S75" s="33"/>
      <c r="T75" s="5"/>
    </row>
    <row r="76" spans="1:20" x14ac:dyDescent="0.25">
      <c r="A76" s="23"/>
      <c r="B76" s="24"/>
      <c r="C76" s="25"/>
      <c r="D76" s="27"/>
      <c r="E76" s="27"/>
      <c r="F76" s="28"/>
      <c r="G76" s="27"/>
      <c r="H76" s="180"/>
      <c r="I76" s="27"/>
      <c r="J76" s="32"/>
      <c r="K76" s="32"/>
      <c r="L76" s="32"/>
      <c r="M76" s="32"/>
      <c r="N76" s="31"/>
      <c r="O76" s="32"/>
      <c r="P76" s="33"/>
      <c r="Q76" s="33"/>
      <c r="R76" s="32"/>
      <c r="S76" s="33"/>
      <c r="T76" s="5"/>
    </row>
    <row r="77" spans="1:20" x14ac:dyDescent="0.25">
      <c r="A77" s="23"/>
      <c r="B77" s="24"/>
      <c r="C77" s="25"/>
      <c r="D77" s="27"/>
      <c r="E77" s="27"/>
      <c r="F77" s="28"/>
      <c r="G77" s="27"/>
      <c r="H77" s="180"/>
      <c r="I77" s="27"/>
      <c r="J77" s="32"/>
      <c r="K77" s="32"/>
      <c r="L77" s="32"/>
      <c r="M77" s="32"/>
      <c r="N77" s="31"/>
      <c r="O77" s="32"/>
      <c r="P77" s="33"/>
      <c r="Q77" s="33"/>
      <c r="R77" s="32"/>
      <c r="S77" s="33"/>
      <c r="T77" s="5"/>
    </row>
    <row r="78" spans="1:20" x14ac:dyDescent="0.25">
      <c r="A78" s="23"/>
      <c r="B78" s="24"/>
      <c r="C78" s="25"/>
      <c r="D78" s="27"/>
      <c r="E78" s="27"/>
      <c r="F78" s="28"/>
      <c r="G78" s="27"/>
      <c r="H78" s="180"/>
      <c r="I78" s="27"/>
      <c r="J78" s="32"/>
      <c r="K78" s="32"/>
      <c r="L78" s="32"/>
      <c r="M78" s="32"/>
      <c r="N78" s="31"/>
      <c r="O78" s="32"/>
      <c r="P78" s="33"/>
      <c r="Q78" s="33"/>
      <c r="R78" s="32"/>
      <c r="S78" s="33"/>
      <c r="T78" s="5"/>
    </row>
    <row r="79" spans="1:20" x14ac:dyDescent="0.25">
      <c r="A79" s="45"/>
      <c r="B79" s="46"/>
      <c r="C79" s="47"/>
      <c r="D79" s="48"/>
      <c r="E79" s="48"/>
      <c r="F79" s="49"/>
      <c r="G79" s="48"/>
      <c r="H79" s="180"/>
      <c r="I79" s="48"/>
      <c r="J79" s="51"/>
      <c r="K79" s="51"/>
      <c r="L79" s="51"/>
      <c r="M79" s="51"/>
      <c r="N79" s="54"/>
      <c r="O79" s="51"/>
      <c r="P79" s="52"/>
      <c r="Q79" s="52"/>
      <c r="R79" s="51"/>
      <c r="S79" s="52"/>
      <c r="T79" s="243"/>
    </row>
    <row r="80" spans="1:20" x14ac:dyDescent="0.25">
      <c r="A80" s="45"/>
      <c r="B80" s="46"/>
      <c r="C80" s="47"/>
      <c r="D80" s="48"/>
      <c r="E80" s="48"/>
      <c r="F80" s="49"/>
      <c r="G80" s="48"/>
      <c r="H80" s="180"/>
      <c r="I80" s="48"/>
      <c r="J80" s="51"/>
      <c r="K80" s="51"/>
      <c r="L80" s="51"/>
      <c r="M80" s="51"/>
      <c r="N80" s="54"/>
      <c r="O80" s="51"/>
      <c r="P80" s="52"/>
      <c r="Q80" s="52"/>
      <c r="R80" s="51"/>
      <c r="S80" s="52"/>
      <c r="T80" s="243"/>
    </row>
    <row r="81" spans="1:20" x14ac:dyDescent="0.25">
      <c r="A81" s="45"/>
      <c r="B81" s="46"/>
      <c r="C81" s="47"/>
      <c r="D81" s="48"/>
      <c r="E81" s="48"/>
      <c r="F81" s="49"/>
      <c r="G81" s="48"/>
      <c r="H81" s="180"/>
      <c r="I81" s="48"/>
      <c r="J81" s="51"/>
      <c r="K81" s="51"/>
      <c r="L81" s="51"/>
      <c r="M81" s="51"/>
      <c r="N81" s="54"/>
      <c r="O81" s="51"/>
      <c r="P81" s="52"/>
      <c r="Q81" s="52"/>
      <c r="R81" s="51"/>
      <c r="S81" s="52"/>
      <c r="T81" s="243"/>
    </row>
    <row r="82" spans="1:20" x14ac:dyDescent="0.25">
      <c r="A82" s="45"/>
      <c r="B82" s="46"/>
      <c r="C82" s="47"/>
      <c r="D82" s="48"/>
      <c r="E82" s="48"/>
      <c r="F82" s="49"/>
      <c r="G82" s="48"/>
      <c r="H82" s="180"/>
      <c r="I82" s="48"/>
      <c r="J82" s="51"/>
      <c r="K82" s="51"/>
      <c r="L82" s="51"/>
      <c r="M82" s="51"/>
      <c r="N82" s="54"/>
      <c r="O82" s="51"/>
      <c r="P82" s="52"/>
      <c r="Q82" s="52"/>
      <c r="R82" s="51"/>
      <c r="S82" s="52"/>
      <c r="T82" s="243"/>
    </row>
    <row r="83" spans="1:20" x14ac:dyDescent="0.25">
      <c r="A83" s="45"/>
      <c r="B83" s="46"/>
      <c r="C83" s="47"/>
      <c r="D83" s="48"/>
      <c r="E83" s="48"/>
      <c r="F83" s="49"/>
      <c r="G83" s="48"/>
      <c r="H83" s="180"/>
      <c r="I83" s="48"/>
      <c r="J83" s="51"/>
      <c r="K83" s="51"/>
      <c r="L83" s="51"/>
      <c r="M83" s="51"/>
      <c r="N83" s="54"/>
      <c r="O83" s="51"/>
      <c r="P83" s="52"/>
      <c r="Q83" s="52"/>
      <c r="R83" s="51"/>
      <c r="S83" s="52"/>
      <c r="T83" s="243"/>
    </row>
    <row r="84" spans="1:20" x14ac:dyDescent="0.25">
      <c r="A84" s="23"/>
      <c r="B84" s="24"/>
      <c r="C84" s="25"/>
      <c r="D84" s="27"/>
      <c r="E84" s="27"/>
      <c r="F84" s="28"/>
      <c r="G84" s="27"/>
      <c r="H84" s="180"/>
      <c r="I84" s="27"/>
      <c r="J84" s="32"/>
      <c r="K84" s="32"/>
      <c r="L84" s="32"/>
      <c r="M84" s="32"/>
      <c r="N84" s="31"/>
      <c r="O84" s="32"/>
      <c r="P84" s="33"/>
      <c r="Q84" s="33"/>
      <c r="R84" s="32"/>
      <c r="S84" s="33"/>
      <c r="T84" s="5"/>
    </row>
    <row r="85" spans="1:20" x14ac:dyDescent="0.25">
      <c r="A85" s="23"/>
      <c r="B85" s="24"/>
      <c r="C85" s="25"/>
      <c r="D85" s="27"/>
      <c r="E85" s="27"/>
      <c r="F85" s="28"/>
      <c r="G85" s="27"/>
      <c r="H85" s="180"/>
      <c r="I85" s="27"/>
      <c r="J85" s="32"/>
      <c r="K85" s="32"/>
      <c r="L85" s="32"/>
      <c r="M85" s="32"/>
      <c r="N85" s="31"/>
      <c r="O85" s="32"/>
      <c r="P85" s="33"/>
      <c r="Q85" s="33"/>
      <c r="R85" s="32"/>
      <c r="S85" s="33"/>
      <c r="T85" s="5"/>
    </row>
    <row r="86" spans="1:20" x14ac:dyDescent="0.25">
      <c r="A86" s="23"/>
      <c r="B86" s="24"/>
      <c r="C86" s="25"/>
      <c r="D86" s="27"/>
      <c r="E86" s="27"/>
      <c r="F86" s="28"/>
      <c r="G86" s="27"/>
      <c r="H86" s="180"/>
      <c r="I86" s="27"/>
      <c r="J86" s="32"/>
      <c r="K86" s="32"/>
      <c r="L86" s="32"/>
      <c r="M86" s="32"/>
      <c r="N86" s="31"/>
      <c r="O86" s="32"/>
      <c r="P86" s="33"/>
      <c r="Q86" s="33"/>
      <c r="R86" s="32"/>
      <c r="S86" s="33"/>
      <c r="T86" s="5"/>
    </row>
    <row r="87" spans="1:20" x14ac:dyDescent="0.25">
      <c r="A87" s="23"/>
      <c r="B87" s="24"/>
      <c r="C87" s="25"/>
      <c r="D87" s="27"/>
      <c r="E87" s="27"/>
      <c r="F87" s="28"/>
      <c r="G87" s="27"/>
      <c r="H87" s="180"/>
      <c r="I87" s="27"/>
      <c r="J87" s="32"/>
      <c r="K87" s="32"/>
      <c r="L87" s="32"/>
      <c r="M87" s="32"/>
      <c r="N87" s="31"/>
      <c r="O87" s="32"/>
      <c r="P87" s="33"/>
      <c r="Q87" s="33"/>
      <c r="R87" s="32"/>
      <c r="S87" s="33"/>
      <c r="T87" s="5"/>
    </row>
    <row r="88" spans="1:20" x14ac:dyDescent="0.25">
      <c r="A88" s="23"/>
      <c r="B88" s="24"/>
      <c r="C88" s="25"/>
      <c r="D88" s="27"/>
      <c r="E88" s="27"/>
      <c r="F88" s="28"/>
      <c r="G88" s="27"/>
      <c r="H88" s="180"/>
      <c r="I88" s="27"/>
      <c r="J88" s="32"/>
      <c r="K88" s="32"/>
      <c r="L88" s="32"/>
      <c r="M88" s="32"/>
      <c r="N88" s="31"/>
      <c r="O88" s="32"/>
      <c r="P88" s="33"/>
      <c r="Q88" s="33"/>
      <c r="R88" s="32"/>
      <c r="S88" s="33"/>
      <c r="T88" s="5"/>
    </row>
    <row r="89" spans="1:20" x14ac:dyDescent="0.25">
      <c r="A89" s="45"/>
      <c r="B89" s="46"/>
      <c r="C89" s="47"/>
      <c r="D89" s="48"/>
      <c r="E89" s="48"/>
      <c r="F89" s="49"/>
      <c r="G89" s="48"/>
      <c r="H89" s="180"/>
      <c r="I89" s="48"/>
      <c r="J89" s="51"/>
      <c r="K89" s="51"/>
      <c r="L89" s="51"/>
      <c r="M89" s="51"/>
      <c r="N89" s="54"/>
      <c r="O89" s="51"/>
      <c r="P89" s="52"/>
      <c r="Q89" s="52"/>
      <c r="R89" s="51"/>
      <c r="S89" s="52"/>
      <c r="T89" s="243"/>
    </row>
    <row r="90" spans="1:20" x14ac:dyDescent="0.25">
      <c r="A90" s="45"/>
      <c r="B90" s="46"/>
      <c r="C90" s="47"/>
      <c r="D90" s="48"/>
      <c r="E90" s="48"/>
      <c r="F90" s="49"/>
      <c r="G90" s="48"/>
      <c r="H90" s="180"/>
      <c r="I90" s="48"/>
      <c r="J90" s="51"/>
      <c r="K90" s="51"/>
      <c r="L90" s="51"/>
      <c r="M90" s="51"/>
      <c r="N90" s="54"/>
      <c r="O90" s="51"/>
      <c r="P90" s="52"/>
      <c r="Q90" s="52"/>
      <c r="R90" s="51"/>
      <c r="S90" s="52"/>
      <c r="T90" s="243"/>
    </row>
    <row r="91" spans="1:20" x14ac:dyDescent="0.25">
      <c r="A91" s="45"/>
      <c r="B91" s="46"/>
      <c r="C91" s="47"/>
      <c r="D91" s="48"/>
      <c r="E91" s="48"/>
      <c r="F91" s="49"/>
      <c r="G91" s="48"/>
      <c r="H91" s="180"/>
      <c r="I91" s="48"/>
      <c r="J91" s="51"/>
      <c r="K91" s="51"/>
      <c r="L91" s="51"/>
      <c r="M91" s="51"/>
      <c r="N91" s="54"/>
      <c r="O91" s="51"/>
      <c r="P91" s="52"/>
      <c r="Q91" s="52"/>
      <c r="R91" s="51"/>
      <c r="S91" s="52"/>
      <c r="T91" s="243"/>
    </row>
    <row r="92" spans="1:20" x14ac:dyDescent="0.25">
      <c r="A92" s="45"/>
      <c r="B92" s="46"/>
      <c r="C92" s="47"/>
      <c r="D92" s="48"/>
      <c r="E92" s="48"/>
      <c r="F92" s="49"/>
      <c r="G92" s="48"/>
      <c r="H92" s="180"/>
      <c r="I92" s="48"/>
      <c r="J92" s="51"/>
      <c r="K92" s="51"/>
      <c r="L92" s="51"/>
      <c r="M92" s="51"/>
      <c r="N92" s="54"/>
      <c r="O92" s="51"/>
      <c r="P92" s="52"/>
      <c r="Q92" s="52"/>
      <c r="R92" s="51"/>
      <c r="S92" s="52"/>
      <c r="T92" s="243"/>
    </row>
    <row r="93" spans="1:20" x14ac:dyDescent="0.25">
      <c r="A93" s="45"/>
      <c r="B93" s="46"/>
      <c r="C93" s="47"/>
      <c r="D93" s="48"/>
      <c r="E93" s="48"/>
      <c r="F93" s="49"/>
      <c r="G93" s="48"/>
      <c r="H93" s="180"/>
      <c r="I93" s="48"/>
      <c r="J93" s="51"/>
      <c r="K93" s="51"/>
      <c r="L93" s="51"/>
      <c r="M93" s="51"/>
      <c r="N93" s="54"/>
      <c r="O93" s="51"/>
      <c r="P93" s="52"/>
      <c r="Q93" s="52"/>
      <c r="R93" s="51"/>
      <c r="S93" s="52"/>
      <c r="T93" s="243"/>
    </row>
    <row r="94" spans="1:20" x14ac:dyDescent="0.25">
      <c r="A94" s="23"/>
      <c r="B94" s="24"/>
      <c r="C94" s="25"/>
      <c r="D94" s="27"/>
      <c r="E94" s="27"/>
      <c r="F94" s="28"/>
      <c r="G94" s="27"/>
      <c r="H94" s="180"/>
      <c r="I94" s="27"/>
      <c r="J94" s="32"/>
      <c r="K94" s="32"/>
      <c r="L94" s="32"/>
      <c r="M94" s="32"/>
      <c r="N94" s="31"/>
      <c r="O94" s="32"/>
      <c r="P94" s="33"/>
      <c r="Q94" s="33"/>
      <c r="R94" s="32"/>
      <c r="S94" s="33"/>
      <c r="T94" s="5"/>
    </row>
    <row r="95" spans="1:20" x14ac:dyDescent="0.25">
      <c r="A95" s="23"/>
      <c r="B95" s="24"/>
      <c r="C95" s="25"/>
      <c r="D95" s="27"/>
      <c r="E95" s="27"/>
      <c r="F95" s="28"/>
      <c r="G95" s="27"/>
      <c r="H95" s="180"/>
      <c r="I95" s="27"/>
      <c r="J95" s="32"/>
      <c r="K95" s="32"/>
      <c r="L95" s="32"/>
      <c r="M95" s="32"/>
      <c r="N95" s="31"/>
      <c r="O95" s="32"/>
      <c r="P95" s="33"/>
      <c r="Q95" s="33"/>
      <c r="R95" s="32"/>
      <c r="S95" s="33"/>
      <c r="T95" s="5"/>
    </row>
    <row r="96" spans="1:20" x14ac:dyDescent="0.25">
      <c r="A96" s="23"/>
      <c r="B96" s="24"/>
      <c r="C96" s="25"/>
      <c r="D96" s="27"/>
      <c r="E96" s="27"/>
      <c r="F96" s="28"/>
      <c r="G96" s="27"/>
      <c r="H96" s="180"/>
      <c r="I96" s="27"/>
      <c r="J96" s="32"/>
      <c r="K96" s="32"/>
      <c r="L96" s="32"/>
      <c r="M96" s="32"/>
      <c r="N96" s="31"/>
      <c r="O96" s="32"/>
      <c r="P96" s="33"/>
      <c r="Q96" s="33"/>
      <c r="R96" s="32"/>
      <c r="S96" s="33"/>
      <c r="T96" s="5"/>
    </row>
    <row r="97" spans="1:20" x14ac:dyDescent="0.25">
      <c r="A97" s="23"/>
      <c r="B97" s="24"/>
      <c r="C97" s="25"/>
      <c r="D97" s="27"/>
      <c r="E97" s="27"/>
      <c r="F97" s="28"/>
      <c r="G97" s="27"/>
      <c r="H97" s="180"/>
      <c r="I97" s="27"/>
      <c r="J97" s="32"/>
      <c r="K97" s="32"/>
      <c r="L97" s="32"/>
      <c r="M97" s="32"/>
      <c r="N97" s="31"/>
      <c r="O97" s="32"/>
      <c r="P97" s="33"/>
      <c r="Q97" s="33"/>
      <c r="R97" s="32"/>
      <c r="S97" s="33"/>
      <c r="T97" s="5"/>
    </row>
    <row r="98" spans="1:20" x14ac:dyDescent="0.25">
      <c r="A98" s="23"/>
      <c r="B98" s="24"/>
      <c r="C98" s="25"/>
      <c r="D98" s="27"/>
      <c r="E98" s="27"/>
      <c r="F98" s="28"/>
      <c r="G98" s="27"/>
      <c r="H98" s="180"/>
      <c r="I98" s="27"/>
      <c r="J98" s="32"/>
      <c r="K98" s="32"/>
      <c r="L98" s="32"/>
      <c r="M98" s="32"/>
      <c r="N98" s="31"/>
      <c r="O98" s="32"/>
      <c r="P98" s="33"/>
      <c r="Q98" s="33"/>
      <c r="R98" s="32"/>
      <c r="S98" s="33"/>
      <c r="T98" s="5"/>
    </row>
    <row r="99" spans="1:20" x14ac:dyDescent="0.25">
      <c r="A99" s="45"/>
      <c r="B99" s="46"/>
      <c r="C99" s="47"/>
      <c r="D99" s="48"/>
      <c r="E99" s="48"/>
      <c r="F99" s="49"/>
      <c r="G99" s="48"/>
      <c r="H99" s="180"/>
      <c r="I99" s="48"/>
      <c r="J99" s="51"/>
      <c r="K99" s="51"/>
      <c r="L99" s="51"/>
      <c r="M99" s="51"/>
      <c r="N99" s="54"/>
      <c r="O99" s="51"/>
      <c r="P99" s="52"/>
      <c r="Q99" s="52"/>
      <c r="R99" s="51"/>
      <c r="S99" s="52"/>
      <c r="T99" s="243"/>
    </row>
    <row r="100" spans="1:20" x14ac:dyDescent="0.25">
      <c r="A100" s="45"/>
      <c r="B100" s="46"/>
      <c r="C100" s="47"/>
      <c r="D100" s="48"/>
      <c r="E100" s="48"/>
      <c r="F100" s="49"/>
      <c r="G100" s="48"/>
      <c r="H100" s="180"/>
      <c r="I100" s="48"/>
      <c r="J100" s="51"/>
      <c r="K100" s="51"/>
      <c r="L100" s="51"/>
      <c r="M100" s="51"/>
      <c r="N100" s="54"/>
      <c r="O100" s="51"/>
      <c r="P100" s="52"/>
      <c r="Q100" s="52"/>
      <c r="R100" s="51"/>
      <c r="S100" s="52"/>
      <c r="T100" s="243"/>
    </row>
    <row r="101" spans="1:20" x14ac:dyDescent="0.25">
      <c r="A101" s="45"/>
      <c r="B101" s="46"/>
      <c r="C101" s="47"/>
      <c r="D101" s="48"/>
      <c r="E101" s="48"/>
      <c r="F101" s="49"/>
      <c r="G101" s="48"/>
      <c r="H101" s="180"/>
      <c r="I101" s="48"/>
      <c r="J101" s="51"/>
      <c r="K101" s="51"/>
      <c r="L101" s="51"/>
      <c r="M101" s="51"/>
      <c r="N101" s="54"/>
      <c r="O101" s="51"/>
      <c r="P101" s="52"/>
      <c r="Q101" s="52"/>
      <c r="R101" s="51"/>
      <c r="S101" s="52"/>
      <c r="T101" s="243"/>
    </row>
    <row r="102" spans="1:20" x14ac:dyDescent="0.25">
      <c r="A102" s="45"/>
      <c r="B102" s="46"/>
      <c r="C102" s="47"/>
      <c r="D102" s="48"/>
      <c r="E102" s="48"/>
      <c r="F102" s="49"/>
      <c r="G102" s="48"/>
      <c r="H102" s="180"/>
      <c r="I102" s="48"/>
      <c r="J102" s="51"/>
      <c r="K102" s="51"/>
      <c r="L102" s="51"/>
      <c r="M102" s="51"/>
      <c r="N102" s="54"/>
      <c r="O102" s="51"/>
      <c r="P102" s="52"/>
      <c r="Q102" s="52"/>
      <c r="R102" s="51"/>
      <c r="S102" s="52"/>
      <c r="T102" s="243"/>
    </row>
    <row r="103" spans="1:20" x14ac:dyDescent="0.25">
      <c r="A103" s="45"/>
      <c r="B103" s="46"/>
      <c r="C103" s="47"/>
      <c r="D103" s="48"/>
      <c r="E103" s="48"/>
      <c r="F103" s="49"/>
      <c r="G103" s="48"/>
      <c r="H103" s="180"/>
      <c r="I103" s="48"/>
      <c r="J103" s="51"/>
      <c r="K103" s="51"/>
      <c r="L103" s="51"/>
      <c r="M103" s="51"/>
      <c r="N103" s="54"/>
      <c r="O103" s="51"/>
      <c r="P103" s="52"/>
      <c r="Q103" s="52"/>
      <c r="R103" s="51"/>
      <c r="S103" s="52"/>
      <c r="T103" s="243"/>
    </row>
    <row r="104" spans="1:20" x14ac:dyDescent="0.25">
      <c r="A104" s="23"/>
      <c r="B104" s="24"/>
      <c r="C104" s="25"/>
      <c r="D104" s="27"/>
      <c r="E104" s="27"/>
      <c r="F104" s="28"/>
      <c r="G104" s="27"/>
      <c r="H104" s="180"/>
      <c r="I104" s="27"/>
      <c r="J104" s="32"/>
      <c r="K104" s="32"/>
      <c r="L104" s="32"/>
      <c r="M104" s="32"/>
      <c r="N104" s="31"/>
      <c r="O104" s="32"/>
      <c r="P104" s="33"/>
      <c r="Q104" s="33"/>
      <c r="R104" s="32"/>
      <c r="S104" s="33"/>
      <c r="T104" s="5"/>
    </row>
    <row r="105" spans="1:20" x14ac:dyDescent="0.25">
      <c r="A105" s="23"/>
      <c r="B105" s="24"/>
      <c r="C105" s="25"/>
      <c r="D105" s="27"/>
      <c r="E105" s="27"/>
      <c r="F105" s="28"/>
      <c r="G105" s="27"/>
      <c r="H105" s="180"/>
      <c r="I105" s="27"/>
      <c r="J105" s="32"/>
      <c r="K105" s="32"/>
      <c r="L105" s="32"/>
      <c r="M105" s="32"/>
      <c r="N105" s="31"/>
      <c r="O105" s="32"/>
      <c r="P105" s="33"/>
      <c r="Q105" s="33"/>
      <c r="R105" s="32"/>
      <c r="S105" s="33"/>
      <c r="T105" s="5"/>
    </row>
    <row r="106" spans="1:20" x14ac:dyDescent="0.25">
      <c r="A106" s="23"/>
      <c r="B106" s="24"/>
      <c r="C106" s="25"/>
      <c r="D106" s="27"/>
      <c r="E106" s="27"/>
      <c r="F106" s="28"/>
      <c r="G106" s="27"/>
      <c r="H106" s="180"/>
      <c r="I106" s="27"/>
      <c r="J106" s="32"/>
      <c r="K106" s="32"/>
      <c r="L106" s="32"/>
      <c r="M106" s="32"/>
      <c r="N106" s="31"/>
      <c r="O106" s="32"/>
      <c r="P106" s="33"/>
      <c r="Q106" s="33"/>
      <c r="R106" s="32"/>
      <c r="S106" s="33"/>
      <c r="T106" s="5"/>
    </row>
    <row r="107" spans="1:20" x14ac:dyDescent="0.25">
      <c r="A107" s="23"/>
      <c r="B107" s="24"/>
      <c r="C107" s="25"/>
      <c r="D107" s="27"/>
      <c r="E107" s="27"/>
      <c r="F107" s="28"/>
      <c r="G107" s="27"/>
      <c r="H107" s="180"/>
      <c r="I107" s="27"/>
      <c r="J107" s="32"/>
      <c r="K107" s="32"/>
      <c r="L107" s="32"/>
      <c r="M107" s="32"/>
      <c r="N107" s="31"/>
      <c r="O107" s="32"/>
      <c r="P107" s="33"/>
      <c r="Q107" s="33"/>
      <c r="R107" s="32"/>
      <c r="S107" s="33"/>
      <c r="T107" s="5"/>
    </row>
    <row r="108" spans="1:20" x14ac:dyDescent="0.25">
      <c r="A108" s="23"/>
      <c r="B108" s="24"/>
      <c r="C108" s="25"/>
      <c r="D108" s="27"/>
      <c r="E108" s="27"/>
      <c r="F108" s="28"/>
      <c r="G108" s="27"/>
      <c r="H108" s="180"/>
      <c r="I108" s="27"/>
      <c r="J108" s="32"/>
      <c r="K108" s="32"/>
      <c r="L108" s="32"/>
      <c r="M108" s="32"/>
      <c r="N108" s="31"/>
      <c r="O108" s="32"/>
      <c r="P108" s="33"/>
      <c r="Q108" s="33"/>
      <c r="R108" s="32"/>
      <c r="S108" s="33"/>
      <c r="T108" s="5"/>
    </row>
    <row r="109" spans="1:20" x14ac:dyDescent="0.25">
      <c r="A109" s="23"/>
      <c r="B109" s="24"/>
      <c r="C109" s="25"/>
      <c r="D109" s="27"/>
      <c r="E109" s="27"/>
      <c r="F109" s="28"/>
      <c r="G109" s="27"/>
      <c r="H109" s="180"/>
      <c r="I109" s="27"/>
      <c r="J109" s="32"/>
      <c r="K109" s="32"/>
      <c r="L109" s="32"/>
      <c r="M109" s="32"/>
      <c r="N109" s="31"/>
      <c r="O109" s="32"/>
      <c r="P109" s="33"/>
      <c r="Q109" s="33"/>
      <c r="R109" s="32"/>
      <c r="S109" s="33"/>
      <c r="T109" s="5"/>
    </row>
    <row r="110" spans="1:20" x14ac:dyDescent="0.25">
      <c r="A110" s="23"/>
      <c r="B110" s="24"/>
      <c r="C110" s="25"/>
      <c r="D110" s="27"/>
      <c r="E110" s="27"/>
      <c r="F110" s="28"/>
      <c r="G110" s="27"/>
      <c r="H110" s="180"/>
      <c r="I110" s="27"/>
      <c r="J110" s="32"/>
      <c r="K110" s="32"/>
      <c r="L110" s="32"/>
      <c r="M110" s="32"/>
      <c r="N110" s="31"/>
      <c r="O110" s="32"/>
      <c r="P110" s="33"/>
      <c r="Q110" s="33"/>
      <c r="R110" s="32"/>
      <c r="S110" s="33"/>
      <c r="T110" s="5"/>
    </row>
    <row r="111" spans="1:20" x14ac:dyDescent="0.25">
      <c r="A111" s="23"/>
      <c r="B111" s="24"/>
      <c r="C111" s="25"/>
      <c r="D111" s="27"/>
      <c r="E111" s="27"/>
      <c r="F111" s="28"/>
      <c r="G111" s="27"/>
      <c r="H111" s="180"/>
      <c r="I111" s="27"/>
      <c r="J111" s="32"/>
      <c r="K111" s="32"/>
      <c r="L111" s="32"/>
      <c r="M111" s="32"/>
      <c r="N111" s="31"/>
      <c r="O111" s="32"/>
      <c r="P111" s="33"/>
      <c r="Q111" s="33"/>
      <c r="R111" s="32"/>
      <c r="S111" s="33"/>
      <c r="T111" s="5"/>
    </row>
    <row r="112" spans="1:20" x14ac:dyDescent="0.25">
      <c r="A112" s="23"/>
      <c r="B112" s="24"/>
      <c r="C112" s="25"/>
      <c r="D112" s="27"/>
      <c r="E112" s="27"/>
      <c r="F112" s="28"/>
      <c r="G112" s="27"/>
      <c r="H112" s="180"/>
      <c r="I112" s="27"/>
      <c r="J112" s="32"/>
      <c r="K112" s="32"/>
      <c r="L112" s="32"/>
      <c r="M112" s="32"/>
      <c r="N112" s="31"/>
      <c r="O112" s="32"/>
      <c r="P112" s="33"/>
      <c r="Q112" s="33"/>
      <c r="R112" s="32"/>
      <c r="S112" s="33"/>
      <c r="T112" s="5"/>
    </row>
    <row r="113" spans="1:20" x14ac:dyDescent="0.25">
      <c r="A113" s="23"/>
      <c r="B113" s="24"/>
      <c r="C113" s="25"/>
      <c r="D113" s="27"/>
      <c r="E113" s="27"/>
      <c r="F113" s="28"/>
      <c r="G113" s="27"/>
      <c r="H113" s="180"/>
      <c r="I113" s="27"/>
      <c r="J113" s="32"/>
      <c r="K113" s="32"/>
      <c r="L113" s="32"/>
      <c r="M113" s="32"/>
      <c r="N113" s="31"/>
      <c r="O113" s="32"/>
      <c r="P113" s="33"/>
      <c r="Q113" s="33"/>
      <c r="R113" s="32"/>
      <c r="S113" s="33"/>
      <c r="T113" s="5"/>
    </row>
    <row r="114" spans="1:20" x14ac:dyDescent="0.25">
      <c r="A114" s="23"/>
      <c r="B114" s="24"/>
      <c r="C114" s="25"/>
      <c r="D114" s="27"/>
      <c r="E114" s="27"/>
      <c r="F114" s="28"/>
      <c r="G114" s="27"/>
      <c r="H114" s="180"/>
      <c r="I114" s="27"/>
      <c r="J114" s="32"/>
      <c r="K114" s="32"/>
      <c r="L114" s="32"/>
      <c r="M114" s="32"/>
      <c r="N114" s="31"/>
      <c r="O114" s="32"/>
      <c r="P114" s="33"/>
      <c r="Q114" s="33"/>
      <c r="R114" s="32"/>
      <c r="S114" s="33"/>
      <c r="T114" s="5"/>
    </row>
    <row r="115" spans="1:20" x14ac:dyDescent="0.25">
      <c r="A115" s="23"/>
      <c r="B115" s="24"/>
      <c r="C115" s="25"/>
      <c r="D115" s="27"/>
      <c r="E115" s="27"/>
      <c r="F115" s="28"/>
      <c r="G115" s="27"/>
      <c r="H115" s="180"/>
      <c r="I115" s="27"/>
      <c r="J115" s="32"/>
      <c r="K115" s="32"/>
      <c r="L115" s="32"/>
      <c r="M115" s="32"/>
      <c r="N115" s="31"/>
      <c r="O115" s="32"/>
      <c r="P115" s="33"/>
      <c r="Q115" s="33"/>
      <c r="R115" s="32"/>
      <c r="S115" s="33"/>
      <c r="T115" s="5"/>
    </row>
    <row r="116" spans="1:20" x14ac:dyDescent="0.25">
      <c r="A116" s="23"/>
      <c r="B116" s="24"/>
      <c r="C116" s="25"/>
      <c r="D116" s="27"/>
      <c r="E116" s="27"/>
      <c r="F116" s="28"/>
      <c r="G116" s="27"/>
      <c r="H116" s="180"/>
      <c r="I116" s="27"/>
      <c r="J116" s="32"/>
      <c r="K116" s="32"/>
      <c r="L116" s="32"/>
      <c r="M116" s="32"/>
      <c r="N116" s="31"/>
      <c r="O116" s="32"/>
      <c r="P116" s="33"/>
      <c r="Q116" s="33"/>
      <c r="R116" s="32"/>
      <c r="S116" s="33"/>
      <c r="T116" s="5"/>
    </row>
    <row r="117" spans="1:20" x14ac:dyDescent="0.25">
      <c r="A117" s="23"/>
      <c r="B117" s="24"/>
      <c r="C117" s="25"/>
      <c r="D117" s="27"/>
      <c r="E117" s="27"/>
      <c r="F117" s="28"/>
      <c r="G117" s="27"/>
      <c r="H117" s="180"/>
      <c r="I117" s="27"/>
      <c r="J117" s="32"/>
      <c r="K117" s="32"/>
      <c r="L117" s="32"/>
      <c r="M117" s="32"/>
      <c r="N117" s="31"/>
      <c r="O117" s="32"/>
      <c r="P117" s="33"/>
      <c r="Q117" s="33"/>
      <c r="R117" s="32"/>
      <c r="S117" s="33"/>
      <c r="T117" s="5"/>
    </row>
    <row r="118" spans="1:20" x14ac:dyDescent="0.25">
      <c r="A118" s="23"/>
      <c r="B118" s="24"/>
      <c r="C118" s="25"/>
      <c r="D118" s="27"/>
      <c r="E118" s="27"/>
      <c r="F118" s="28"/>
      <c r="G118" s="27"/>
      <c r="H118" s="180"/>
      <c r="I118" s="27"/>
      <c r="J118" s="32"/>
      <c r="K118" s="32"/>
      <c r="L118" s="32"/>
      <c r="M118" s="32"/>
      <c r="N118" s="31"/>
      <c r="O118" s="32"/>
      <c r="P118" s="33"/>
      <c r="Q118" s="33"/>
      <c r="R118" s="32"/>
      <c r="S118" s="33"/>
      <c r="T118" s="5"/>
    </row>
    <row r="119" spans="1:20" x14ac:dyDescent="0.25">
      <c r="A119" s="23"/>
      <c r="B119" s="24"/>
      <c r="C119" s="25"/>
      <c r="D119" s="27"/>
      <c r="E119" s="27"/>
      <c r="F119" s="28"/>
      <c r="G119" s="27"/>
      <c r="H119" s="180"/>
      <c r="I119" s="27"/>
      <c r="J119" s="32"/>
      <c r="K119" s="32"/>
      <c r="L119" s="32"/>
      <c r="M119" s="32"/>
      <c r="N119" s="31"/>
      <c r="O119" s="32"/>
      <c r="P119" s="33"/>
      <c r="Q119" s="33"/>
      <c r="R119" s="32"/>
      <c r="S119" s="33"/>
      <c r="T119" s="5"/>
    </row>
    <row r="120" spans="1:20" x14ac:dyDescent="0.25">
      <c r="A120" s="23"/>
      <c r="B120" s="24"/>
      <c r="C120" s="25"/>
      <c r="D120" s="27"/>
      <c r="E120" s="27"/>
      <c r="F120" s="28"/>
      <c r="G120" s="27"/>
      <c r="H120" s="180"/>
      <c r="I120" s="27"/>
      <c r="J120" s="32"/>
      <c r="K120" s="32"/>
      <c r="L120" s="32"/>
      <c r="M120" s="32"/>
      <c r="N120" s="31"/>
      <c r="O120" s="32"/>
      <c r="P120" s="33"/>
      <c r="Q120" s="33"/>
      <c r="R120" s="32"/>
      <c r="S120" s="33"/>
      <c r="T120" s="5"/>
    </row>
    <row r="121" spans="1:20" x14ac:dyDescent="0.25">
      <c r="A121" s="23"/>
      <c r="B121" s="24"/>
      <c r="C121" s="25"/>
      <c r="D121" s="27"/>
      <c r="E121" s="27"/>
      <c r="F121" s="28"/>
      <c r="G121" s="27"/>
      <c r="H121" s="180"/>
      <c r="I121" s="27"/>
      <c r="J121" s="32"/>
      <c r="K121" s="32"/>
      <c r="L121" s="32"/>
      <c r="M121" s="32"/>
      <c r="N121" s="31"/>
      <c r="O121" s="32"/>
      <c r="P121" s="33"/>
      <c r="Q121" s="33"/>
      <c r="R121" s="32"/>
      <c r="S121" s="33"/>
      <c r="T121" s="5"/>
    </row>
    <row r="122" spans="1:20" x14ac:dyDescent="0.25">
      <c r="A122" s="23"/>
      <c r="B122" s="24"/>
      <c r="C122" s="25"/>
      <c r="D122" s="27"/>
      <c r="E122" s="27"/>
      <c r="F122" s="28"/>
      <c r="G122" s="27"/>
      <c r="H122" s="180"/>
      <c r="I122" s="27"/>
      <c r="J122" s="32"/>
      <c r="K122" s="32"/>
      <c r="L122" s="32"/>
      <c r="M122" s="32"/>
      <c r="N122" s="31"/>
      <c r="O122" s="32"/>
      <c r="P122" s="33"/>
      <c r="Q122" s="33"/>
      <c r="R122" s="32"/>
      <c r="S122" s="33"/>
      <c r="T122" s="5"/>
    </row>
    <row r="123" spans="1:20" x14ac:dyDescent="0.25">
      <c r="A123" s="23"/>
      <c r="B123" s="24"/>
      <c r="C123" s="25"/>
      <c r="D123" s="27"/>
      <c r="E123" s="27"/>
      <c r="F123" s="28"/>
      <c r="G123" s="27"/>
      <c r="H123" s="180"/>
      <c r="I123" s="27"/>
      <c r="J123" s="32"/>
      <c r="K123" s="32"/>
      <c r="L123" s="32"/>
      <c r="M123" s="32"/>
      <c r="N123" s="31"/>
      <c r="O123" s="32"/>
      <c r="P123" s="33"/>
      <c r="Q123" s="33"/>
      <c r="R123" s="32"/>
      <c r="S123" s="33"/>
      <c r="T123" s="5"/>
    </row>
    <row r="124" spans="1:20" x14ac:dyDescent="0.25">
      <c r="A124" s="23"/>
      <c r="B124" s="24"/>
      <c r="C124" s="25"/>
      <c r="D124" s="27"/>
      <c r="E124" s="27"/>
      <c r="F124" s="28"/>
      <c r="G124" s="27"/>
      <c r="H124" s="180"/>
      <c r="I124" s="27"/>
      <c r="J124" s="32"/>
      <c r="K124" s="32"/>
      <c r="L124" s="32"/>
      <c r="M124" s="32"/>
      <c r="N124" s="31"/>
      <c r="O124" s="32"/>
      <c r="P124" s="33"/>
      <c r="Q124" s="33"/>
      <c r="R124" s="32"/>
      <c r="S124" s="33"/>
      <c r="T124" s="5"/>
    </row>
    <row r="125" spans="1:20" x14ac:dyDescent="0.25">
      <c r="A125" s="23"/>
      <c r="B125" s="24"/>
      <c r="C125" s="25"/>
      <c r="D125" s="27"/>
      <c r="E125" s="27"/>
      <c r="F125" s="28"/>
      <c r="G125" s="27"/>
      <c r="H125" s="180"/>
      <c r="I125" s="27"/>
      <c r="J125" s="32"/>
      <c r="K125" s="32"/>
      <c r="L125" s="32"/>
      <c r="M125" s="32"/>
      <c r="N125" s="31"/>
      <c r="O125" s="32"/>
      <c r="P125" s="33"/>
      <c r="Q125" s="33"/>
      <c r="R125" s="32"/>
      <c r="S125" s="33"/>
      <c r="T125" s="5"/>
    </row>
    <row r="126" spans="1:20" x14ac:dyDescent="0.25">
      <c r="A126" s="23"/>
      <c r="B126" s="24"/>
      <c r="C126" s="25"/>
      <c r="D126" s="27"/>
      <c r="E126" s="27"/>
      <c r="F126" s="28"/>
      <c r="G126" s="27"/>
      <c r="H126" s="180"/>
      <c r="I126" s="27"/>
      <c r="J126" s="32"/>
      <c r="K126" s="32"/>
      <c r="L126" s="32"/>
      <c r="M126" s="32"/>
      <c r="N126" s="31"/>
      <c r="O126" s="32"/>
      <c r="P126" s="33"/>
      <c r="Q126" s="33"/>
      <c r="R126" s="32"/>
      <c r="S126" s="33"/>
      <c r="T126" s="5"/>
    </row>
    <row r="127" spans="1:20" x14ac:dyDescent="0.25">
      <c r="A127" s="23"/>
      <c r="B127" s="24"/>
      <c r="C127" s="25"/>
      <c r="D127" s="27"/>
      <c r="E127" s="27"/>
      <c r="F127" s="28"/>
      <c r="G127" s="27"/>
      <c r="H127" s="180"/>
      <c r="I127" s="27"/>
      <c r="J127" s="32"/>
      <c r="K127" s="32"/>
      <c r="L127" s="32"/>
      <c r="M127" s="32"/>
      <c r="N127" s="31"/>
      <c r="O127" s="32"/>
      <c r="P127" s="33"/>
      <c r="Q127" s="33"/>
      <c r="R127" s="32"/>
      <c r="S127" s="33"/>
      <c r="T127" s="5"/>
    </row>
    <row r="128" spans="1:20" x14ac:dyDescent="0.25">
      <c r="A128" s="23"/>
      <c r="B128" s="24"/>
      <c r="C128" s="25"/>
      <c r="D128" s="27"/>
      <c r="E128" s="27"/>
      <c r="F128" s="28"/>
      <c r="G128" s="27"/>
      <c r="H128" s="180"/>
      <c r="I128" s="27"/>
      <c r="J128" s="32"/>
      <c r="K128" s="32"/>
      <c r="L128" s="32"/>
      <c r="M128" s="32"/>
      <c r="N128" s="31"/>
      <c r="O128" s="32"/>
      <c r="P128" s="33"/>
      <c r="Q128" s="33"/>
      <c r="R128" s="32"/>
      <c r="S128" s="33"/>
      <c r="T128" s="5"/>
    </row>
    <row r="129" spans="1:20" x14ac:dyDescent="0.25">
      <c r="A129" s="23"/>
      <c r="B129" s="24"/>
      <c r="C129" s="25"/>
      <c r="D129" s="27"/>
      <c r="E129" s="27"/>
      <c r="F129" s="28"/>
      <c r="G129" s="27"/>
      <c r="H129" s="180"/>
      <c r="I129" s="27"/>
      <c r="J129" s="32"/>
      <c r="K129" s="32"/>
      <c r="L129" s="32"/>
      <c r="M129" s="32"/>
      <c r="N129" s="31"/>
      <c r="O129" s="32"/>
      <c r="P129" s="33"/>
      <c r="Q129" s="33"/>
      <c r="R129" s="32"/>
      <c r="S129" s="33"/>
      <c r="T129" s="5"/>
    </row>
    <row r="130" spans="1:20" x14ac:dyDescent="0.25">
      <c r="A130" s="23"/>
      <c r="B130" s="24"/>
      <c r="C130" s="25"/>
      <c r="D130" s="27"/>
      <c r="E130" s="27"/>
      <c r="F130" s="28"/>
      <c r="G130" s="27"/>
      <c r="H130" s="180"/>
      <c r="I130" s="27"/>
      <c r="J130" s="32"/>
      <c r="K130" s="32"/>
      <c r="L130" s="32"/>
      <c r="M130" s="32"/>
      <c r="N130" s="31"/>
      <c r="O130" s="32"/>
      <c r="P130" s="33"/>
      <c r="Q130" s="33"/>
      <c r="R130" s="32"/>
      <c r="S130" s="33"/>
      <c r="T130" s="5"/>
    </row>
    <row r="131" spans="1:20" x14ac:dyDescent="0.25">
      <c r="A131" s="23"/>
      <c r="B131" s="24"/>
      <c r="C131" s="25"/>
      <c r="D131" s="27"/>
      <c r="E131" s="27"/>
      <c r="F131" s="28"/>
      <c r="G131" s="27"/>
      <c r="H131" s="180"/>
      <c r="I131" s="27"/>
      <c r="J131" s="32"/>
      <c r="K131" s="32"/>
      <c r="L131" s="32"/>
      <c r="M131" s="32"/>
      <c r="N131" s="31"/>
      <c r="O131" s="32"/>
      <c r="P131" s="33"/>
      <c r="Q131" s="33"/>
      <c r="R131" s="32"/>
      <c r="S131" s="33"/>
      <c r="T131" s="5"/>
    </row>
    <row r="132" spans="1:20" x14ac:dyDescent="0.25">
      <c r="A132" s="23"/>
      <c r="B132" s="24"/>
      <c r="C132" s="25"/>
      <c r="D132" s="27"/>
      <c r="E132" s="27"/>
      <c r="F132" s="28"/>
      <c r="G132" s="27"/>
      <c r="H132" s="180"/>
      <c r="I132" s="27"/>
      <c r="J132" s="32"/>
      <c r="K132" s="32"/>
      <c r="L132" s="32"/>
      <c r="M132" s="32"/>
      <c r="N132" s="31"/>
      <c r="O132" s="32"/>
      <c r="P132" s="33"/>
      <c r="Q132" s="33"/>
      <c r="R132" s="32"/>
      <c r="S132" s="33"/>
      <c r="T132" s="5"/>
    </row>
    <row r="133" spans="1:20" x14ac:dyDescent="0.25">
      <c r="A133" s="23"/>
      <c r="B133" s="24"/>
      <c r="C133" s="25"/>
      <c r="D133" s="27"/>
      <c r="E133" s="27"/>
      <c r="F133" s="28"/>
      <c r="G133" s="27"/>
      <c r="H133" s="180"/>
      <c r="I133" s="27"/>
      <c r="J133" s="32"/>
      <c r="K133" s="32"/>
      <c r="L133" s="32"/>
      <c r="M133" s="32"/>
      <c r="N133" s="31"/>
      <c r="O133" s="32"/>
      <c r="P133" s="33"/>
      <c r="Q133" s="33"/>
      <c r="R133" s="32"/>
      <c r="S133" s="33"/>
      <c r="T133" s="5"/>
    </row>
    <row r="134" spans="1:20" x14ac:dyDescent="0.25">
      <c r="A134" s="23"/>
      <c r="B134" s="24"/>
      <c r="C134" s="25"/>
      <c r="D134" s="27"/>
      <c r="E134" s="27"/>
      <c r="F134" s="28"/>
      <c r="G134" s="27"/>
      <c r="H134" s="180"/>
      <c r="I134" s="27"/>
      <c r="J134" s="32"/>
      <c r="K134" s="32"/>
      <c r="L134" s="32"/>
      <c r="M134" s="32"/>
      <c r="N134" s="31"/>
      <c r="O134" s="32"/>
      <c r="P134" s="33"/>
      <c r="Q134" s="33"/>
      <c r="R134" s="32"/>
      <c r="S134" s="33"/>
      <c r="T134" s="5"/>
    </row>
    <row r="135" spans="1:20" x14ac:dyDescent="0.25">
      <c r="A135" s="23"/>
      <c r="B135" s="24"/>
      <c r="C135" s="25"/>
      <c r="D135" s="27"/>
      <c r="E135" s="27"/>
      <c r="F135" s="28"/>
      <c r="G135" s="27"/>
      <c r="H135" s="180"/>
      <c r="I135" s="27"/>
      <c r="J135" s="32"/>
      <c r="K135" s="32"/>
      <c r="L135" s="32"/>
      <c r="M135" s="32"/>
      <c r="N135" s="31"/>
      <c r="O135" s="32"/>
      <c r="P135" s="33"/>
      <c r="Q135" s="33"/>
      <c r="R135" s="32"/>
      <c r="S135" s="33"/>
      <c r="T135" s="5"/>
    </row>
    <row r="136" spans="1:20" x14ac:dyDescent="0.25">
      <c r="A136" s="23"/>
      <c r="B136" s="24"/>
      <c r="C136" s="25"/>
      <c r="D136" s="27"/>
      <c r="E136" s="27"/>
      <c r="F136" s="28"/>
      <c r="G136" s="27"/>
      <c r="H136" s="180"/>
      <c r="I136" s="27"/>
      <c r="J136" s="32"/>
      <c r="K136" s="32"/>
      <c r="L136" s="32"/>
      <c r="M136" s="32"/>
      <c r="N136" s="31"/>
      <c r="O136" s="32"/>
      <c r="P136" s="33"/>
      <c r="Q136" s="33"/>
      <c r="R136" s="32"/>
      <c r="S136" s="33"/>
      <c r="T136" s="5"/>
    </row>
    <row r="137" spans="1:20" x14ac:dyDescent="0.25">
      <c r="A137" s="23"/>
      <c r="B137" s="24"/>
      <c r="C137" s="25"/>
      <c r="D137" s="27"/>
      <c r="E137" s="27"/>
      <c r="F137" s="28"/>
      <c r="G137" s="27"/>
      <c r="H137" s="180"/>
      <c r="I137" s="27"/>
      <c r="J137" s="32"/>
      <c r="K137" s="32"/>
      <c r="L137" s="32"/>
      <c r="M137" s="32"/>
      <c r="N137" s="31"/>
      <c r="O137" s="32"/>
      <c r="P137" s="33"/>
      <c r="Q137" s="33"/>
      <c r="R137" s="32"/>
      <c r="S137" s="33"/>
      <c r="T137" s="5"/>
    </row>
    <row r="138" spans="1:20" x14ac:dyDescent="0.25">
      <c r="A138" s="23"/>
      <c r="B138" s="24"/>
      <c r="C138" s="25"/>
      <c r="D138" s="27"/>
      <c r="E138" s="27"/>
      <c r="F138" s="28"/>
      <c r="G138" s="27"/>
      <c r="H138" s="180"/>
      <c r="I138" s="27"/>
      <c r="J138" s="32"/>
      <c r="K138" s="32"/>
      <c r="L138" s="32"/>
      <c r="M138" s="32"/>
      <c r="N138" s="31"/>
      <c r="O138" s="32"/>
      <c r="P138" s="33"/>
      <c r="Q138" s="33"/>
      <c r="R138" s="32"/>
      <c r="S138" s="33"/>
      <c r="T138" s="5"/>
    </row>
    <row r="139" spans="1:20" x14ac:dyDescent="0.25">
      <c r="A139" s="23"/>
      <c r="B139" s="24"/>
      <c r="C139" s="25"/>
      <c r="D139" s="27"/>
      <c r="E139" s="27"/>
      <c r="F139" s="28"/>
      <c r="G139" s="27"/>
      <c r="H139" s="180"/>
      <c r="I139" s="27"/>
      <c r="J139" s="32"/>
      <c r="K139" s="32"/>
      <c r="L139" s="32"/>
      <c r="M139" s="32"/>
      <c r="N139" s="31"/>
      <c r="O139" s="32"/>
      <c r="P139" s="33"/>
      <c r="Q139" s="33"/>
      <c r="R139" s="32"/>
      <c r="S139" s="33"/>
      <c r="T139" s="5"/>
    </row>
    <row r="140" spans="1:20" x14ac:dyDescent="0.25">
      <c r="A140" s="23"/>
      <c r="B140" s="24"/>
      <c r="C140" s="25"/>
      <c r="D140" s="27"/>
      <c r="E140" s="27"/>
      <c r="F140" s="28"/>
      <c r="G140" s="27"/>
      <c r="H140" s="180"/>
      <c r="I140" s="27"/>
      <c r="J140" s="32"/>
      <c r="K140" s="32"/>
      <c r="L140" s="32"/>
      <c r="M140" s="32"/>
      <c r="N140" s="31"/>
      <c r="O140" s="32"/>
      <c r="P140" s="33"/>
      <c r="Q140" s="33"/>
      <c r="R140" s="32"/>
      <c r="S140" s="33"/>
      <c r="T140" s="5"/>
    </row>
    <row r="141" spans="1:20" x14ac:dyDescent="0.25">
      <c r="A141" s="23"/>
      <c r="B141" s="24"/>
      <c r="C141" s="25"/>
      <c r="D141" s="27"/>
      <c r="E141" s="27"/>
      <c r="F141" s="28"/>
      <c r="G141" s="27"/>
      <c r="H141" s="180"/>
      <c r="I141" s="27"/>
      <c r="J141" s="32"/>
      <c r="K141" s="32"/>
      <c r="L141" s="32"/>
      <c r="M141" s="32"/>
      <c r="N141" s="31"/>
      <c r="O141" s="32"/>
      <c r="P141" s="33"/>
      <c r="Q141" s="33"/>
      <c r="R141" s="32"/>
      <c r="S141" s="33"/>
      <c r="T141" s="5"/>
    </row>
    <row r="142" spans="1:20" x14ac:dyDescent="0.25">
      <c r="A142" s="23"/>
      <c r="B142" s="24"/>
      <c r="C142" s="25"/>
      <c r="D142" s="27"/>
      <c r="E142" s="27"/>
      <c r="F142" s="28"/>
      <c r="G142" s="27"/>
      <c r="H142" s="180"/>
      <c r="I142" s="27"/>
      <c r="J142" s="32"/>
      <c r="K142" s="32"/>
      <c r="L142" s="32"/>
      <c r="M142" s="32"/>
      <c r="N142" s="31"/>
      <c r="O142" s="32"/>
      <c r="P142" s="33"/>
      <c r="Q142" s="33"/>
      <c r="R142" s="32"/>
      <c r="S142" s="33"/>
      <c r="T142" s="5"/>
    </row>
    <row r="143" spans="1:20" x14ac:dyDescent="0.25">
      <c r="A143" s="23"/>
      <c r="B143" s="24"/>
      <c r="C143" s="25"/>
      <c r="D143" s="27"/>
      <c r="E143" s="27"/>
      <c r="F143" s="28"/>
      <c r="G143" s="27"/>
      <c r="H143" s="180"/>
      <c r="I143" s="27"/>
      <c r="J143" s="32"/>
      <c r="K143" s="32"/>
      <c r="L143" s="32"/>
      <c r="M143" s="32"/>
      <c r="N143" s="31"/>
      <c r="O143" s="32"/>
      <c r="P143" s="33"/>
      <c r="Q143" s="33"/>
      <c r="R143" s="32"/>
      <c r="S143" s="33"/>
      <c r="T143" s="5"/>
    </row>
    <row r="144" spans="1:20" x14ac:dyDescent="0.25">
      <c r="A144" s="23"/>
      <c r="B144" s="24"/>
      <c r="C144" s="25"/>
      <c r="D144" s="27"/>
      <c r="E144" s="27"/>
      <c r="F144" s="28"/>
      <c r="G144" s="27"/>
      <c r="H144" s="180"/>
      <c r="I144" s="27"/>
      <c r="J144" s="32"/>
      <c r="K144" s="32"/>
      <c r="L144" s="32"/>
      <c r="M144" s="32"/>
      <c r="N144" s="31"/>
      <c r="O144" s="32"/>
      <c r="P144" s="33"/>
      <c r="Q144" s="33"/>
      <c r="R144" s="32"/>
      <c r="S144" s="33"/>
      <c r="T144" s="5"/>
    </row>
    <row r="145" spans="1:20" x14ac:dyDescent="0.25">
      <c r="A145" s="23"/>
      <c r="B145" s="24"/>
      <c r="C145" s="25"/>
      <c r="D145" s="27"/>
      <c r="E145" s="27"/>
      <c r="F145" s="28"/>
      <c r="G145" s="27"/>
      <c r="H145" s="180"/>
      <c r="I145" s="27"/>
      <c r="J145" s="32"/>
      <c r="K145" s="32"/>
      <c r="L145" s="32"/>
      <c r="M145" s="32"/>
      <c r="N145" s="31"/>
      <c r="O145" s="32"/>
      <c r="P145" s="33"/>
      <c r="Q145" s="33"/>
      <c r="R145" s="32"/>
      <c r="S145" s="33"/>
      <c r="T145" s="5"/>
    </row>
    <row r="146" spans="1:20" x14ac:dyDescent="0.25">
      <c r="A146" s="23"/>
      <c r="B146" s="24"/>
      <c r="C146" s="25"/>
      <c r="D146" s="27"/>
      <c r="E146" s="27"/>
      <c r="F146" s="28"/>
      <c r="G146" s="27"/>
      <c r="H146" s="180"/>
      <c r="I146" s="27"/>
      <c r="J146" s="32"/>
      <c r="K146" s="32"/>
      <c r="L146" s="32"/>
      <c r="M146" s="32"/>
      <c r="N146" s="31"/>
      <c r="O146" s="32"/>
      <c r="P146" s="33"/>
      <c r="Q146" s="33"/>
      <c r="R146" s="32"/>
      <c r="S146" s="33"/>
      <c r="T146" s="5"/>
    </row>
    <row r="147" spans="1:20" x14ac:dyDescent="0.25">
      <c r="A147" s="23"/>
      <c r="B147" s="24"/>
      <c r="C147" s="25"/>
      <c r="D147" s="27"/>
      <c r="E147" s="27"/>
      <c r="F147" s="28"/>
      <c r="G147" s="27"/>
      <c r="H147" s="180"/>
      <c r="I147" s="27"/>
      <c r="J147" s="32"/>
      <c r="K147" s="32"/>
      <c r="L147" s="32"/>
      <c r="M147" s="32"/>
      <c r="N147" s="31"/>
      <c r="O147" s="32"/>
      <c r="P147" s="33"/>
      <c r="Q147" s="33"/>
      <c r="R147" s="32"/>
      <c r="S147" s="33"/>
      <c r="T147" s="5"/>
    </row>
    <row r="148" spans="1:20" x14ac:dyDescent="0.25">
      <c r="A148" s="23"/>
      <c r="B148" s="24"/>
      <c r="C148" s="25"/>
      <c r="D148" s="27"/>
      <c r="E148" s="27"/>
      <c r="F148" s="28"/>
      <c r="G148" s="27"/>
      <c r="H148" s="180"/>
      <c r="I148" s="27"/>
      <c r="J148" s="32"/>
      <c r="K148" s="32"/>
      <c r="L148" s="32"/>
      <c r="M148" s="32"/>
      <c r="N148" s="31"/>
      <c r="O148" s="32"/>
      <c r="P148" s="33"/>
      <c r="Q148" s="33"/>
      <c r="R148" s="32"/>
      <c r="S148" s="33"/>
      <c r="T148" s="5"/>
    </row>
    <row r="149" spans="1:20" x14ac:dyDescent="0.25">
      <c r="A149" s="23"/>
      <c r="B149" s="24"/>
      <c r="C149" s="25"/>
      <c r="D149" s="27"/>
      <c r="E149" s="27"/>
      <c r="F149" s="28"/>
      <c r="G149" s="27"/>
      <c r="H149" s="180"/>
      <c r="I149" s="27"/>
      <c r="J149" s="32"/>
      <c r="K149" s="32"/>
      <c r="L149" s="32"/>
      <c r="M149" s="32"/>
      <c r="N149" s="31"/>
      <c r="O149" s="32"/>
      <c r="P149" s="33"/>
      <c r="Q149" s="33"/>
      <c r="R149" s="32"/>
      <c r="S149" s="33"/>
      <c r="T149" s="5"/>
    </row>
    <row r="150" spans="1:20" x14ac:dyDescent="0.25">
      <c r="A150" s="23"/>
      <c r="B150" s="24"/>
      <c r="C150" s="25"/>
      <c r="D150" s="27"/>
      <c r="E150" s="27"/>
      <c r="F150" s="28"/>
      <c r="G150" s="27"/>
      <c r="H150" s="180"/>
      <c r="I150" s="27"/>
      <c r="J150" s="32"/>
      <c r="K150" s="32"/>
      <c r="L150" s="32"/>
      <c r="M150" s="32"/>
      <c r="N150" s="31"/>
      <c r="O150" s="32"/>
      <c r="P150" s="33"/>
      <c r="Q150" s="33"/>
      <c r="R150" s="32"/>
      <c r="S150" s="33"/>
      <c r="T150" s="5"/>
    </row>
    <row r="151" spans="1:20" x14ac:dyDescent="0.25">
      <c r="A151" s="23"/>
      <c r="B151" s="24"/>
      <c r="C151" s="25"/>
      <c r="D151" s="27"/>
      <c r="E151" s="27"/>
      <c r="F151" s="28"/>
      <c r="G151" s="27"/>
      <c r="H151" s="180"/>
      <c r="I151" s="27"/>
      <c r="J151" s="32"/>
      <c r="K151" s="32"/>
      <c r="L151" s="32"/>
      <c r="M151" s="32"/>
      <c r="N151" s="31"/>
      <c r="O151" s="32"/>
      <c r="P151" s="33"/>
      <c r="Q151" s="33"/>
      <c r="R151" s="32"/>
      <c r="S151" s="33"/>
      <c r="T151" s="5"/>
    </row>
    <row r="152" spans="1:20" x14ac:dyDescent="0.25">
      <c r="A152" s="23"/>
      <c r="B152" s="24"/>
      <c r="C152" s="25"/>
      <c r="D152" s="27"/>
      <c r="E152" s="27"/>
      <c r="F152" s="28"/>
      <c r="G152" s="27"/>
      <c r="H152" s="180"/>
      <c r="I152" s="27"/>
      <c r="J152" s="32"/>
      <c r="K152" s="32"/>
      <c r="L152" s="32"/>
      <c r="M152" s="32"/>
      <c r="N152" s="31"/>
      <c r="O152" s="32"/>
      <c r="P152" s="33"/>
      <c r="Q152" s="33"/>
      <c r="R152" s="32"/>
      <c r="S152" s="33"/>
      <c r="T152" s="5"/>
    </row>
    <row r="153" spans="1:20" x14ac:dyDescent="0.25">
      <c r="A153" s="23"/>
      <c r="B153" s="24"/>
      <c r="C153" s="25"/>
      <c r="D153" s="27"/>
      <c r="E153" s="27"/>
      <c r="F153" s="28"/>
      <c r="G153" s="27"/>
      <c r="H153" s="180"/>
      <c r="I153" s="27"/>
      <c r="J153" s="32"/>
      <c r="K153" s="32"/>
      <c r="L153" s="32"/>
      <c r="M153" s="32"/>
      <c r="N153" s="31"/>
      <c r="O153" s="32"/>
      <c r="P153" s="33"/>
      <c r="Q153" s="33"/>
      <c r="R153" s="32"/>
      <c r="S153" s="33"/>
      <c r="T153" s="5"/>
    </row>
    <row r="154" spans="1:20" x14ac:dyDescent="0.25">
      <c r="A154" s="23"/>
      <c r="B154" s="24"/>
      <c r="C154" s="25"/>
      <c r="D154" s="27"/>
      <c r="E154" s="27"/>
      <c r="F154" s="28"/>
      <c r="G154" s="27"/>
      <c r="H154" s="180"/>
      <c r="I154" s="27"/>
      <c r="J154" s="32"/>
      <c r="K154" s="32"/>
      <c r="L154" s="32"/>
      <c r="M154" s="32"/>
      <c r="N154" s="31"/>
      <c r="O154" s="32"/>
      <c r="P154" s="33"/>
      <c r="Q154" s="33"/>
      <c r="R154" s="32"/>
      <c r="S154" s="33"/>
      <c r="T154" s="5"/>
    </row>
    <row r="155" spans="1:20" x14ac:dyDescent="0.25">
      <c r="A155" s="23"/>
      <c r="B155" s="24"/>
      <c r="C155" s="25"/>
      <c r="D155" s="27"/>
      <c r="E155" s="27"/>
      <c r="F155" s="28"/>
      <c r="G155" s="27"/>
      <c r="H155" s="180"/>
      <c r="I155" s="27"/>
      <c r="J155" s="32"/>
      <c r="K155" s="32"/>
      <c r="L155" s="32"/>
      <c r="M155" s="32"/>
      <c r="N155" s="31"/>
      <c r="O155" s="32"/>
      <c r="P155" s="33"/>
      <c r="Q155" s="33"/>
      <c r="R155" s="32"/>
      <c r="S155" s="33"/>
      <c r="T155" s="5"/>
    </row>
    <row r="156" spans="1:20" x14ac:dyDescent="0.25">
      <c r="A156" s="23"/>
      <c r="B156" s="24"/>
      <c r="C156" s="25"/>
      <c r="D156" s="27"/>
      <c r="E156" s="27"/>
      <c r="F156" s="28"/>
      <c r="G156" s="27"/>
      <c r="H156" s="180"/>
      <c r="I156" s="27"/>
      <c r="J156" s="32"/>
      <c r="K156" s="32"/>
      <c r="L156" s="32"/>
      <c r="M156" s="32"/>
      <c r="N156" s="31"/>
      <c r="O156" s="32"/>
      <c r="P156" s="33"/>
      <c r="Q156" s="33"/>
      <c r="R156" s="32"/>
      <c r="S156" s="33"/>
      <c r="T156" s="5"/>
    </row>
    <row r="157" spans="1:20" x14ac:dyDescent="0.25">
      <c r="A157" s="23"/>
      <c r="B157" s="24"/>
      <c r="C157" s="25"/>
      <c r="D157" s="27"/>
      <c r="E157" s="27"/>
      <c r="F157" s="28"/>
      <c r="G157" s="27"/>
      <c r="H157" s="180"/>
      <c r="I157" s="27"/>
      <c r="J157" s="32"/>
      <c r="K157" s="32"/>
      <c r="L157" s="32"/>
      <c r="M157" s="32"/>
      <c r="N157" s="31"/>
      <c r="O157" s="32"/>
      <c r="P157" s="33"/>
      <c r="Q157" s="33"/>
      <c r="R157" s="32"/>
      <c r="S157" s="33"/>
      <c r="T157" s="5"/>
    </row>
    <row r="158" spans="1:20" x14ac:dyDescent="0.25">
      <c r="A158" s="23"/>
      <c r="B158" s="24"/>
      <c r="C158" s="25"/>
      <c r="D158" s="27"/>
      <c r="E158" s="27"/>
      <c r="F158" s="28"/>
      <c r="G158" s="27"/>
      <c r="H158" s="180"/>
      <c r="I158" s="27"/>
      <c r="J158" s="32"/>
      <c r="K158" s="32"/>
      <c r="L158" s="32"/>
      <c r="M158" s="32"/>
      <c r="N158" s="31"/>
      <c r="O158" s="32"/>
      <c r="P158" s="33"/>
      <c r="Q158" s="33"/>
      <c r="R158" s="32"/>
      <c r="S158" s="33"/>
      <c r="T158" s="5"/>
    </row>
    <row r="159" spans="1:20" x14ac:dyDescent="0.25">
      <c r="A159" s="23"/>
      <c r="B159" s="24"/>
      <c r="C159" s="25"/>
      <c r="D159" s="27"/>
      <c r="E159" s="27"/>
      <c r="F159" s="28"/>
      <c r="G159" s="27"/>
      <c r="H159" s="180"/>
      <c r="I159" s="27"/>
      <c r="J159" s="32"/>
      <c r="K159" s="32"/>
      <c r="L159" s="32"/>
      <c r="M159" s="32"/>
      <c r="N159" s="31"/>
      <c r="O159" s="32"/>
      <c r="P159" s="33"/>
      <c r="Q159" s="33"/>
      <c r="R159" s="32"/>
      <c r="S159" s="33"/>
      <c r="T159" s="5"/>
    </row>
    <row r="160" spans="1:20" x14ac:dyDescent="0.25">
      <c r="A160" s="23"/>
      <c r="B160" s="24"/>
      <c r="C160" s="25"/>
      <c r="D160" s="27"/>
      <c r="E160" s="27"/>
      <c r="F160" s="28"/>
      <c r="G160" s="27"/>
      <c r="H160" s="180"/>
      <c r="I160" s="27"/>
      <c r="J160" s="32"/>
      <c r="K160" s="32"/>
      <c r="L160" s="32"/>
      <c r="M160" s="32"/>
      <c r="N160" s="31"/>
      <c r="O160" s="32"/>
      <c r="P160" s="33"/>
      <c r="Q160" s="33"/>
      <c r="R160" s="32"/>
      <c r="S160" s="33"/>
      <c r="T160" s="5"/>
    </row>
    <row r="161" spans="1:20" x14ac:dyDescent="0.25">
      <c r="A161" s="23"/>
      <c r="B161" s="24"/>
      <c r="C161" s="25"/>
      <c r="D161" s="27"/>
      <c r="E161" s="27"/>
      <c r="F161" s="28"/>
      <c r="G161" s="27"/>
      <c r="H161" s="180"/>
      <c r="I161" s="27"/>
      <c r="J161" s="32"/>
      <c r="K161" s="32"/>
      <c r="L161" s="32"/>
      <c r="M161" s="32"/>
      <c r="N161" s="31"/>
      <c r="O161" s="32"/>
      <c r="P161" s="33"/>
      <c r="Q161" s="33"/>
      <c r="R161" s="32"/>
      <c r="S161" s="33"/>
      <c r="T161" s="5"/>
    </row>
    <row r="162" spans="1:20" x14ac:dyDescent="0.25">
      <c r="A162" s="23"/>
      <c r="B162" s="24"/>
      <c r="C162" s="25"/>
      <c r="D162" s="27"/>
      <c r="E162" s="27"/>
      <c r="F162" s="28"/>
      <c r="G162" s="27"/>
      <c r="H162" s="180"/>
      <c r="I162" s="27"/>
      <c r="J162" s="32"/>
      <c r="K162" s="32"/>
      <c r="L162" s="32"/>
      <c r="M162" s="32"/>
      <c r="N162" s="31"/>
      <c r="O162" s="32"/>
      <c r="P162" s="33"/>
      <c r="Q162" s="33"/>
      <c r="R162" s="32"/>
      <c r="S162" s="33"/>
      <c r="T162" s="5"/>
    </row>
    <row r="163" spans="1:20" x14ac:dyDescent="0.25">
      <c r="A163" s="23"/>
      <c r="B163" s="24"/>
      <c r="C163" s="25"/>
      <c r="D163" s="27"/>
      <c r="E163" s="27"/>
      <c r="F163" s="28"/>
      <c r="G163" s="27"/>
      <c r="H163" s="180"/>
      <c r="I163" s="27"/>
      <c r="J163" s="32"/>
      <c r="K163" s="32"/>
      <c r="L163" s="32"/>
      <c r="M163" s="32"/>
      <c r="N163" s="31"/>
      <c r="O163" s="32"/>
      <c r="P163" s="33"/>
      <c r="Q163" s="33"/>
      <c r="R163" s="32"/>
      <c r="S163" s="33"/>
      <c r="T163" s="5"/>
    </row>
    <row r="164" spans="1:20" x14ac:dyDescent="0.25">
      <c r="A164" s="23"/>
      <c r="B164" s="24"/>
      <c r="C164" s="25"/>
      <c r="D164" s="27"/>
      <c r="E164" s="27"/>
      <c r="F164" s="28"/>
      <c r="G164" s="27"/>
      <c r="H164" s="180"/>
      <c r="I164" s="27"/>
      <c r="J164" s="32"/>
      <c r="K164" s="32"/>
      <c r="L164" s="32"/>
      <c r="M164" s="32"/>
      <c r="N164" s="31"/>
      <c r="O164" s="32"/>
      <c r="P164" s="33"/>
      <c r="Q164" s="33"/>
      <c r="R164" s="32"/>
      <c r="S164" s="33"/>
      <c r="T164" s="5"/>
    </row>
    <row r="165" spans="1:20" x14ac:dyDescent="0.25">
      <c r="A165" s="23"/>
      <c r="B165" s="24"/>
      <c r="C165" s="25"/>
      <c r="D165" s="27"/>
      <c r="E165" s="27"/>
      <c r="F165" s="28"/>
      <c r="G165" s="27"/>
      <c r="H165" s="180"/>
      <c r="I165" s="27"/>
      <c r="J165" s="32"/>
      <c r="K165" s="32"/>
      <c r="L165" s="32"/>
      <c r="M165" s="32"/>
      <c r="N165" s="31"/>
      <c r="O165" s="32"/>
      <c r="P165" s="33"/>
      <c r="Q165" s="33"/>
      <c r="R165" s="32"/>
      <c r="S165" s="33"/>
      <c r="T165" s="5"/>
    </row>
    <row r="166" spans="1:20" x14ac:dyDescent="0.25">
      <c r="A166" s="23"/>
      <c r="B166" s="24"/>
      <c r="C166" s="25"/>
      <c r="D166" s="27"/>
      <c r="E166" s="27"/>
      <c r="F166" s="28"/>
      <c r="G166" s="27"/>
      <c r="H166" s="180"/>
      <c r="I166" s="27"/>
      <c r="J166" s="32"/>
      <c r="K166" s="32"/>
      <c r="L166" s="32"/>
      <c r="M166" s="32"/>
      <c r="N166" s="31"/>
      <c r="O166" s="32"/>
      <c r="P166" s="33"/>
      <c r="Q166" s="33"/>
      <c r="R166" s="32"/>
      <c r="S166" s="33"/>
      <c r="T166" s="5"/>
    </row>
    <row r="167" spans="1:20" x14ac:dyDescent="0.25">
      <c r="A167" s="23"/>
      <c r="B167" s="24"/>
      <c r="C167" s="25"/>
      <c r="D167" s="27"/>
      <c r="E167" s="27"/>
      <c r="F167" s="28"/>
      <c r="G167" s="27"/>
      <c r="H167" s="180"/>
      <c r="I167" s="27"/>
      <c r="J167" s="32"/>
      <c r="K167" s="32"/>
      <c r="L167" s="32"/>
      <c r="M167" s="32"/>
      <c r="N167" s="31"/>
      <c r="O167" s="32"/>
      <c r="P167" s="33"/>
      <c r="Q167" s="33"/>
      <c r="R167" s="32"/>
      <c r="S167" s="33"/>
      <c r="T167" s="5"/>
    </row>
    <row r="168" spans="1:20" x14ac:dyDescent="0.25">
      <c r="A168" s="23"/>
      <c r="B168" s="24"/>
      <c r="C168" s="25"/>
      <c r="D168" s="27"/>
      <c r="E168" s="27"/>
      <c r="F168" s="28"/>
      <c r="G168" s="27"/>
      <c r="H168" s="180"/>
      <c r="I168" s="27"/>
      <c r="J168" s="32"/>
      <c r="K168" s="32"/>
      <c r="L168" s="32"/>
      <c r="M168" s="32"/>
      <c r="N168" s="31"/>
      <c r="O168" s="32"/>
      <c r="P168" s="33"/>
      <c r="Q168" s="33"/>
      <c r="R168" s="32"/>
      <c r="S168" s="33"/>
      <c r="T168" s="5"/>
    </row>
    <row r="169" spans="1:20" x14ac:dyDescent="0.25">
      <c r="A169" s="23"/>
      <c r="B169" s="24"/>
      <c r="C169" s="25"/>
      <c r="D169" s="27"/>
      <c r="E169" s="27"/>
      <c r="F169" s="28"/>
      <c r="G169" s="27"/>
      <c r="H169" s="180"/>
      <c r="I169" s="27"/>
      <c r="J169" s="32"/>
      <c r="K169" s="32"/>
      <c r="L169" s="32"/>
      <c r="M169" s="32"/>
      <c r="N169" s="31"/>
      <c r="O169" s="32"/>
      <c r="P169" s="33"/>
      <c r="Q169" s="33"/>
      <c r="R169" s="32"/>
      <c r="S169" s="33"/>
      <c r="T169" s="5"/>
    </row>
    <row r="170" spans="1:20" x14ac:dyDescent="0.25">
      <c r="A170" s="23"/>
      <c r="B170" s="24"/>
      <c r="C170" s="25"/>
      <c r="D170" s="27"/>
      <c r="E170" s="27"/>
      <c r="F170" s="28"/>
      <c r="G170" s="27"/>
      <c r="H170" s="180"/>
      <c r="I170" s="27"/>
      <c r="J170" s="32"/>
      <c r="K170" s="32"/>
      <c r="L170" s="32"/>
      <c r="M170" s="32"/>
      <c r="N170" s="31"/>
      <c r="O170" s="32"/>
      <c r="P170" s="33"/>
      <c r="Q170" s="33"/>
      <c r="R170" s="32"/>
      <c r="S170" s="33"/>
      <c r="T170" s="5"/>
    </row>
    <row r="171" spans="1:20" x14ac:dyDescent="0.25">
      <c r="A171" s="23"/>
      <c r="B171" s="24"/>
      <c r="C171" s="25"/>
      <c r="D171" s="27"/>
      <c r="E171" s="27"/>
      <c r="F171" s="28"/>
      <c r="G171" s="27"/>
      <c r="H171" s="180"/>
      <c r="I171" s="27"/>
      <c r="J171" s="32"/>
      <c r="K171" s="32"/>
      <c r="L171" s="32"/>
      <c r="M171" s="32"/>
      <c r="N171" s="31"/>
      <c r="O171" s="32"/>
      <c r="P171" s="33"/>
      <c r="Q171" s="33"/>
      <c r="R171" s="32"/>
      <c r="S171" s="33"/>
      <c r="T171" s="5"/>
    </row>
    <row r="172" spans="1:20" x14ac:dyDescent="0.25">
      <c r="A172" s="23"/>
      <c r="B172" s="24"/>
      <c r="C172" s="25"/>
      <c r="D172" s="27"/>
      <c r="E172" s="27"/>
      <c r="F172" s="28"/>
      <c r="G172" s="27"/>
      <c r="H172" s="180"/>
      <c r="I172" s="27"/>
      <c r="J172" s="32"/>
      <c r="K172" s="32"/>
      <c r="L172" s="32"/>
      <c r="M172" s="32"/>
      <c r="N172" s="31"/>
      <c r="O172" s="32"/>
      <c r="P172" s="33"/>
      <c r="Q172" s="33"/>
      <c r="R172" s="32"/>
      <c r="S172" s="33"/>
      <c r="T172" s="5"/>
    </row>
    <row r="173" spans="1:20" x14ac:dyDescent="0.25">
      <c r="A173" s="23"/>
      <c r="B173" s="24"/>
      <c r="C173" s="25"/>
      <c r="D173" s="27"/>
      <c r="E173" s="27"/>
      <c r="F173" s="28"/>
      <c r="G173" s="27"/>
      <c r="H173" s="180"/>
      <c r="I173" s="27"/>
      <c r="J173" s="32"/>
      <c r="K173" s="32"/>
      <c r="L173" s="32"/>
      <c r="M173" s="32"/>
      <c r="N173" s="31"/>
      <c r="O173" s="32"/>
      <c r="P173" s="33"/>
      <c r="Q173" s="33"/>
      <c r="R173" s="32"/>
      <c r="S173" s="33"/>
      <c r="T173" s="5"/>
    </row>
    <row r="174" spans="1:20" x14ac:dyDescent="0.25">
      <c r="A174" s="23"/>
      <c r="B174" s="24"/>
      <c r="C174" s="25"/>
      <c r="D174" s="27"/>
      <c r="E174" s="27"/>
      <c r="F174" s="28"/>
      <c r="G174" s="27"/>
      <c r="H174" s="180"/>
      <c r="I174" s="27"/>
      <c r="J174" s="32"/>
      <c r="K174" s="32"/>
      <c r="L174" s="32"/>
      <c r="M174" s="32"/>
      <c r="N174" s="31"/>
      <c r="O174" s="32"/>
      <c r="P174" s="33"/>
      <c r="Q174" s="33"/>
      <c r="R174" s="32"/>
      <c r="S174" s="33"/>
      <c r="T174" s="5"/>
    </row>
    <row r="175" spans="1:20" x14ac:dyDescent="0.25">
      <c r="A175" s="23"/>
      <c r="B175" s="24"/>
      <c r="C175" s="25"/>
      <c r="D175" s="27"/>
      <c r="E175" s="27"/>
      <c r="F175" s="28"/>
      <c r="G175" s="27"/>
      <c r="H175" s="180"/>
      <c r="I175" s="27"/>
      <c r="J175" s="32"/>
      <c r="K175" s="32"/>
      <c r="L175" s="32"/>
      <c r="M175" s="32"/>
      <c r="N175" s="31"/>
      <c r="O175" s="32"/>
      <c r="P175" s="33"/>
      <c r="Q175" s="33"/>
      <c r="R175" s="32"/>
      <c r="S175" s="33"/>
      <c r="T175" s="5"/>
    </row>
    <row r="176" spans="1:20" x14ac:dyDescent="0.25">
      <c r="A176" s="23"/>
      <c r="B176" s="24"/>
      <c r="C176" s="25"/>
      <c r="D176" s="27"/>
      <c r="E176" s="27"/>
      <c r="F176" s="28"/>
      <c r="G176" s="27"/>
      <c r="H176" s="180"/>
      <c r="I176" s="27"/>
      <c r="J176" s="32"/>
      <c r="K176" s="32"/>
      <c r="L176" s="32"/>
      <c r="M176" s="32"/>
      <c r="N176" s="31"/>
      <c r="O176" s="32"/>
      <c r="P176" s="33"/>
      <c r="Q176" s="33"/>
      <c r="R176" s="32"/>
      <c r="S176" s="33"/>
      <c r="T176" s="5"/>
    </row>
    <row r="177" spans="1:20" x14ac:dyDescent="0.25">
      <c r="A177" s="23"/>
      <c r="B177" s="24"/>
      <c r="C177" s="25"/>
      <c r="D177" s="27"/>
      <c r="E177" s="27"/>
      <c r="F177" s="28"/>
      <c r="G177" s="27"/>
      <c r="H177" s="180"/>
      <c r="I177" s="27"/>
      <c r="J177" s="32"/>
      <c r="K177" s="32"/>
      <c r="L177" s="32"/>
      <c r="M177" s="32"/>
      <c r="N177" s="31"/>
      <c r="O177" s="32"/>
      <c r="P177" s="33"/>
      <c r="Q177" s="33"/>
      <c r="R177" s="32"/>
      <c r="S177" s="33"/>
      <c r="T177" s="5"/>
    </row>
    <row r="178" spans="1:20" x14ac:dyDescent="0.25">
      <c r="A178" s="23"/>
      <c r="B178" s="24"/>
      <c r="C178" s="25"/>
      <c r="D178" s="27"/>
      <c r="E178" s="27"/>
      <c r="F178" s="28"/>
      <c r="G178" s="27"/>
      <c r="H178" s="180"/>
      <c r="I178" s="27"/>
      <c r="J178" s="32"/>
      <c r="K178" s="32"/>
      <c r="L178" s="32"/>
      <c r="M178" s="32"/>
      <c r="N178" s="31"/>
      <c r="O178" s="32"/>
      <c r="P178" s="33"/>
      <c r="Q178" s="33"/>
      <c r="R178" s="32"/>
      <c r="S178" s="33"/>
      <c r="T178" s="5"/>
    </row>
    <row r="179" spans="1:20" x14ac:dyDescent="0.25">
      <c r="A179" s="23"/>
      <c r="B179" s="24"/>
      <c r="C179" s="25"/>
      <c r="D179" s="27"/>
      <c r="E179" s="27"/>
      <c r="F179" s="28"/>
      <c r="G179" s="27"/>
      <c r="H179" s="180"/>
      <c r="I179" s="27"/>
      <c r="J179" s="32"/>
      <c r="K179" s="32"/>
      <c r="L179" s="32"/>
      <c r="M179" s="32"/>
      <c r="N179" s="31"/>
      <c r="O179" s="32"/>
      <c r="P179" s="33"/>
      <c r="Q179" s="33"/>
      <c r="R179" s="32"/>
      <c r="S179" s="33"/>
      <c r="T179" s="5"/>
    </row>
    <row r="180" spans="1:20" x14ac:dyDescent="0.25">
      <c r="A180" s="23"/>
      <c r="B180" s="24"/>
      <c r="C180" s="25"/>
      <c r="D180" s="27"/>
      <c r="E180" s="27"/>
      <c r="F180" s="28"/>
      <c r="G180" s="27"/>
      <c r="H180" s="180"/>
      <c r="I180" s="27"/>
      <c r="J180" s="32"/>
      <c r="K180" s="32"/>
      <c r="L180" s="32"/>
      <c r="M180" s="32"/>
      <c r="N180" s="31"/>
      <c r="O180" s="32"/>
      <c r="P180" s="33"/>
      <c r="Q180" s="33"/>
      <c r="R180" s="32"/>
      <c r="S180" s="33"/>
      <c r="T180" s="5"/>
    </row>
    <row r="181" spans="1:20" x14ac:dyDescent="0.25">
      <c r="A181" s="23"/>
      <c r="B181" s="24"/>
      <c r="C181" s="25"/>
      <c r="D181" s="27"/>
      <c r="E181" s="27"/>
      <c r="F181" s="28"/>
      <c r="G181" s="27"/>
      <c r="H181" s="180"/>
      <c r="I181" s="27"/>
      <c r="J181" s="32"/>
      <c r="K181" s="32"/>
      <c r="L181" s="32"/>
      <c r="M181" s="32"/>
      <c r="N181" s="31"/>
      <c r="O181" s="32"/>
      <c r="P181" s="33"/>
      <c r="Q181" s="33"/>
      <c r="R181" s="32"/>
      <c r="S181" s="33"/>
      <c r="T181" s="5"/>
    </row>
    <row r="182" spans="1:20" x14ac:dyDescent="0.25">
      <c r="A182" s="23"/>
      <c r="B182" s="24"/>
      <c r="C182" s="25"/>
      <c r="D182" s="27"/>
      <c r="E182" s="27"/>
      <c r="F182" s="28"/>
      <c r="G182" s="27"/>
      <c r="H182" s="180"/>
      <c r="I182" s="27"/>
      <c r="J182" s="32"/>
      <c r="K182" s="32"/>
      <c r="L182" s="32"/>
      <c r="M182" s="32"/>
      <c r="N182" s="31"/>
      <c r="O182" s="32"/>
      <c r="P182" s="33"/>
      <c r="Q182" s="33"/>
      <c r="R182" s="32"/>
      <c r="S182" s="33"/>
      <c r="T182" s="5"/>
    </row>
    <row r="183" spans="1:20" x14ac:dyDescent="0.25">
      <c r="A183" s="23"/>
      <c r="B183" s="24"/>
      <c r="C183" s="25"/>
      <c r="D183" s="27"/>
      <c r="E183" s="27"/>
      <c r="F183" s="28"/>
      <c r="G183" s="27"/>
      <c r="H183" s="180"/>
      <c r="I183" s="27"/>
      <c r="J183" s="32"/>
      <c r="K183" s="32"/>
      <c r="L183" s="32"/>
      <c r="M183" s="32"/>
      <c r="N183" s="31"/>
      <c r="O183" s="32"/>
      <c r="P183" s="33"/>
      <c r="Q183" s="33"/>
      <c r="R183" s="32"/>
      <c r="S183" s="33"/>
      <c r="T183" s="5"/>
    </row>
    <row r="184" spans="1:20" x14ac:dyDescent="0.25">
      <c r="A184" s="23"/>
      <c r="B184" s="24"/>
      <c r="C184" s="25"/>
      <c r="D184" s="27"/>
      <c r="E184" s="27"/>
      <c r="F184" s="28"/>
      <c r="G184" s="27"/>
      <c r="H184" s="180"/>
      <c r="I184" s="27"/>
      <c r="J184" s="32"/>
      <c r="K184" s="32"/>
      <c r="L184" s="32"/>
      <c r="M184" s="32"/>
      <c r="N184" s="31"/>
      <c r="O184" s="32"/>
      <c r="P184" s="33"/>
      <c r="Q184" s="33"/>
      <c r="R184" s="32"/>
      <c r="S184" s="33"/>
      <c r="T184" s="5"/>
    </row>
    <row r="185" spans="1:20" x14ac:dyDescent="0.25">
      <c r="A185" s="23"/>
      <c r="B185" s="24"/>
      <c r="C185" s="25"/>
      <c r="D185" s="27"/>
      <c r="E185" s="27"/>
      <c r="F185" s="28"/>
      <c r="G185" s="27"/>
      <c r="H185" s="180"/>
      <c r="I185" s="27"/>
      <c r="J185" s="32"/>
      <c r="K185" s="32"/>
      <c r="L185" s="32"/>
      <c r="M185" s="32"/>
      <c r="N185" s="31"/>
      <c r="O185" s="32"/>
      <c r="P185" s="33"/>
      <c r="Q185" s="33"/>
      <c r="R185" s="32"/>
      <c r="S185" s="33"/>
      <c r="T185" s="5"/>
    </row>
    <row r="186" spans="1:20" x14ac:dyDescent="0.25">
      <c r="A186" s="23"/>
      <c r="B186" s="24"/>
      <c r="C186" s="25"/>
      <c r="D186" s="27"/>
      <c r="E186" s="27"/>
      <c r="F186" s="28"/>
      <c r="G186" s="27"/>
      <c r="H186" s="180"/>
      <c r="I186" s="27"/>
      <c r="J186" s="32"/>
      <c r="K186" s="32"/>
      <c r="L186" s="32"/>
      <c r="M186" s="32"/>
      <c r="N186" s="31"/>
      <c r="O186" s="32"/>
      <c r="P186" s="33"/>
      <c r="Q186" s="33"/>
      <c r="R186" s="32"/>
      <c r="S186" s="33"/>
      <c r="T186" s="5"/>
    </row>
    <row r="187" spans="1:20" x14ac:dyDescent="0.25">
      <c r="A187" s="23"/>
      <c r="B187" s="24"/>
      <c r="C187" s="25"/>
      <c r="D187" s="27"/>
      <c r="E187" s="27"/>
      <c r="F187" s="28"/>
      <c r="G187" s="27"/>
      <c r="H187" s="180"/>
      <c r="I187" s="27"/>
      <c r="J187" s="32"/>
      <c r="K187" s="32"/>
      <c r="L187" s="32"/>
      <c r="M187" s="32"/>
      <c r="N187" s="31"/>
      <c r="O187" s="32"/>
      <c r="P187" s="33"/>
      <c r="Q187" s="33"/>
      <c r="R187" s="32"/>
      <c r="S187" s="33"/>
      <c r="T187" s="5"/>
    </row>
    <row r="188" spans="1:20" x14ac:dyDescent="0.25">
      <c r="A188" s="23"/>
      <c r="B188" s="24"/>
      <c r="C188" s="25"/>
      <c r="D188" s="27"/>
      <c r="E188" s="27"/>
      <c r="F188" s="28"/>
      <c r="G188" s="27"/>
      <c r="H188" s="180"/>
      <c r="I188" s="27"/>
      <c r="J188" s="32"/>
      <c r="K188" s="32"/>
      <c r="L188" s="32"/>
      <c r="M188" s="32"/>
      <c r="N188" s="31"/>
      <c r="O188" s="32"/>
      <c r="P188" s="33"/>
      <c r="Q188" s="33"/>
      <c r="R188" s="32"/>
      <c r="S188" s="33"/>
      <c r="T188" s="5"/>
    </row>
    <row r="189" spans="1:20" x14ac:dyDescent="0.25">
      <c r="A189" s="23"/>
      <c r="B189" s="24"/>
      <c r="C189" s="25"/>
      <c r="D189" s="27"/>
      <c r="E189" s="27"/>
      <c r="F189" s="28"/>
      <c r="G189" s="27"/>
      <c r="H189" s="180"/>
      <c r="I189" s="27"/>
      <c r="J189" s="32"/>
      <c r="K189" s="32"/>
      <c r="L189" s="32"/>
      <c r="M189" s="32"/>
      <c r="N189" s="31"/>
      <c r="O189" s="32"/>
      <c r="P189" s="33"/>
      <c r="Q189" s="33"/>
      <c r="R189" s="32"/>
      <c r="S189" s="33"/>
      <c r="T189" s="5"/>
    </row>
    <row r="190" spans="1:20" x14ac:dyDescent="0.25">
      <c r="A190" s="23"/>
      <c r="B190" s="24"/>
      <c r="C190" s="25"/>
      <c r="D190" s="27"/>
      <c r="E190" s="27"/>
      <c r="F190" s="28"/>
      <c r="G190" s="27"/>
      <c r="H190" s="180"/>
      <c r="I190" s="27"/>
      <c r="J190" s="32"/>
      <c r="K190" s="32"/>
      <c r="L190" s="32"/>
      <c r="M190" s="32"/>
      <c r="N190" s="31"/>
      <c r="O190" s="32"/>
      <c r="P190" s="33"/>
      <c r="Q190" s="33"/>
      <c r="R190" s="32"/>
      <c r="S190" s="33"/>
      <c r="T190" s="5"/>
    </row>
    <row r="191" spans="1:20" x14ac:dyDescent="0.25">
      <c r="A191" s="23"/>
      <c r="B191" s="24"/>
      <c r="C191" s="25"/>
      <c r="D191" s="27"/>
      <c r="E191" s="27"/>
      <c r="F191" s="28"/>
      <c r="G191" s="27"/>
      <c r="H191" s="180"/>
      <c r="I191" s="27"/>
      <c r="J191" s="32"/>
      <c r="K191" s="32"/>
      <c r="L191" s="32"/>
      <c r="M191" s="32"/>
      <c r="N191" s="31"/>
      <c r="O191" s="32"/>
      <c r="P191" s="33"/>
      <c r="Q191" s="33"/>
      <c r="R191" s="32"/>
      <c r="S191" s="33"/>
      <c r="T191" s="5"/>
    </row>
    <row r="192" spans="1:20" x14ac:dyDescent="0.25">
      <c r="A192" s="23"/>
      <c r="B192" s="24"/>
      <c r="C192" s="25"/>
      <c r="D192" s="27"/>
      <c r="E192" s="27"/>
      <c r="F192" s="28"/>
      <c r="G192" s="27"/>
      <c r="H192" s="180"/>
      <c r="I192" s="27"/>
      <c r="J192" s="32"/>
      <c r="K192" s="32"/>
      <c r="L192" s="32"/>
      <c r="M192" s="32"/>
      <c r="N192" s="31"/>
      <c r="O192" s="32"/>
      <c r="P192" s="33"/>
      <c r="Q192" s="33"/>
      <c r="R192" s="32"/>
      <c r="S192" s="33"/>
      <c r="T192" s="5"/>
    </row>
    <row r="193" spans="1:20" x14ac:dyDescent="0.25">
      <c r="A193" s="23"/>
      <c r="B193" s="24"/>
      <c r="C193" s="25"/>
      <c r="D193" s="27"/>
      <c r="E193" s="27"/>
      <c r="F193" s="28"/>
      <c r="G193" s="27"/>
      <c r="H193" s="180"/>
      <c r="I193" s="27"/>
      <c r="J193" s="32"/>
      <c r="K193" s="32"/>
      <c r="L193" s="32"/>
      <c r="M193" s="32"/>
      <c r="N193" s="31"/>
      <c r="O193" s="32"/>
      <c r="P193" s="33"/>
      <c r="Q193" s="33"/>
      <c r="R193" s="32"/>
      <c r="S193" s="33"/>
      <c r="T193" s="5"/>
    </row>
    <row r="194" spans="1:20" x14ac:dyDescent="0.25">
      <c r="A194" s="23"/>
      <c r="B194" s="24"/>
      <c r="C194" s="25"/>
      <c r="D194" s="27"/>
      <c r="E194" s="27"/>
      <c r="F194" s="28"/>
      <c r="G194" s="27"/>
      <c r="H194" s="180"/>
      <c r="I194" s="27"/>
      <c r="J194" s="32"/>
      <c r="K194" s="32"/>
      <c r="L194" s="32"/>
      <c r="M194" s="32"/>
      <c r="N194" s="31"/>
      <c r="O194" s="32"/>
      <c r="P194" s="33"/>
      <c r="Q194" s="33"/>
      <c r="R194" s="32"/>
      <c r="S194" s="33"/>
      <c r="T194" s="5"/>
    </row>
    <row r="195" spans="1:20" x14ac:dyDescent="0.25">
      <c r="A195" s="23"/>
      <c r="B195" s="24"/>
      <c r="C195" s="25"/>
      <c r="D195" s="27"/>
      <c r="E195" s="27"/>
      <c r="F195" s="28"/>
      <c r="G195" s="27"/>
      <c r="H195" s="180"/>
      <c r="I195" s="27"/>
      <c r="J195" s="32"/>
      <c r="K195" s="32"/>
      <c r="L195" s="32"/>
      <c r="M195" s="32"/>
      <c r="N195" s="31"/>
      <c r="O195" s="32"/>
      <c r="P195" s="33"/>
      <c r="Q195" s="33"/>
      <c r="R195" s="32"/>
      <c r="S195" s="33"/>
      <c r="T195" s="5"/>
    </row>
    <row r="196" spans="1:20" x14ac:dyDescent="0.25">
      <c r="A196" s="23"/>
      <c r="B196" s="24"/>
      <c r="C196" s="25"/>
      <c r="D196" s="27"/>
      <c r="E196" s="27"/>
      <c r="F196" s="28"/>
      <c r="G196" s="27"/>
      <c r="H196" s="180"/>
      <c r="I196" s="27"/>
      <c r="J196" s="32"/>
      <c r="K196" s="32"/>
      <c r="L196" s="32"/>
      <c r="M196" s="32"/>
      <c r="N196" s="31"/>
      <c r="O196" s="32"/>
      <c r="P196" s="33"/>
      <c r="Q196" s="33"/>
      <c r="R196" s="32"/>
      <c r="S196" s="33"/>
      <c r="T196" s="5"/>
    </row>
    <row r="197" spans="1:20" x14ac:dyDescent="0.25">
      <c r="A197" s="23"/>
      <c r="B197" s="24"/>
      <c r="C197" s="25"/>
      <c r="D197" s="27"/>
      <c r="E197" s="27"/>
      <c r="F197" s="28"/>
      <c r="G197" s="27"/>
      <c r="H197" s="180"/>
      <c r="I197" s="27"/>
      <c r="J197" s="32"/>
      <c r="K197" s="32"/>
      <c r="L197" s="32"/>
      <c r="M197" s="32"/>
      <c r="N197" s="31"/>
      <c r="O197" s="32"/>
      <c r="P197" s="33"/>
      <c r="Q197" s="33"/>
      <c r="R197" s="32"/>
      <c r="S197" s="33"/>
      <c r="T197" s="5"/>
    </row>
    <row r="198" spans="1:20" x14ac:dyDescent="0.25">
      <c r="A198" s="23"/>
      <c r="B198" s="24"/>
      <c r="C198" s="25"/>
      <c r="D198" s="27"/>
      <c r="E198" s="27"/>
      <c r="F198" s="28"/>
      <c r="G198" s="27"/>
      <c r="H198" s="180"/>
      <c r="I198" s="27"/>
      <c r="J198" s="32"/>
      <c r="K198" s="32"/>
      <c r="L198" s="32"/>
      <c r="M198" s="32"/>
      <c r="N198" s="31"/>
      <c r="O198" s="32"/>
      <c r="P198" s="33"/>
      <c r="Q198" s="33"/>
      <c r="R198" s="32"/>
      <c r="S198" s="33"/>
      <c r="T198" s="5"/>
    </row>
    <row r="199" spans="1:20" x14ac:dyDescent="0.25">
      <c r="A199" s="23"/>
      <c r="B199" s="24"/>
      <c r="C199" s="25"/>
      <c r="D199" s="27"/>
      <c r="E199" s="27"/>
      <c r="F199" s="28"/>
      <c r="G199" s="27"/>
      <c r="H199" s="180"/>
      <c r="I199" s="27"/>
      <c r="J199" s="32"/>
      <c r="K199" s="32"/>
      <c r="L199" s="32"/>
      <c r="M199" s="32"/>
      <c r="N199" s="31"/>
      <c r="O199" s="32"/>
      <c r="P199" s="33"/>
      <c r="Q199" s="33"/>
      <c r="R199" s="32"/>
      <c r="S199" s="33"/>
      <c r="T199" s="5"/>
    </row>
    <row r="200" spans="1:20" x14ac:dyDescent="0.25">
      <c r="A200" s="23"/>
      <c r="B200" s="24"/>
      <c r="C200" s="25"/>
      <c r="D200" s="27"/>
      <c r="E200" s="27"/>
      <c r="F200" s="28"/>
      <c r="G200" s="27"/>
      <c r="H200" s="180"/>
      <c r="I200" s="27"/>
      <c r="J200" s="32"/>
      <c r="K200" s="32"/>
      <c r="L200" s="32"/>
      <c r="M200" s="32"/>
      <c r="N200" s="31"/>
      <c r="O200" s="32"/>
      <c r="P200" s="33"/>
      <c r="Q200" s="33"/>
      <c r="R200" s="32"/>
      <c r="S200" s="33"/>
      <c r="T200" s="5"/>
    </row>
    <row r="201" spans="1:20" x14ac:dyDescent="0.25">
      <c r="A201" s="23"/>
      <c r="B201" s="24"/>
      <c r="C201" s="25"/>
      <c r="D201" s="27"/>
      <c r="E201" s="27"/>
      <c r="F201" s="28"/>
      <c r="G201" s="27"/>
      <c r="H201" s="180"/>
      <c r="I201" s="27"/>
      <c r="J201" s="32"/>
      <c r="K201" s="32"/>
      <c r="L201" s="32"/>
      <c r="M201" s="32"/>
      <c r="N201" s="31"/>
      <c r="O201" s="32"/>
      <c r="P201" s="33"/>
      <c r="Q201" s="33"/>
      <c r="R201" s="32"/>
      <c r="S201" s="33"/>
      <c r="T201" s="5"/>
    </row>
    <row r="202" spans="1:20" x14ac:dyDescent="0.25">
      <c r="A202" s="23"/>
      <c r="B202" s="24"/>
      <c r="C202" s="25"/>
      <c r="D202" s="27"/>
      <c r="E202" s="27"/>
      <c r="F202" s="28"/>
      <c r="G202" s="27"/>
      <c r="H202" s="180"/>
      <c r="I202" s="27"/>
      <c r="J202" s="32"/>
      <c r="K202" s="32"/>
      <c r="L202" s="32"/>
      <c r="M202" s="32"/>
      <c r="N202" s="31"/>
      <c r="O202" s="32"/>
      <c r="P202" s="33"/>
      <c r="Q202" s="33"/>
      <c r="R202" s="32"/>
      <c r="S202" s="33"/>
      <c r="T202" s="5"/>
    </row>
    <row r="203" spans="1:20" x14ac:dyDescent="0.25">
      <c r="A203" s="23"/>
      <c r="B203" s="24"/>
      <c r="C203" s="25"/>
      <c r="D203" s="27"/>
      <c r="E203" s="27"/>
      <c r="F203" s="28"/>
      <c r="G203" s="27"/>
      <c r="H203" s="180"/>
      <c r="I203" s="27"/>
      <c r="J203" s="32"/>
      <c r="K203" s="32"/>
      <c r="L203" s="32"/>
      <c r="M203" s="32"/>
      <c r="N203" s="31"/>
      <c r="O203" s="32"/>
      <c r="P203" s="33"/>
      <c r="Q203" s="33"/>
      <c r="R203" s="32"/>
      <c r="S203" s="33"/>
      <c r="T203" s="5"/>
    </row>
    <row r="204" spans="1:20" x14ac:dyDescent="0.25">
      <c r="A204" s="23"/>
      <c r="B204" s="24"/>
      <c r="C204" s="25"/>
      <c r="D204" s="27"/>
      <c r="E204" s="27"/>
      <c r="F204" s="28"/>
      <c r="G204" s="27"/>
      <c r="H204" s="180"/>
      <c r="I204" s="27"/>
      <c r="J204" s="32"/>
      <c r="K204" s="32"/>
      <c r="L204" s="32"/>
      <c r="M204" s="32"/>
      <c r="N204" s="31"/>
      <c r="O204" s="32"/>
      <c r="P204" s="33"/>
      <c r="Q204" s="33"/>
      <c r="R204" s="32"/>
      <c r="S204" s="33"/>
      <c r="T204" s="5"/>
    </row>
    <row r="205" spans="1:20" x14ac:dyDescent="0.25">
      <c r="A205" s="23"/>
      <c r="B205" s="24"/>
      <c r="C205" s="25"/>
      <c r="D205" s="27"/>
      <c r="E205" s="27"/>
      <c r="F205" s="28"/>
      <c r="G205" s="27"/>
      <c r="H205" s="180"/>
      <c r="I205" s="27"/>
      <c r="J205" s="32"/>
      <c r="K205" s="32"/>
      <c r="L205" s="32"/>
      <c r="M205" s="32"/>
      <c r="N205" s="31"/>
      <c r="O205" s="32"/>
      <c r="P205" s="33"/>
      <c r="Q205" s="33"/>
      <c r="R205" s="32"/>
      <c r="S205" s="33"/>
      <c r="T205" s="5"/>
    </row>
    <row r="206" spans="1:20" x14ac:dyDescent="0.25">
      <c r="A206" s="23"/>
      <c r="B206" s="24"/>
      <c r="C206" s="25"/>
      <c r="D206" s="27"/>
      <c r="E206" s="27"/>
      <c r="F206" s="28"/>
      <c r="G206" s="27"/>
      <c r="H206" s="180"/>
      <c r="I206" s="27"/>
      <c r="J206" s="32"/>
      <c r="K206" s="32"/>
      <c r="L206" s="32"/>
      <c r="M206" s="32"/>
      <c r="N206" s="31"/>
      <c r="O206" s="32"/>
      <c r="P206" s="33"/>
      <c r="Q206" s="33"/>
      <c r="R206" s="32"/>
      <c r="S206" s="33"/>
      <c r="T206" s="5"/>
    </row>
    <row r="207" spans="1:20" x14ac:dyDescent="0.25">
      <c r="A207" s="23"/>
      <c r="B207" s="24"/>
      <c r="C207" s="25"/>
      <c r="D207" s="27"/>
      <c r="E207" s="27"/>
      <c r="F207" s="28"/>
      <c r="G207" s="27"/>
      <c r="H207" s="180"/>
      <c r="I207" s="27"/>
      <c r="J207" s="32"/>
      <c r="K207" s="32"/>
      <c r="L207" s="32"/>
      <c r="M207" s="32"/>
      <c r="N207" s="31"/>
      <c r="O207" s="32"/>
      <c r="P207" s="33"/>
      <c r="Q207" s="33"/>
      <c r="R207" s="32"/>
      <c r="S207" s="33"/>
      <c r="T207" s="5"/>
    </row>
    <row r="208" spans="1:20" x14ac:dyDescent="0.25">
      <c r="A208" s="23"/>
      <c r="B208" s="24"/>
      <c r="C208" s="25"/>
      <c r="D208" s="27"/>
      <c r="E208" s="27"/>
      <c r="F208" s="28"/>
      <c r="G208" s="27"/>
      <c r="H208" s="180"/>
      <c r="I208" s="27"/>
      <c r="J208" s="32"/>
      <c r="K208" s="32"/>
      <c r="L208" s="32"/>
      <c r="M208" s="32"/>
      <c r="N208" s="31"/>
      <c r="O208" s="32"/>
      <c r="P208" s="33"/>
      <c r="Q208" s="33"/>
      <c r="R208" s="32"/>
      <c r="S208" s="33"/>
      <c r="T208" s="5"/>
    </row>
    <row r="209" spans="1:20" x14ac:dyDescent="0.25">
      <c r="A209" s="23"/>
      <c r="B209" s="24"/>
      <c r="C209" s="25"/>
      <c r="D209" s="27"/>
      <c r="E209" s="27"/>
      <c r="F209" s="28"/>
      <c r="G209" s="27"/>
      <c r="H209" s="180"/>
      <c r="I209" s="27"/>
      <c r="J209" s="32"/>
      <c r="K209" s="32"/>
      <c r="L209" s="32"/>
      <c r="M209" s="32"/>
      <c r="N209" s="31"/>
      <c r="O209" s="32"/>
      <c r="P209" s="33"/>
      <c r="Q209" s="33"/>
      <c r="R209" s="32"/>
      <c r="S209" s="33"/>
      <c r="T209" s="5"/>
    </row>
    <row r="210" spans="1:20" x14ac:dyDescent="0.25">
      <c r="A210" s="23"/>
      <c r="B210" s="24"/>
      <c r="C210" s="25"/>
      <c r="D210" s="27"/>
      <c r="E210" s="27"/>
      <c r="F210" s="28"/>
      <c r="G210" s="27"/>
      <c r="H210" s="180"/>
      <c r="I210" s="27"/>
      <c r="J210" s="32"/>
      <c r="K210" s="32"/>
      <c r="L210" s="32"/>
      <c r="M210" s="32"/>
      <c r="N210" s="31"/>
      <c r="O210" s="32"/>
      <c r="P210" s="33"/>
      <c r="Q210" s="33"/>
      <c r="R210" s="32"/>
      <c r="S210" s="33"/>
      <c r="T210" s="5"/>
    </row>
    <row r="211" spans="1:20" x14ac:dyDescent="0.25">
      <c r="A211" s="23"/>
      <c r="B211" s="24"/>
      <c r="C211" s="25"/>
      <c r="D211" s="27"/>
      <c r="E211" s="27"/>
      <c r="F211" s="28"/>
      <c r="G211" s="27"/>
      <c r="H211" s="180"/>
      <c r="I211" s="27"/>
      <c r="J211" s="32"/>
      <c r="K211" s="32"/>
      <c r="L211" s="32"/>
      <c r="M211" s="32"/>
      <c r="N211" s="31"/>
      <c r="O211" s="32"/>
      <c r="P211" s="33"/>
      <c r="Q211" s="33"/>
      <c r="R211" s="32"/>
      <c r="S211" s="33"/>
      <c r="T211" s="5"/>
    </row>
    <row r="212" spans="1:20" x14ac:dyDescent="0.25">
      <c r="A212" s="23"/>
      <c r="B212" s="24"/>
      <c r="C212" s="25"/>
      <c r="D212" s="27"/>
      <c r="E212" s="27"/>
      <c r="F212" s="28"/>
      <c r="G212" s="27"/>
      <c r="H212" s="180"/>
      <c r="I212" s="27"/>
      <c r="J212" s="32"/>
      <c r="K212" s="32"/>
      <c r="L212" s="32"/>
      <c r="M212" s="32"/>
      <c r="N212" s="31"/>
      <c r="O212" s="32"/>
      <c r="P212" s="33"/>
      <c r="Q212" s="33"/>
      <c r="R212" s="32"/>
      <c r="S212" s="33"/>
      <c r="T212" s="5"/>
    </row>
    <row r="213" spans="1:20" x14ac:dyDescent="0.25">
      <c r="A213" s="23"/>
      <c r="B213" s="24"/>
      <c r="C213" s="25"/>
      <c r="D213" s="27"/>
      <c r="E213" s="27"/>
      <c r="F213" s="28"/>
      <c r="G213" s="27"/>
      <c r="H213" s="180"/>
      <c r="I213" s="27"/>
      <c r="J213" s="32"/>
      <c r="K213" s="32"/>
      <c r="L213" s="32"/>
      <c r="M213" s="32"/>
      <c r="N213" s="31"/>
      <c r="O213" s="32"/>
      <c r="P213" s="33"/>
      <c r="Q213" s="33"/>
      <c r="R213" s="32"/>
      <c r="S213" s="33"/>
      <c r="T213" s="5"/>
    </row>
    <row r="214" spans="1:20" x14ac:dyDescent="0.25">
      <c r="A214" s="23"/>
      <c r="B214" s="24"/>
      <c r="C214" s="25"/>
      <c r="D214" s="27"/>
      <c r="E214" s="27"/>
      <c r="F214" s="28"/>
      <c r="G214" s="27"/>
      <c r="H214" s="180"/>
      <c r="I214" s="27"/>
      <c r="J214" s="32"/>
      <c r="K214" s="32"/>
      <c r="L214" s="32"/>
      <c r="M214" s="32"/>
      <c r="N214" s="31"/>
      <c r="O214" s="32"/>
      <c r="P214" s="33"/>
      <c r="Q214" s="33"/>
      <c r="R214" s="32"/>
      <c r="S214" s="33"/>
      <c r="T214" s="5"/>
    </row>
    <row r="215" spans="1:20" x14ac:dyDescent="0.25">
      <c r="A215" s="23"/>
      <c r="B215" s="24"/>
      <c r="C215" s="25"/>
      <c r="D215" s="27"/>
      <c r="E215" s="27"/>
      <c r="F215" s="28"/>
      <c r="G215" s="27"/>
      <c r="H215" s="180"/>
      <c r="I215" s="27"/>
      <c r="J215" s="32"/>
      <c r="K215" s="32"/>
      <c r="L215" s="32"/>
      <c r="M215" s="32"/>
      <c r="N215" s="31"/>
      <c r="O215" s="32"/>
      <c r="P215" s="33"/>
      <c r="Q215" s="33"/>
      <c r="R215" s="32"/>
      <c r="S215" s="33"/>
      <c r="T215" s="5"/>
    </row>
    <row r="216" spans="1:20" x14ac:dyDescent="0.25">
      <c r="A216" s="23"/>
      <c r="B216" s="24"/>
      <c r="C216" s="25"/>
      <c r="D216" s="27"/>
      <c r="E216" s="27"/>
      <c r="F216" s="28"/>
      <c r="G216" s="27"/>
      <c r="H216" s="180"/>
      <c r="I216" s="27"/>
      <c r="J216" s="32"/>
      <c r="K216" s="32"/>
      <c r="L216" s="32"/>
      <c r="M216" s="32"/>
      <c r="N216" s="31"/>
      <c r="O216" s="32"/>
      <c r="P216" s="33"/>
      <c r="Q216" s="33"/>
      <c r="R216" s="32"/>
      <c r="S216" s="33"/>
      <c r="T216" s="5"/>
    </row>
    <row r="217" spans="1:20" x14ac:dyDescent="0.25">
      <c r="A217" s="23"/>
      <c r="B217" s="24"/>
      <c r="C217" s="25"/>
      <c r="D217" s="27"/>
      <c r="E217" s="27"/>
      <c r="F217" s="28"/>
      <c r="G217" s="27"/>
      <c r="H217" s="180"/>
      <c r="I217" s="27"/>
      <c r="J217" s="32"/>
      <c r="K217" s="32"/>
      <c r="L217" s="32"/>
      <c r="M217" s="32"/>
      <c r="N217" s="31"/>
      <c r="O217" s="32"/>
      <c r="P217" s="33"/>
      <c r="Q217" s="33"/>
      <c r="R217" s="32"/>
      <c r="S217" s="33"/>
      <c r="T217" s="5"/>
    </row>
    <row r="218" spans="1:20" x14ac:dyDescent="0.25">
      <c r="A218" s="23"/>
      <c r="B218" s="24"/>
      <c r="C218" s="25"/>
      <c r="D218" s="27"/>
      <c r="E218" s="27"/>
      <c r="F218" s="28"/>
      <c r="G218" s="27"/>
      <c r="H218" s="180"/>
      <c r="I218" s="27"/>
      <c r="J218" s="32"/>
      <c r="K218" s="32"/>
      <c r="L218" s="32"/>
      <c r="M218" s="32"/>
      <c r="N218" s="31"/>
      <c r="O218" s="32"/>
      <c r="P218" s="33"/>
      <c r="Q218" s="33"/>
      <c r="R218" s="32"/>
      <c r="S218" s="33"/>
      <c r="T218" s="5"/>
    </row>
    <row r="219" spans="1:20" x14ac:dyDescent="0.25">
      <c r="A219" s="23"/>
      <c r="B219" s="24"/>
      <c r="C219" s="25"/>
      <c r="D219" s="27"/>
      <c r="E219" s="27"/>
      <c r="F219" s="28"/>
      <c r="G219" s="27"/>
      <c r="H219" s="180"/>
      <c r="I219" s="27"/>
      <c r="J219" s="32"/>
      <c r="K219" s="32"/>
      <c r="L219" s="32"/>
      <c r="M219" s="32"/>
      <c r="N219" s="31"/>
      <c r="O219" s="32"/>
      <c r="P219" s="33"/>
      <c r="Q219" s="33"/>
      <c r="R219" s="32"/>
      <c r="S219" s="33"/>
      <c r="T219" s="5"/>
    </row>
    <row r="220" spans="1:20" x14ac:dyDescent="0.25">
      <c r="A220" s="23"/>
      <c r="B220" s="24"/>
      <c r="C220" s="25"/>
      <c r="D220" s="27"/>
      <c r="E220" s="27"/>
      <c r="F220" s="28"/>
      <c r="G220" s="27"/>
      <c r="H220" s="180"/>
      <c r="I220" s="27"/>
      <c r="J220" s="32"/>
      <c r="K220" s="32"/>
      <c r="L220" s="32"/>
      <c r="M220" s="32"/>
      <c r="N220" s="31"/>
      <c r="O220" s="32"/>
      <c r="P220" s="33"/>
      <c r="Q220" s="33"/>
      <c r="R220" s="32"/>
      <c r="S220" s="33"/>
      <c r="T220" s="5"/>
    </row>
    <row r="221" spans="1:20" x14ac:dyDescent="0.25">
      <c r="A221" s="23"/>
      <c r="B221" s="24"/>
      <c r="C221" s="25"/>
      <c r="D221" s="27"/>
      <c r="E221" s="27"/>
      <c r="F221" s="28"/>
      <c r="G221" s="27"/>
      <c r="H221" s="180"/>
      <c r="I221" s="27"/>
      <c r="J221" s="32"/>
      <c r="K221" s="32"/>
      <c r="L221" s="32"/>
      <c r="M221" s="32"/>
      <c r="N221" s="31"/>
      <c r="O221" s="32"/>
      <c r="P221" s="33"/>
      <c r="Q221" s="33"/>
      <c r="R221" s="32"/>
      <c r="S221" s="33"/>
      <c r="T221" s="5"/>
    </row>
    <row r="222" spans="1:20" x14ac:dyDescent="0.25">
      <c r="A222" s="23"/>
      <c r="B222" s="24"/>
      <c r="C222" s="25"/>
      <c r="D222" s="27"/>
      <c r="E222" s="27"/>
      <c r="F222" s="28"/>
      <c r="G222" s="27"/>
      <c r="H222" s="180"/>
      <c r="I222" s="27"/>
      <c r="J222" s="32"/>
      <c r="K222" s="32"/>
      <c r="L222" s="32"/>
      <c r="M222" s="32"/>
      <c r="N222" s="31"/>
      <c r="O222" s="32"/>
      <c r="P222" s="33"/>
      <c r="Q222" s="33"/>
      <c r="R222" s="32"/>
      <c r="S222" s="33"/>
      <c r="T222" s="5"/>
    </row>
    <row r="223" spans="1:20" x14ac:dyDescent="0.25">
      <c r="A223" s="23"/>
      <c r="B223" s="24"/>
      <c r="C223" s="25"/>
      <c r="D223" s="27"/>
      <c r="E223" s="27"/>
      <c r="F223" s="28"/>
      <c r="G223" s="27"/>
      <c r="H223" s="180"/>
      <c r="I223" s="27"/>
      <c r="J223" s="32"/>
      <c r="K223" s="32"/>
      <c r="L223" s="32"/>
      <c r="M223" s="32"/>
      <c r="N223" s="31"/>
      <c r="O223" s="32"/>
      <c r="P223" s="33"/>
      <c r="Q223" s="33"/>
      <c r="R223" s="32"/>
      <c r="S223" s="33"/>
      <c r="T223" s="5"/>
    </row>
    <row r="224" spans="1:20" x14ac:dyDescent="0.25">
      <c r="A224" s="23"/>
      <c r="B224" s="24"/>
      <c r="C224" s="25"/>
      <c r="D224" s="27"/>
      <c r="E224" s="27"/>
      <c r="F224" s="28"/>
      <c r="G224" s="27"/>
      <c r="H224" s="180"/>
      <c r="I224" s="27"/>
      <c r="J224" s="32"/>
      <c r="K224" s="32"/>
      <c r="L224" s="32"/>
      <c r="M224" s="32"/>
      <c r="N224" s="31"/>
      <c r="O224" s="32"/>
      <c r="P224" s="33"/>
      <c r="Q224" s="33"/>
      <c r="R224" s="32"/>
      <c r="S224" s="33"/>
      <c r="T224" s="5"/>
    </row>
    <row r="225" spans="1:20" x14ac:dyDescent="0.25">
      <c r="A225" s="23"/>
      <c r="B225" s="24"/>
      <c r="C225" s="25"/>
      <c r="D225" s="27"/>
      <c r="E225" s="27"/>
      <c r="F225" s="28"/>
      <c r="G225" s="27"/>
      <c r="H225" s="180"/>
      <c r="I225" s="27"/>
      <c r="J225" s="32"/>
      <c r="K225" s="32"/>
      <c r="L225" s="32"/>
      <c r="M225" s="32"/>
      <c r="N225" s="31"/>
      <c r="O225" s="32"/>
      <c r="P225" s="33"/>
      <c r="Q225" s="33"/>
      <c r="R225" s="32"/>
      <c r="S225" s="33"/>
      <c r="T225" s="5"/>
    </row>
    <row r="226" spans="1:20" x14ac:dyDescent="0.25">
      <c r="A226" s="23"/>
      <c r="B226" s="24"/>
      <c r="C226" s="25"/>
      <c r="D226" s="27"/>
      <c r="E226" s="27"/>
      <c r="F226" s="28"/>
      <c r="G226" s="27"/>
      <c r="H226" s="180"/>
      <c r="I226" s="27"/>
      <c r="J226" s="32"/>
      <c r="K226" s="32"/>
      <c r="L226" s="32"/>
      <c r="M226" s="32"/>
      <c r="N226" s="31"/>
      <c r="O226" s="32"/>
      <c r="P226" s="33"/>
      <c r="Q226" s="33"/>
      <c r="R226" s="32"/>
      <c r="S226" s="33"/>
      <c r="T226" s="5"/>
    </row>
    <row r="227" spans="1:20" x14ac:dyDescent="0.25">
      <c r="A227" s="23"/>
      <c r="B227" s="24"/>
      <c r="C227" s="25"/>
      <c r="D227" s="27"/>
      <c r="E227" s="27"/>
      <c r="F227" s="28"/>
      <c r="G227" s="27"/>
      <c r="H227" s="180"/>
      <c r="I227" s="27"/>
      <c r="J227" s="32"/>
      <c r="K227" s="32"/>
      <c r="L227" s="32"/>
      <c r="M227" s="32"/>
      <c r="N227" s="31"/>
      <c r="O227" s="32"/>
      <c r="P227" s="33"/>
      <c r="Q227" s="33"/>
      <c r="R227" s="32"/>
      <c r="S227" s="33"/>
      <c r="T227" s="5"/>
    </row>
    <row r="228" spans="1:20" x14ac:dyDescent="0.25">
      <c r="A228" s="23"/>
      <c r="B228" s="24"/>
      <c r="C228" s="25"/>
      <c r="D228" s="27"/>
      <c r="E228" s="27"/>
      <c r="F228" s="28"/>
      <c r="G228" s="27"/>
      <c r="H228" s="180"/>
      <c r="I228" s="27"/>
      <c r="J228" s="32"/>
      <c r="K228" s="32"/>
      <c r="L228" s="32"/>
      <c r="M228" s="32"/>
      <c r="N228" s="31"/>
      <c r="O228" s="32"/>
      <c r="P228" s="33"/>
      <c r="Q228" s="33"/>
      <c r="R228" s="32"/>
      <c r="S228" s="33"/>
      <c r="T228" s="5"/>
    </row>
    <row r="229" spans="1:20" x14ac:dyDescent="0.25">
      <c r="A229" s="23"/>
      <c r="B229" s="24"/>
      <c r="C229" s="25"/>
      <c r="D229" s="27"/>
      <c r="E229" s="27"/>
      <c r="F229" s="28"/>
      <c r="G229" s="27"/>
      <c r="H229" s="180"/>
      <c r="I229" s="27"/>
      <c r="J229" s="32"/>
      <c r="K229" s="32"/>
      <c r="L229" s="32"/>
      <c r="M229" s="32"/>
      <c r="N229" s="31"/>
      <c r="O229" s="32"/>
      <c r="P229" s="33"/>
      <c r="Q229" s="33"/>
      <c r="R229" s="32"/>
      <c r="S229" s="33"/>
      <c r="T229" s="5"/>
    </row>
    <row r="230" spans="1:20" x14ac:dyDescent="0.25">
      <c r="A230" s="23"/>
      <c r="B230" s="24"/>
      <c r="C230" s="25"/>
      <c r="D230" s="27"/>
      <c r="E230" s="27"/>
      <c r="F230" s="28"/>
      <c r="G230" s="27"/>
      <c r="H230" s="180"/>
      <c r="I230" s="27"/>
      <c r="J230" s="32"/>
      <c r="K230" s="32"/>
      <c r="L230" s="32"/>
      <c r="M230" s="32"/>
      <c r="N230" s="31"/>
      <c r="O230" s="32"/>
      <c r="P230" s="33"/>
      <c r="Q230" s="33"/>
      <c r="R230" s="32"/>
      <c r="S230" s="33"/>
      <c r="T230" s="5"/>
    </row>
    <row r="231" spans="1:20" x14ac:dyDescent="0.25">
      <c r="A231" s="23"/>
      <c r="B231" s="24"/>
      <c r="C231" s="25"/>
      <c r="D231" s="27"/>
      <c r="E231" s="27"/>
      <c r="F231" s="28"/>
      <c r="G231" s="27"/>
      <c r="H231" s="180"/>
      <c r="I231" s="27"/>
      <c r="J231" s="32"/>
      <c r="K231" s="32"/>
      <c r="L231" s="32"/>
      <c r="M231" s="32"/>
      <c r="N231" s="31"/>
      <c r="O231" s="32"/>
      <c r="P231" s="33"/>
      <c r="Q231" s="33"/>
      <c r="R231" s="32"/>
      <c r="S231" s="33"/>
      <c r="T231" s="5"/>
    </row>
    <row r="232" spans="1:20" x14ac:dyDescent="0.25">
      <c r="A232" s="23"/>
      <c r="B232" s="24"/>
      <c r="C232" s="25"/>
      <c r="D232" s="27"/>
      <c r="E232" s="27"/>
      <c r="F232" s="28"/>
      <c r="G232" s="27"/>
      <c r="H232" s="180"/>
      <c r="I232" s="27"/>
      <c r="J232" s="32"/>
      <c r="K232" s="32"/>
      <c r="L232" s="32"/>
      <c r="M232" s="32"/>
      <c r="N232" s="31"/>
      <c r="O232" s="32"/>
      <c r="P232" s="33"/>
      <c r="Q232" s="33"/>
      <c r="R232" s="32"/>
      <c r="S232" s="33"/>
      <c r="T232" s="5"/>
    </row>
    <row r="233" spans="1:20" x14ac:dyDescent="0.25">
      <c r="A233" s="23"/>
      <c r="B233" s="24"/>
      <c r="C233" s="25"/>
      <c r="D233" s="27"/>
      <c r="E233" s="27"/>
      <c r="F233" s="28"/>
      <c r="G233" s="27"/>
      <c r="H233" s="180"/>
      <c r="I233" s="27"/>
      <c r="J233" s="32"/>
      <c r="K233" s="32"/>
      <c r="L233" s="32"/>
      <c r="M233" s="32"/>
      <c r="N233" s="31"/>
      <c r="O233" s="32"/>
      <c r="P233" s="33"/>
      <c r="Q233" s="33"/>
      <c r="R233" s="32"/>
      <c r="S233" s="33"/>
      <c r="T233" s="5"/>
    </row>
    <row r="234" spans="1:20" x14ac:dyDescent="0.25">
      <c r="A234" s="23"/>
      <c r="B234" s="24"/>
      <c r="C234" s="25"/>
      <c r="D234" s="27"/>
      <c r="E234" s="27"/>
      <c r="F234" s="28"/>
      <c r="G234" s="27"/>
      <c r="H234" s="180"/>
      <c r="I234" s="27"/>
      <c r="J234" s="32"/>
      <c r="K234" s="32"/>
      <c r="L234" s="32"/>
      <c r="M234" s="32"/>
      <c r="N234" s="31"/>
      <c r="O234" s="32"/>
      <c r="P234" s="33"/>
      <c r="Q234" s="33"/>
      <c r="R234" s="32"/>
      <c r="S234" s="33"/>
      <c r="T234" s="5"/>
    </row>
    <row r="235" spans="1:20" x14ac:dyDescent="0.25">
      <c r="A235" s="23"/>
      <c r="B235" s="24"/>
      <c r="C235" s="25"/>
      <c r="D235" s="27"/>
      <c r="E235" s="27"/>
      <c r="F235" s="28"/>
      <c r="G235" s="27"/>
      <c r="H235" s="180"/>
      <c r="I235" s="27"/>
      <c r="J235" s="32"/>
      <c r="K235" s="32"/>
      <c r="L235" s="32"/>
      <c r="M235" s="32"/>
      <c r="N235" s="31"/>
      <c r="O235" s="32"/>
      <c r="P235" s="33"/>
      <c r="Q235" s="33"/>
      <c r="R235" s="32"/>
      <c r="S235" s="33"/>
      <c r="T235" s="5"/>
    </row>
    <row r="236" spans="1:20" x14ac:dyDescent="0.25">
      <c r="A236" s="23"/>
      <c r="B236" s="24"/>
      <c r="C236" s="25"/>
      <c r="D236" s="27"/>
      <c r="E236" s="27"/>
      <c r="F236" s="28"/>
      <c r="G236" s="27"/>
      <c r="H236" s="180"/>
      <c r="I236" s="27"/>
      <c r="J236" s="32"/>
      <c r="K236" s="32"/>
      <c r="L236" s="32"/>
      <c r="M236" s="32"/>
      <c r="N236" s="31"/>
      <c r="O236" s="32"/>
      <c r="P236" s="33"/>
      <c r="Q236" s="33"/>
      <c r="R236" s="32"/>
      <c r="S236" s="33"/>
      <c r="T236" s="5"/>
    </row>
    <row r="237" spans="1:20" x14ac:dyDescent="0.25">
      <c r="A237" s="23"/>
      <c r="B237" s="24"/>
      <c r="C237" s="25"/>
      <c r="D237" s="27"/>
      <c r="E237" s="27"/>
      <c r="F237" s="28"/>
      <c r="G237" s="27"/>
      <c r="H237" s="180"/>
      <c r="I237" s="27"/>
      <c r="J237" s="32"/>
      <c r="K237" s="32"/>
      <c r="L237" s="32"/>
      <c r="M237" s="32"/>
      <c r="N237" s="31"/>
      <c r="O237" s="32"/>
      <c r="P237" s="33"/>
      <c r="Q237" s="33"/>
      <c r="R237" s="32"/>
      <c r="S237" s="33"/>
      <c r="T237" s="5"/>
    </row>
    <row r="238" spans="1:20" x14ac:dyDescent="0.25">
      <c r="A238" s="23"/>
      <c r="B238" s="24"/>
      <c r="C238" s="25"/>
      <c r="D238" s="27"/>
      <c r="E238" s="27"/>
      <c r="F238" s="28"/>
      <c r="G238" s="27"/>
      <c r="H238" s="180"/>
      <c r="I238" s="27"/>
      <c r="J238" s="32"/>
      <c r="K238" s="32"/>
      <c r="L238" s="32"/>
      <c r="M238" s="32"/>
      <c r="N238" s="31"/>
      <c r="O238" s="32"/>
      <c r="P238" s="33"/>
      <c r="Q238" s="33"/>
      <c r="R238" s="32"/>
      <c r="S238" s="33"/>
      <c r="T238" s="5"/>
    </row>
    <row r="239" spans="1:20" x14ac:dyDescent="0.25">
      <c r="A239" s="23"/>
      <c r="B239" s="24"/>
      <c r="C239" s="25"/>
      <c r="D239" s="27"/>
      <c r="E239" s="27"/>
      <c r="F239" s="28"/>
      <c r="G239" s="27"/>
      <c r="H239" s="180"/>
      <c r="I239" s="27"/>
      <c r="J239" s="32"/>
      <c r="K239" s="32"/>
      <c r="L239" s="32"/>
      <c r="M239" s="32"/>
      <c r="N239" s="31"/>
      <c r="O239" s="32"/>
      <c r="P239" s="33"/>
      <c r="Q239" s="33"/>
      <c r="R239" s="32"/>
      <c r="S239" s="33"/>
      <c r="T239" s="5"/>
    </row>
    <row r="240" spans="1:20" x14ac:dyDescent="0.25">
      <c r="A240" s="23"/>
      <c r="B240" s="24"/>
      <c r="C240" s="25"/>
      <c r="D240" s="27"/>
      <c r="E240" s="27"/>
      <c r="F240" s="28"/>
      <c r="G240" s="27"/>
      <c r="H240" s="180"/>
      <c r="I240" s="27"/>
      <c r="J240" s="32"/>
      <c r="K240" s="32"/>
      <c r="L240" s="32"/>
      <c r="M240" s="32"/>
      <c r="N240" s="31"/>
      <c r="O240" s="32"/>
      <c r="P240" s="33"/>
      <c r="Q240" s="33"/>
      <c r="R240" s="32"/>
      <c r="S240" s="33"/>
      <c r="T240" s="5"/>
    </row>
    <row r="241" spans="1:20" x14ac:dyDescent="0.25">
      <c r="A241" s="23"/>
      <c r="B241" s="24"/>
      <c r="C241" s="25"/>
      <c r="D241" s="27"/>
      <c r="E241" s="27"/>
      <c r="F241" s="28"/>
      <c r="G241" s="27"/>
      <c r="H241" s="180"/>
      <c r="I241" s="27"/>
      <c r="J241" s="32"/>
      <c r="K241" s="32"/>
      <c r="L241" s="32"/>
      <c r="M241" s="32"/>
      <c r="N241" s="31"/>
      <c r="O241" s="32"/>
      <c r="P241" s="33"/>
      <c r="Q241" s="33"/>
      <c r="R241" s="32"/>
      <c r="S241" s="33"/>
      <c r="T241" s="5"/>
    </row>
    <row r="242" spans="1:20" x14ac:dyDescent="0.25">
      <c r="A242" s="23"/>
      <c r="B242" s="24"/>
      <c r="C242" s="25"/>
      <c r="D242" s="27"/>
      <c r="E242" s="27"/>
      <c r="F242" s="28"/>
      <c r="G242" s="27"/>
      <c r="H242" s="180"/>
      <c r="I242" s="27"/>
      <c r="J242" s="32"/>
      <c r="K242" s="32"/>
      <c r="L242" s="32"/>
      <c r="M242" s="32"/>
      <c r="N242" s="31"/>
      <c r="O242" s="32"/>
      <c r="P242" s="33"/>
      <c r="Q242" s="33"/>
      <c r="R242" s="32"/>
      <c r="S242" s="33"/>
      <c r="T242" s="5"/>
    </row>
    <row r="243" spans="1:20" x14ac:dyDescent="0.25">
      <c r="A243" s="23"/>
      <c r="B243" s="24"/>
      <c r="C243" s="25"/>
      <c r="D243" s="27"/>
      <c r="E243" s="27"/>
      <c r="F243" s="28"/>
      <c r="G243" s="27"/>
      <c r="H243" s="180"/>
      <c r="I243" s="27"/>
      <c r="J243" s="32"/>
      <c r="K243" s="32"/>
      <c r="L243" s="32"/>
      <c r="M243" s="32"/>
      <c r="N243" s="31"/>
      <c r="O243" s="32"/>
      <c r="P243" s="33"/>
      <c r="Q243" s="33"/>
      <c r="R243" s="32"/>
      <c r="S243" s="33"/>
      <c r="T243" s="5"/>
    </row>
    <row r="244" spans="1:20" x14ac:dyDescent="0.25">
      <c r="A244" s="23"/>
      <c r="B244" s="24"/>
      <c r="C244" s="25"/>
      <c r="D244" s="27"/>
      <c r="E244" s="27"/>
      <c r="F244" s="28"/>
      <c r="G244" s="27"/>
      <c r="H244" s="180"/>
      <c r="I244" s="27"/>
      <c r="J244" s="32"/>
      <c r="K244" s="32"/>
      <c r="L244" s="32"/>
      <c r="M244" s="32"/>
      <c r="N244" s="31"/>
      <c r="O244" s="32"/>
      <c r="P244" s="33"/>
      <c r="Q244" s="33"/>
      <c r="R244" s="32"/>
      <c r="S244" s="33"/>
      <c r="T244" s="5"/>
    </row>
    <row r="245" spans="1:20" x14ac:dyDescent="0.25">
      <c r="A245" s="23"/>
      <c r="B245" s="24"/>
      <c r="C245" s="25"/>
      <c r="D245" s="27"/>
      <c r="E245" s="27"/>
      <c r="F245" s="28"/>
      <c r="G245" s="27"/>
      <c r="H245" s="180"/>
      <c r="I245" s="27"/>
      <c r="J245" s="32"/>
      <c r="K245" s="32"/>
      <c r="L245" s="32"/>
      <c r="M245" s="32"/>
      <c r="N245" s="31"/>
      <c r="O245" s="32"/>
      <c r="P245" s="33"/>
      <c r="Q245" s="33"/>
      <c r="R245" s="32"/>
      <c r="S245" s="33"/>
      <c r="T245" s="5"/>
    </row>
    <row r="246" spans="1:20" x14ac:dyDescent="0.25">
      <c r="A246" s="23"/>
      <c r="B246" s="24"/>
      <c r="C246" s="25"/>
      <c r="D246" s="27"/>
      <c r="E246" s="27"/>
      <c r="F246" s="28"/>
      <c r="G246" s="27"/>
      <c r="H246" s="180"/>
      <c r="I246" s="27"/>
      <c r="J246" s="32"/>
      <c r="K246" s="32"/>
      <c r="L246" s="32"/>
      <c r="M246" s="32"/>
      <c r="N246" s="31"/>
      <c r="O246" s="32"/>
      <c r="P246" s="33"/>
      <c r="Q246" s="33"/>
      <c r="R246" s="32"/>
      <c r="S246" s="33"/>
      <c r="T246" s="5"/>
    </row>
    <row r="247" spans="1:20" x14ac:dyDescent="0.25">
      <c r="A247" s="23"/>
      <c r="B247" s="24"/>
      <c r="C247" s="25"/>
      <c r="D247" s="27"/>
      <c r="E247" s="27"/>
      <c r="F247" s="28"/>
      <c r="G247" s="27"/>
      <c r="H247" s="180"/>
      <c r="I247" s="27"/>
      <c r="J247" s="32"/>
      <c r="K247" s="32"/>
      <c r="L247" s="32"/>
      <c r="M247" s="32"/>
      <c r="N247" s="31"/>
      <c r="O247" s="32"/>
      <c r="P247" s="33"/>
      <c r="Q247" s="33"/>
      <c r="R247" s="32"/>
      <c r="S247" s="33"/>
      <c r="T247" s="5"/>
    </row>
    <row r="248" spans="1:20" x14ac:dyDescent="0.25">
      <c r="A248" s="23"/>
      <c r="B248" s="24"/>
      <c r="C248" s="25"/>
      <c r="D248" s="27"/>
      <c r="E248" s="27"/>
      <c r="F248" s="28"/>
      <c r="G248" s="27"/>
      <c r="H248" s="180"/>
      <c r="I248" s="27"/>
      <c r="J248" s="32"/>
      <c r="K248" s="32"/>
      <c r="L248" s="32"/>
      <c r="M248" s="32"/>
      <c r="N248" s="31"/>
      <c r="O248" s="32"/>
      <c r="P248" s="33"/>
      <c r="Q248" s="33"/>
      <c r="R248" s="32"/>
      <c r="S248" s="33"/>
      <c r="T248" s="5"/>
    </row>
    <row r="249" spans="1:20" x14ac:dyDescent="0.25">
      <c r="A249" s="23"/>
      <c r="B249" s="24"/>
      <c r="C249" s="25"/>
      <c r="D249" s="27"/>
      <c r="E249" s="27"/>
      <c r="F249" s="28"/>
      <c r="G249" s="27"/>
      <c r="H249" s="180"/>
      <c r="I249" s="27"/>
      <c r="J249" s="32"/>
      <c r="K249" s="32"/>
      <c r="L249" s="32"/>
      <c r="M249" s="32"/>
      <c r="N249" s="31"/>
      <c r="O249" s="32"/>
      <c r="P249" s="33"/>
      <c r="Q249" s="33"/>
      <c r="R249" s="32"/>
      <c r="S249" s="33"/>
      <c r="T249" s="5"/>
    </row>
    <row r="250" spans="1:20" x14ac:dyDescent="0.25">
      <c r="A250" s="23"/>
      <c r="B250" s="24"/>
      <c r="C250" s="25"/>
      <c r="D250" s="27"/>
      <c r="E250" s="27"/>
      <c r="F250" s="28"/>
      <c r="G250" s="27"/>
      <c r="H250" s="180"/>
      <c r="I250" s="27"/>
      <c r="J250" s="32"/>
      <c r="K250" s="32"/>
      <c r="L250" s="32"/>
      <c r="M250" s="32"/>
      <c r="N250" s="31"/>
      <c r="O250" s="32"/>
      <c r="P250" s="33"/>
      <c r="Q250" s="33"/>
      <c r="R250" s="32"/>
      <c r="S250" s="33"/>
      <c r="T250" s="5"/>
    </row>
    <row r="251" spans="1:20" x14ac:dyDescent="0.25">
      <c r="A251" s="23"/>
      <c r="B251" s="24"/>
      <c r="C251" s="25"/>
      <c r="D251" s="27"/>
      <c r="E251" s="27"/>
      <c r="F251" s="28"/>
      <c r="G251" s="27"/>
      <c r="H251" s="180"/>
      <c r="I251" s="27"/>
      <c r="J251" s="32"/>
      <c r="K251" s="32"/>
      <c r="L251" s="32"/>
      <c r="M251" s="32"/>
      <c r="N251" s="31"/>
      <c r="O251" s="32"/>
      <c r="P251" s="33"/>
      <c r="Q251" s="33"/>
      <c r="R251" s="32"/>
      <c r="S251" s="33"/>
      <c r="T251" s="5"/>
    </row>
    <row r="252" spans="1:20" x14ac:dyDescent="0.25">
      <c r="A252" s="23"/>
      <c r="B252" s="24"/>
      <c r="C252" s="25"/>
      <c r="D252" s="27"/>
      <c r="E252" s="27"/>
      <c r="F252" s="28"/>
      <c r="G252" s="27"/>
      <c r="H252" s="180"/>
      <c r="I252" s="27"/>
      <c r="J252" s="32"/>
      <c r="K252" s="32"/>
      <c r="L252" s="32"/>
      <c r="M252" s="32"/>
      <c r="N252" s="31"/>
      <c r="O252" s="32"/>
      <c r="P252" s="33"/>
      <c r="Q252" s="33"/>
      <c r="R252" s="32"/>
      <c r="S252" s="33"/>
      <c r="T252" s="5"/>
    </row>
    <row r="253" spans="1:20" x14ac:dyDescent="0.25">
      <c r="A253" s="23"/>
      <c r="B253" s="24"/>
      <c r="C253" s="25"/>
      <c r="D253" s="27"/>
      <c r="E253" s="27"/>
      <c r="F253" s="28"/>
      <c r="G253" s="27"/>
      <c r="H253" s="180"/>
      <c r="I253" s="27"/>
      <c r="J253" s="32"/>
      <c r="K253" s="32"/>
      <c r="L253" s="32"/>
      <c r="M253" s="32"/>
      <c r="N253" s="31"/>
      <c r="O253" s="32"/>
      <c r="P253" s="33"/>
      <c r="Q253" s="33"/>
      <c r="R253" s="32"/>
      <c r="S253" s="33"/>
      <c r="T253" s="5"/>
    </row>
    <row r="254" spans="1:20" x14ac:dyDescent="0.25">
      <c r="A254" s="23"/>
      <c r="B254" s="24"/>
      <c r="C254" s="25"/>
      <c r="D254" s="27"/>
      <c r="E254" s="27"/>
      <c r="F254" s="28"/>
      <c r="G254" s="27"/>
      <c r="H254" s="180"/>
      <c r="I254" s="27"/>
      <c r="J254" s="32"/>
      <c r="K254" s="32"/>
      <c r="L254" s="32"/>
      <c r="M254" s="32"/>
      <c r="N254" s="31"/>
      <c r="O254" s="32"/>
      <c r="P254" s="33"/>
      <c r="Q254" s="33"/>
      <c r="R254" s="32"/>
      <c r="S254" s="33"/>
      <c r="T254" s="5"/>
    </row>
    <row r="255" spans="1:20" x14ac:dyDescent="0.25">
      <c r="A255" s="23"/>
      <c r="B255" s="24"/>
      <c r="C255" s="25"/>
      <c r="D255" s="27"/>
      <c r="E255" s="27"/>
      <c r="F255" s="28"/>
      <c r="G255" s="27"/>
      <c r="H255" s="180"/>
      <c r="I255" s="27"/>
      <c r="J255" s="32"/>
      <c r="K255" s="32"/>
      <c r="L255" s="32"/>
      <c r="M255" s="32"/>
      <c r="N255" s="31"/>
      <c r="O255" s="32"/>
      <c r="P255" s="33"/>
      <c r="Q255" s="33"/>
      <c r="R255" s="32"/>
      <c r="S255" s="33"/>
      <c r="T255" s="5"/>
    </row>
    <row r="256" spans="1:20" x14ac:dyDescent="0.25">
      <c r="A256" s="23"/>
      <c r="B256" s="24"/>
      <c r="C256" s="25"/>
      <c r="D256" s="27"/>
      <c r="E256" s="27"/>
      <c r="F256" s="28"/>
      <c r="G256" s="27"/>
      <c r="H256" s="180"/>
      <c r="I256" s="27"/>
      <c r="J256" s="32"/>
      <c r="K256" s="32"/>
      <c r="L256" s="32"/>
      <c r="M256" s="32"/>
      <c r="N256" s="31"/>
      <c r="O256" s="32"/>
      <c r="P256" s="33"/>
      <c r="Q256" s="33"/>
      <c r="R256" s="32"/>
      <c r="S256" s="33"/>
      <c r="T256" s="5"/>
    </row>
    <row r="257" spans="1:20" x14ac:dyDescent="0.25">
      <c r="A257" s="23"/>
      <c r="B257" s="24"/>
      <c r="C257" s="25"/>
      <c r="D257" s="27"/>
      <c r="E257" s="27"/>
      <c r="F257" s="28"/>
      <c r="G257" s="27"/>
      <c r="H257" s="180"/>
      <c r="I257" s="27"/>
      <c r="J257" s="32"/>
      <c r="K257" s="32"/>
      <c r="L257" s="32"/>
      <c r="M257" s="32"/>
      <c r="N257" s="31"/>
      <c r="O257" s="32"/>
      <c r="P257" s="33"/>
      <c r="Q257" s="33"/>
      <c r="R257" s="32"/>
      <c r="S257" s="33"/>
      <c r="T257" s="5"/>
    </row>
    <row r="258" spans="1:20" x14ac:dyDescent="0.25">
      <c r="A258" s="23"/>
      <c r="B258" s="24"/>
      <c r="C258" s="25"/>
      <c r="D258" s="27"/>
      <c r="E258" s="27"/>
      <c r="F258" s="28"/>
      <c r="G258" s="27"/>
      <c r="H258" s="180"/>
      <c r="I258" s="27"/>
      <c r="J258" s="32"/>
      <c r="K258" s="32"/>
      <c r="L258" s="32"/>
      <c r="M258" s="32"/>
      <c r="N258" s="31"/>
      <c r="O258" s="32"/>
      <c r="P258" s="33"/>
      <c r="Q258" s="33"/>
      <c r="R258" s="32"/>
      <c r="S258" s="33"/>
      <c r="T258" s="5"/>
    </row>
    <row r="259" spans="1:20" x14ac:dyDescent="0.25">
      <c r="A259" s="23"/>
      <c r="B259" s="24"/>
      <c r="C259" s="25"/>
      <c r="D259" s="27"/>
      <c r="E259" s="27"/>
      <c r="F259" s="28"/>
      <c r="G259" s="27"/>
      <c r="H259" s="180"/>
      <c r="I259" s="27"/>
      <c r="J259" s="32"/>
      <c r="K259" s="32"/>
      <c r="L259" s="32"/>
      <c r="M259" s="32"/>
      <c r="N259" s="31"/>
      <c r="O259" s="32"/>
      <c r="P259" s="33"/>
      <c r="Q259" s="33"/>
      <c r="R259" s="32"/>
      <c r="S259" s="33"/>
      <c r="T259" s="5"/>
    </row>
    <row r="260" spans="1:20" x14ac:dyDescent="0.25">
      <c r="A260" s="23"/>
      <c r="B260" s="24"/>
      <c r="C260" s="25"/>
      <c r="D260" s="27"/>
      <c r="E260" s="27"/>
      <c r="F260" s="28"/>
      <c r="G260" s="27"/>
      <c r="H260" s="180"/>
      <c r="I260" s="27"/>
      <c r="J260" s="32"/>
      <c r="K260" s="32"/>
      <c r="L260" s="32"/>
      <c r="M260" s="32"/>
      <c r="N260" s="31"/>
      <c r="O260" s="32"/>
      <c r="P260" s="33"/>
      <c r="Q260" s="33"/>
      <c r="R260" s="32"/>
      <c r="S260" s="33"/>
      <c r="T260" s="5"/>
    </row>
    <row r="261" spans="1:20" x14ac:dyDescent="0.25">
      <c r="A261" s="23"/>
      <c r="B261" s="24"/>
      <c r="C261" s="25"/>
      <c r="D261" s="27"/>
      <c r="E261" s="27"/>
      <c r="F261" s="28"/>
      <c r="G261" s="27"/>
      <c r="H261" s="180"/>
      <c r="I261" s="27"/>
      <c r="J261" s="32"/>
      <c r="K261" s="32"/>
      <c r="L261" s="32"/>
      <c r="M261" s="32"/>
      <c r="N261" s="31"/>
      <c r="O261" s="32"/>
      <c r="P261" s="33"/>
      <c r="Q261" s="33"/>
      <c r="R261" s="32"/>
      <c r="S261" s="33"/>
      <c r="T261" s="5"/>
    </row>
    <row r="262" spans="1:20" x14ac:dyDescent="0.25">
      <c r="A262" s="23"/>
      <c r="B262" s="24"/>
      <c r="C262" s="25"/>
      <c r="D262" s="27"/>
      <c r="E262" s="27"/>
      <c r="F262" s="28"/>
      <c r="G262" s="27"/>
      <c r="H262" s="180"/>
      <c r="I262" s="27"/>
      <c r="J262" s="32"/>
      <c r="K262" s="32"/>
      <c r="L262" s="32"/>
      <c r="M262" s="32"/>
      <c r="N262" s="31"/>
      <c r="O262" s="32"/>
      <c r="P262" s="33"/>
      <c r="Q262" s="33"/>
      <c r="R262" s="32"/>
      <c r="S262" s="33"/>
      <c r="T262" s="5"/>
    </row>
    <row r="263" spans="1:20" x14ac:dyDescent="0.25">
      <c r="A263" s="23"/>
      <c r="B263" s="24"/>
      <c r="C263" s="25"/>
      <c r="D263" s="27"/>
      <c r="E263" s="27"/>
      <c r="F263" s="28"/>
      <c r="G263" s="27"/>
      <c r="H263" s="180"/>
      <c r="I263" s="27"/>
      <c r="J263" s="32"/>
      <c r="K263" s="32"/>
      <c r="L263" s="32"/>
      <c r="M263" s="32"/>
      <c r="N263" s="31"/>
      <c r="O263" s="32"/>
      <c r="P263" s="33"/>
      <c r="Q263" s="33"/>
      <c r="R263" s="32"/>
      <c r="S263" s="33"/>
      <c r="T263" s="5"/>
    </row>
    <row r="264" spans="1:20" x14ac:dyDescent="0.25">
      <c r="A264" s="23"/>
      <c r="B264" s="24"/>
      <c r="C264" s="25"/>
      <c r="D264" s="27"/>
      <c r="E264" s="27"/>
      <c r="F264" s="28"/>
      <c r="G264" s="27"/>
      <c r="H264" s="180"/>
      <c r="I264" s="27"/>
      <c r="J264" s="32"/>
      <c r="K264" s="32"/>
      <c r="L264" s="32"/>
      <c r="M264" s="32"/>
      <c r="N264" s="31"/>
      <c r="O264" s="32"/>
      <c r="P264" s="33"/>
      <c r="Q264" s="33"/>
      <c r="R264" s="32"/>
      <c r="S264" s="33"/>
      <c r="T264" s="5"/>
    </row>
    <row r="265" spans="1:20" x14ac:dyDescent="0.25">
      <c r="A265" s="23"/>
      <c r="B265" s="24"/>
      <c r="C265" s="25"/>
      <c r="D265" s="27"/>
      <c r="E265" s="27"/>
      <c r="F265" s="28"/>
      <c r="G265" s="27"/>
      <c r="H265" s="180"/>
      <c r="I265" s="27"/>
      <c r="J265" s="32"/>
      <c r="K265" s="32"/>
      <c r="L265" s="32"/>
      <c r="M265" s="32"/>
      <c r="N265" s="31"/>
      <c r="O265" s="32"/>
      <c r="P265" s="33"/>
      <c r="Q265" s="33"/>
      <c r="R265" s="32"/>
      <c r="S265" s="33"/>
      <c r="T265" s="5"/>
    </row>
    <row r="266" spans="1:20" x14ac:dyDescent="0.25">
      <c r="A266" s="23"/>
      <c r="B266" s="24"/>
      <c r="C266" s="25"/>
      <c r="D266" s="27"/>
      <c r="E266" s="27"/>
      <c r="F266" s="28"/>
      <c r="G266" s="27"/>
      <c r="H266" s="180"/>
      <c r="I266" s="27"/>
      <c r="J266" s="32"/>
      <c r="K266" s="32"/>
      <c r="L266" s="32"/>
      <c r="M266" s="32"/>
      <c r="N266" s="31"/>
      <c r="O266" s="32"/>
      <c r="P266" s="33"/>
      <c r="Q266" s="33"/>
      <c r="R266" s="32"/>
      <c r="S266" s="33"/>
      <c r="T266" s="5"/>
    </row>
    <row r="267" spans="1:20" x14ac:dyDescent="0.25">
      <c r="A267" s="23"/>
      <c r="B267" s="24"/>
      <c r="C267" s="25"/>
      <c r="D267" s="27"/>
      <c r="E267" s="27"/>
      <c r="F267" s="28"/>
      <c r="G267" s="27"/>
      <c r="H267" s="180"/>
      <c r="I267" s="27"/>
      <c r="J267" s="32"/>
      <c r="K267" s="32"/>
      <c r="L267" s="32"/>
      <c r="M267" s="32"/>
      <c r="N267" s="31"/>
      <c r="O267" s="32"/>
      <c r="P267" s="33"/>
      <c r="Q267" s="33"/>
      <c r="R267" s="32"/>
      <c r="S267" s="33"/>
      <c r="T267" s="5"/>
    </row>
    <row r="268" spans="1:20" x14ac:dyDescent="0.25">
      <c r="A268" s="23"/>
      <c r="B268" s="24"/>
      <c r="C268" s="25"/>
      <c r="D268" s="27"/>
      <c r="E268" s="27"/>
      <c r="F268" s="28"/>
      <c r="G268" s="27"/>
      <c r="H268" s="180"/>
      <c r="I268" s="27"/>
      <c r="J268" s="32"/>
      <c r="K268" s="32"/>
      <c r="L268" s="32"/>
      <c r="M268" s="32"/>
      <c r="N268" s="31"/>
      <c r="O268" s="32"/>
      <c r="P268" s="33"/>
      <c r="Q268" s="33"/>
      <c r="R268" s="32"/>
      <c r="S268" s="33"/>
      <c r="T268" s="5"/>
    </row>
    <row r="269" spans="1:20" x14ac:dyDescent="0.25">
      <c r="A269" s="23"/>
      <c r="B269" s="24"/>
      <c r="C269" s="25"/>
      <c r="D269" s="27"/>
      <c r="E269" s="27"/>
      <c r="F269" s="28"/>
      <c r="G269" s="27"/>
      <c r="H269" s="180"/>
      <c r="I269" s="27"/>
      <c r="J269" s="32"/>
      <c r="K269" s="32"/>
      <c r="L269" s="32"/>
      <c r="M269" s="32"/>
      <c r="N269" s="31"/>
      <c r="O269" s="32"/>
      <c r="P269" s="33"/>
      <c r="Q269" s="33"/>
      <c r="R269" s="32"/>
      <c r="S269" s="33"/>
      <c r="T269" s="5"/>
    </row>
    <row r="270" spans="1:20" x14ac:dyDescent="0.25">
      <c r="A270" s="23"/>
      <c r="B270" s="24"/>
      <c r="C270" s="25"/>
      <c r="D270" s="27"/>
      <c r="E270" s="27"/>
      <c r="F270" s="28"/>
      <c r="G270" s="27"/>
      <c r="H270" s="180"/>
      <c r="I270" s="27"/>
      <c r="J270" s="32"/>
      <c r="K270" s="32"/>
      <c r="L270" s="32"/>
      <c r="M270" s="32"/>
      <c r="N270" s="31"/>
      <c r="O270" s="32"/>
      <c r="P270" s="33"/>
      <c r="Q270" s="33"/>
      <c r="R270" s="32"/>
      <c r="S270" s="33"/>
      <c r="T270" s="5"/>
    </row>
    <row r="271" spans="1:20" x14ac:dyDescent="0.25">
      <c r="A271" s="23"/>
      <c r="B271" s="24"/>
      <c r="C271" s="25"/>
      <c r="D271" s="27"/>
      <c r="E271" s="27"/>
      <c r="F271" s="28"/>
      <c r="G271" s="27"/>
      <c r="H271" s="180"/>
      <c r="I271" s="27"/>
      <c r="J271" s="32"/>
      <c r="K271" s="32"/>
      <c r="L271" s="32"/>
      <c r="M271" s="32"/>
      <c r="N271" s="31"/>
      <c r="O271" s="32"/>
      <c r="P271" s="33"/>
      <c r="Q271" s="33"/>
      <c r="R271" s="32"/>
      <c r="S271" s="33"/>
      <c r="T271" s="5"/>
    </row>
    <row r="272" spans="1:20" x14ac:dyDescent="0.25">
      <c r="A272" s="23"/>
      <c r="B272" s="24"/>
      <c r="C272" s="25"/>
      <c r="D272" s="27"/>
      <c r="E272" s="27"/>
      <c r="F272" s="28"/>
      <c r="G272" s="27"/>
      <c r="H272" s="180"/>
      <c r="I272" s="27"/>
      <c r="J272" s="32"/>
      <c r="K272" s="32"/>
      <c r="L272" s="32"/>
      <c r="M272" s="32"/>
      <c r="N272" s="31"/>
      <c r="O272" s="32"/>
      <c r="P272" s="33"/>
      <c r="Q272" s="33"/>
      <c r="R272" s="32"/>
      <c r="S272" s="33"/>
      <c r="T272" s="5"/>
    </row>
    <row r="273" spans="1:20" x14ac:dyDescent="0.25">
      <c r="A273" s="23"/>
      <c r="B273" s="24"/>
      <c r="C273" s="25"/>
      <c r="D273" s="27"/>
      <c r="E273" s="27"/>
      <c r="F273" s="28"/>
      <c r="G273" s="27"/>
      <c r="H273" s="180"/>
      <c r="I273" s="27"/>
      <c r="J273" s="32"/>
      <c r="K273" s="32"/>
      <c r="L273" s="32"/>
      <c r="M273" s="32"/>
      <c r="N273" s="31"/>
      <c r="O273" s="32"/>
      <c r="P273" s="33"/>
      <c r="Q273" s="33"/>
      <c r="R273" s="32"/>
      <c r="S273" s="33"/>
      <c r="T273" s="5"/>
    </row>
    <row r="274" spans="1:20" x14ac:dyDescent="0.25">
      <c r="A274" s="23"/>
      <c r="B274" s="24"/>
      <c r="C274" s="25"/>
      <c r="D274" s="27"/>
      <c r="E274" s="27"/>
      <c r="F274" s="28"/>
      <c r="G274" s="27"/>
      <c r="H274" s="180"/>
      <c r="I274" s="27"/>
      <c r="J274" s="32"/>
      <c r="K274" s="32"/>
      <c r="L274" s="32"/>
      <c r="M274" s="32"/>
      <c r="N274" s="31"/>
      <c r="O274" s="32"/>
      <c r="P274" s="33"/>
      <c r="Q274" s="33"/>
      <c r="R274" s="32"/>
      <c r="S274" s="33"/>
      <c r="T274" s="5"/>
    </row>
    <row r="275" spans="1:20" x14ac:dyDescent="0.25">
      <c r="A275" s="23"/>
      <c r="B275" s="24"/>
      <c r="C275" s="25"/>
      <c r="D275" s="27"/>
      <c r="E275" s="27"/>
      <c r="F275" s="28"/>
      <c r="G275" s="27"/>
      <c r="H275" s="180"/>
      <c r="I275" s="27"/>
      <c r="J275" s="32"/>
      <c r="K275" s="32"/>
      <c r="L275" s="32"/>
      <c r="M275" s="32"/>
      <c r="N275" s="31"/>
      <c r="O275" s="32"/>
      <c r="P275" s="33"/>
      <c r="Q275" s="33"/>
      <c r="R275" s="32"/>
      <c r="S275" s="33"/>
      <c r="T275" s="5"/>
    </row>
    <row r="276" spans="1:20" x14ac:dyDescent="0.25">
      <c r="A276" s="23"/>
      <c r="B276" s="24"/>
      <c r="C276" s="25"/>
      <c r="D276" s="27"/>
      <c r="E276" s="27"/>
      <c r="F276" s="28"/>
      <c r="G276" s="27"/>
      <c r="H276" s="180"/>
      <c r="I276" s="27"/>
      <c r="J276" s="32"/>
      <c r="K276" s="32"/>
      <c r="L276" s="32"/>
      <c r="M276" s="32"/>
      <c r="N276" s="31"/>
      <c r="O276" s="32"/>
      <c r="P276" s="33"/>
      <c r="Q276" s="33"/>
      <c r="R276" s="32"/>
      <c r="S276" s="33"/>
      <c r="T276" s="5"/>
    </row>
    <row r="277" spans="1:20" x14ac:dyDescent="0.25">
      <c r="A277" s="23"/>
      <c r="B277" s="24"/>
      <c r="C277" s="25"/>
      <c r="D277" s="27"/>
      <c r="E277" s="27"/>
      <c r="F277" s="28"/>
      <c r="G277" s="27"/>
      <c r="H277" s="180"/>
      <c r="I277" s="27"/>
      <c r="J277" s="32"/>
      <c r="K277" s="32"/>
      <c r="L277" s="32"/>
      <c r="M277" s="32"/>
      <c r="N277" s="31"/>
      <c r="O277" s="32"/>
      <c r="P277" s="33"/>
      <c r="Q277" s="33"/>
      <c r="R277" s="32"/>
      <c r="S277" s="33"/>
      <c r="T277" s="5"/>
    </row>
    <row r="278" spans="1:20" x14ac:dyDescent="0.25">
      <c r="A278" s="23"/>
      <c r="B278" s="24"/>
      <c r="C278" s="25"/>
      <c r="D278" s="27"/>
      <c r="E278" s="27"/>
      <c r="F278" s="28"/>
      <c r="G278" s="27"/>
      <c r="H278" s="180"/>
      <c r="I278" s="27"/>
      <c r="J278" s="32"/>
      <c r="K278" s="32"/>
      <c r="L278" s="32"/>
      <c r="M278" s="32"/>
      <c r="N278" s="31"/>
      <c r="O278" s="32"/>
      <c r="P278" s="33"/>
      <c r="Q278" s="33"/>
      <c r="R278" s="32"/>
      <c r="S278" s="33"/>
      <c r="T278" s="5"/>
    </row>
    <row r="279" spans="1:20" x14ac:dyDescent="0.25">
      <c r="A279" s="23"/>
      <c r="B279" s="24"/>
      <c r="C279" s="25"/>
      <c r="D279" s="27"/>
      <c r="E279" s="27"/>
      <c r="F279" s="28"/>
      <c r="G279" s="27"/>
      <c r="H279" s="180"/>
      <c r="I279" s="27"/>
      <c r="J279" s="32"/>
      <c r="K279" s="32"/>
      <c r="L279" s="32"/>
      <c r="M279" s="32"/>
      <c r="N279" s="31"/>
      <c r="O279" s="32"/>
      <c r="P279" s="33"/>
      <c r="Q279" s="33"/>
      <c r="R279" s="32"/>
      <c r="S279" s="33"/>
      <c r="T279" s="5"/>
    </row>
    <row r="280" spans="1:20" x14ac:dyDescent="0.25">
      <c r="A280" s="23"/>
      <c r="B280" s="24"/>
      <c r="C280" s="25"/>
      <c r="D280" s="27"/>
      <c r="E280" s="27"/>
      <c r="F280" s="28"/>
      <c r="G280" s="27"/>
      <c r="H280" s="180"/>
      <c r="I280" s="27"/>
      <c r="J280" s="32"/>
      <c r="K280" s="32"/>
      <c r="L280" s="32"/>
      <c r="M280" s="32"/>
      <c r="N280" s="31"/>
      <c r="O280" s="32"/>
      <c r="P280" s="33"/>
      <c r="Q280" s="33"/>
      <c r="R280" s="32"/>
      <c r="S280" s="33"/>
      <c r="T280" s="5"/>
    </row>
    <row r="281" spans="1:20" x14ac:dyDescent="0.25">
      <c r="A281" s="23"/>
      <c r="B281" s="24"/>
      <c r="C281" s="25"/>
      <c r="D281" s="27"/>
      <c r="E281" s="27"/>
      <c r="F281" s="28"/>
      <c r="G281" s="27"/>
      <c r="H281" s="180"/>
      <c r="I281" s="27"/>
      <c r="J281" s="32"/>
      <c r="K281" s="32"/>
      <c r="L281" s="32"/>
      <c r="M281" s="32"/>
      <c r="N281" s="31"/>
      <c r="O281" s="32"/>
      <c r="P281" s="33"/>
      <c r="Q281" s="33"/>
      <c r="R281" s="32"/>
      <c r="S281" s="33"/>
      <c r="T281" s="5"/>
    </row>
    <row r="282" spans="1:20" x14ac:dyDescent="0.25">
      <c r="A282" s="23"/>
      <c r="B282" s="24"/>
      <c r="C282" s="25"/>
      <c r="D282" s="27"/>
      <c r="E282" s="27"/>
      <c r="F282" s="28"/>
      <c r="G282" s="27"/>
      <c r="H282" s="180"/>
      <c r="I282" s="27"/>
      <c r="J282" s="32"/>
      <c r="K282" s="32"/>
      <c r="L282" s="32"/>
      <c r="M282" s="32"/>
      <c r="N282" s="31"/>
      <c r="O282" s="32"/>
      <c r="P282" s="33"/>
      <c r="Q282" s="33"/>
      <c r="R282" s="32"/>
      <c r="S282" s="33"/>
      <c r="T282" s="5"/>
    </row>
    <row r="283" spans="1:20" x14ac:dyDescent="0.25">
      <c r="A283" s="23"/>
      <c r="B283" s="24"/>
      <c r="C283" s="25"/>
      <c r="D283" s="27"/>
      <c r="E283" s="27"/>
      <c r="F283" s="28"/>
      <c r="G283" s="27"/>
      <c r="H283" s="180"/>
      <c r="I283" s="27"/>
      <c r="J283" s="32"/>
      <c r="K283" s="32"/>
      <c r="L283" s="32"/>
      <c r="M283" s="32"/>
      <c r="N283" s="31"/>
      <c r="O283" s="32"/>
      <c r="P283" s="33"/>
      <c r="Q283" s="33"/>
      <c r="R283" s="32"/>
      <c r="S283" s="33"/>
      <c r="T283" s="5"/>
    </row>
    <row r="284" spans="1:20" x14ac:dyDescent="0.25">
      <c r="A284" s="23"/>
      <c r="B284" s="24"/>
      <c r="C284" s="25"/>
      <c r="D284" s="27"/>
      <c r="E284" s="27"/>
      <c r="F284" s="28"/>
      <c r="G284" s="27"/>
      <c r="H284" s="180"/>
      <c r="I284" s="27"/>
      <c r="J284" s="32"/>
      <c r="K284" s="32"/>
      <c r="L284" s="32"/>
      <c r="M284" s="32"/>
      <c r="N284" s="31"/>
      <c r="O284" s="32"/>
      <c r="P284" s="33"/>
      <c r="Q284" s="33"/>
      <c r="R284" s="32"/>
      <c r="S284" s="33"/>
      <c r="T284" s="5"/>
    </row>
    <row r="285" spans="1:20" x14ac:dyDescent="0.25">
      <c r="A285" s="23"/>
      <c r="B285" s="24"/>
      <c r="C285" s="25"/>
      <c r="D285" s="27"/>
      <c r="E285" s="27"/>
      <c r="F285" s="28"/>
      <c r="G285" s="27"/>
      <c r="H285" s="180"/>
      <c r="I285" s="27"/>
      <c r="J285" s="32"/>
      <c r="K285" s="32"/>
      <c r="L285" s="32"/>
      <c r="M285" s="32"/>
      <c r="N285" s="31"/>
      <c r="O285" s="32"/>
      <c r="P285" s="33"/>
      <c r="Q285" s="33"/>
      <c r="R285" s="32"/>
      <c r="S285" s="33"/>
      <c r="T285" s="5"/>
    </row>
    <row r="286" spans="1:20" x14ac:dyDescent="0.25">
      <c r="A286" s="23"/>
      <c r="B286" s="24"/>
      <c r="C286" s="25"/>
      <c r="D286" s="27"/>
      <c r="E286" s="27"/>
      <c r="F286" s="28"/>
      <c r="G286" s="27"/>
      <c r="H286" s="180"/>
      <c r="I286" s="27"/>
      <c r="J286" s="32"/>
      <c r="K286" s="32"/>
      <c r="L286" s="32"/>
      <c r="M286" s="32"/>
      <c r="N286" s="31"/>
      <c r="O286" s="32"/>
      <c r="P286" s="33"/>
      <c r="Q286" s="33"/>
      <c r="R286" s="32"/>
      <c r="S286" s="33"/>
      <c r="T286" s="5"/>
    </row>
    <row r="287" spans="1:20" x14ac:dyDescent="0.25">
      <c r="A287" s="23"/>
      <c r="B287" s="24"/>
      <c r="C287" s="25"/>
      <c r="D287" s="27"/>
      <c r="E287" s="27"/>
      <c r="F287" s="28"/>
      <c r="G287" s="27"/>
      <c r="H287" s="180"/>
      <c r="I287" s="27"/>
      <c r="J287" s="32"/>
      <c r="K287" s="32"/>
      <c r="L287" s="32"/>
      <c r="M287" s="32"/>
      <c r="N287" s="31"/>
      <c r="O287" s="32"/>
      <c r="P287" s="33"/>
      <c r="Q287" s="33"/>
      <c r="R287" s="32"/>
      <c r="S287" s="33"/>
      <c r="T287" s="5"/>
    </row>
    <row r="288" spans="1:20" x14ac:dyDescent="0.25">
      <c r="A288" s="23"/>
      <c r="B288" s="24"/>
      <c r="C288" s="25"/>
      <c r="D288" s="27"/>
      <c r="E288" s="27"/>
      <c r="F288" s="28"/>
      <c r="G288" s="27"/>
      <c r="H288" s="180"/>
      <c r="I288" s="27"/>
      <c r="J288" s="32"/>
      <c r="K288" s="32"/>
      <c r="L288" s="32"/>
      <c r="M288" s="32"/>
      <c r="N288" s="31"/>
      <c r="O288" s="32"/>
      <c r="P288" s="33"/>
      <c r="Q288" s="33"/>
      <c r="R288" s="32"/>
      <c r="S288" s="33"/>
      <c r="T288" s="5"/>
    </row>
    <row r="289" spans="1:20" x14ac:dyDescent="0.25">
      <c r="A289" s="23"/>
      <c r="B289" s="24"/>
      <c r="C289" s="25"/>
      <c r="D289" s="27"/>
      <c r="E289" s="27"/>
      <c r="F289" s="28"/>
      <c r="G289" s="27"/>
      <c r="H289" s="180"/>
      <c r="I289" s="27"/>
      <c r="J289" s="32"/>
      <c r="K289" s="32"/>
      <c r="L289" s="32"/>
      <c r="M289" s="32"/>
      <c r="N289" s="31"/>
      <c r="O289" s="32"/>
      <c r="P289" s="33"/>
      <c r="Q289" s="33"/>
      <c r="R289" s="32"/>
      <c r="S289" s="33"/>
      <c r="T289" s="5"/>
    </row>
    <row r="290" spans="1:20" x14ac:dyDescent="0.25">
      <c r="A290" s="23"/>
      <c r="B290" s="24"/>
      <c r="C290" s="25"/>
      <c r="D290" s="27"/>
      <c r="E290" s="27"/>
      <c r="F290" s="28"/>
      <c r="G290" s="27"/>
      <c r="H290" s="180"/>
      <c r="I290" s="27"/>
      <c r="J290" s="32"/>
      <c r="K290" s="32"/>
      <c r="L290" s="32"/>
      <c r="M290" s="32"/>
      <c r="N290" s="31"/>
      <c r="O290" s="32"/>
      <c r="P290" s="33"/>
      <c r="Q290" s="33"/>
      <c r="R290" s="32"/>
      <c r="S290" s="33"/>
      <c r="T290" s="5"/>
    </row>
    <row r="291" spans="1:20" x14ac:dyDescent="0.25">
      <c r="A291" s="23"/>
      <c r="B291" s="24"/>
      <c r="C291" s="25"/>
      <c r="D291" s="27"/>
      <c r="E291" s="27"/>
      <c r="F291" s="28"/>
      <c r="G291" s="27"/>
      <c r="H291" s="180"/>
      <c r="I291" s="27"/>
      <c r="J291" s="32"/>
      <c r="K291" s="32"/>
      <c r="L291" s="32"/>
      <c r="M291" s="32"/>
      <c r="N291" s="31"/>
      <c r="O291" s="32"/>
      <c r="P291" s="33"/>
      <c r="Q291" s="33"/>
      <c r="R291" s="32"/>
      <c r="S291" s="33"/>
      <c r="T291" s="5"/>
    </row>
    <row r="292" spans="1:20" x14ac:dyDescent="0.25">
      <c r="A292" s="23"/>
      <c r="B292" s="24"/>
      <c r="C292" s="25"/>
      <c r="D292" s="27"/>
      <c r="E292" s="27"/>
      <c r="F292" s="28"/>
      <c r="G292" s="27"/>
      <c r="H292" s="180"/>
      <c r="I292" s="27"/>
      <c r="J292" s="32"/>
      <c r="K292" s="32"/>
      <c r="L292" s="32"/>
      <c r="M292" s="32"/>
      <c r="N292" s="31"/>
      <c r="O292" s="32"/>
      <c r="P292" s="33"/>
      <c r="Q292" s="33"/>
      <c r="R292" s="32"/>
      <c r="S292" s="33"/>
      <c r="T292" s="5"/>
    </row>
    <row r="293" spans="1:20" x14ac:dyDescent="0.25">
      <c r="A293" s="23"/>
      <c r="B293" s="24"/>
      <c r="C293" s="25"/>
      <c r="D293" s="27"/>
      <c r="E293" s="27"/>
      <c r="F293" s="28"/>
      <c r="G293" s="27"/>
      <c r="H293" s="180"/>
      <c r="I293" s="27"/>
      <c r="J293" s="32"/>
      <c r="K293" s="32"/>
      <c r="L293" s="32"/>
      <c r="M293" s="32"/>
      <c r="N293" s="31"/>
      <c r="O293" s="32"/>
      <c r="P293" s="33"/>
      <c r="Q293" s="33"/>
      <c r="R293" s="32"/>
      <c r="S293" s="33"/>
      <c r="T293" s="5"/>
    </row>
    <row r="294" spans="1:20" x14ac:dyDescent="0.25">
      <c r="A294" s="23"/>
      <c r="B294" s="24"/>
      <c r="C294" s="25"/>
      <c r="D294" s="27"/>
      <c r="E294" s="27"/>
      <c r="F294" s="28"/>
      <c r="G294" s="27"/>
      <c r="H294" s="180"/>
      <c r="I294" s="27"/>
      <c r="J294" s="32"/>
      <c r="K294" s="32"/>
      <c r="L294" s="32"/>
      <c r="M294" s="32"/>
      <c r="N294" s="31"/>
      <c r="O294" s="32"/>
      <c r="P294" s="33"/>
      <c r="Q294" s="33"/>
      <c r="R294" s="32"/>
      <c r="S294" s="33"/>
      <c r="T294" s="5"/>
    </row>
    <row r="295" spans="1:20" x14ac:dyDescent="0.25">
      <c r="A295" s="23"/>
      <c r="B295" s="24"/>
      <c r="C295" s="25"/>
      <c r="D295" s="27"/>
      <c r="E295" s="27"/>
      <c r="F295" s="28"/>
      <c r="G295" s="27"/>
      <c r="H295" s="180"/>
      <c r="I295" s="27"/>
      <c r="J295" s="32"/>
      <c r="K295" s="32"/>
      <c r="L295" s="32"/>
      <c r="M295" s="32"/>
      <c r="N295" s="31"/>
      <c r="O295" s="32"/>
      <c r="P295" s="33"/>
      <c r="Q295" s="33"/>
      <c r="R295" s="32"/>
      <c r="S295" s="33"/>
      <c r="T295" s="5"/>
    </row>
    <row r="296" spans="1:20" x14ac:dyDescent="0.25">
      <c r="A296" s="23"/>
      <c r="B296" s="24"/>
      <c r="C296" s="25"/>
      <c r="D296" s="27"/>
      <c r="E296" s="27"/>
      <c r="F296" s="28"/>
      <c r="G296" s="27"/>
      <c r="H296" s="180"/>
      <c r="I296" s="27"/>
      <c r="J296" s="32"/>
      <c r="K296" s="32"/>
      <c r="L296" s="32"/>
      <c r="M296" s="32"/>
      <c r="N296" s="31"/>
      <c r="O296" s="32"/>
      <c r="P296" s="33"/>
      <c r="Q296" s="33"/>
      <c r="R296" s="32"/>
      <c r="S296" s="33"/>
      <c r="T296" s="5"/>
    </row>
    <row r="297" spans="1:20" x14ac:dyDescent="0.25">
      <c r="A297" s="23"/>
      <c r="B297" s="24"/>
      <c r="C297" s="25"/>
      <c r="D297" s="27"/>
      <c r="E297" s="27"/>
      <c r="F297" s="28"/>
      <c r="G297" s="27"/>
      <c r="H297" s="180"/>
      <c r="I297" s="27"/>
      <c r="J297" s="32"/>
      <c r="K297" s="32"/>
      <c r="L297" s="32"/>
      <c r="M297" s="32"/>
      <c r="N297" s="31"/>
      <c r="O297" s="32"/>
      <c r="P297" s="33"/>
      <c r="Q297" s="33"/>
      <c r="R297" s="32"/>
      <c r="S297" s="33"/>
      <c r="T297" s="5"/>
    </row>
    <row r="298" spans="1:20" x14ac:dyDescent="0.25">
      <c r="A298" s="23"/>
      <c r="B298" s="24"/>
      <c r="C298" s="25"/>
      <c r="D298" s="27"/>
      <c r="E298" s="27"/>
      <c r="F298" s="28"/>
      <c r="G298" s="27"/>
      <c r="H298" s="180"/>
      <c r="I298" s="27"/>
      <c r="J298" s="32"/>
      <c r="K298" s="32"/>
      <c r="L298" s="32"/>
      <c r="M298" s="32"/>
      <c r="N298" s="31"/>
      <c r="O298" s="32"/>
      <c r="P298" s="33"/>
      <c r="Q298" s="33"/>
      <c r="R298" s="32"/>
      <c r="S298" s="33"/>
      <c r="T298" s="5"/>
    </row>
    <row r="299" spans="1:20" x14ac:dyDescent="0.25">
      <c r="A299" s="23"/>
      <c r="B299" s="24"/>
      <c r="C299" s="25"/>
      <c r="D299" s="27"/>
      <c r="E299" s="27"/>
      <c r="F299" s="28"/>
      <c r="G299" s="27"/>
      <c r="H299" s="180"/>
      <c r="I299" s="27"/>
      <c r="J299" s="32"/>
      <c r="K299" s="32"/>
      <c r="L299" s="32"/>
      <c r="M299" s="32"/>
      <c r="N299" s="31"/>
      <c r="O299" s="32"/>
      <c r="P299" s="33"/>
      <c r="Q299" s="33"/>
      <c r="R299" s="32"/>
      <c r="S299" s="33"/>
      <c r="T299" s="5"/>
    </row>
    <row r="300" spans="1:20" x14ac:dyDescent="0.25">
      <c r="A300" s="23"/>
      <c r="B300" s="24"/>
      <c r="C300" s="25"/>
      <c r="D300" s="27"/>
      <c r="E300" s="27"/>
      <c r="F300" s="28"/>
      <c r="G300" s="27"/>
      <c r="H300" s="180"/>
      <c r="I300" s="27"/>
      <c r="J300" s="32"/>
      <c r="K300" s="32"/>
      <c r="L300" s="32"/>
      <c r="M300" s="32"/>
      <c r="N300" s="31"/>
      <c r="O300" s="32"/>
      <c r="P300" s="33"/>
      <c r="Q300" s="33"/>
      <c r="R300" s="32"/>
      <c r="S300" s="33"/>
      <c r="T300" s="5"/>
    </row>
    <row r="301" spans="1:20" x14ac:dyDescent="0.25">
      <c r="A301" s="23"/>
      <c r="B301" s="24"/>
      <c r="C301" s="25"/>
      <c r="D301" s="27"/>
      <c r="E301" s="27"/>
      <c r="F301" s="28"/>
      <c r="G301" s="27"/>
      <c r="H301" s="180"/>
      <c r="I301" s="27"/>
      <c r="J301" s="32"/>
      <c r="K301" s="32"/>
      <c r="L301" s="32"/>
      <c r="M301" s="32"/>
      <c r="N301" s="31"/>
      <c r="O301" s="32"/>
      <c r="P301" s="33"/>
      <c r="Q301" s="33"/>
      <c r="R301" s="32"/>
      <c r="S301" s="33"/>
      <c r="T301" s="5"/>
    </row>
    <row r="302" spans="1:20" x14ac:dyDescent="0.25">
      <c r="A302" s="23"/>
      <c r="B302" s="24"/>
      <c r="C302" s="25"/>
      <c r="D302" s="27"/>
      <c r="E302" s="27"/>
      <c r="F302" s="28"/>
      <c r="G302" s="27"/>
      <c r="H302" s="180"/>
      <c r="I302" s="27"/>
      <c r="J302" s="32"/>
      <c r="K302" s="32"/>
      <c r="L302" s="32"/>
      <c r="M302" s="32"/>
      <c r="N302" s="31"/>
      <c r="O302" s="32"/>
      <c r="P302" s="33"/>
      <c r="Q302" s="33"/>
      <c r="R302" s="32"/>
      <c r="S302" s="33"/>
      <c r="T302" s="5"/>
    </row>
    <row r="303" spans="1:20" x14ac:dyDescent="0.25">
      <c r="A303" s="23"/>
      <c r="B303" s="24"/>
      <c r="C303" s="25"/>
      <c r="D303" s="27"/>
      <c r="E303" s="27"/>
      <c r="F303" s="28"/>
      <c r="G303" s="27"/>
      <c r="H303" s="180"/>
      <c r="I303" s="27"/>
      <c r="J303" s="32"/>
      <c r="K303" s="32"/>
      <c r="L303" s="32"/>
      <c r="M303" s="32"/>
      <c r="N303" s="31"/>
      <c r="O303" s="32"/>
      <c r="P303" s="33"/>
      <c r="Q303" s="33"/>
      <c r="R303" s="32"/>
      <c r="S303" s="33"/>
      <c r="T303" s="5"/>
    </row>
    <row r="304" spans="1:20" x14ac:dyDescent="0.25">
      <c r="A304" s="23"/>
      <c r="B304" s="24"/>
      <c r="C304" s="25"/>
      <c r="D304" s="27"/>
      <c r="E304" s="27"/>
      <c r="F304" s="28"/>
      <c r="G304" s="27"/>
      <c r="H304" s="180"/>
      <c r="I304" s="27"/>
      <c r="J304" s="32"/>
      <c r="K304" s="32"/>
      <c r="L304" s="32"/>
      <c r="M304" s="32"/>
      <c r="N304" s="31"/>
      <c r="O304" s="32"/>
      <c r="P304" s="33"/>
      <c r="Q304" s="33"/>
      <c r="R304" s="32"/>
      <c r="S304" s="33"/>
      <c r="T304" s="5"/>
    </row>
    <row r="305" spans="1:20" x14ac:dyDescent="0.25">
      <c r="A305" s="23"/>
      <c r="B305" s="24"/>
      <c r="C305" s="25"/>
      <c r="D305" s="27"/>
      <c r="E305" s="27"/>
      <c r="F305" s="28"/>
      <c r="G305" s="27"/>
      <c r="H305" s="180"/>
      <c r="I305" s="27"/>
      <c r="J305" s="32"/>
      <c r="K305" s="32"/>
      <c r="L305" s="32"/>
      <c r="M305" s="32"/>
      <c r="N305" s="31"/>
      <c r="O305" s="32"/>
      <c r="P305" s="33"/>
      <c r="Q305" s="33"/>
      <c r="R305" s="32"/>
      <c r="S305" s="33"/>
      <c r="T305" s="5"/>
    </row>
    <row r="306" spans="1:20" x14ac:dyDescent="0.25">
      <c r="A306" s="23"/>
      <c r="B306" s="24"/>
      <c r="C306" s="25"/>
      <c r="D306" s="27"/>
      <c r="E306" s="27"/>
      <c r="F306" s="28"/>
      <c r="G306" s="27"/>
      <c r="H306" s="180"/>
      <c r="I306" s="27"/>
      <c r="J306" s="32"/>
      <c r="K306" s="32"/>
      <c r="L306" s="32"/>
      <c r="M306" s="32"/>
      <c r="N306" s="31"/>
      <c r="O306" s="32"/>
      <c r="P306" s="33"/>
      <c r="Q306" s="33"/>
      <c r="R306" s="32"/>
      <c r="S306" s="33"/>
      <c r="T306" s="5"/>
    </row>
    <row r="307" spans="1:20" x14ac:dyDescent="0.25">
      <c r="A307" s="23"/>
      <c r="B307" s="24"/>
      <c r="C307" s="25"/>
      <c r="D307" s="27"/>
      <c r="E307" s="27"/>
      <c r="F307" s="28"/>
      <c r="G307" s="27"/>
      <c r="H307" s="180"/>
      <c r="I307" s="27"/>
      <c r="J307" s="32"/>
      <c r="K307" s="32"/>
      <c r="L307" s="32"/>
      <c r="M307" s="32"/>
      <c r="N307" s="31"/>
      <c r="O307" s="32"/>
      <c r="P307" s="33"/>
      <c r="Q307" s="33"/>
      <c r="R307" s="32"/>
      <c r="S307" s="33"/>
      <c r="T307" s="5"/>
    </row>
    <row r="308" spans="1:20" x14ac:dyDescent="0.25">
      <c r="A308" s="23"/>
      <c r="B308" s="24"/>
      <c r="C308" s="25"/>
      <c r="D308" s="27"/>
      <c r="E308" s="27"/>
      <c r="F308" s="28"/>
      <c r="G308" s="27"/>
      <c r="H308" s="180"/>
      <c r="I308" s="27"/>
      <c r="J308" s="32"/>
      <c r="K308" s="32"/>
      <c r="L308" s="32"/>
      <c r="M308" s="32"/>
      <c r="N308" s="31"/>
      <c r="O308" s="32"/>
      <c r="P308" s="33"/>
      <c r="Q308" s="33"/>
      <c r="R308" s="32"/>
      <c r="S308" s="33"/>
      <c r="T308" s="5"/>
    </row>
    <row r="309" spans="1:20" x14ac:dyDescent="0.25">
      <c r="A309" s="23"/>
      <c r="B309" s="24"/>
      <c r="C309" s="25"/>
      <c r="D309" s="27"/>
      <c r="E309" s="27"/>
      <c r="F309" s="28"/>
      <c r="G309" s="27"/>
      <c r="H309" s="180"/>
      <c r="I309" s="27"/>
      <c r="J309" s="32"/>
      <c r="K309" s="32"/>
      <c r="L309" s="32"/>
      <c r="M309" s="32"/>
      <c r="N309" s="31"/>
      <c r="O309" s="32"/>
      <c r="P309" s="33"/>
      <c r="Q309" s="33"/>
      <c r="R309" s="32"/>
      <c r="S309" s="33"/>
      <c r="T309" s="5"/>
    </row>
    <row r="310" spans="1:20" x14ac:dyDescent="0.25">
      <c r="A310" s="23"/>
      <c r="B310" s="24"/>
      <c r="C310" s="25"/>
      <c r="D310" s="27"/>
      <c r="E310" s="27"/>
      <c r="F310" s="28"/>
      <c r="G310" s="27"/>
      <c r="H310" s="180"/>
      <c r="I310" s="27"/>
      <c r="J310" s="32"/>
      <c r="K310" s="32"/>
      <c r="L310" s="32"/>
      <c r="M310" s="32"/>
      <c r="N310" s="31"/>
      <c r="O310" s="32"/>
      <c r="P310" s="33"/>
      <c r="Q310" s="33"/>
      <c r="R310" s="32"/>
      <c r="S310" s="33"/>
      <c r="T310" s="5"/>
    </row>
    <row r="311" spans="1:20" x14ac:dyDescent="0.25">
      <c r="A311" s="23"/>
      <c r="B311" s="24"/>
      <c r="C311" s="25"/>
      <c r="D311" s="27"/>
      <c r="E311" s="27"/>
      <c r="F311" s="28"/>
      <c r="G311" s="27"/>
      <c r="H311" s="180"/>
      <c r="I311" s="27"/>
      <c r="J311" s="32"/>
      <c r="K311" s="32"/>
      <c r="L311" s="32"/>
      <c r="M311" s="32"/>
      <c r="N311" s="31"/>
      <c r="O311" s="32"/>
      <c r="P311" s="33"/>
      <c r="Q311" s="33"/>
      <c r="R311" s="32"/>
      <c r="S311" s="33"/>
      <c r="T311" s="5"/>
    </row>
    <row r="312" spans="1:20" x14ac:dyDescent="0.25">
      <c r="A312" s="23"/>
      <c r="B312" s="24"/>
      <c r="C312" s="25"/>
      <c r="D312" s="27"/>
      <c r="E312" s="27"/>
      <c r="F312" s="28"/>
      <c r="G312" s="27"/>
      <c r="H312" s="180"/>
      <c r="I312" s="27"/>
      <c r="J312" s="32"/>
      <c r="K312" s="32"/>
      <c r="L312" s="32"/>
      <c r="M312" s="32"/>
      <c r="N312" s="31"/>
      <c r="O312" s="32"/>
      <c r="P312" s="33"/>
      <c r="Q312" s="33"/>
      <c r="R312" s="32"/>
      <c r="S312" s="33"/>
      <c r="T312" s="5"/>
    </row>
    <row r="313" spans="1:20" x14ac:dyDescent="0.25">
      <c r="A313" s="23"/>
      <c r="B313" s="24"/>
      <c r="C313" s="25"/>
      <c r="D313" s="27"/>
      <c r="E313" s="27"/>
      <c r="F313" s="28"/>
      <c r="G313" s="27"/>
      <c r="H313" s="180"/>
      <c r="I313" s="27"/>
      <c r="J313" s="32"/>
      <c r="K313" s="32"/>
      <c r="L313" s="32"/>
      <c r="M313" s="32"/>
      <c r="N313" s="31"/>
      <c r="O313" s="32"/>
      <c r="P313" s="33"/>
      <c r="Q313" s="33"/>
      <c r="R313" s="32"/>
      <c r="S313" s="33"/>
      <c r="T313" s="5"/>
    </row>
    <row r="314" spans="1:20" x14ac:dyDescent="0.25">
      <c r="A314" s="23"/>
      <c r="B314" s="24"/>
      <c r="C314" s="25"/>
      <c r="D314" s="27"/>
      <c r="E314" s="27"/>
      <c r="F314" s="28"/>
      <c r="G314" s="27"/>
      <c r="H314" s="180"/>
      <c r="I314" s="27"/>
      <c r="J314" s="32"/>
      <c r="K314" s="32"/>
      <c r="L314" s="32"/>
      <c r="M314" s="32"/>
      <c r="N314" s="31"/>
      <c r="O314" s="32"/>
      <c r="P314" s="33"/>
      <c r="Q314" s="33"/>
      <c r="R314" s="32"/>
      <c r="S314" s="33"/>
      <c r="T314" s="5"/>
    </row>
    <row r="315" spans="1:20" x14ac:dyDescent="0.25">
      <c r="A315" s="23"/>
      <c r="B315" s="24"/>
      <c r="C315" s="25"/>
      <c r="D315" s="27"/>
      <c r="E315" s="27"/>
      <c r="F315" s="28"/>
      <c r="G315" s="27"/>
      <c r="H315" s="180"/>
      <c r="I315" s="27"/>
      <c r="J315" s="32"/>
      <c r="K315" s="32"/>
      <c r="L315" s="32"/>
      <c r="M315" s="32"/>
      <c r="N315" s="31"/>
      <c r="O315" s="32"/>
      <c r="P315" s="33"/>
      <c r="Q315" s="33"/>
      <c r="R315" s="32"/>
      <c r="S315" s="33"/>
      <c r="T315" s="5"/>
    </row>
    <row r="316" spans="1:20" x14ac:dyDescent="0.25">
      <c r="A316" s="23"/>
      <c r="B316" s="24"/>
      <c r="C316" s="25"/>
      <c r="D316" s="27"/>
      <c r="E316" s="27"/>
      <c r="F316" s="28"/>
      <c r="G316" s="27"/>
      <c r="H316" s="180"/>
      <c r="I316" s="27"/>
      <c r="J316" s="32"/>
      <c r="K316" s="32"/>
      <c r="L316" s="32"/>
      <c r="M316" s="32"/>
      <c r="N316" s="31"/>
      <c r="O316" s="32"/>
      <c r="P316" s="33"/>
      <c r="Q316" s="33"/>
      <c r="R316" s="32"/>
      <c r="S316" s="33"/>
      <c r="T316" s="5"/>
    </row>
    <row r="317" spans="1:20" x14ac:dyDescent="0.25">
      <c r="A317" s="23"/>
      <c r="B317" s="24"/>
      <c r="C317" s="25"/>
      <c r="D317" s="27"/>
      <c r="E317" s="27"/>
      <c r="F317" s="28"/>
      <c r="G317" s="27"/>
      <c r="H317" s="180"/>
      <c r="I317" s="27"/>
      <c r="J317" s="32"/>
      <c r="K317" s="32"/>
      <c r="L317" s="32"/>
      <c r="M317" s="32"/>
      <c r="N317" s="31"/>
      <c r="O317" s="32"/>
      <c r="P317" s="33"/>
      <c r="Q317" s="33"/>
      <c r="R317" s="32"/>
      <c r="S317" s="33"/>
      <c r="T317" s="5"/>
    </row>
    <row r="318" spans="1:20" x14ac:dyDescent="0.25">
      <c r="A318" s="23"/>
      <c r="B318" s="24"/>
      <c r="C318" s="25"/>
      <c r="D318" s="27"/>
      <c r="E318" s="27"/>
      <c r="F318" s="28"/>
      <c r="G318" s="27"/>
      <c r="H318" s="180"/>
      <c r="I318" s="27"/>
      <c r="J318" s="32"/>
      <c r="K318" s="32"/>
      <c r="L318" s="32"/>
      <c r="M318" s="32"/>
      <c r="N318" s="31"/>
      <c r="O318" s="32"/>
      <c r="P318" s="33"/>
      <c r="Q318" s="33"/>
      <c r="R318" s="32"/>
      <c r="S318" s="33"/>
      <c r="T318" s="5"/>
    </row>
    <row r="319" spans="1:20" x14ac:dyDescent="0.25">
      <c r="A319" s="23"/>
      <c r="B319" s="24"/>
      <c r="C319" s="25"/>
      <c r="D319" s="27"/>
      <c r="E319" s="27"/>
      <c r="F319" s="28"/>
      <c r="G319" s="27"/>
      <c r="H319" s="180"/>
      <c r="I319" s="27"/>
      <c r="J319" s="32"/>
      <c r="K319" s="32"/>
      <c r="L319" s="32"/>
      <c r="M319" s="32"/>
      <c r="N319" s="31"/>
      <c r="O319" s="32"/>
      <c r="P319" s="33"/>
      <c r="Q319" s="33"/>
      <c r="R319" s="32"/>
      <c r="S319" s="33"/>
      <c r="T319" s="5"/>
    </row>
    <row r="320" spans="1:20" x14ac:dyDescent="0.25">
      <c r="A320" s="23"/>
      <c r="B320" s="24"/>
      <c r="C320" s="25"/>
      <c r="D320" s="27"/>
      <c r="E320" s="27"/>
      <c r="F320" s="28"/>
      <c r="G320" s="27"/>
      <c r="H320" s="180"/>
      <c r="I320" s="27"/>
      <c r="J320" s="32"/>
      <c r="K320" s="32"/>
      <c r="L320" s="32"/>
      <c r="M320" s="32"/>
      <c r="N320" s="31"/>
      <c r="O320" s="32"/>
      <c r="P320" s="33"/>
      <c r="Q320" s="33"/>
      <c r="R320" s="32"/>
      <c r="S320" s="33"/>
      <c r="T320" s="5"/>
    </row>
    <row r="321" spans="1:20" x14ac:dyDescent="0.25">
      <c r="A321" s="23"/>
      <c r="B321" s="24"/>
      <c r="C321" s="25"/>
      <c r="D321" s="27"/>
      <c r="E321" s="27"/>
      <c r="F321" s="28"/>
      <c r="G321" s="27"/>
      <c r="H321" s="180"/>
      <c r="I321" s="27"/>
      <c r="J321" s="32"/>
      <c r="K321" s="32"/>
      <c r="L321" s="32"/>
      <c r="M321" s="32"/>
      <c r="N321" s="31"/>
      <c r="O321" s="32"/>
      <c r="P321" s="33"/>
      <c r="Q321" s="33"/>
      <c r="R321" s="32"/>
      <c r="S321" s="33"/>
      <c r="T321" s="5"/>
    </row>
    <row r="322" spans="1:20" x14ac:dyDescent="0.25">
      <c r="A322" s="23"/>
      <c r="B322" s="24"/>
      <c r="C322" s="25"/>
      <c r="D322" s="27"/>
      <c r="E322" s="27"/>
      <c r="F322" s="28"/>
      <c r="G322" s="27"/>
      <c r="H322" s="180"/>
      <c r="I322" s="27"/>
      <c r="J322" s="32"/>
      <c r="K322" s="32"/>
      <c r="L322" s="32"/>
      <c r="M322" s="32"/>
      <c r="N322" s="31"/>
      <c r="O322" s="32"/>
      <c r="P322" s="33"/>
      <c r="Q322" s="33"/>
      <c r="R322" s="32"/>
      <c r="S322" s="33"/>
      <c r="T322" s="5"/>
    </row>
    <row r="323" spans="1:20" x14ac:dyDescent="0.25">
      <c r="A323" s="23"/>
      <c r="B323" s="24"/>
      <c r="C323" s="25"/>
      <c r="D323" s="27"/>
      <c r="E323" s="27"/>
      <c r="F323" s="28"/>
      <c r="G323" s="27"/>
      <c r="H323" s="180"/>
      <c r="I323" s="27"/>
      <c r="J323" s="32"/>
      <c r="K323" s="32"/>
      <c r="L323" s="32"/>
      <c r="M323" s="32"/>
      <c r="N323" s="31"/>
      <c r="O323" s="32"/>
      <c r="P323" s="33"/>
      <c r="Q323" s="33"/>
      <c r="R323" s="32"/>
      <c r="S323" s="33"/>
      <c r="T323" s="5"/>
    </row>
    <row r="324" spans="1:20" x14ac:dyDescent="0.25">
      <c r="A324" s="23"/>
      <c r="B324" s="24"/>
      <c r="C324" s="25"/>
      <c r="D324" s="27"/>
      <c r="E324" s="27"/>
      <c r="F324" s="28"/>
      <c r="G324" s="27"/>
      <c r="H324" s="180"/>
      <c r="I324" s="27"/>
      <c r="J324" s="32"/>
      <c r="K324" s="32"/>
      <c r="L324" s="32"/>
      <c r="M324" s="32"/>
      <c r="N324" s="31"/>
      <c r="O324" s="32"/>
      <c r="P324" s="33"/>
      <c r="Q324" s="33"/>
      <c r="R324" s="32"/>
      <c r="S324" s="33"/>
      <c r="T324" s="5"/>
    </row>
    <row r="325" spans="1:20" x14ac:dyDescent="0.25">
      <c r="A325" s="23"/>
      <c r="B325" s="24"/>
      <c r="C325" s="25"/>
      <c r="D325" s="27"/>
      <c r="E325" s="27"/>
      <c r="F325" s="28"/>
      <c r="G325" s="27"/>
      <c r="H325" s="180"/>
      <c r="I325" s="27"/>
      <c r="J325" s="32"/>
      <c r="K325" s="32"/>
      <c r="L325" s="32"/>
      <c r="M325" s="32"/>
      <c r="N325" s="31"/>
      <c r="O325" s="32"/>
      <c r="P325" s="33"/>
      <c r="Q325" s="33"/>
      <c r="R325" s="32"/>
      <c r="S325" s="33"/>
      <c r="T325" s="5"/>
    </row>
    <row r="326" spans="1:20" x14ac:dyDescent="0.25">
      <c r="A326" s="23"/>
      <c r="B326" s="24"/>
      <c r="C326" s="25"/>
      <c r="D326" s="27"/>
      <c r="E326" s="27"/>
      <c r="F326" s="28"/>
      <c r="G326" s="27"/>
      <c r="H326" s="180"/>
      <c r="I326" s="27"/>
      <c r="J326" s="32"/>
      <c r="K326" s="32"/>
      <c r="L326" s="32"/>
      <c r="M326" s="32"/>
      <c r="N326" s="31"/>
      <c r="O326" s="32"/>
      <c r="P326" s="33"/>
      <c r="Q326" s="33"/>
      <c r="R326" s="32"/>
      <c r="S326" s="33"/>
      <c r="T326" s="5"/>
    </row>
    <row r="327" spans="1:20" x14ac:dyDescent="0.25">
      <c r="A327" s="23"/>
      <c r="B327" s="24"/>
      <c r="C327" s="25"/>
      <c r="D327" s="27"/>
      <c r="E327" s="27"/>
      <c r="F327" s="28"/>
      <c r="G327" s="27"/>
      <c r="H327" s="180"/>
      <c r="I327" s="27"/>
      <c r="J327" s="32"/>
      <c r="K327" s="32"/>
      <c r="L327" s="32"/>
      <c r="M327" s="32"/>
      <c r="N327" s="31"/>
      <c r="O327" s="32"/>
      <c r="P327" s="33"/>
      <c r="Q327" s="33"/>
      <c r="R327" s="32"/>
      <c r="S327" s="33"/>
      <c r="T327" s="5"/>
    </row>
    <row r="328" spans="1:20" x14ac:dyDescent="0.25">
      <c r="A328" s="23"/>
      <c r="B328" s="24"/>
      <c r="C328" s="25"/>
      <c r="D328" s="27"/>
      <c r="E328" s="27"/>
      <c r="F328" s="28"/>
      <c r="G328" s="27"/>
      <c r="H328" s="180"/>
      <c r="I328" s="27"/>
      <c r="J328" s="32"/>
      <c r="K328" s="32"/>
      <c r="L328" s="32"/>
      <c r="M328" s="32"/>
      <c r="N328" s="31"/>
      <c r="O328" s="32"/>
      <c r="P328" s="33"/>
      <c r="Q328" s="33"/>
      <c r="R328" s="32"/>
      <c r="S328" s="33"/>
      <c r="T328" s="5"/>
    </row>
    <row r="329" spans="1:20" x14ac:dyDescent="0.25">
      <c r="A329" s="23"/>
      <c r="B329" s="24"/>
      <c r="C329" s="25"/>
      <c r="D329" s="27"/>
      <c r="E329" s="27"/>
      <c r="F329" s="28"/>
      <c r="G329" s="27"/>
      <c r="H329" s="180"/>
      <c r="I329" s="27"/>
      <c r="J329" s="32"/>
      <c r="K329" s="32"/>
      <c r="L329" s="32"/>
      <c r="M329" s="32"/>
      <c r="N329" s="31"/>
      <c r="O329" s="32"/>
      <c r="P329" s="33"/>
      <c r="Q329" s="33"/>
      <c r="R329" s="32"/>
      <c r="S329" s="33"/>
      <c r="T329" s="5"/>
    </row>
    <row r="330" spans="1:20" x14ac:dyDescent="0.25">
      <c r="A330" s="23"/>
      <c r="B330" s="24"/>
      <c r="C330" s="25"/>
      <c r="D330" s="27"/>
      <c r="E330" s="27"/>
      <c r="F330" s="28"/>
      <c r="G330" s="27"/>
      <c r="H330" s="180"/>
      <c r="I330" s="27"/>
      <c r="J330" s="32"/>
      <c r="K330" s="32"/>
      <c r="L330" s="32"/>
      <c r="M330" s="32"/>
      <c r="N330" s="31"/>
      <c r="O330" s="32"/>
      <c r="P330" s="33"/>
      <c r="Q330" s="33"/>
      <c r="R330" s="32"/>
      <c r="S330" s="33"/>
      <c r="T330" s="5"/>
    </row>
    <row r="331" spans="1:20" x14ac:dyDescent="0.25">
      <c r="A331" s="23"/>
      <c r="B331" s="24"/>
      <c r="C331" s="25"/>
      <c r="D331" s="27"/>
      <c r="E331" s="27"/>
      <c r="F331" s="28"/>
      <c r="G331" s="27"/>
      <c r="H331" s="180"/>
      <c r="I331" s="27"/>
      <c r="J331" s="32"/>
      <c r="K331" s="32"/>
      <c r="L331" s="32"/>
      <c r="M331" s="32"/>
      <c r="N331" s="31"/>
      <c r="O331" s="32"/>
      <c r="P331" s="33"/>
      <c r="Q331" s="33"/>
      <c r="R331" s="32"/>
      <c r="S331" s="33"/>
      <c r="T331" s="5"/>
    </row>
    <row r="332" spans="1:20" x14ac:dyDescent="0.25">
      <c r="A332" s="23"/>
      <c r="B332" s="24"/>
      <c r="C332" s="25"/>
      <c r="D332" s="27"/>
      <c r="E332" s="27"/>
      <c r="F332" s="28"/>
      <c r="G332" s="27"/>
      <c r="H332" s="180"/>
      <c r="I332" s="27"/>
      <c r="J332" s="32"/>
      <c r="K332" s="32"/>
      <c r="L332" s="32"/>
      <c r="M332" s="32"/>
      <c r="N332" s="31"/>
      <c r="O332" s="32"/>
      <c r="P332" s="33"/>
      <c r="Q332" s="33"/>
      <c r="R332" s="32"/>
      <c r="S332" s="33"/>
      <c r="T332" s="5"/>
    </row>
    <row r="333" spans="1:20" x14ac:dyDescent="0.25">
      <c r="A333" s="23"/>
      <c r="B333" s="24"/>
      <c r="C333" s="25"/>
      <c r="D333" s="27"/>
      <c r="E333" s="27"/>
      <c r="F333" s="28"/>
      <c r="G333" s="27"/>
      <c r="H333" s="180"/>
      <c r="I333" s="27"/>
      <c r="J333" s="32"/>
      <c r="K333" s="32"/>
      <c r="L333" s="32"/>
      <c r="M333" s="32"/>
      <c r="N333" s="31"/>
      <c r="O333" s="32"/>
      <c r="P333" s="33"/>
      <c r="Q333" s="33"/>
      <c r="R333" s="32"/>
      <c r="S333" s="33"/>
      <c r="T333" s="5"/>
    </row>
    <row r="334" spans="1:20" x14ac:dyDescent="0.25">
      <c r="A334" s="23"/>
      <c r="B334" s="24"/>
      <c r="C334" s="25"/>
      <c r="D334" s="27"/>
      <c r="E334" s="27"/>
      <c r="F334" s="28"/>
      <c r="G334" s="27"/>
      <c r="H334" s="180"/>
      <c r="I334" s="27"/>
      <c r="J334" s="32"/>
      <c r="K334" s="32"/>
      <c r="L334" s="32"/>
      <c r="M334" s="32"/>
      <c r="N334" s="31"/>
      <c r="O334" s="32"/>
      <c r="P334" s="33"/>
      <c r="Q334" s="33"/>
      <c r="R334" s="32"/>
      <c r="S334" s="33"/>
      <c r="T334" s="5"/>
    </row>
    <row r="335" spans="1:20" x14ac:dyDescent="0.25">
      <c r="A335" s="23"/>
      <c r="B335" s="24"/>
      <c r="C335" s="25"/>
      <c r="D335" s="27"/>
      <c r="E335" s="27"/>
      <c r="F335" s="28"/>
      <c r="G335" s="27"/>
      <c r="H335" s="180"/>
      <c r="I335" s="27"/>
      <c r="J335" s="32"/>
      <c r="K335" s="32"/>
      <c r="L335" s="32"/>
      <c r="M335" s="32"/>
      <c r="N335" s="31"/>
      <c r="O335" s="32"/>
      <c r="P335" s="33"/>
      <c r="Q335" s="33"/>
      <c r="R335" s="32"/>
      <c r="S335" s="33"/>
      <c r="T335" s="5"/>
    </row>
    <row r="336" spans="1:20" x14ac:dyDescent="0.25">
      <c r="A336" s="23"/>
      <c r="B336" s="24"/>
      <c r="C336" s="25"/>
      <c r="D336" s="27"/>
      <c r="E336" s="27"/>
      <c r="F336" s="28"/>
      <c r="G336" s="27"/>
      <c r="H336" s="180"/>
      <c r="I336" s="27"/>
      <c r="J336" s="32"/>
      <c r="K336" s="32"/>
      <c r="L336" s="32"/>
      <c r="M336" s="32"/>
      <c r="N336" s="31"/>
      <c r="O336" s="32"/>
      <c r="P336" s="33"/>
      <c r="Q336" s="33"/>
      <c r="R336" s="32"/>
      <c r="S336" s="33"/>
      <c r="T336" s="5"/>
    </row>
    <row r="337" spans="1:20" x14ac:dyDescent="0.25">
      <c r="A337" s="23"/>
      <c r="B337" s="24"/>
      <c r="C337" s="25"/>
      <c r="D337" s="27"/>
      <c r="E337" s="27"/>
      <c r="F337" s="28"/>
      <c r="G337" s="27"/>
      <c r="H337" s="180"/>
      <c r="I337" s="27"/>
      <c r="J337" s="32"/>
      <c r="K337" s="32"/>
      <c r="L337" s="32"/>
      <c r="M337" s="32"/>
      <c r="N337" s="31"/>
      <c r="O337" s="32"/>
      <c r="P337" s="33"/>
      <c r="Q337" s="33"/>
      <c r="R337" s="32"/>
      <c r="S337" s="33"/>
      <c r="T337" s="5"/>
    </row>
    <row r="338" spans="1:20" x14ac:dyDescent="0.25">
      <c r="A338" s="23"/>
      <c r="B338" s="24"/>
      <c r="C338" s="25"/>
      <c r="D338" s="27"/>
      <c r="E338" s="27"/>
      <c r="F338" s="28"/>
      <c r="G338" s="27"/>
      <c r="H338" s="180"/>
      <c r="I338" s="27"/>
      <c r="J338" s="32"/>
      <c r="K338" s="32"/>
      <c r="L338" s="32"/>
      <c r="M338" s="32"/>
      <c r="N338" s="31"/>
      <c r="O338" s="32"/>
      <c r="P338" s="33"/>
      <c r="Q338" s="33"/>
      <c r="R338" s="32"/>
      <c r="S338" s="33"/>
      <c r="T338" s="5"/>
    </row>
    <row r="339" spans="1:20" x14ac:dyDescent="0.25">
      <c r="A339" s="23"/>
      <c r="B339" s="24"/>
      <c r="C339" s="25"/>
      <c r="D339" s="27"/>
      <c r="E339" s="27"/>
      <c r="F339" s="28"/>
      <c r="G339" s="27"/>
      <c r="H339" s="180"/>
      <c r="I339" s="27"/>
      <c r="J339" s="32"/>
      <c r="K339" s="32"/>
      <c r="L339" s="32"/>
      <c r="M339" s="32"/>
      <c r="N339" s="31"/>
      <c r="O339" s="32"/>
      <c r="P339" s="33"/>
      <c r="Q339" s="33"/>
      <c r="R339" s="32"/>
      <c r="S339" s="33"/>
      <c r="T339" s="5"/>
    </row>
    <row r="340" spans="1:20" x14ac:dyDescent="0.25">
      <c r="A340" s="23"/>
      <c r="B340" s="24"/>
      <c r="C340" s="25"/>
      <c r="D340" s="27"/>
      <c r="E340" s="27"/>
      <c r="F340" s="28"/>
      <c r="G340" s="27"/>
      <c r="H340" s="180"/>
      <c r="I340" s="27"/>
      <c r="J340" s="32"/>
      <c r="K340" s="32"/>
      <c r="L340" s="32"/>
      <c r="M340" s="32"/>
      <c r="N340" s="31"/>
      <c r="O340" s="32"/>
      <c r="P340" s="33"/>
      <c r="Q340" s="33"/>
      <c r="R340" s="32"/>
      <c r="S340" s="33"/>
      <c r="T340" s="5"/>
    </row>
    <row r="341" spans="1:20" x14ac:dyDescent="0.25">
      <c r="A341" s="23"/>
      <c r="B341" s="24"/>
      <c r="C341" s="25"/>
      <c r="D341" s="27"/>
      <c r="E341" s="27"/>
      <c r="F341" s="28"/>
      <c r="G341" s="27"/>
      <c r="H341" s="180"/>
      <c r="I341" s="27"/>
      <c r="J341" s="32"/>
      <c r="K341" s="32"/>
      <c r="L341" s="32"/>
      <c r="M341" s="32"/>
      <c r="N341" s="31"/>
      <c r="O341" s="32"/>
      <c r="P341" s="33"/>
      <c r="Q341" s="33"/>
      <c r="R341" s="32"/>
      <c r="S341" s="33"/>
      <c r="T341" s="5"/>
    </row>
    <row r="342" spans="1:20" x14ac:dyDescent="0.25">
      <c r="A342" s="23"/>
      <c r="B342" s="24"/>
      <c r="C342" s="25"/>
      <c r="D342" s="27"/>
      <c r="E342" s="27"/>
      <c r="F342" s="28"/>
      <c r="G342" s="27"/>
      <c r="H342" s="180"/>
      <c r="I342" s="27"/>
      <c r="J342" s="32"/>
      <c r="K342" s="32"/>
      <c r="L342" s="32"/>
      <c r="M342" s="32"/>
      <c r="N342" s="31"/>
      <c r="O342" s="32"/>
      <c r="P342" s="33"/>
      <c r="Q342" s="33"/>
      <c r="R342" s="32"/>
      <c r="S342" s="33"/>
      <c r="T342" s="5"/>
    </row>
    <row r="343" spans="1:20" x14ac:dyDescent="0.25">
      <c r="A343" s="23"/>
      <c r="B343" s="24"/>
      <c r="C343" s="25"/>
      <c r="D343" s="27"/>
      <c r="E343" s="27"/>
      <c r="F343" s="28"/>
      <c r="G343" s="27"/>
      <c r="H343" s="180"/>
      <c r="I343" s="27"/>
      <c r="J343" s="32"/>
      <c r="K343" s="32"/>
      <c r="L343" s="32"/>
      <c r="M343" s="32"/>
      <c r="N343" s="31"/>
      <c r="O343" s="32"/>
      <c r="P343" s="33"/>
      <c r="Q343" s="33"/>
      <c r="R343" s="32"/>
      <c r="S343" s="33"/>
      <c r="T343" s="5"/>
    </row>
    <row r="344" spans="1:20" x14ac:dyDescent="0.25">
      <c r="A344" s="23"/>
      <c r="B344" s="24"/>
      <c r="C344" s="25"/>
      <c r="D344" s="27"/>
      <c r="E344" s="27"/>
      <c r="F344" s="28"/>
      <c r="G344" s="27"/>
      <c r="H344" s="180"/>
      <c r="I344" s="27"/>
      <c r="J344" s="32"/>
      <c r="K344" s="32"/>
      <c r="L344" s="32"/>
      <c r="M344" s="32"/>
      <c r="N344" s="31"/>
      <c r="O344" s="32"/>
      <c r="P344" s="33"/>
      <c r="Q344" s="33"/>
      <c r="R344" s="32"/>
      <c r="S344" s="33"/>
      <c r="T344" s="5"/>
    </row>
    <row r="345" spans="1:20" x14ac:dyDescent="0.25">
      <c r="A345" s="23"/>
      <c r="B345" s="24"/>
      <c r="C345" s="25"/>
      <c r="D345" s="27"/>
      <c r="E345" s="27"/>
      <c r="F345" s="28"/>
      <c r="G345" s="27"/>
      <c r="H345" s="180"/>
      <c r="I345" s="27"/>
      <c r="J345" s="32"/>
      <c r="K345" s="32"/>
      <c r="L345" s="32"/>
      <c r="M345" s="32"/>
      <c r="N345" s="31"/>
      <c r="O345" s="32"/>
      <c r="P345" s="33"/>
      <c r="Q345" s="33"/>
      <c r="R345" s="32"/>
      <c r="S345" s="33"/>
      <c r="T345" s="5"/>
    </row>
    <row r="346" spans="1:20" x14ac:dyDescent="0.25">
      <c r="A346" s="23"/>
      <c r="B346" s="24"/>
      <c r="C346" s="25"/>
      <c r="D346" s="27"/>
      <c r="E346" s="27"/>
      <c r="F346" s="28"/>
      <c r="G346" s="27"/>
      <c r="H346" s="180"/>
      <c r="I346" s="27"/>
      <c r="J346" s="32"/>
      <c r="K346" s="32"/>
      <c r="L346" s="32"/>
      <c r="M346" s="32"/>
      <c r="N346" s="31"/>
      <c r="O346" s="32"/>
      <c r="P346" s="33"/>
      <c r="Q346" s="33"/>
      <c r="R346" s="32"/>
      <c r="S346" s="33"/>
      <c r="T346" s="5"/>
    </row>
    <row r="347" spans="1:20" x14ac:dyDescent="0.25">
      <c r="A347" s="23"/>
      <c r="B347" s="24"/>
      <c r="C347" s="25"/>
      <c r="D347" s="27"/>
      <c r="E347" s="27"/>
      <c r="F347" s="28"/>
      <c r="G347" s="27"/>
      <c r="H347" s="180"/>
      <c r="I347" s="27"/>
      <c r="J347" s="32"/>
      <c r="K347" s="32"/>
      <c r="L347" s="32"/>
      <c r="M347" s="32"/>
      <c r="N347" s="31"/>
      <c r="O347" s="32"/>
      <c r="P347" s="33"/>
      <c r="Q347" s="33"/>
      <c r="R347" s="32"/>
      <c r="S347" s="33"/>
      <c r="T347" s="5"/>
    </row>
    <row r="348" spans="1:20" x14ac:dyDescent="0.25">
      <c r="A348" s="23"/>
      <c r="B348" s="24"/>
      <c r="C348" s="25"/>
      <c r="D348" s="27"/>
      <c r="E348" s="27"/>
      <c r="F348" s="28"/>
      <c r="G348" s="27"/>
      <c r="H348" s="180"/>
      <c r="I348" s="27"/>
      <c r="J348" s="32"/>
      <c r="K348" s="32"/>
      <c r="L348" s="32"/>
      <c r="M348" s="32"/>
      <c r="N348" s="31"/>
      <c r="O348" s="32"/>
      <c r="P348" s="33"/>
      <c r="Q348" s="33"/>
      <c r="R348" s="32"/>
      <c r="S348" s="33"/>
      <c r="T348" s="5"/>
    </row>
    <row r="349" spans="1:20" x14ac:dyDescent="0.25">
      <c r="A349" s="23"/>
      <c r="B349" s="24"/>
      <c r="C349" s="25"/>
      <c r="D349" s="27"/>
      <c r="E349" s="27"/>
      <c r="F349" s="28"/>
      <c r="G349" s="27"/>
      <c r="H349" s="180"/>
      <c r="I349" s="27"/>
      <c r="J349" s="32"/>
      <c r="K349" s="32"/>
      <c r="L349" s="32"/>
      <c r="M349" s="32"/>
      <c r="N349" s="31"/>
      <c r="O349" s="32"/>
      <c r="P349" s="33"/>
      <c r="Q349" s="33"/>
      <c r="R349" s="32"/>
      <c r="S349" s="33"/>
      <c r="T349" s="5"/>
    </row>
    <row r="350" spans="1:20" x14ac:dyDescent="0.25">
      <c r="A350" s="23"/>
      <c r="B350" s="24"/>
      <c r="C350" s="25"/>
      <c r="D350" s="27"/>
      <c r="E350" s="27"/>
      <c r="F350" s="28"/>
      <c r="G350" s="27"/>
      <c r="H350" s="180"/>
      <c r="I350" s="27"/>
      <c r="J350" s="32"/>
      <c r="K350" s="32"/>
      <c r="L350" s="32"/>
      <c r="M350" s="32"/>
      <c r="N350" s="31"/>
      <c r="O350" s="32"/>
      <c r="P350" s="33"/>
      <c r="Q350" s="33"/>
      <c r="R350" s="32"/>
      <c r="S350" s="33"/>
      <c r="T350" s="5"/>
    </row>
    <row r="351" spans="1:20" x14ac:dyDescent="0.25">
      <c r="A351" s="23"/>
      <c r="B351" s="24"/>
      <c r="C351" s="25"/>
      <c r="D351" s="27"/>
      <c r="E351" s="27"/>
      <c r="F351" s="28"/>
      <c r="G351" s="27"/>
      <c r="H351" s="180"/>
      <c r="I351" s="27"/>
      <c r="J351" s="32"/>
      <c r="K351" s="32"/>
      <c r="L351" s="32"/>
      <c r="M351" s="32"/>
      <c r="N351" s="31"/>
      <c r="O351" s="32"/>
      <c r="P351" s="33"/>
      <c r="Q351" s="33"/>
      <c r="R351" s="32"/>
      <c r="S351" s="33"/>
      <c r="T351" s="5"/>
    </row>
    <row r="352" spans="1:20" x14ac:dyDescent="0.25">
      <c r="A352" s="23"/>
      <c r="B352" s="24"/>
      <c r="C352" s="25"/>
      <c r="D352" s="27"/>
      <c r="E352" s="27"/>
      <c r="F352" s="28"/>
      <c r="G352" s="27"/>
      <c r="H352" s="180"/>
      <c r="I352" s="27"/>
      <c r="J352" s="32"/>
      <c r="K352" s="32"/>
      <c r="L352" s="32"/>
      <c r="M352" s="32"/>
      <c r="N352" s="31"/>
      <c r="O352" s="32"/>
      <c r="P352" s="33"/>
      <c r="Q352" s="33"/>
      <c r="R352" s="32"/>
      <c r="S352" s="33"/>
      <c r="T352" s="5"/>
    </row>
    <row r="353" spans="1:20" x14ac:dyDescent="0.25">
      <c r="A353" s="23"/>
      <c r="B353" s="24"/>
      <c r="C353" s="25"/>
      <c r="D353" s="27"/>
      <c r="E353" s="27"/>
      <c r="F353" s="28"/>
      <c r="G353" s="27"/>
      <c r="H353" s="180"/>
      <c r="I353" s="27"/>
      <c r="J353" s="32"/>
      <c r="K353" s="32"/>
      <c r="L353" s="32"/>
      <c r="M353" s="32"/>
      <c r="N353" s="31"/>
      <c r="O353" s="32"/>
      <c r="P353" s="33"/>
      <c r="Q353" s="33"/>
      <c r="R353" s="32"/>
      <c r="S353" s="33"/>
      <c r="T353" s="5"/>
    </row>
    <row r="354" spans="1:20" x14ac:dyDescent="0.25">
      <c r="A354" s="23"/>
      <c r="B354" s="24"/>
      <c r="C354" s="25"/>
      <c r="D354" s="27"/>
      <c r="E354" s="27"/>
      <c r="F354" s="28"/>
      <c r="G354" s="27"/>
      <c r="H354" s="180"/>
      <c r="I354" s="27"/>
      <c r="J354" s="32"/>
      <c r="K354" s="32"/>
      <c r="L354" s="32"/>
      <c r="M354" s="32"/>
      <c r="N354" s="31"/>
      <c r="O354" s="32"/>
      <c r="P354" s="33"/>
      <c r="Q354" s="33"/>
      <c r="R354" s="32"/>
      <c r="S354" s="33"/>
      <c r="T354" s="5"/>
    </row>
    <row r="355" spans="1:20" x14ac:dyDescent="0.25">
      <c r="A355" s="23"/>
      <c r="B355" s="24"/>
      <c r="C355" s="25"/>
      <c r="D355" s="27"/>
      <c r="E355" s="27"/>
      <c r="F355" s="28"/>
      <c r="G355" s="27"/>
      <c r="H355" s="180"/>
      <c r="I355" s="27"/>
      <c r="J355" s="32"/>
      <c r="K355" s="32"/>
      <c r="L355" s="32"/>
      <c r="M355" s="32"/>
      <c r="N355" s="31"/>
      <c r="O355" s="32"/>
      <c r="P355" s="33"/>
      <c r="Q355" s="33"/>
      <c r="R355" s="32"/>
      <c r="S355" s="33"/>
      <c r="T355" s="5"/>
    </row>
    <row r="356" spans="1:20" x14ac:dyDescent="0.25">
      <c r="A356" s="23"/>
      <c r="B356" s="24"/>
      <c r="C356" s="25"/>
      <c r="D356" s="27"/>
      <c r="E356" s="27"/>
      <c r="F356" s="28"/>
      <c r="G356" s="27"/>
      <c r="H356" s="180"/>
      <c r="I356" s="27"/>
      <c r="J356" s="32"/>
      <c r="K356" s="32"/>
      <c r="L356" s="32"/>
      <c r="M356" s="32"/>
      <c r="N356" s="31"/>
      <c r="O356" s="32"/>
      <c r="P356" s="33"/>
      <c r="Q356" s="33"/>
      <c r="R356" s="32"/>
      <c r="S356" s="33"/>
      <c r="T356" s="5"/>
    </row>
    <row r="357" spans="1:20" x14ac:dyDescent="0.25">
      <c r="A357" s="23"/>
      <c r="B357" s="24"/>
      <c r="C357" s="25"/>
      <c r="D357" s="27"/>
      <c r="E357" s="27"/>
      <c r="F357" s="28"/>
      <c r="G357" s="27"/>
      <c r="H357" s="180"/>
      <c r="I357" s="27"/>
      <c r="J357" s="32"/>
      <c r="K357" s="32"/>
      <c r="L357" s="32"/>
      <c r="M357" s="32"/>
      <c r="N357" s="31"/>
      <c r="O357" s="32"/>
      <c r="P357" s="33"/>
      <c r="Q357" s="33"/>
      <c r="R357" s="32"/>
      <c r="S357" s="33"/>
      <c r="T357" s="5"/>
    </row>
    <row r="358" spans="1:20" x14ac:dyDescent="0.25">
      <c r="A358" s="23"/>
      <c r="B358" s="24"/>
      <c r="C358" s="25"/>
      <c r="D358" s="27"/>
      <c r="E358" s="27"/>
      <c r="F358" s="28"/>
      <c r="G358" s="27"/>
      <c r="H358" s="180"/>
      <c r="I358" s="27"/>
      <c r="J358" s="32"/>
      <c r="K358" s="32"/>
      <c r="L358" s="32"/>
      <c r="M358" s="32"/>
      <c r="N358" s="31"/>
      <c r="O358" s="32"/>
      <c r="P358" s="33"/>
      <c r="Q358" s="33"/>
      <c r="R358" s="32"/>
      <c r="S358" s="33"/>
      <c r="T358" s="5"/>
    </row>
    <row r="359" spans="1:20" x14ac:dyDescent="0.25">
      <c r="A359" s="23"/>
      <c r="B359" s="24"/>
      <c r="C359" s="25"/>
      <c r="D359" s="27"/>
      <c r="E359" s="27"/>
      <c r="F359" s="28"/>
      <c r="G359" s="27"/>
      <c r="H359" s="180"/>
      <c r="I359" s="27"/>
      <c r="J359" s="32"/>
      <c r="K359" s="32"/>
      <c r="L359" s="32"/>
      <c r="M359" s="32"/>
      <c r="N359" s="31"/>
      <c r="O359" s="32"/>
      <c r="P359" s="33"/>
      <c r="Q359" s="33"/>
      <c r="R359" s="32"/>
      <c r="S359" s="33"/>
      <c r="T359" s="5"/>
    </row>
    <row r="360" spans="1:20" x14ac:dyDescent="0.25">
      <c r="A360" s="23"/>
      <c r="B360" s="24"/>
      <c r="C360" s="25"/>
      <c r="D360" s="27"/>
      <c r="E360" s="27"/>
      <c r="F360" s="28"/>
      <c r="G360" s="27"/>
      <c r="H360" s="180"/>
      <c r="I360" s="27"/>
      <c r="J360" s="32"/>
      <c r="K360" s="32"/>
      <c r="L360" s="32"/>
      <c r="M360" s="32"/>
      <c r="N360" s="31"/>
      <c r="O360" s="32"/>
      <c r="P360" s="33"/>
      <c r="Q360" s="33"/>
      <c r="R360" s="32"/>
      <c r="S360" s="33"/>
      <c r="T360" s="5"/>
    </row>
    <row r="361" spans="1:20" x14ac:dyDescent="0.25">
      <c r="A361" s="23"/>
      <c r="B361" s="24"/>
      <c r="C361" s="25"/>
      <c r="D361" s="27"/>
      <c r="E361" s="27"/>
      <c r="F361" s="28"/>
      <c r="G361" s="27"/>
      <c r="H361" s="180"/>
      <c r="I361" s="27"/>
      <c r="J361" s="32"/>
      <c r="K361" s="32"/>
      <c r="L361" s="32"/>
      <c r="M361" s="32"/>
      <c r="N361" s="31"/>
      <c r="O361" s="32"/>
      <c r="P361" s="33"/>
      <c r="Q361" s="33"/>
      <c r="R361" s="32"/>
      <c r="S361" s="33"/>
      <c r="T361" s="5"/>
    </row>
    <row r="362" spans="1:20" x14ac:dyDescent="0.25">
      <c r="A362" s="23"/>
      <c r="B362" s="24"/>
      <c r="C362" s="25"/>
      <c r="D362" s="27"/>
      <c r="E362" s="27"/>
      <c r="F362" s="28"/>
      <c r="G362" s="27"/>
      <c r="H362" s="180"/>
      <c r="I362" s="27"/>
      <c r="J362" s="32"/>
      <c r="K362" s="32"/>
      <c r="L362" s="32"/>
      <c r="M362" s="32"/>
      <c r="N362" s="31"/>
      <c r="O362" s="32"/>
      <c r="P362" s="33"/>
      <c r="Q362" s="33"/>
      <c r="R362" s="32"/>
      <c r="S362" s="33"/>
      <c r="T362" s="5"/>
    </row>
    <row r="363" spans="1:20" x14ac:dyDescent="0.25">
      <c r="A363" s="23"/>
      <c r="B363" s="24"/>
      <c r="C363" s="25"/>
      <c r="D363" s="27"/>
      <c r="E363" s="27"/>
      <c r="F363" s="28"/>
      <c r="G363" s="27"/>
      <c r="H363" s="180"/>
      <c r="I363" s="27"/>
      <c r="J363" s="32"/>
      <c r="K363" s="32"/>
      <c r="L363" s="32"/>
      <c r="M363" s="32"/>
      <c r="N363" s="31"/>
      <c r="O363" s="32"/>
      <c r="P363" s="33"/>
      <c r="Q363" s="33"/>
      <c r="R363" s="32"/>
      <c r="S363" s="33"/>
      <c r="T363" s="5"/>
    </row>
    <row r="364" spans="1:20" x14ac:dyDescent="0.25">
      <c r="A364" s="23"/>
      <c r="B364" s="24"/>
      <c r="C364" s="25"/>
      <c r="D364" s="27"/>
      <c r="E364" s="27"/>
      <c r="F364" s="28"/>
      <c r="G364" s="27"/>
      <c r="H364" s="180"/>
      <c r="I364" s="27"/>
      <c r="J364" s="32"/>
      <c r="K364" s="32"/>
      <c r="L364" s="32"/>
      <c r="M364" s="32"/>
      <c r="N364" s="31"/>
      <c r="O364" s="32"/>
      <c r="P364" s="33"/>
      <c r="Q364" s="33"/>
      <c r="R364" s="32"/>
      <c r="S364" s="33"/>
      <c r="T364" s="5"/>
    </row>
    <row r="365" spans="1:20" x14ac:dyDescent="0.25">
      <c r="A365" s="23"/>
      <c r="B365" s="24"/>
      <c r="C365" s="25"/>
      <c r="D365" s="27"/>
      <c r="E365" s="27"/>
      <c r="F365" s="28"/>
      <c r="G365" s="27"/>
      <c r="H365" s="180"/>
      <c r="I365" s="27"/>
      <c r="J365" s="32"/>
      <c r="K365" s="32"/>
      <c r="L365" s="32"/>
      <c r="M365" s="32"/>
      <c r="N365" s="31"/>
      <c r="O365" s="32"/>
      <c r="P365" s="33"/>
      <c r="Q365" s="33"/>
      <c r="R365" s="32"/>
      <c r="S365" s="33"/>
      <c r="T365" s="5"/>
    </row>
    <row r="366" spans="1:20" x14ac:dyDescent="0.25">
      <c r="A366" s="23"/>
      <c r="B366" s="24"/>
      <c r="C366" s="25"/>
      <c r="D366" s="27"/>
      <c r="E366" s="27"/>
      <c r="F366" s="28"/>
      <c r="G366" s="27"/>
      <c r="H366" s="180"/>
      <c r="I366" s="27"/>
      <c r="J366" s="32"/>
      <c r="K366" s="32"/>
      <c r="L366" s="32"/>
      <c r="M366" s="32"/>
      <c r="N366" s="31"/>
      <c r="O366" s="32"/>
      <c r="P366" s="33"/>
      <c r="Q366" s="33"/>
      <c r="R366" s="32"/>
      <c r="S366" s="33"/>
      <c r="T366" s="5"/>
    </row>
    <row r="367" spans="1:20" x14ac:dyDescent="0.25">
      <c r="A367" s="23"/>
      <c r="B367" s="24"/>
      <c r="C367" s="25"/>
      <c r="D367" s="27"/>
      <c r="E367" s="27"/>
      <c r="F367" s="28"/>
      <c r="G367" s="27"/>
      <c r="H367" s="180"/>
      <c r="I367" s="27"/>
      <c r="J367" s="32"/>
      <c r="K367" s="32"/>
      <c r="L367" s="32"/>
      <c r="M367" s="32"/>
      <c r="N367" s="31"/>
      <c r="O367" s="32"/>
      <c r="P367" s="33"/>
      <c r="Q367" s="33"/>
      <c r="R367" s="32"/>
      <c r="S367" s="33"/>
      <c r="T367" s="5"/>
    </row>
    <row r="368" spans="1:20" x14ac:dyDescent="0.25">
      <c r="A368" s="23"/>
      <c r="B368" s="24"/>
      <c r="C368" s="25"/>
      <c r="D368" s="27"/>
      <c r="E368" s="27"/>
      <c r="F368" s="28"/>
      <c r="G368" s="27"/>
      <c r="H368" s="180"/>
      <c r="I368" s="27"/>
      <c r="J368" s="32"/>
      <c r="K368" s="32"/>
      <c r="L368" s="32"/>
      <c r="M368" s="32"/>
      <c r="N368" s="31"/>
      <c r="O368" s="32"/>
      <c r="P368" s="33"/>
      <c r="Q368" s="33"/>
      <c r="R368" s="32"/>
      <c r="S368" s="33"/>
      <c r="T368" s="5"/>
    </row>
    <row r="369" spans="1:20" x14ac:dyDescent="0.25">
      <c r="A369" s="23"/>
      <c r="B369" s="24"/>
      <c r="C369" s="25"/>
      <c r="D369" s="27"/>
      <c r="E369" s="27"/>
      <c r="F369" s="28"/>
      <c r="G369" s="27"/>
      <c r="H369" s="180"/>
      <c r="I369" s="27"/>
      <c r="J369" s="32"/>
      <c r="K369" s="32"/>
      <c r="L369" s="32"/>
      <c r="M369" s="32"/>
      <c r="N369" s="31"/>
      <c r="O369" s="32"/>
      <c r="P369" s="33"/>
      <c r="Q369" s="33"/>
      <c r="R369" s="32"/>
      <c r="S369" s="33"/>
      <c r="T369" s="5"/>
    </row>
    <row r="370" spans="1:20" x14ac:dyDescent="0.25">
      <c r="A370" s="23"/>
      <c r="B370" s="24"/>
      <c r="C370" s="25"/>
      <c r="D370" s="27"/>
      <c r="E370" s="27"/>
      <c r="F370" s="28"/>
      <c r="G370" s="27"/>
      <c r="H370" s="180"/>
      <c r="I370" s="27"/>
      <c r="J370" s="32"/>
      <c r="K370" s="32"/>
      <c r="L370" s="32"/>
      <c r="M370" s="32"/>
      <c r="N370" s="31"/>
      <c r="O370" s="32"/>
      <c r="P370" s="33"/>
      <c r="Q370" s="33"/>
      <c r="R370" s="32"/>
      <c r="S370" s="33"/>
      <c r="T370" s="5"/>
    </row>
    <row r="371" spans="1:20" x14ac:dyDescent="0.25">
      <c r="A371" s="23"/>
      <c r="B371" s="24"/>
      <c r="C371" s="25"/>
      <c r="D371" s="27"/>
      <c r="E371" s="27"/>
      <c r="F371" s="28"/>
      <c r="G371" s="27"/>
      <c r="H371" s="180"/>
      <c r="I371" s="27"/>
      <c r="J371" s="32"/>
      <c r="K371" s="32"/>
      <c r="L371" s="32"/>
      <c r="M371" s="32"/>
      <c r="N371" s="31"/>
      <c r="O371" s="32"/>
      <c r="P371" s="33"/>
      <c r="Q371" s="33"/>
      <c r="R371" s="32"/>
      <c r="S371" s="33"/>
      <c r="T371" s="5"/>
    </row>
    <row r="372" spans="1:20" x14ac:dyDescent="0.25">
      <c r="A372" s="23"/>
      <c r="B372" s="24"/>
      <c r="C372" s="25"/>
      <c r="D372" s="27"/>
      <c r="E372" s="27"/>
      <c r="F372" s="28"/>
      <c r="G372" s="27"/>
      <c r="H372" s="180"/>
      <c r="I372" s="27"/>
      <c r="J372" s="32"/>
      <c r="K372" s="32"/>
      <c r="L372" s="32"/>
      <c r="M372" s="32"/>
      <c r="N372" s="31"/>
      <c r="O372" s="32"/>
      <c r="P372" s="33"/>
      <c r="Q372" s="33"/>
      <c r="R372" s="32"/>
      <c r="S372" s="33"/>
      <c r="T372" s="5"/>
    </row>
    <row r="373" spans="1:20" x14ac:dyDescent="0.25">
      <c r="A373" s="23"/>
      <c r="B373" s="24"/>
      <c r="C373" s="25"/>
      <c r="D373" s="27"/>
      <c r="E373" s="27"/>
      <c r="F373" s="28"/>
      <c r="G373" s="27"/>
      <c r="H373" s="180"/>
      <c r="I373" s="27"/>
      <c r="J373" s="32"/>
      <c r="K373" s="32"/>
      <c r="L373" s="32"/>
      <c r="M373" s="32"/>
      <c r="N373" s="31"/>
      <c r="O373" s="32"/>
      <c r="P373" s="33"/>
      <c r="Q373" s="33"/>
      <c r="R373" s="32"/>
      <c r="S373" s="33"/>
      <c r="T373" s="5"/>
    </row>
    <row r="374" spans="1:20" x14ac:dyDescent="0.25">
      <c r="A374" s="23"/>
      <c r="B374" s="24"/>
      <c r="C374" s="25"/>
      <c r="D374" s="27"/>
      <c r="E374" s="27"/>
      <c r="F374" s="28"/>
      <c r="G374" s="27"/>
      <c r="H374" s="180"/>
      <c r="I374" s="27"/>
      <c r="J374" s="32"/>
      <c r="K374" s="32"/>
      <c r="L374" s="32"/>
      <c r="M374" s="32"/>
      <c r="N374" s="31"/>
      <c r="O374" s="32"/>
      <c r="P374" s="33"/>
      <c r="Q374" s="33"/>
      <c r="R374" s="32"/>
      <c r="S374" s="33"/>
      <c r="T374" s="5"/>
    </row>
    <row r="375" spans="1:20" x14ac:dyDescent="0.25">
      <c r="A375" s="23"/>
      <c r="B375" s="24"/>
      <c r="C375" s="25"/>
      <c r="D375" s="27"/>
      <c r="E375" s="27"/>
      <c r="F375" s="28"/>
      <c r="G375" s="27"/>
      <c r="H375" s="180"/>
      <c r="I375" s="27"/>
      <c r="J375" s="32"/>
      <c r="K375" s="32"/>
      <c r="L375" s="32"/>
      <c r="M375" s="32"/>
      <c r="N375" s="31"/>
      <c r="O375" s="32"/>
      <c r="P375" s="33"/>
      <c r="Q375" s="33"/>
      <c r="R375" s="32"/>
      <c r="S375" s="33"/>
      <c r="T375" s="5"/>
    </row>
    <row r="376" spans="1:20" x14ac:dyDescent="0.25">
      <c r="A376" s="23"/>
      <c r="B376" s="24"/>
      <c r="C376" s="25"/>
      <c r="D376" s="27"/>
      <c r="E376" s="27"/>
      <c r="F376" s="28"/>
      <c r="G376" s="27"/>
      <c r="H376" s="180"/>
      <c r="I376" s="27"/>
      <c r="J376" s="32"/>
      <c r="K376" s="32"/>
      <c r="L376" s="32"/>
      <c r="M376" s="32"/>
      <c r="N376" s="31"/>
      <c r="O376" s="32"/>
      <c r="P376" s="33"/>
      <c r="Q376" s="33"/>
      <c r="R376" s="32"/>
      <c r="S376" s="33"/>
      <c r="T376" s="5"/>
    </row>
    <row r="377" spans="1:20" x14ac:dyDescent="0.25">
      <c r="A377" s="23"/>
      <c r="B377" s="24"/>
      <c r="C377" s="25"/>
      <c r="D377" s="27"/>
      <c r="E377" s="27"/>
      <c r="F377" s="28"/>
      <c r="G377" s="27"/>
      <c r="H377" s="180"/>
      <c r="I377" s="27"/>
      <c r="J377" s="32"/>
      <c r="K377" s="32"/>
      <c r="L377" s="32"/>
      <c r="M377" s="32"/>
      <c r="N377" s="31"/>
      <c r="O377" s="32"/>
      <c r="P377" s="33"/>
      <c r="Q377" s="33"/>
      <c r="R377" s="32"/>
      <c r="S377" s="33"/>
      <c r="T377" s="5"/>
    </row>
    <row r="378" spans="1:20" x14ac:dyDescent="0.25">
      <c r="A378" s="23"/>
      <c r="B378" s="24"/>
      <c r="C378" s="25"/>
      <c r="D378" s="27"/>
      <c r="E378" s="27"/>
      <c r="F378" s="28"/>
      <c r="G378" s="27"/>
      <c r="H378" s="180"/>
      <c r="I378" s="27"/>
      <c r="J378" s="32"/>
      <c r="K378" s="32"/>
      <c r="L378" s="32"/>
      <c r="M378" s="32"/>
      <c r="N378" s="31"/>
      <c r="O378" s="32"/>
      <c r="P378" s="33"/>
      <c r="Q378" s="33"/>
      <c r="R378" s="32"/>
      <c r="S378" s="33"/>
      <c r="T378" s="5"/>
    </row>
    <row r="379" spans="1:20" x14ac:dyDescent="0.25">
      <c r="A379" s="23"/>
      <c r="B379" s="24"/>
      <c r="C379" s="25"/>
      <c r="D379" s="27"/>
      <c r="E379" s="27"/>
      <c r="F379" s="28"/>
      <c r="G379" s="27"/>
      <c r="H379" s="180"/>
      <c r="I379" s="27"/>
      <c r="J379" s="32"/>
      <c r="K379" s="32"/>
      <c r="L379" s="32"/>
      <c r="M379" s="32"/>
      <c r="N379" s="31"/>
      <c r="O379" s="32"/>
      <c r="P379" s="33"/>
      <c r="Q379" s="33"/>
      <c r="R379" s="32"/>
      <c r="S379" s="33"/>
      <c r="T379" s="5"/>
    </row>
    <row r="380" spans="1:20" x14ac:dyDescent="0.25">
      <c r="A380" s="23"/>
      <c r="B380" s="24"/>
      <c r="C380" s="25"/>
      <c r="D380" s="27"/>
      <c r="E380" s="27"/>
      <c r="F380" s="28"/>
      <c r="G380" s="27"/>
      <c r="H380" s="180"/>
      <c r="I380" s="27"/>
      <c r="J380" s="32"/>
      <c r="K380" s="32"/>
      <c r="L380" s="32"/>
      <c r="M380" s="32"/>
      <c r="N380" s="31"/>
      <c r="O380" s="32"/>
      <c r="P380" s="33"/>
      <c r="Q380" s="33"/>
      <c r="R380" s="32"/>
      <c r="S380" s="33"/>
      <c r="T380" s="5"/>
    </row>
    <row r="381" spans="1:20" x14ac:dyDescent="0.25">
      <c r="A381" s="23"/>
      <c r="B381" s="24"/>
      <c r="C381" s="25"/>
      <c r="D381" s="27"/>
      <c r="E381" s="27"/>
      <c r="F381" s="28"/>
      <c r="G381" s="27"/>
      <c r="H381" s="180"/>
      <c r="I381" s="27"/>
      <c r="J381" s="32"/>
      <c r="K381" s="32"/>
      <c r="L381" s="32"/>
      <c r="M381" s="32"/>
      <c r="N381" s="31"/>
      <c r="O381" s="32"/>
      <c r="P381" s="33"/>
      <c r="Q381" s="33"/>
      <c r="R381" s="32"/>
      <c r="S381" s="33"/>
      <c r="T381" s="5"/>
    </row>
    <row r="382" spans="1:20" x14ac:dyDescent="0.25">
      <c r="A382" s="23"/>
      <c r="B382" s="24"/>
      <c r="C382" s="25"/>
      <c r="D382" s="27"/>
      <c r="E382" s="27"/>
      <c r="F382" s="28"/>
      <c r="G382" s="27"/>
      <c r="H382" s="180"/>
      <c r="I382" s="27"/>
      <c r="J382" s="32"/>
      <c r="K382" s="32"/>
      <c r="L382" s="32"/>
      <c r="M382" s="32"/>
      <c r="N382" s="31"/>
      <c r="O382" s="32"/>
      <c r="P382" s="33"/>
      <c r="Q382" s="33"/>
      <c r="R382" s="32"/>
      <c r="S382" s="33"/>
      <c r="T382" s="5"/>
    </row>
    <row r="383" spans="1:20" x14ac:dyDescent="0.25">
      <c r="A383" s="23"/>
      <c r="B383" s="24"/>
      <c r="C383" s="25"/>
      <c r="D383" s="27"/>
      <c r="E383" s="27"/>
      <c r="F383" s="28"/>
      <c r="G383" s="27"/>
      <c r="H383" s="180"/>
      <c r="I383" s="27"/>
      <c r="J383" s="32"/>
      <c r="K383" s="32"/>
      <c r="L383" s="32"/>
      <c r="M383" s="32"/>
      <c r="N383" s="31"/>
      <c r="O383" s="32"/>
      <c r="P383" s="33"/>
      <c r="Q383" s="33"/>
      <c r="R383" s="32"/>
      <c r="S383" s="33"/>
      <c r="T383" s="5"/>
    </row>
    <row r="384" spans="1:20" x14ac:dyDescent="0.25">
      <c r="A384" s="23"/>
      <c r="B384" s="24"/>
      <c r="C384" s="25"/>
      <c r="D384" s="27"/>
      <c r="E384" s="27"/>
      <c r="F384" s="28"/>
      <c r="G384" s="27"/>
      <c r="H384" s="180"/>
      <c r="I384" s="27"/>
      <c r="J384" s="32"/>
      <c r="K384" s="32"/>
      <c r="L384" s="32"/>
      <c r="M384" s="32"/>
      <c r="N384" s="31"/>
      <c r="O384" s="32"/>
      <c r="P384" s="33"/>
      <c r="Q384" s="33"/>
      <c r="R384" s="32"/>
      <c r="S384" s="33"/>
      <c r="T384" s="5"/>
    </row>
    <row r="385" spans="1:20" x14ac:dyDescent="0.25">
      <c r="A385" s="23"/>
      <c r="B385" s="24"/>
      <c r="C385" s="25"/>
      <c r="D385" s="27"/>
      <c r="E385" s="27"/>
      <c r="F385" s="28"/>
      <c r="G385" s="27"/>
      <c r="H385" s="180"/>
      <c r="I385" s="27"/>
      <c r="J385" s="32"/>
      <c r="K385" s="32"/>
      <c r="L385" s="32"/>
      <c r="M385" s="32"/>
      <c r="N385" s="31"/>
      <c r="O385" s="32"/>
      <c r="P385" s="33"/>
      <c r="Q385" s="33"/>
      <c r="R385" s="32"/>
      <c r="S385" s="33"/>
      <c r="T385" s="5"/>
    </row>
    <row r="386" spans="1:20" x14ac:dyDescent="0.25">
      <c r="A386" s="23"/>
      <c r="B386" s="24"/>
      <c r="C386" s="25"/>
      <c r="D386" s="27"/>
      <c r="E386" s="27"/>
      <c r="F386" s="28"/>
      <c r="G386" s="27"/>
      <c r="H386" s="180"/>
      <c r="I386" s="27"/>
      <c r="J386" s="32"/>
      <c r="K386" s="32"/>
      <c r="L386" s="32"/>
      <c r="M386" s="32"/>
      <c r="N386" s="31"/>
      <c r="O386" s="32"/>
      <c r="P386" s="33"/>
      <c r="Q386" s="33"/>
      <c r="R386" s="32"/>
      <c r="S386" s="33"/>
      <c r="T386" s="5"/>
    </row>
    <row r="387" spans="1:20" x14ac:dyDescent="0.25">
      <c r="A387" s="23"/>
      <c r="B387" s="24"/>
      <c r="C387" s="25"/>
      <c r="D387" s="27"/>
      <c r="E387" s="27"/>
      <c r="F387" s="28"/>
      <c r="G387" s="27"/>
      <c r="H387" s="180"/>
      <c r="I387" s="27"/>
      <c r="J387" s="32"/>
      <c r="K387" s="32"/>
      <c r="L387" s="32"/>
      <c r="M387" s="32"/>
      <c r="N387" s="31"/>
      <c r="O387" s="32"/>
      <c r="P387" s="33"/>
      <c r="Q387" s="33"/>
      <c r="R387" s="32"/>
      <c r="S387" s="33"/>
      <c r="T387" s="5"/>
    </row>
    <row r="388" spans="1:20" x14ac:dyDescent="0.25">
      <c r="A388" s="23"/>
      <c r="B388" s="24"/>
      <c r="C388" s="25"/>
      <c r="D388" s="27"/>
      <c r="E388" s="27"/>
      <c r="F388" s="28"/>
      <c r="G388" s="27"/>
      <c r="H388" s="180"/>
      <c r="I388" s="27"/>
      <c r="J388" s="32"/>
      <c r="K388" s="32"/>
      <c r="L388" s="32"/>
      <c r="M388" s="32"/>
      <c r="N388" s="31"/>
      <c r="O388" s="32"/>
      <c r="P388" s="33"/>
      <c r="Q388" s="33"/>
      <c r="R388" s="32"/>
      <c r="S388" s="33"/>
      <c r="T388" s="5"/>
    </row>
    <row r="389" spans="1:20" x14ac:dyDescent="0.25">
      <c r="A389" s="23"/>
      <c r="B389" s="24"/>
      <c r="C389" s="25"/>
      <c r="D389" s="27"/>
      <c r="E389" s="27"/>
      <c r="F389" s="28"/>
      <c r="G389" s="27"/>
      <c r="H389" s="180"/>
      <c r="I389" s="27"/>
      <c r="J389" s="32"/>
      <c r="K389" s="32"/>
      <c r="L389" s="32"/>
      <c r="M389" s="32"/>
      <c r="N389" s="31"/>
      <c r="O389" s="32"/>
      <c r="P389" s="33"/>
      <c r="Q389" s="33"/>
      <c r="R389" s="32"/>
      <c r="S389" s="33"/>
      <c r="T389" s="5"/>
    </row>
    <row r="390" spans="1:20" x14ac:dyDescent="0.25">
      <c r="A390" s="23"/>
      <c r="B390" s="24"/>
      <c r="C390" s="25"/>
      <c r="D390" s="27"/>
      <c r="E390" s="27"/>
      <c r="F390" s="28"/>
      <c r="G390" s="27"/>
      <c r="H390" s="180"/>
      <c r="I390" s="27"/>
      <c r="J390" s="32"/>
      <c r="K390" s="32"/>
      <c r="L390" s="32"/>
      <c r="M390" s="32"/>
      <c r="N390" s="31"/>
      <c r="O390" s="32"/>
      <c r="P390" s="33"/>
      <c r="Q390" s="33"/>
      <c r="R390" s="32"/>
      <c r="S390" s="33"/>
      <c r="T390" s="5"/>
    </row>
    <row r="391" spans="1:20" x14ac:dyDescent="0.25">
      <c r="A391" s="23"/>
      <c r="B391" s="24"/>
      <c r="C391" s="25"/>
      <c r="D391" s="27"/>
      <c r="E391" s="27"/>
      <c r="F391" s="28"/>
      <c r="G391" s="27"/>
      <c r="H391" s="180"/>
      <c r="I391" s="27"/>
      <c r="J391" s="32"/>
      <c r="K391" s="32"/>
      <c r="L391" s="32"/>
      <c r="M391" s="32"/>
      <c r="N391" s="31"/>
      <c r="O391" s="32"/>
      <c r="P391" s="33"/>
      <c r="Q391" s="33"/>
      <c r="R391" s="32"/>
      <c r="S391" s="33"/>
      <c r="T391" s="5"/>
    </row>
    <row r="392" spans="1:20" x14ac:dyDescent="0.25">
      <c r="A392" s="23"/>
      <c r="B392" s="24"/>
      <c r="C392" s="25"/>
      <c r="D392" s="27"/>
      <c r="E392" s="27"/>
      <c r="F392" s="28"/>
      <c r="G392" s="27"/>
      <c r="H392" s="180"/>
      <c r="I392" s="27"/>
      <c r="J392" s="32"/>
      <c r="K392" s="32"/>
      <c r="L392" s="32"/>
      <c r="M392" s="32"/>
      <c r="N392" s="31"/>
      <c r="O392" s="32"/>
      <c r="P392" s="33"/>
      <c r="Q392" s="33"/>
      <c r="R392" s="32"/>
      <c r="S392" s="33"/>
      <c r="T392" s="5"/>
    </row>
    <row r="393" spans="1:20" x14ac:dyDescent="0.25">
      <c r="A393" s="23"/>
      <c r="B393" s="24"/>
      <c r="C393" s="25"/>
      <c r="D393" s="27"/>
      <c r="E393" s="27"/>
      <c r="F393" s="28"/>
      <c r="G393" s="27"/>
      <c r="H393" s="180"/>
      <c r="I393" s="27"/>
      <c r="J393" s="32"/>
      <c r="K393" s="32"/>
      <c r="L393" s="32"/>
      <c r="M393" s="32"/>
      <c r="N393" s="31"/>
      <c r="O393" s="32"/>
      <c r="P393" s="33"/>
      <c r="Q393" s="33"/>
      <c r="R393" s="32"/>
      <c r="S393" s="33"/>
      <c r="T393" s="5"/>
    </row>
    <row r="394" spans="1:20" x14ac:dyDescent="0.25">
      <c r="A394" s="23"/>
      <c r="B394" s="24"/>
      <c r="C394" s="25"/>
      <c r="D394" s="27"/>
      <c r="E394" s="27"/>
      <c r="F394" s="28"/>
      <c r="G394" s="27"/>
      <c r="H394" s="180"/>
      <c r="I394" s="27"/>
      <c r="J394" s="32"/>
      <c r="K394" s="32"/>
      <c r="L394" s="32"/>
      <c r="M394" s="32"/>
      <c r="N394" s="31"/>
      <c r="O394" s="32"/>
      <c r="P394" s="33"/>
      <c r="Q394" s="33"/>
      <c r="R394" s="32"/>
      <c r="S394" s="33"/>
      <c r="T394" s="5"/>
    </row>
    <row r="395" spans="1:20" x14ac:dyDescent="0.25">
      <c r="A395" s="23"/>
      <c r="B395" s="24"/>
      <c r="C395" s="25"/>
      <c r="D395" s="27"/>
      <c r="E395" s="27"/>
      <c r="F395" s="28"/>
      <c r="G395" s="27"/>
      <c r="H395" s="180"/>
      <c r="I395" s="27"/>
      <c r="J395" s="32"/>
      <c r="K395" s="32"/>
      <c r="L395" s="32"/>
      <c r="M395" s="32"/>
      <c r="N395" s="31"/>
      <c r="O395" s="32"/>
      <c r="P395" s="33"/>
      <c r="Q395" s="33"/>
      <c r="R395" s="32"/>
      <c r="S395" s="33"/>
      <c r="T395" s="5"/>
    </row>
    <row r="396" spans="1:20" x14ac:dyDescent="0.25">
      <c r="A396" s="23"/>
      <c r="B396" s="24"/>
      <c r="C396" s="25"/>
      <c r="D396" s="27"/>
      <c r="E396" s="27"/>
      <c r="F396" s="28"/>
      <c r="G396" s="27"/>
      <c r="H396" s="180"/>
      <c r="I396" s="27"/>
      <c r="J396" s="32"/>
      <c r="K396" s="32"/>
      <c r="L396" s="32"/>
      <c r="M396" s="32"/>
      <c r="N396" s="31"/>
      <c r="O396" s="32"/>
      <c r="P396" s="33"/>
      <c r="Q396" s="33"/>
      <c r="R396" s="32"/>
      <c r="S396" s="33"/>
      <c r="T396" s="5"/>
    </row>
    <row r="397" spans="1:20" x14ac:dyDescent="0.25">
      <c r="A397" s="23"/>
      <c r="B397" s="24"/>
      <c r="C397" s="25"/>
      <c r="D397" s="27"/>
      <c r="E397" s="27"/>
      <c r="F397" s="28"/>
      <c r="G397" s="27"/>
      <c r="H397" s="180"/>
      <c r="I397" s="27"/>
      <c r="J397" s="32"/>
      <c r="K397" s="32"/>
      <c r="L397" s="32"/>
      <c r="M397" s="32"/>
      <c r="N397" s="31"/>
      <c r="O397" s="32"/>
      <c r="P397" s="33"/>
      <c r="Q397" s="33"/>
      <c r="R397" s="32"/>
      <c r="S397" s="33"/>
      <c r="T397" s="5"/>
    </row>
    <row r="398" spans="1:20" x14ac:dyDescent="0.25">
      <c r="A398" s="23"/>
      <c r="B398" s="24"/>
      <c r="C398" s="25"/>
      <c r="D398" s="27"/>
      <c r="E398" s="27"/>
      <c r="F398" s="28"/>
      <c r="G398" s="27"/>
      <c r="H398" s="180"/>
      <c r="I398" s="27"/>
      <c r="J398" s="32"/>
      <c r="K398" s="32"/>
      <c r="L398" s="32"/>
      <c r="M398" s="32"/>
      <c r="N398" s="31"/>
      <c r="O398" s="32"/>
      <c r="P398" s="33"/>
      <c r="Q398" s="33"/>
      <c r="R398" s="32"/>
      <c r="S398" s="33"/>
      <c r="T398" s="5"/>
    </row>
    <row r="399" spans="1:20" x14ac:dyDescent="0.25">
      <c r="A399" s="23"/>
      <c r="B399" s="24"/>
      <c r="C399" s="25"/>
      <c r="D399" s="27"/>
      <c r="E399" s="27"/>
      <c r="F399" s="28"/>
      <c r="G399" s="27"/>
      <c r="H399" s="180"/>
      <c r="I399" s="27"/>
      <c r="J399" s="32"/>
      <c r="K399" s="32"/>
      <c r="L399" s="32"/>
      <c r="M399" s="32"/>
      <c r="N399" s="31"/>
      <c r="O399" s="32"/>
      <c r="P399" s="33"/>
      <c r="Q399" s="33"/>
      <c r="R399" s="32"/>
      <c r="S399" s="33"/>
      <c r="T399" s="5"/>
    </row>
    <row r="400" spans="1:20" x14ac:dyDescent="0.25">
      <c r="A400" s="23"/>
      <c r="B400" s="24"/>
      <c r="C400" s="25"/>
      <c r="D400" s="27"/>
      <c r="E400" s="27"/>
      <c r="F400" s="28"/>
      <c r="G400" s="27"/>
      <c r="H400" s="180"/>
      <c r="I400" s="27"/>
      <c r="J400" s="32"/>
      <c r="K400" s="32"/>
      <c r="L400" s="32"/>
      <c r="M400" s="32"/>
      <c r="N400" s="31"/>
      <c r="O400" s="32"/>
      <c r="P400" s="33"/>
      <c r="Q400" s="33"/>
      <c r="R400" s="32"/>
      <c r="S400" s="33"/>
      <c r="T400" s="5"/>
    </row>
    <row r="401" spans="1:20" x14ac:dyDescent="0.25">
      <c r="A401" s="23"/>
      <c r="B401" s="24"/>
      <c r="C401" s="25"/>
      <c r="D401" s="27"/>
      <c r="E401" s="27"/>
      <c r="F401" s="28"/>
      <c r="G401" s="27"/>
      <c r="H401" s="180"/>
      <c r="I401" s="27"/>
      <c r="J401" s="32"/>
      <c r="K401" s="32"/>
      <c r="L401" s="32"/>
      <c r="M401" s="32"/>
      <c r="N401" s="31"/>
      <c r="O401" s="32"/>
      <c r="P401" s="33"/>
      <c r="Q401" s="33"/>
      <c r="R401" s="32"/>
      <c r="S401" s="33"/>
      <c r="T401" s="5"/>
    </row>
    <row r="402" spans="1:20" x14ac:dyDescent="0.25">
      <c r="A402" s="23"/>
      <c r="B402" s="24"/>
      <c r="C402" s="25"/>
      <c r="D402" s="27"/>
      <c r="E402" s="27"/>
      <c r="F402" s="28"/>
      <c r="G402" s="27"/>
      <c r="H402" s="180"/>
      <c r="I402" s="27"/>
      <c r="J402" s="32"/>
      <c r="K402" s="32"/>
      <c r="L402" s="32"/>
      <c r="M402" s="32"/>
      <c r="N402" s="31"/>
      <c r="O402" s="32"/>
      <c r="P402" s="33"/>
      <c r="Q402" s="33"/>
      <c r="R402" s="32"/>
      <c r="S402" s="33"/>
      <c r="T402" s="5"/>
    </row>
    <row r="403" spans="1:20" x14ac:dyDescent="0.25">
      <c r="A403" s="23"/>
      <c r="B403" s="24"/>
      <c r="C403" s="25"/>
      <c r="D403" s="27"/>
      <c r="E403" s="27"/>
      <c r="F403" s="28"/>
      <c r="G403" s="27"/>
      <c r="H403" s="180"/>
      <c r="I403" s="27"/>
      <c r="J403" s="32"/>
      <c r="K403" s="32"/>
      <c r="L403" s="32"/>
      <c r="M403" s="32"/>
      <c r="N403" s="31"/>
      <c r="O403" s="32"/>
      <c r="P403" s="33"/>
      <c r="Q403" s="33"/>
      <c r="R403" s="32"/>
      <c r="S403" s="33"/>
      <c r="T403" s="5"/>
    </row>
    <row r="404" spans="1:20" x14ac:dyDescent="0.25">
      <c r="A404" s="23"/>
      <c r="B404" s="24"/>
      <c r="C404" s="25"/>
      <c r="D404" s="27"/>
      <c r="E404" s="27"/>
      <c r="F404" s="28"/>
      <c r="G404" s="27"/>
      <c r="H404" s="180"/>
      <c r="I404" s="27"/>
      <c r="J404" s="32"/>
      <c r="K404" s="32"/>
      <c r="L404" s="32"/>
      <c r="M404" s="32"/>
      <c r="N404" s="31"/>
      <c r="O404" s="32"/>
      <c r="P404" s="33"/>
      <c r="Q404" s="33"/>
      <c r="R404" s="32"/>
      <c r="S404" s="33"/>
      <c r="T404" s="5"/>
    </row>
    <row r="405" spans="1:20" x14ac:dyDescent="0.25">
      <c r="A405" s="23"/>
      <c r="B405" s="24"/>
      <c r="C405" s="25"/>
      <c r="D405" s="27"/>
      <c r="E405" s="27"/>
      <c r="F405" s="28"/>
      <c r="G405" s="27"/>
      <c r="H405" s="180"/>
      <c r="I405" s="27"/>
      <c r="J405" s="32"/>
      <c r="K405" s="32"/>
      <c r="L405" s="32"/>
      <c r="M405" s="32"/>
      <c r="N405" s="31"/>
      <c r="O405" s="32"/>
      <c r="P405" s="33"/>
      <c r="Q405" s="33"/>
      <c r="R405" s="32"/>
      <c r="S405" s="33"/>
      <c r="T405" s="5"/>
    </row>
    <row r="406" spans="1:20" x14ac:dyDescent="0.25">
      <c r="A406" s="23"/>
      <c r="B406" s="24"/>
      <c r="C406" s="25"/>
      <c r="D406" s="27"/>
      <c r="E406" s="27"/>
      <c r="F406" s="28"/>
      <c r="G406" s="27"/>
      <c r="H406" s="180"/>
      <c r="I406" s="27"/>
      <c r="J406" s="32"/>
      <c r="K406" s="32"/>
      <c r="L406" s="32"/>
      <c r="M406" s="32"/>
      <c r="N406" s="31"/>
      <c r="O406" s="32"/>
      <c r="P406" s="33"/>
      <c r="Q406" s="33"/>
      <c r="R406" s="32"/>
      <c r="S406" s="33"/>
      <c r="T406" s="5"/>
    </row>
    <row r="407" spans="1:20" x14ac:dyDescent="0.25">
      <c r="A407" s="23"/>
      <c r="B407" s="24"/>
      <c r="C407" s="25"/>
      <c r="D407" s="27"/>
      <c r="E407" s="27"/>
      <c r="F407" s="28"/>
      <c r="G407" s="27"/>
      <c r="H407" s="180"/>
      <c r="I407" s="27"/>
      <c r="J407" s="32"/>
      <c r="K407" s="32"/>
      <c r="L407" s="32"/>
      <c r="M407" s="32"/>
      <c r="N407" s="31"/>
      <c r="O407" s="32"/>
      <c r="P407" s="33"/>
      <c r="Q407" s="33"/>
      <c r="R407" s="32"/>
      <c r="S407" s="33"/>
      <c r="T407" s="5"/>
    </row>
    <row r="408" spans="1:20" x14ac:dyDescent="0.25">
      <c r="A408" s="23"/>
      <c r="B408" s="24"/>
      <c r="C408" s="25"/>
      <c r="D408" s="27"/>
      <c r="E408" s="27"/>
      <c r="F408" s="28"/>
      <c r="G408" s="27"/>
      <c r="H408" s="180"/>
      <c r="I408" s="27"/>
      <c r="J408" s="32"/>
      <c r="K408" s="32"/>
      <c r="L408" s="32"/>
      <c r="M408" s="32"/>
      <c r="N408" s="31"/>
      <c r="O408" s="32"/>
      <c r="P408" s="33"/>
      <c r="Q408" s="33"/>
      <c r="R408" s="32"/>
      <c r="S408" s="33"/>
      <c r="T408" s="5"/>
    </row>
    <row r="409" spans="1:20" x14ac:dyDescent="0.25">
      <c r="A409" s="23"/>
      <c r="B409" s="24"/>
      <c r="C409" s="25"/>
      <c r="D409" s="27"/>
      <c r="E409" s="27"/>
      <c r="F409" s="28"/>
      <c r="G409" s="27"/>
      <c r="H409" s="180"/>
      <c r="I409" s="27"/>
      <c r="J409" s="32"/>
      <c r="K409" s="32"/>
      <c r="L409" s="32"/>
      <c r="M409" s="32"/>
      <c r="N409" s="31"/>
      <c r="O409" s="32"/>
      <c r="P409" s="33"/>
      <c r="Q409" s="33"/>
      <c r="R409" s="32"/>
      <c r="S409" s="33"/>
      <c r="T409" s="5"/>
    </row>
    <row r="410" spans="1:20" x14ac:dyDescent="0.25">
      <c r="A410" s="23"/>
      <c r="B410" s="24"/>
      <c r="C410" s="25"/>
      <c r="D410" s="27"/>
      <c r="E410" s="27"/>
      <c r="F410" s="28"/>
      <c r="G410" s="27"/>
      <c r="H410" s="180"/>
      <c r="I410" s="27"/>
      <c r="J410" s="32"/>
      <c r="K410" s="32"/>
      <c r="L410" s="32"/>
      <c r="M410" s="32"/>
      <c r="N410" s="31"/>
      <c r="O410" s="32"/>
      <c r="P410" s="33"/>
      <c r="Q410" s="33"/>
      <c r="R410" s="32"/>
      <c r="S410" s="33"/>
      <c r="T410" s="5"/>
    </row>
    <row r="411" spans="1:20" x14ac:dyDescent="0.25">
      <c r="A411" s="23"/>
      <c r="B411" s="24"/>
      <c r="C411" s="25"/>
      <c r="D411" s="27"/>
      <c r="E411" s="27"/>
      <c r="F411" s="28"/>
      <c r="G411" s="27"/>
      <c r="H411" s="180"/>
      <c r="I411" s="27"/>
      <c r="J411" s="32"/>
      <c r="K411" s="32"/>
      <c r="L411" s="32"/>
      <c r="M411" s="32"/>
      <c r="N411" s="31"/>
      <c r="O411" s="32"/>
      <c r="P411" s="33"/>
      <c r="Q411" s="33"/>
      <c r="R411" s="32"/>
      <c r="S411" s="33"/>
      <c r="T411" s="5"/>
    </row>
    <row r="412" spans="1:20" x14ac:dyDescent="0.25">
      <c r="A412" s="23"/>
      <c r="B412" s="24"/>
      <c r="C412" s="25"/>
      <c r="D412" s="27"/>
      <c r="E412" s="27"/>
      <c r="F412" s="28"/>
      <c r="G412" s="27"/>
      <c r="H412" s="180"/>
      <c r="I412" s="27"/>
      <c r="J412" s="32"/>
      <c r="K412" s="32"/>
      <c r="L412" s="32"/>
      <c r="M412" s="32"/>
      <c r="N412" s="31"/>
      <c r="O412" s="32"/>
      <c r="P412" s="33"/>
      <c r="Q412" s="33"/>
      <c r="R412" s="32"/>
      <c r="S412" s="33"/>
      <c r="T412" s="5"/>
    </row>
    <row r="413" spans="1:20" x14ac:dyDescent="0.25">
      <c r="A413" s="23"/>
      <c r="B413" s="24"/>
      <c r="C413" s="25"/>
      <c r="D413" s="27"/>
      <c r="E413" s="27"/>
      <c r="F413" s="28"/>
      <c r="G413" s="27"/>
      <c r="H413" s="180"/>
      <c r="I413" s="27"/>
      <c r="J413" s="32"/>
      <c r="K413" s="32"/>
      <c r="L413" s="32"/>
      <c r="M413" s="32"/>
      <c r="N413" s="31"/>
      <c r="O413" s="32"/>
      <c r="P413" s="33"/>
      <c r="Q413" s="33"/>
      <c r="R413" s="32"/>
      <c r="S413" s="33"/>
      <c r="T413" s="5"/>
    </row>
    <row r="414" spans="1:20" x14ac:dyDescent="0.25">
      <c r="A414" s="23"/>
      <c r="B414" s="24"/>
      <c r="C414" s="25"/>
      <c r="D414" s="27"/>
      <c r="E414" s="27"/>
      <c r="F414" s="28"/>
      <c r="G414" s="27"/>
      <c r="H414" s="180"/>
      <c r="I414" s="27"/>
      <c r="J414" s="32"/>
      <c r="K414" s="32"/>
      <c r="L414" s="32"/>
      <c r="M414" s="32"/>
      <c r="N414" s="31"/>
      <c r="O414" s="32"/>
      <c r="P414" s="33"/>
      <c r="Q414" s="33"/>
      <c r="R414" s="32"/>
      <c r="S414" s="33"/>
      <c r="T414" s="5"/>
    </row>
    <row r="415" spans="1:20" x14ac:dyDescent="0.25">
      <c r="A415" s="23"/>
      <c r="B415" s="24"/>
      <c r="C415" s="25"/>
      <c r="D415" s="27"/>
      <c r="E415" s="27"/>
      <c r="F415" s="28"/>
      <c r="G415" s="27"/>
      <c r="H415" s="180"/>
      <c r="I415" s="27"/>
      <c r="J415" s="32"/>
      <c r="K415" s="32"/>
      <c r="L415" s="32"/>
      <c r="M415" s="32"/>
      <c r="N415" s="31"/>
      <c r="O415" s="32"/>
      <c r="P415" s="33"/>
      <c r="Q415" s="33"/>
      <c r="R415" s="32"/>
      <c r="S415" s="33"/>
      <c r="T415" s="5"/>
    </row>
    <row r="416" spans="1:20" x14ac:dyDescent="0.25">
      <c r="A416" s="23"/>
      <c r="B416" s="24"/>
      <c r="C416" s="25"/>
      <c r="D416" s="27"/>
      <c r="E416" s="27"/>
      <c r="F416" s="28"/>
      <c r="G416" s="27"/>
      <c r="H416" s="180"/>
      <c r="I416" s="27"/>
      <c r="J416" s="32"/>
      <c r="K416" s="32"/>
      <c r="L416" s="32"/>
      <c r="M416" s="32"/>
      <c r="N416" s="31"/>
      <c r="O416" s="32"/>
      <c r="P416" s="33"/>
      <c r="Q416" s="33"/>
      <c r="R416" s="32"/>
      <c r="S416" s="33"/>
      <c r="T416" s="5"/>
    </row>
    <row r="417" spans="1:20" x14ac:dyDescent="0.25">
      <c r="A417" s="23"/>
      <c r="B417" s="24"/>
      <c r="C417" s="25"/>
      <c r="D417" s="27"/>
      <c r="E417" s="27"/>
      <c r="F417" s="28"/>
      <c r="G417" s="27"/>
      <c r="H417" s="180"/>
      <c r="I417" s="27"/>
      <c r="J417" s="32"/>
      <c r="K417" s="32"/>
      <c r="L417" s="32"/>
      <c r="M417" s="32"/>
      <c r="N417" s="31"/>
      <c r="O417" s="32"/>
      <c r="P417" s="33"/>
      <c r="Q417" s="33"/>
      <c r="R417" s="32"/>
      <c r="S417" s="33"/>
      <c r="T417" s="5"/>
    </row>
    <row r="418" spans="1:20" x14ac:dyDescent="0.25">
      <c r="A418" s="23"/>
      <c r="B418" s="24"/>
      <c r="C418" s="25"/>
      <c r="D418" s="27"/>
      <c r="E418" s="27"/>
      <c r="F418" s="28"/>
      <c r="G418" s="27"/>
      <c r="H418" s="180"/>
      <c r="I418" s="27"/>
      <c r="J418" s="32"/>
      <c r="K418" s="32"/>
      <c r="L418" s="32"/>
      <c r="M418" s="32"/>
      <c r="N418" s="31"/>
      <c r="O418" s="32"/>
      <c r="P418" s="33"/>
      <c r="Q418" s="33"/>
      <c r="R418" s="32"/>
      <c r="S418" s="33"/>
      <c r="T418" s="5"/>
    </row>
    <row r="419" spans="1:20" x14ac:dyDescent="0.25">
      <c r="A419" s="23"/>
      <c r="B419" s="24"/>
      <c r="C419" s="25"/>
      <c r="D419" s="27"/>
      <c r="E419" s="27"/>
      <c r="F419" s="28"/>
      <c r="G419" s="27"/>
      <c r="H419" s="180"/>
      <c r="I419" s="27"/>
      <c r="J419" s="32"/>
      <c r="K419" s="32"/>
      <c r="L419" s="32"/>
      <c r="M419" s="32"/>
      <c r="N419" s="31"/>
      <c r="O419" s="32"/>
      <c r="P419" s="33"/>
      <c r="Q419" s="33"/>
      <c r="R419" s="32"/>
      <c r="S419" s="33"/>
      <c r="T419" s="5"/>
    </row>
    <row r="420" spans="1:20" x14ac:dyDescent="0.25">
      <c r="A420" s="23"/>
      <c r="B420" s="24"/>
      <c r="C420" s="25"/>
      <c r="D420" s="27"/>
      <c r="E420" s="27"/>
      <c r="F420" s="28"/>
      <c r="G420" s="27"/>
      <c r="H420" s="180"/>
      <c r="I420" s="27"/>
      <c r="J420" s="32"/>
      <c r="K420" s="32"/>
      <c r="L420" s="32"/>
      <c r="M420" s="32"/>
      <c r="N420" s="31"/>
      <c r="O420" s="32"/>
      <c r="P420" s="33"/>
      <c r="Q420" s="33"/>
      <c r="R420" s="32"/>
      <c r="S420" s="33"/>
      <c r="T420" s="5"/>
    </row>
    <row r="421" spans="1:20" x14ac:dyDescent="0.25">
      <c r="A421" s="23"/>
      <c r="B421" s="24"/>
      <c r="C421" s="25"/>
      <c r="D421" s="27"/>
      <c r="E421" s="27"/>
      <c r="F421" s="28"/>
      <c r="G421" s="27"/>
      <c r="H421" s="180"/>
      <c r="I421" s="27"/>
      <c r="J421" s="32"/>
      <c r="K421" s="32"/>
      <c r="L421" s="32"/>
      <c r="M421" s="32"/>
      <c r="N421" s="31"/>
      <c r="O421" s="32"/>
      <c r="P421" s="33"/>
      <c r="Q421" s="33"/>
      <c r="R421" s="32"/>
      <c r="S421" s="33"/>
      <c r="T421" s="5"/>
    </row>
    <row r="422" spans="1:20" x14ac:dyDescent="0.25">
      <c r="A422" s="23"/>
      <c r="B422" s="24"/>
      <c r="C422" s="25"/>
      <c r="D422" s="27"/>
      <c r="E422" s="27"/>
      <c r="F422" s="28"/>
      <c r="G422" s="27"/>
      <c r="H422" s="180"/>
      <c r="I422" s="27"/>
      <c r="J422" s="32"/>
      <c r="K422" s="32"/>
      <c r="L422" s="32"/>
      <c r="M422" s="32"/>
      <c r="N422" s="31"/>
      <c r="O422" s="32"/>
      <c r="P422" s="33"/>
      <c r="Q422" s="33"/>
      <c r="R422" s="32"/>
      <c r="S422" s="33"/>
      <c r="T422" s="5"/>
    </row>
    <row r="423" spans="1:20" x14ac:dyDescent="0.25">
      <c r="A423" s="23"/>
      <c r="B423" s="24"/>
      <c r="C423" s="25"/>
      <c r="D423" s="27"/>
      <c r="E423" s="27"/>
      <c r="F423" s="28"/>
      <c r="G423" s="27"/>
      <c r="H423" s="180"/>
      <c r="I423" s="27"/>
      <c r="J423" s="32"/>
      <c r="K423" s="32"/>
      <c r="L423" s="32"/>
      <c r="M423" s="32"/>
      <c r="N423" s="31"/>
      <c r="O423" s="32"/>
      <c r="P423" s="33"/>
      <c r="Q423" s="33"/>
      <c r="R423" s="32"/>
      <c r="S423" s="33"/>
      <c r="T423" s="5"/>
    </row>
    <row r="424" spans="1:20" x14ac:dyDescent="0.25">
      <c r="A424" s="23"/>
      <c r="B424" s="24"/>
      <c r="C424" s="25"/>
      <c r="D424" s="27"/>
      <c r="E424" s="27"/>
      <c r="F424" s="28"/>
      <c r="G424" s="27"/>
      <c r="H424" s="180"/>
      <c r="I424" s="27"/>
      <c r="J424" s="32"/>
      <c r="K424" s="32"/>
      <c r="L424" s="32"/>
      <c r="M424" s="32"/>
      <c r="N424" s="31"/>
      <c r="O424" s="32"/>
      <c r="P424" s="33"/>
      <c r="Q424" s="33"/>
      <c r="R424" s="32"/>
      <c r="S424" s="33"/>
      <c r="T424" s="5"/>
    </row>
    <row r="425" spans="1:20" x14ac:dyDescent="0.25">
      <c r="A425" s="23"/>
      <c r="B425" s="24"/>
      <c r="C425" s="25"/>
      <c r="D425" s="27"/>
      <c r="E425" s="27"/>
      <c r="F425" s="28"/>
      <c r="G425" s="27"/>
      <c r="H425" s="180"/>
      <c r="I425" s="27"/>
      <c r="J425" s="32"/>
      <c r="K425" s="32"/>
      <c r="L425" s="32"/>
      <c r="M425" s="32"/>
      <c r="N425" s="31"/>
      <c r="O425" s="32"/>
      <c r="P425" s="33"/>
      <c r="Q425" s="33"/>
      <c r="R425" s="32"/>
      <c r="S425" s="33"/>
      <c r="T425" s="5"/>
    </row>
    <row r="426" spans="1:20" x14ac:dyDescent="0.25">
      <c r="A426" s="23"/>
      <c r="B426" s="24"/>
      <c r="C426" s="25"/>
      <c r="D426" s="27"/>
      <c r="E426" s="27"/>
      <c r="F426" s="28"/>
      <c r="G426" s="27"/>
      <c r="H426" s="180"/>
      <c r="I426" s="27"/>
      <c r="J426" s="32"/>
      <c r="K426" s="32"/>
      <c r="L426" s="32"/>
      <c r="M426" s="32"/>
      <c r="N426" s="31"/>
      <c r="O426" s="32"/>
      <c r="P426" s="33"/>
      <c r="Q426" s="33"/>
      <c r="R426" s="32"/>
      <c r="S426" s="33"/>
      <c r="T426" s="5"/>
    </row>
    <row r="427" spans="1:20" x14ac:dyDescent="0.25">
      <c r="A427" s="23"/>
      <c r="B427" s="24"/>
      <c r="C427" s="25"/>
      <c r="D427" s="27"/>
      <c r="E427" s="27"/>
      <c r="F427" s="28"/>
      <c r="G427" s="27"/>
      <c r="H427" s="180"/>
      <c r="I427" s="27"/>
      <c r="J427" s="32"/>
      <c r="K427" s="32"/>
      <c r="L427" s="32"/>
      <c r="M427" s="32"/>
      <c r="N427" s="31"/>
      <c r="O427" s="32"/>
      <c r="P427" s="33"/>
      <c r="Q427" s="33"/>
      <c r="R427" s="32"/>
      <c r="S427" s="33"/>
      <c r="T427" s="5"/>
    </row>
    <row r="428" spans="1:20" x14ac:dyDescent="0.25">
      <c r="A428" s="23"/>
      <c r="B428" s="24"/>
      <c r="C428" s="25"/>
      <c r="D428" s="27"/>
      <c r="E428" s="27"/>
      <c r="F428" s="28"/>
      <c r="G428" s="27"/>
      <c r="H428" s="180"/>
      <c r="I428" s="27"/>
      <c r="J428" s="32"/>
      <c r="K428" s="32"/>
      <c r="L428" s="32"/>
      <c r="M428" s="32"/>
      <c r="N428" s="31"/>
      <c r="O428" s="32"/>
      <c r="P428" s="33"/>
      <c r="Q428" s="33"/>
      <c r="R428" s="32"/>
      <c r="S428" s="33"/>
      <c r="T428" s="5"/>
    </row>
    <row r="429" spans="1:20" x14ac:dyDescent="0.25">
      <c r="A429" s="23"/>
      <c r="B429" s="24"/>
      <c r="C429" s="25"/>
      <c r="D429" s="27"/>
      <c r="E429" s="27"/>
      <c r="F429" s="28"/>
      <c r="G429" s="27"/>
      <c r="H429" s="180"/>
      <c r="I429" s="27"/>
      <c r="J429" s="32"/>
      <c r="K429" s="32"/>
      <c r="L429" s="32"/>
      <c r="M429" s="32"/>
      <c r="N429" s="31"/>
      <c r="O429" s="32"/>
      <c r="P429" s="33"/>
      <c r="Q429" s="33"/>
      <c r="R429" s="32"/>
      <c r="S429" s="33"/>
      <c r="T429" s="5"/>
    </row>
    <row r="430" spans="1:20" x14ac:dyDescent="0.25">
      <c r="A430" s="23"/>
      <c r="B430" s="24"/>
      <c r="C430" s="25"/>
      <c r="D430" s="27"/>
      <c r="E430" s="27"/>
      <c r="F430" s="28"/>
      <c r="G430" s="27"/>
      <c r="H430" s="180"/>
      <c r="I430" s="27"/>
      <c r="J430" s="32"/>
      <c r="K430" s="32"/>
      <c r="L430" s="32"/>
      <c r="M430" s="32"/>
      <c r="N430" s="31"/>
      <c r="O430" s="32"/>
      <c r="P430" s="33"/>
      <c r="Q430" s="33"/>
      <c r="R430" s="32"/>
      <c r="S430" s="33"/>
      <c r="T430" s="5"/>
    </row>
    <row r="431" spans="1:20" x14ac:dyDescent="0.25">
      <c r="A431" s="23"/>
      <c r="B431" s="24"/>
      <c r="C431" s="25"/>
      <c r="D431" s="27"/>
      <c r="E431" s="27"/>
      <c r="F431" s="28"/>
      <c r="G431" s="27"/>
      <c r="H431" s="180"/>
      <c r="I431" s="27"/>
      <c r="J431" s="32"/>
      <c r="K431" s="32"/>
      <c r="L431" s="32"/>
      <c r="M431" s="32"/>
      <c r="N431" s="31"/>
      <c r="O431" s="32"/>
      <c r="P431" s="33"/>
      <c r="Q431" s="33"/>
      <c r="R431" s="32"/>
      <c r="S431" s="33"/>
      <c r="T431" s="5"/>
    </row>
    <row r="432" spans="1:20" x14ac:dyDescent="0.25">
      <c r="A432" s="23"/>
      <c r="B432" s="24"/>
      <c r="C432" s="25"/>
      <c r="D432" s="27"/>
      <c r="E432" s="27"/>
      <c r="F432" s="28"/>
      <c r="G432" s="27"/>
      <c r="H432" s="180"/>
      <c r="I432" s="27"/>
      <c r="J432" s="32"/>
      <c r="K432" s="32"/>
      <c r="L432" s="32"/>
      <c r="M432" s="32"/>
      <c r="N432" s="31"/>
      <c r="O432" s="32"/>
      <c r="P432" s="33"/>
      <c r="Q432" s="33"/>
      <c r="R432" s="32"/>
      <c r="S432" s="33"/>
      <c r="T432" s="5"/>
    </row>
    <row r="433" spans="1:20" x14ac:dyDescent="0.25">
      <c r="A433" s="23"/>
      <c r="B433" s="24"/>
      <c r="C433" s="25"/>
      <c r="D433" s="27"/>
      <c r="E433" s="27"/>
      <c r="F433" s="28"/>
      <c r="G433" s="27"/>
      <c r="H433" s="180"/>
      <c r="I433" s="27"/>
      <c r="J433" s="32"/>
      <c r="K433" s="32"/>
      <c r="L433" s="32"/>
      <c r="M433" s="32"/>
      <c r="N433" s="31"/>
      <c r="O433" s="32"/>
      <c r="P433" s="33"/>
      <c r="Q433" s="33"/>
      <c r="R433" s="32"/>
      <c r="S433" s="33"/>
      <c r="T433" s="5"/>
    </row>
    <row r="434" spans="1:20" x14ac:dyDescent="0.25">
      <c r="A434" s="23"/>
      <c r="B434" s="24"/>
      <c r="C434" s="25"/>
      <c r="D434" s="27"/>
      <c r="E434" s="27"/>
      <c r="F434" s="28"/>
      <c r="G434" s="27"/>
      <c r="H434" s="180"/>
      <c r="I434" s="27"/>
      <c r="J434" s="32"/>
      <c r="K434" s="32"/>
      <c r="L434" s="32"/>
      <c r="M434" s="32"/>
      <c r="N434" s="31"/>
      <c r="O434" s="32"/>
      <c r="P434" s="33"/>
      <c r="Q434" s="33"/>
      <c r="R434" s="32"/>
      <c r="S434" s="33"/>
      <c r="T434" s="5"/>
    </row>
    <row r="435" spans="1:20" x14ac:dyDescent="0.25">
      <c r="A435" s="23"/>
      <c r="B435" s="24"/>
      <c r="C435" s="25"/>
      <c r="D435" s="27"/>
      <c r="E435" s="27"/>
      <c r="F435" s="28"/>
      <c r="G435" s="27"/>
      <c r="H435" s="180"/>
      <c r="I435" s="27"/>
      <c r="J435" s="32"/>
      <c r="K435" s="32"/>
      <c r="L435" s="32"/>
      <c r="M435" s="32"/>
      <c r="N435" s="31"/>
      <c r="O435" s="32"/>
      <c r="P435" s="33"/>
      <c r="Q435" s="33"/>
      <c r="R435" s="32"/>
      <c r="S435" s="33"/>
      <c r="T435" s="5"/>
    </row>
    <row r="436" spans="1:20" x14ac:dyDescent="0.25">
      <c r="A436" s="23"/>
      <c r="B436" s="24"/>
      <c r="C436" s="25"/>
      <c r="D436" s="27"/>
      <c r="E436" s="27"/>
      <c r="F436" s="28"/>
      <c r="G436" s="27"/>
      <c r="H436" s="180"/>
      <c r="I436" s="27"/>
      <c r="J436" s="32"/>
      <c r="K436" s="32"/>
      <c r="L436" s="32"/>
      <c r="M436" s="32"/>
      <c r="N436" s="31"/>
      <c r="O436" s="32"/>
      <c r="P436" s="33"/>
      <c r="Q436" s="33"/>
      <c r="R436" s="32"/>
      <c r="S436" s="33"/>
      <c r="T436" s="5"/>
    </row>
    <row r="437" spans="1:20" x14ac:dyDescent="0.25">
      <c r="A437" s="23"/>
      <c r="B437" s="24"/>
      <c r="C437" s="25"/>
      <c r="D437" s="27"/>
      <c r="E437" s="27"/>
      <c r="F437" s="28"/>
      <c r="G437" s="27"/>
      <c r="H437" s="180"/>
      <c r="I437" s="27"/>
      <c r="J437" s="32"/>
      <c r="K437" s="32"/>
      <c r="L437" s="32"/>
      <c r="M437" s="32"/>
      <c r="N437" s="31"/>
      <c r="O437" s="32"/>
      <c r="P437" s="33"/>
      <c r="Q437" s="33"/>
      <c r="R437" s="32"/>
      <c r="S437" s="33"/>
      <c r="T437" s="5"/>
    </row>
    <row r="438" spans="1:20" x14ac:dyDescent="0.25">
      <c r="A438" s="23"/>
      <c r="B438" s="24"/>
      <c r="C438" s="25"/>
      <c r="D438" s="27"/>
      <c r="E438" s="27"/>
      <c r="F438" s="28"/>
      <c r="G438" s="27"/>
      <c r="H438" s="180"/>
      <c r="I438" s="27"/>
      <c r="J438" s="32"/>
      <c r="K438" s="32"/>
      <c r="L438" s="32"/>
      <c r="M438" s="32"/>
      <c r="N438" s="31"/>
      <c r="O438" s="32"/>
      <c r="P438" s="33"/>
      <c r="Q438" s="33"/>
      <c r="R438" s="32"/>
      <c r="S438" s="33"/>
      <c r="T438" s="5"/>
    </row>
    <row r="439" spans="1:20" x14ac:dyDescent="0.25">
      <c r="A439" s="23"/>
      <c r="B439" s="24"/>
      <c r="C439" s="25"/>
      <c r="D439" s="27"/>
      <c r="E439" s="27"/>
      <c r="F439" s="28"/>
      <c r="G439" s="27"/>
      <c r="H439" s="180"/>
      <c r="I439" s="27"/>
      <c r="J439" s="32"/>
      <c r="K439" s="32"/>
      <c r="L439" s="32"/>
      <c r="M439" s="32"/>
      <c r="N439" s="31"/>
      <c r="O439" s="32"/>
      <c r="P439" s="33"/>
      <c r="Q439" s="33"/>
      <c r="R439" s="32"/>
      <c r="S439" s="33"/>
      <c r="T439" s="5"/>
    </row>
    <row r="440" spans="1:20" x14ac:dyDescent="0.25">
      <c r="A440" s="23"/>
      <c r="B440" s="24"/>
      <c r="C440" s="25"/>
      <c r="D440" s="27"/>
      <c r="E440" s="27"/>
      <c r="F440" s="28"/>
      <c r="G440" s="27"/>
      <c r="H440" s="180"/>
      <c r="I440" s="27"/>
      <c r="J440" s="32"/>
      <c r="K440" s="32"/>
      <c r="L440" s="32"/>
      <c r="M440" s="32"/>
      <c r="N440" s="31"/>
      <c r="O440" s="32"/>
      <c r="P440" s="33"/>
      <c r="Q440" s="33"/>
      <c r="R440" s="32"/>
      <c r="S440" s="33"/>
      <c r="T440" s="5"/>
    </row>
    <row r="441" spans="1:20" x14ac:dyDescent="0.25">
      <c r="A441" s="23"/>
      <c r="B441" s="24"/>
      <c r="C441" s="25"/>
      <c r="D441" s="27"/>
      <c r="E441" s="27"/>
      <c r="F441" s="28"/>
      <c r="G441" s="27"/>
      <c r="H441" s="180"/>
      <c r="I441" s="27"/>
      <c r="J441" s="32"/>
      <c r="K441" s="32"/>
      <c r="L441" s="32"/>
      <c r="M441" s="32"/>
      <c r="N441" s="31"/>
      <c r="O441" s="32"/>
      <c r="P441" s="33"/>
      <c r="Q441" s="33"/>
      <c r="R441" s="32"/>
      <c r="S441" s="33"/>
      <c r="T441" s="5"/>
    </row>
    <row r="442" spans="1:20" x14ac:dyDescent="0.25">
      <c r="A442" s="23"/>
      <c r="B442" s="24"/>
      <c r="C442" s="25"/>
      <c r="D442" s="27"/>
      <c r="E442" s="27"/>
      <c r="F442" s="28"/>
      <c r="G442" s="27"/>
      <c r="H442" s="180"/>
      <c r="I442" s="27"/>
      <c r="J442" s="32"/>
      <c r="K442" s="32"/>
      <c r="L442" s="32"/>
      <c r="M442" s="32"/>
      <c r="N442" s="31"/>
      <c r="O442" s="32"/>
      <c r="P442" s="33"/>
      <c r="Q442" s="33"/>
      <c r="R442" s="32"/>
      <c r="S442" s="33"/>
      <c r="T442" s="5"/>
    </row>
    <row r="443" spans="1:20" x14ac:dyDescent="0.25">
      <c r="A443" s="23"/>
      <c r="B443" s="24"/>
      <c r="C443" s="25"/>
      <c r="D443" s="27"/>
      <c r="E443" s="27"/>
      <c r="F443" s="28"/>
      <c r="G443" s="27"/>
      <c r="H443" s="180"/>
      <c r="I443" s="27"/>
      <c r="J443" s="32"/>
      <c r="K443" s="32"/>
      <c r="L443" s="32"/>
      <c r="M443" s="32"/>
      <c r="N443" s="31"/>
      <c r="O443" s="32"/>
      <c r="P443" s="33"/>
      <c r="Q443" s="33"/>
      <c r="R443" s="32"/>
      <c r="S443" s="33"/>
      <c r="T443" s="5"/>
    </row>
    <row r="444" spans="1:20" x14ac:dyDescent="0.25">
      <c r="A444" s="23"/>
      <c r="B444" s="24"/>
      <c r="C444" s="25"/>
      <c r="D444" s="27"/>
      <c r="E444" s="27"/>
      <c r="F444" s="28"/>
      <c r="G444" s="27"/>
      <c r="H444" s="180"/>
      <c r="I444" s="27"/>
      <c r="J444" s="32"/>
      <c r="K444" s="32"/>
      <c r="L444" s="32"/>
      <c r="M444" s="32"/>
      <c r="N444" s="31"/>
      <c r="O444" s="32"/>
      <c r="P444" s="33"/>
      <c r="Q444" s="33"/>
      <c r="R444" s="32"/>
      <c r="S444" s="33"/>
      <c r="T444" s="5"/>
    </row>
    <row r="445" spans="1:20" x14ac:dyDescent="0.25">
      <c r="A445" s="23"/>
      <c r="B445" s="24"/>
      <c r="C445" s="25"/>
      <c r="D445" s="27"/>
      <c r="E445" s="27"/>
      <c r="F445" s="28"/>
      <c r="G445" s="27"/>
      <c r="H445" s="180"/>
      <c r="I445" s="27"/>
      <c r="J445" s="32"/>
      <c r="K445" s="32"/>
      <c r="L445" s="32"/>
      <c r="M445" s="32"/>
      <c r="N445" s="31"/>
      <c r="O445" s="32"/>
      <c r="P445" s="33"/>
      <c r="Q445" s="33"/>
      <c r="R445" s="32"/>
      <c r="S445" s="33"/>
      <c r="T445" s="5"/>
    </row>
    <row r="446" spans="1:20" x14ac:dyDescent="0.25">
      <c r="A446" s="23"/>
      <c r="B446" s="24"/>
      <c r="C446" s="25"/>
      <c r="D446" s="27"/>
      <c r="E446" s="27"/>
      <c r="F446" s="28"/>
      <c r="G446" s="27"/>
      <c r="H446" s="180"/>
      <c r="I446" s="27"/>
      <c r="J446" s="32"/>
      <c r="K446" s="32"/>
      <c r="L446" s="32"/>
      <c r="M446" s="32"/>
      <c r="N446" s="31"/>
      <c r="O446" s="32"/>
      <c r="P446" s="33"/>
      <c r="Q446" s="33"/>
      <c r="R446" s="32"/>
      <c r="S446" s="33"/>
      <c r="T446" s="5"/>
    </row>
    <row r="447" spans="1:20" x14ac:dyDescent="0.25">
      <c r="A447" s="23"/>
      <c r="B447" s="24"/>
      <c r="C447" s="25"/>
      <c r="D447" s="27"/>
      <c r="E447" s="27"/>
      <c r="F447" s="28"/>
      <c r="G447" s="27"/>
      <c r="H447" s="180"/>
      <c r="I447" s="27"/>
      <c r="J447" s="32"/>
      <c r="K447" s="32"/>
      <c r="L447" s="32"/>
      <c r="M447" s="32"/>
      <c r="N447" s="31"/>
      <c r="O447" s="32"/>
      <c r="P447" s="33"/>
      <c r="Q447" s="33"/>
      <c r="R447" s="32"/>
      <c r="S447" s="33"/>
      <c r="T447" s="5"/>
    </row>
    <row r="448" spans="1:20" x14ac:dyDescent="0.25">
      <c r="A448" s="23"/>
      <c r="B448" s="24"/>
      <c r="C448" s="25"/>
      <c r="D448" s="27"/>
      <c r="E448" s="27"/>
      <c r="F448" s="28"/>
      <c r="G448" s="27"/>
      <c r="H448" s="180"/>
      <c r="I448" s="27"/>
      <c r="J448" s="32"/>
      <c r="K448" s="32"/>
      <c r="L448" s="32"/>
      <c r="M448" s="32"/>
      <c r="N448" s="31"/>
      <c r="O448" s="32"/>
      <c r="P448" s="33"/>
      <c r="Q448" s="33"/>
      <c r="R448" s="32"/>
      <c r="S448" s="33"/>
      <c r="T448" s="5"/>
    </row>
    <row r="449" spans="1:20" x14ac:dyDescent="0.25">
      <c r="A449" s="23"/>
      <c r="B449" s="24"/>
      <c r="C449" s="25"/>
      <c r="D449" s="27"/>
      <c r="E449" s="27"/>
      <c r="F449" s="28"/>
      <c r="G449" s="27"/>
      <c r="H449" s="180"/>
      <c r="I449" s="27"/>
      <c r="J449" s="32"/>
      <c r="K449" s="32"/>
      <c r="L449" s="32"/>
      <c r="M449" s="32"/>
      <c r="N449" s="31"/>
      <c r="O449" s="32"/>
      <c r="P449" s="33"/>
      <c r="Q449" s="33"/>
      <c r="R449" s="32"/>
      <c r="S449" s="33"/>
      <c r="T449" s="5"/>
    </row>
    <row r="450" spans="1:20" x14ac:dyDescent="0.25">
      <c r="A450" s="23"/>
      <c r="B450" s="24"/>
      <c r="C450" s="25"/>
      <c r="D450" s="27"/>
      <c r="E450" s="27"/>
      <c r="F450" s="28"/>
      <c r="G450" s="27"/>
      <c r="H450" s="180"/>
      <c r="I450" s="27"/>
      <c r="J450" s="32"/>
      <c r="K450" s="32"/>
      <c r="L450" s="32"/>
      <c r="M450" s="32"/>
      <c r="N450" s="31"/>
      <c r="O450" s="32"/>
      <c r="P450" s="33"/>
      <c r="Q450" s="33"/>
      <c r="R450" s="32"/>
      <c r="S450" s="33"/>
      <c r="T450" s="5"/>
    </row>
    <row r="451" spans="1:20" x14ac:dyDescent="0.25">
      <c r="A451" s="23"/>
      <c r="B451" s="24"/>
      <c r="C451" s="25"/>
      <c r="D451" s="27"/>
      <c r="E451" s="27"/>
      <c r="F451" s="28"/>
      <c r="G451" s="27"/>
      <c r="H451" s="180"/>
      <c r="I451" s="27"/>
      <c r="J451" s="32"/>
      <c r="K451" s="32"/>
      <c r="L451" s="32"/>
      <c r="M451" s="32"/>
      <c r="N451" s="31"/>
      <c r="O451" s="32"/>
      <c r="P451" s="33"/>
      <c r="Q451" s="33"/>
      <c r="R451" s="32"/>
      <c r="S451" s="33"/>
      <c r="T451" s="5"/>
    </row>
    <row r="452" spans="1:20" x14ac:dyDescent="0.25">
      <c r="A452" s="23"/>
      <c r="B452" s="24"/>
      <c r="C452" s="25"/>
      <c r="D452" s="27"/>
      <c r="E452" s="27"/>
      <c r="F452" s="28"/>
      <c r="G452" s="27"/>
      <c r="H452" s="180"/>
      <c r="I452" s="27"/>
      <c r="J452" s="32"/>
      <c r="K452" s="32"/>
      <c r="L452" s="32"/>
      <c r="M452" s="32"/>
      <c r="N452" s="31"/>
      <c r="O452" s="32"/>
      <c r="P452" s="33"/>
      <c r="Q452" s="33"/>
      <c r="R452" s="32"/>
      <c r="S452" s="33"/>
      <c r="T452" s="5"/>
    </row>
    <row r="453" spans="1:20" x14ac:dyDescent="0.25">
      <c r="A453" s="23"/>
      <c r="B453" s="24"/>
      <c r="C453" s="25"/>
      <c r="D453" s="27"/>
      <c r="E453" s="27"/>
      <c r="F453" s="28"/>
      <c r="G453" s="27"/>
      <c r="H453" s="180"/>
      <c r="I453" s="27"/>
      <c r="J453" s="32"/>
      <c r="K453" s="32"/>
      <c r="L453" s="32"/>
      <c r="M453" s="32"/>
      <c r="N453" s="31"/>
      <c r="O453" s="32"/>
      <c r="P453" s="33"/>
      <c r="Q453" s="33"/>
      <c r="R453" s="32"/>
      <c r="S453" s="33"/>
      <c r="T453" s="5"/>
    </row>
    <row r="454" spans="1:20" x14ac:dyDescent="0.25">
      <c r="A454" s="23"/>
      <c r="B454" s="24"/>
      <c r="C454" s="25"/>
      <c r="D454" s="27"/>
      <c r="E454" s="27"/>
      <c r="F454" s="28"/>
      <c r="G454" s="27"/>
      <c r="H454" s="180"/>
      <c r="I454" s="27"/>
      <c r="J454" s="32"/>
      <c r="K454" s="32"/>
      <c r="L454" s="32"/>
      <c r="M454" s="32"/>
      <c r="N454" s="31"/>
      <c r="O454" s="32"/>
      <c r="P454" s="33"/>
      <c r="Q454" s="33"/>
      <c r="R454" s="32"/>
      <c r="S454" s="33"/>
      <c r="T454" s="5"/>
    </row>
    <row r="455" spans="1:20" x14ac:dyDescent="0.25">
      <c r="A455" s="23"/>
      <c r="B455" s="24"/>
      <c r="C455" s="25"/>
      <c r="D455" s="27"/>
      <c r="E455" s="27"/>
      <c r="F455" s="28"/>
      <c r="G455" s="27"/>
      <c r="H455" s="180"/>
      <c r="I455" s="27"/>
      <c r="J455" s="32"/>
      <c r="K455" s="32"/>
      <c r="L455" s="32"/>
      <c r="M455" s="32"/>
      <c r="N455" s="31"/>
      <c r="O455" s="32"/>
      <c r="P455" s="33"/>
      <c r="Q455" s="33"/>
      <c r="R455" s="32"/>
      <c r="S455" s="33"/>
      <c r="T455" s="5"/>
    </row>
    <row r="456" spans="1:20" x14ac:dyDescent="0.25">
      <c r="A456" s="23"/>
      <c r="B456" s="24"/>
      <c r="C456" s="25"/>
      <c r="D456" s="27"/>
      <c r="E456" s="27"/>
      <c r="F456" s="28"/>
      <c r="G456" s="27"/>
      <c r="H456" s="180"/>
      <c r="I456" s="27"/>
      <c r="J456" s="32"/>
      <c r="K456" s="32"/>
      <c r="L456" s="32"/>
      <c r="M456" s="32"/>
      <c r="N456" s="31"/>
      <c r="O456" s="32"/>
      <c r="P456" s="33"/>
      <c r="Q456" s="33"/>
      <c r="R456" s="32"/>
      <c r="S456" s="33"/>
      <c r="T456" s="5"/>
    </row>
    <row r="457" spans="1:20" x14ac:dyDescent="0.25">
      <c r="A457" s="23"/>
      <c r="B457" s="24"/>
      <c r="C457" s="25"/>
      <c r="D457" s="27"/>
      <c r="E457" s="27"/>
      <c r="F457" s="28"/>
      <c r="G457" s="27"/>
      <c r="H457" s="180"/>
      <c r="I457" s="27"/>
      <c r="J457" s="32"/>
      <c r="K457" s="32"/>
      <c r="L457" s="32"/>
      <c r="M457" s="32"/>
      <c r="N457" s="31"/>
      <c r="O457" s="32"/>
      <c r="P457" s="33"/>
      <c r="Q457" s="33"/>
      <c r="R457" s="32"/>
      <c r="S457" s="33"/>
      <c r="T457" s="5"/>
    </row>
    <row r="458" spans="1:20" x14ac:dyDescent="0.25">
      <c r="A458" s="23"/>
      <c r="B458" s="24"/>
      <c r="C458" s="25"/>
      <c r="D458" s="27"/>
      <c r="E458" s="27"/>
      <c r="F458" s="28"/>
      <c r="G458" s="27"/>
      <c r="H458" s="180"/>
      <c r="I458" s="27"/>
      <c r="J458" s="32"/>
      <c r="K458" s="32"/>
      <c r="L458" s="32"/>
      <c r="M458" s="32"/>
      <c r="N458" s="31"/>
      <c r="O458" s="32"/>
      <c r="P458" s="33"/>
      <c r="Q458" s="33"/>
      <c r="R458" s="32"/>
      <c r="S458" s="33"/>
      <c r="T458" s="5"/>
    </row>
    <row r="459" spans="1:20" x14ac:dyDescent="0.25">
      <c r="A459" s="23"/>
      <c r="B459" s="24"/>
      <c r="C459" s="25"/>
      <c r="D459" s="27"/>
      <c r="E459" s="27"/>
      <c r="F459" s="28"/>
      <c r="G459" s="27"/>
      <c r="H459" s="180"/>
      <c r="I459" s="27"/>
      <c r="J459" s="32"/>
      <c r="K459" s="32"/>
      <c r="L459" s="32"/>
      <c r="M459" s="32"/>
      <c r="N459" s="31"/>
      <c r="O459" s="32"/>
      <c r="P459" s="33"/>
      <c r="Q459" s="33"/>
      <c r="R459" s="32"/>
      <c r="S459" s="33"/>
      <c r="T459" s="5"/>
    </row>
    <row r="460" spans="1:20" x14ac:dyDescent="0.25">
      <c r="A460" s="23"/>
      <c r="B460" s="24"/>
      <c r="C460" s="25"/>
      <c r="D460" s="27"/>
      <c r="E460" s="27"/>
      <c r="F460" s="28"/>
      <c r="G460" s="27"/>
      <c r="H460" s="180"/>
      <c r="I460" s="27"/>
      <c r="J460" s="32"/>
      <c r="K460" s="32"/>
      <c r="L460" s="32"/>
      <c r="M460" s="32"/>
      <c r="N460" s="31"/>
      <c r="O460" s="32"/>
      <c r="P460" s="33"/>
      <c r="Q460" s="33"/>
      <c r="R460" s="32"/>
      <c r="S460" s="33"/>
      <c r="T460" s="5"/>
    </row>
    <row r="461" spans="1:20" x14ac:dyDescent="0.25">
      <c r="A461" s="23"/>
      <c r="B461" s="24"/>
      <c r="C461" s="25"/>
      <c r="D461" s="27"/>
      <c r="E461" s="27"/>
      <c r="F461" s="28"/>
      <c r="G461" s="27"/>
      <c r="H461" s="180"/>
      <c r="I461" s="27"/>
      <c r="J461" s="32"/>
      <c r="K461" s="32"/>
      <c r="L461" s="32"/>
      <c r="M461" s="32"/>
      <c r="N461" s="31"/>
      <c r="O461" s="32"/>
      <c r="P461" s="33"/>
      <c r="Q461" s="33"/>
      <c r="R461" s="32"/>
      <c r="S461" s="33"/>
      <c r="T461" s="5"/>
    </row>
    <row r="462" spans="1:20" x14ac:dyDescent="0.25">
      <c r="A462" s="23"/>
      <c r="B462" s="24"/>
      <c r="C462" s="25"/>
      <c r="D462" s="27"/>
      <c r="E462" s="27"/>
      <c r="F462" s="28"/>
      <c r="G462" s="27"/>
      <c r="H462" s="180"/>
      <c r="I462" s="27"/>
      <c r="J462" s="32"/>
      <c r="K462" s="32"/>
      <c r="L462" s="32"/>
      <c r="M462" s="32"/>
      <c r="N462" s="31"/>
      <c r="O462" s="32"/>
      <c r="P462" s="33"/>
      <c r="Q462" s="33"/>
      <c r="R462" s="32"/>
      <c r="S462" s="33"/>
      <c r="T462" s="5"/>
    </row>
    <row r="463" spans="1:20" x14ac:dyDescent="0.25">
      <c r="A463" s="23"/>
      <c r="B463" s="24"/>
      <c r="C463" s="25"/>
      <c r="D463" s="27"/>
      <c r="E463" s="27"/>
      <c r="F463" s="28"/>
      <c r="G463" s="27"/>
      <c r="H463" s="180"/>
      <c r="I463" s="27"/>
      <c r="J463" s="32"/>
      <c r="K463" s="32"/>
      <c r="L463" s="32"/>
      <c r="M463" s="32"/>
      <c r="N463" s="31"/>
      <c r="O463" s="32"/>
      <c r="P463" s="33"/>
      <c r="Q463" s="33"/>
      <c r="R463" s="32"/>
      <c r="S463" s="33"/>
      <c r="T463" s="5"/>
    </row>
    <row r="464" spans="1:20" x14ac:dyDescent="0.25">
      <c r="A464" s="23"/>
      <c r="B464" s="24"/>
      <c r="C464" s="25"/>
      <c r="D464" s="27"/>
      <c r="E464" s="27"/>
      <c r="F464" s="28"/>
      <c r="G464" s="27"/>
      <c r="H464" s="180"/>
      <c r="I464" s="27"/>
      <c r="J464" s="32"/>
      <c r="K464" s="32"/>
      <c r="L464" s="32"/>
      <c r="M464" s="32"/>
      <c r="N464" s="31"/>
      <c r="O464" s="32"/>
      <c r="P464" s="33"/>
      <c r="Q464" s="33"/>
      <c r="R464" s="32"/>
      <c r="S464" s="33"/>
      <c r="T464" s="5"/>
    </row>
    <row r="465" spans="1:20" x14ac:dyDescent="0.25">
      <c r="A465" s="23"/>
      <c r="B465" s="24"/>
      <c r="C465" s="25"/>
      <c r="D465" s="27"/>
      <c r="E465" s="27"/>
      <c r="F465" s="28"/>
      <c r="G465" s="27"/>
      <c r="H465" s="180"/>
      <c r="I465" s="27"/>
      <c r="J465" s="32"/>
      <c r="K465" s="32"/>
      <c r="L465" s="32"/>
      <c r="M465" s="32"/>
      <c r="N465" s="31"/>
      <c r="O465" s="32"/>
      <c r="P465" s="33"/>
      <c r="Q465" s="33"/>
      <c r="R465" s="32"/>
      <c r="S465" s="33"/>
      <c r="T465" s="5"/>
    </row>
    <row r="466" spans="1:20" x14ac:dyDescent="0.25">
      <c r="A466" s="23"/>
      <c r="B466" s="24"/>
      <c r="C466" s="25"/>
      <c r="D466" s="27"/>
      <c r="E466" s="27"/>
      <c r="F466" s="28"/>
      <c r="G466" s="27"/>
      <c r="H466" s="180"/>
      <c r="I466" s="27"/>
      <c r="J466" s="32"/>
      <c r="K466" s="32"/>
      <c r="L466" s="32"/>
      <c r="M466" s="32"/>
      <c r="N466" s="31"/>
      <c r="O466" s="32"/>
      <c r="P466" s="33"/>
      <c r="Q466" s="33"/>
      <c r="R466" s="32"/>
      <c r="S466" s="33"/>
      <c r="T466" s="5"/>
    </row>
    <row r="467" spans="1:20" x14ac:dyDescent="0.25">
      <c r="A467" s="23"/>
      <c r="B467" s="24"/>
      <c r="C467" s="25"/>
      <c r="D467" s="27"/>
      <c r="E467" s="27"/>
      <c r="F467" s="28"/>
      <c r="G467" s="27"/>
      <c r="H467" s="180"/>
      <c r="I467" s="27"/>
      <c r="J467" s="32"/>
      <c r="K467" s="32"/>
      <c r="L467" s="32"/>
      <c r="M467" s="32"/>
      <c r="N467" s="31"/>
      <c r="O467" s="32"/>
      <c r="P467" s="33"/>
      <c r="Q467" s="33"/>
      <c r="R467" s="32"/>
      <c r="S467" s="33"/>
      <c r="T467" s="5"/>
    </row>
    <row r="468" spans="1:20" x14ac:dyDescent="0.25">
      <c r="A468" s="23"/>
      <c r="B468" s="24"/>
      <c r="C468" s="25"/>
      <c r="D468" s="27"/>
      <c r="E468" s="27"/>
      <c r="F468" s="28"/>
      <c r="G468" s="27"/>
      <c r="H468" s="180"/>
      <c r="I468" s="27"/>
      <c r="J468" s="32"/>
      <c r="K468" s="32"/>
      <c r="L468" s="32"/>
      <c r="M468" s="32"/>
      <c r="N468" s="31"/>
      <c r="O468" s="32"/>
      <c r="P468" s="33"/>
      <c r="Q468" s="33"/>
      <c r="R468" s="32"/>
      <c r="S468" s="33"/>
      <c r="T468" s="5"/>
    </row>
    <row r="469" spans="1:20" x14ac:dyDescent="0.25">
      <c r="A469" s="23"/>
      <c r="B469" s="24"/>
      <c r="C469" s="25"/>
      <c r="D469" s="27"/>
      <c r="E469" s="27"/>
      <c r="F469" s="28"/>
      <c r="G469" s="27"/>
      <c r="H469" s="180"/>
      <c r="I469" s="27"/>
      <c r="J469" s="32"/>
      <c r="K469" s="32"/>
      <c r="L469" s="32"/>
      <c r="M469" s="32"/>
      <c r="N469" s="31"/>
      <c r="O469" s="32"/>
      <c r="P469" s="33"/>
      <c r="Q469" s="33"/>
      <c r="R469" s="32"/>
      <c r="S469" s="33"/>
      <c r="T469" s="5"/>
    </row>
    <row r="470" spans="1:20" x14ac:dyDescent="0.25">
      <c r="A470" s="23"/>
      <c r="B470" s="24"/>
      <c r="C470" s="25"/>
      <c r="D470" s="27"/>
      <c r="E470" s="27"/>
      <c r="F470" s="28"/>
      <c r="G470" s="27"/>
      <c r="H470" s="180"/>
      <c r="I470" s="27"/>
      <c r="J470" s="32"/>
      <c r="K470" s="32"/>
      <c r="L470" s="32"/>
      <c r="M470" s="32"/>
      <c r="N470" s="31"/>
      <c r="O470" s="32"/>
      <c r="P470" s="33"/>
      <c r="Q470" s="33"/>
      <c r="R470" s="32"/>
      <c r="S470" s="33"/>
      <c r="T470" s="5"/>
    </row>
    <row r="471" spans="1:20" x14ac:dyDescent="0.25">
      <c r="A471" s="23"/>
      <c r="B471" s="24"/>
      <c r="C471" s="25"/>
      <c r="D471" s="27"/>
      <c r="E471" s="27"/>
      <c r="F471" s="28"/>
      <c r="G471" s="27"/>
      <c r="H471" s="180"/>
      <c r="I471" s="27"/>
      <c r="J471" s="32"/>
      <c r="K471" s="32"/>
      <c r="L471" s="32"/>
      <c r="M471" s="32"/>
      <c r="N471" s="31"/>
      <c r="O471" s="32"/>
      <c r="P471" s="33"/>
      <c r="Q471" s="33"/>
      <c r="R471" s="32"/>
      <c r="S471" s="33"/>
      <c r="T471" s="5"/>
    </row>
    <row r="472" spans="1:20" x14ac:dyDescent="0.25">
      <c r="A472" s="23"/>
      <c r="B472" s="24"/>
      <c r="C472" s="25"/>
      <c r="D472" s="27"/>
      <c r="E472" s="27"/>
      <c r="F472" s="28"/>
      <c r="G472" s="27"/>
      <c r="H472" s="180"/>
      <c r="I472" s="27"/>
      <c r="J472" s="32"/>
      <c r="K472" s="32"/>
      <c r="L472" s="32"/>
      <c r="M472" s="32"/>
      <c r="N472" s="31"/>
      <c r="O472" s="32"/>
      <c r="P472" s="33"/>
      <c r="Q472" s="33"/>
      <c r="R472" s="32"/>
      <c r="S472" s="33"/>
      <c r="T472" s="5"/>
    </row>
    <row r="473" spans="1:20" x14ac:dyDescent="0.25">
      <c r="A473" s="23"/>
      <c r="B473" s="24"/>
      <c r="C473" s="25"/>
      <c r="D473" s="27"/>
      <c r="E473" s="27"/>
      <c r="F473" s="28"/>
      <c r="G473" s="27"/>
      <c r="H473" s="180"/>
      <c r="I473" s="27"/>
      <c r="J473" s="32"/>
      <c r="K473" s="32"/>
      <c r="L473" s="32"/>
      <c r="M473" s="32"/>
      <c r="N473" s="31"/>
      <c r="O473" s="32"/>
      <c r="P473" s="33"/>
      <c r="Q473" s="33"/>
      <c r="R473" s="32"/>
      <c r="S473" s="33"/>
      <c r="T473" s="5"/>
    </row>
    <row r="474" spans="1:20" x14ac:dyDescent="0.25">
      <c r="A474" s="23"/>
      <c r="B474" s="24"/>
      <c r="C474" s="25"/>
      <c r="D474" s="27"/>
      <c r="E474" s="27"/>
      <c r="F474" s="28"/>
      <c r="G474" s="27"/>
      <c r="H474" s="180"/>
      <c r="I474" s="27"/>
      <c r="J474" s="32"/>
      <c r="K474" s="32"/>
      <c r="L474" s="32"/>
      <c r="M474" s="32"/>
      <c r="N474" s="31"/>
      <c r="O474" s="32"/>
      <c r="P474" s="33"/>
      <c r="Q474" s="33"/>
      <c r="R474" s="32"/>
      <c r="S474" s="33"/>
      <c r="T474" s="5"/>
    </row>
    <row r="475" spans="1:20" x14ac:dyDescent="0.25">
      <c r="A475" s="23"/>
      <c r="B475" s="24"/>
      <c r="C475" s="25"/>
      <c r="D475" s="27"/>
      <c r="E475" s="27"/>
      <c r="F475" s="28"/>
      <c r="G475" s="27"/>
      <c r="H475" s="180"/>
      <c r="I475" s="27"/>
      <c r="J475" s="32"/>
      <c r="K475" s="32"/>
      <c r="L475" s="32"/>
      <c r="M475" s="32"/>
      <c r="N475" s="31"/>
      <c r="O475" s="32"/>
      <c r="P475" s="33"/>
      <c r="Q475" s="33"/>
      <c r="R475" s="32"/>
      <c r="S475" s="33"/>
      <c r="T475" s="5"/>
    </row>
    <row r="476" spans="1:20" x14ac:dyDescent="0.25">
      <c r="A476" s="23"/>
      <c r="B476" s="24"/>
      <c r="C476" s="25"/>
      <c r="D476" s="27"/>
      <c r="E476" s="27"/>
      <c r="F476" s="28"/>
      <c r="G476" s="27"/>
      <c r="H476" s="180"/>
      <c r="I476" s="27"/>
      <c r="J476" s="32"/>
      <c r="K476" s="32"/>
      <c r="L476" s="32"/>
      <c r="M476" s="32"/>
      <c r="N476" s="31"/>
      <c r="O476" s="32"/>
      <c r="P476" s="33"/>
      <c r="Q476" s="33"/>
      <c r="R476" s="32"/>
      <c r="S476" s="33"/>
      <c r="T476" s="5"/>
    </row>
    <row r="477" spans="1:20" x14ac:dyDescent="0.25">
      <c r="A477" s="23"/>
      <c r="B477" s="24"/>
      <c r="C477" s="25"/>
      <c r="D477" s="27"/>
      <c r="E477" s="27"/>
      <c r="F477" s="28"/>
      <c r="G477" s="27"/>
      <c r="H477" s="180"/>
      <c r="I477" s="27"/>
      <c r="J477" s="32"/>
      <c r="K477" s="32"/>
      <c r="L477" s="32"/>
      <c r="M477" s="32"/>
      <c r="N477" s="31"/>
      <c r="O477" s="32"/>
      <c r="P477" s="33"/>
      <c r="Q477" s="33"/>
      <c r="R477" s="32"/>
      <c r="S477" s="33"/>
      <c r="T477" s="5"/>
    </row>
    <row r="478" spans="1:20" x14ac:dyDescent="0.25">
      <c r="A478" s="23"/>
      <c r="B478" s="24"/>
      <c r="C478" s="25"/>
      <c r="D478" s="27"/>
      <c r="E478" s="27"/>
      <c r="F478" s="28"/>
      <c r="G478" s="27"/>
      <c r="H478" s="180"/>
      <c r="I478" s="27"/>
      <c r="J478" s="32"/>
      <c r="K478" s="32"/>
      <c r="L478" s="32"/>
      <c r="M478" s="32"/>
      <c r="N478" s="31"/>
      <c r="O478" s="32"/>
      <c r="P478" s="33"/>
      <c r="Q478" s="33"/>
      <c r="R478" s="32"/>
      <c r="S478" s="33"/>
      <c r="T478" s="5"/>
    </row>
    <row r="479" spans="1:20" x14ac:dyDescent="0.25">
      <c r="A479" s="23"/>
      <c r="B479" s="24"/>
      <c r="C479" s="25"/>
      <c r="D479" s="27"/>
      <c r="E479" s="27"/>
      <c r="F479" s="28"/>
      <c r="G479" s="27"/>
      <c r="H479" s="180"/>
      <c r="I479" s="27"/>
      <c r="J479" s="32"/>
      <c r="K479" s="32"/>
      <c r="L479" s="32"/>
      <c r="M479" s="32"/>
      <c r="N479" s="31"/>
      <c r="O479" s="32"/>
      <c r="P479" s="33"/>
      <c r="Q479" s="33"/>
      <c r="R479" s="32"/>
      <c r="S479" s="33"/>
      <c r="T479" s="5"/>
    </row>
    <row r="480" spans="1:20" x14ac:dyDescent="0.25">
      <c r="A480" s="23"/>
      <c r="B480" s="24"/>
      <c r="C480" s="25"/>
      <c r="D480" s="27"/>
      <c r="E480" s="27"/>
      <c r="F480" s="28"/>
      <c r="G480" s="27"/>
      <c r="H480" s="180"/>
      <c r="I480" s="27"/>
      <c r="J480" s="32"/>
      <c r="K480" s="32"/>
      <c r="L480" s="32"/>
      <c r="M480" s="32"/>
      <c r="N480" s="31"/>
      <c r="O480" s="32"/>
      <c r="P480" s="33"/>
      <c r="Q480" s="33"/>
      <c r="R480" s="32"/>
      <c r="S480" s="33"/>
      <c r="T480" s="5"/>
    </row>
    <row r="481" spans="1:20" x14ac:dyDescent="0.25">
      <c r="A481" s="23"/>
      <c r="B481" s="24"/>
      <c r="C481" s="25"/>
      <c r="D481" s="27"/>
      <c r="E481" s="27"/>
      <c r="F481" s="28"/>
      <c r="G481" s="27"/>
      <c r="H481" s="180"/>
      <c r="I481" s="27"/>
      <c r="J481" s="32"/>
      <c r="K481" s="32"/>
      <c r="L481" s="32"/>
      <c r="M481" s="32"/>
      <c r="N481" s="31"/>
      <c r="O481" s="32"/>
      <c r="P481" s="33"/>
      <c r="Q481" s="33"/>
      <c r="R481" s="32"/>
      <c r="S481" s="33"/>
      <c r="T481" s="5"/>
    </row>
    <row r="482" spans="1:20" x14ac:dyDescent="0.25">
      <c r="A482" s="23"/>
      <c r="B482" s="24"/>
      <c r="C482" s="25"/>
      <c r="D482" s="27"/>
      <c r="E482" s="27"/>
      <c r="F482" s="28"/>
      <c r="G482" s="27"/>
      <c r="H482" s="180"/>
      <c r="I482" s="27"/>
      <c r="J482" s="32"/>
      <c r="K482" s="32"/>
      <c r="L482" s="32"/>
      <c r="M482" s="32"/>
      <c r="N482" s="31"/>
      <c r="O482" s="32"/>
      <c r="P482" s="33"/>
      <c r="Q482" s="33"/>
      <c r="R482" s="32"/>
      <c r="S482" s="33"/>
      <c r="T482" s="5"/>
    </row>
    <row r="483" spans="1:20" x14ac:dyDescent="0.25">
      <c r="A483" s="23"/>
      <c r="B483" s="24"/>
      <c r="C483" s="25"/>
      <c r="D483" s="27"/>
      <c r="E483" s="27"/>
      <c r="F483" s="28"/>
      <c r="G483" s="27"/>
      <c r="H483" s="180"/>
      <c r="I483" s="27"/>
      <c r="J483" s="32"/>
      <c r="K483" s="32"/>
      <c r="L483" s="32"/>
      <c r="M483" s="32"/>
      <c r="N483" s="31"/>
      <c r="O483" s="32"/>
      <c r="P483" s="33"/>
      <c r="Q483" s="33"/>
      <c r="R483" s="32"/>
      <c r="S483" s="33"/>
      <c r="T483" s="5"/>
    </row>
    <row r="484" spans="1:20" x14ac:dyDescent="0.25">
      <c r="A484" s="23"/>
      <c r="B484" s="24"/>
      <c r="C484" s="25"/>
      <c r="D484" s="27"/>
      <c r="E484" s="27"/>
      <c r="F484" s="28"/>
      <c r="G484" s="27"/>
      <c r="H484" s="180"/>
      <c r="I484" s="27"/>
      <c r="J484" s="32"/>
      <c r="K484" s="32"/>
      <c r="L484" s="32"/>
      <c r="M484" s="32"/>
      <c r="N484" s="31"/>
      <c r="O484" s="32"/>
      <c r="P484" s="33"/>
      <c r="Q484" s="33"/>
      <c r="R484" s="32"/>
      <c r="S484" s="33"/>
      <c r="T484" s="5"/>
    </row>
    <row r="485" spans="1:20" x14ac:dyDescent="0.25">
      <c r="A485" s="23"/>
      <c r="B485" s="24"/>
      <c r="C485" s="25"/>
      <c r="D485" s="27"/>
      <c r="E485" s="27"/>
      <c r="F485" s="28"/>
      <c r="G485" s="27"/>
      <c r="H485" s="180"/>
      <c r="I485" s="27"/>
      <c r="J485" s="32"/>
      <c r="K485" s="32"/>
      <c r="L485" s="32"/>
      <c r="M485" s="32"/>
      <c r="N485" s="31"/>
      <c r="O485" s="32"/>
      <c r="P485" s="33"/>
      <c r="Q485" s="33"/>
      <c r="R485" s="32"/>
      <c r="S485" s="33"/>
      <c r="T485" s="5"/>
    </row>
    <row r="486" spans="1:20" x14ac:dyDescent="0.25">
      <c r="A486" s="23"/>
      <c r="B486" s="24"/>
      <c r="C486" s="25"/>
      <c r="D486" s="27"/>
      <c r="E486" s="27"/>
      <c r="F486" s="28"/>
      <c r="G486" s="27"/>
      <c r="H486" s="180"/>
      <c r="I486" s="27"/>
      <c r="J486" s="32"/>
      <c r="K486" s="32"/>
      <c r="L486" s="32"/>
      <c r="M486" s="32"/>
      <c r="N486" s="31"/>
      <c r="O486" s="32"/>
      <c r="P486" s="33"/>
      <c r="Q486" s="33"/>
      <c r="R486" s="32"/>
      <c r="S486" s="33"/>
      <c r="T486" s="5"/>
    </row>
    <row r="487" spans="1:20" x14ac:dyDescent="0.25">
      <c r="A487" s="23"/>
      <c r="B487" s="24"/>
      <c r="C487" s="25"/>
      <c r="D487" s="27"/>
      <c r="E487" s="27"/>
      <c r="F487" s="28"/>
      <c r="G487" s="27"/>
      <c r="H487" s="180"/>
      <c r="I487" s="27"/>
      <c r="J487" s="32"/>
      <c r="K487" s="32"/>
      <c r="L487" s="32"/>
      <c r="M487" s="32"/>
      <c r="N487" s="31"/>
      <c r="O487" s="32"/>
      <c r="P487" s="33"/>
      <c r="Q487" s="33"/>
      <c r="R487" s="32"/>
      <c r="S487" s="33"/>
      <c r="T487" s="5"/>
    </row>
    <row r="488" spans="1:20" x14ac:dyDescent="0.25">
      <c r="A488" s="23"/>
      <c r="B488" s="24"/>
      <c r="C488" s="25"/>
      <c r="D488" s="27"/>
      <c r="E488" s="27"/>
      <c r="F488" s="28"/>
      <c r="G488" s="27"/>
      <c r="H488" s="180"/>
      <c r="I488" s="27"/>
      <c r="J488" s="32"/>
      <c r="K488" s="32"/>
      <c r="L488" s="32"/>
      <c r="M488" s="32"/>
      <c r="N488" s="31"/>
      <c r="O488" s="32"/>
      <c r="P488" s="33"/>
      <c r="Q488" s="33"/>
      <c r="R488" s="32"/>
      <c r="S488" s="33"/>
      <c r="T488" s="5"/>
    </row>
    <row r="489" spans="1:20" x14ac:dyDescent="0.25">
      <c r="A489" s="23"/>
      <c r="B489" s="24"/>
      <c r="C489" s="25"/>
      <c r="D489" s="27"/>
      <c r="E489" s="27"/>
      <c r="F489" s="28"/>
      <c r="G489" s="27"/>
      <c r="H489" s="180"/>
      <c r="I489" s="27"/>
      <c r="J489" s="32"/>
      <c r="K489" s="32"/>
      <c r="L489" s="32"/>
      <c r="M489" s="32"/>
      <c r="N489" s="31"/>
      <c r="O489" s="32"/>
      <c r="P489" s="33"/>
      <c r="Q489" s="33"/>
      <c r="R489" s="32"/>
      <c r="S489" s="33"/>
      <c r="T489" s="5"/>
    </row>
    <row r="490" spans="1:20" x14ac:dyDescent="0.25">
      <c r="A490" s="23"/>
      <c r="B490" s="24"/>
      <c r="C490" s="25"/>
      <c r="D490" s="27"/>
      <c r="E490" s="27"/>
      <c r="F490" s="28"/>
      <c r="G490" s="27"/>
      <c r="H490" s="180"/>
      <c r="I490" s="27"/>
      <c r="J490" s="32"/>
      <c r="K490" s="32"/>
      <c r="L490" s="32"/>
      <c r="M490" s="32"/>
      <c r="N490" s="31"/>
      <c r="O490" s="32"/>
      <c r="P490" s="33"/>
      <c r="Q490" s="33"/>
      <c r="R490" s="32"/>
      <c r="S490" s="33"/>
      <c r="T490" s="5"/>
    </row>
    <row r="491" spans="1:20" x14ac:dyDescent="0.25">
      <c r="A491" s="23"/>
      <c r="B491" s="24"/>
      <c r="C491" s="25"/>
      <c r="D491" s="27"/>
      <c r="E491" s="27"/>
      <c r="F491" s="28"/>
      <c r="G491" s="27"/>
      <c r="H491" s="180"/>
      <c r="I491" s="27"/>
      <c r="J491" s="32"/>
      <c r="K491" s="32"/>
      <c r="L491" s="32"/>
      <c r="M491" s="32"/>
      <c r="N491" s="31"/>
      <c r="O491" s="32"/>
      <c r="P491" s="33"/>
      <c r="Q491" s="33"/>
      <c r="R491" s="32"/>
      <c r="S491" s="33"/>
      <c r="T491" s="5"/>
    </row>
    <row r="492" spans="1:20" x14ac:dyDescent="0.25">
      <c r="A492" s="23"/>
      <c r="B492" s="24"/>
      <c r="C492" s="25"/>
      <c r="D492" s="27"/>
      <c r="E492" s="27"/>
      <c r="F492" s="28"/>
      <c r="G492" s="27"/>
      <c r="H492" s="180"/>
      <c r="I492" s="27"/>
      <c r="J492" s="32"/>
      <c r="K492" s="32"/>
      <c r="L492" s="32"/>
      <c r="M492" s="32"/>
      <c r="N492" s="31"/>
      <c r="O492" s="32"/>
      <c r="P492" s="33"/>
      <c r="Q492" s="33"/>
      <c r="R492" s="32"/>
      <c r="S492" s="33"/>
      <c r="T492" s="5"/>
    </row>
    <row r="493" spans="1:20" x14ac:dyDescent="0.25">
      <c r="A493" s="23"/>
      <c r="B493" s="24"/>
      <c r="C493" s="25"/>
      <c r="D493" s="27"/>
      <c r="E493" s="27"/>
      <c r="F493" s="28"/>
      <c r="G493" s="27"/>
      <c r="H493" s="180"/>
      <c r="I493" s="27"/>
      <c r="J493" s="32"/>
      <c r="K493" s="32"/>
      <c r="L493" s="32"/>
      <c r="M493" s="32"/>
      <c r="N493" s="31"/>
      <c r="O493" s="32"/>
      <c r="P493" s="33"/>
      <c r="Q493" s="33"/>
      <c r="R493" s="32"/>
      <c r="S493" s="33"/>
      <c r="T493" s="5"/>
    </row>
    <row r="494" spans="1:20" x14ac:dyDescent="0.25">
      <c r="A494" s="23"/>
      <c r="B494" s="24"/>
      <c r="C494" s="25"/>
      <c r="D494" s="27"/>
      <c r="E494" s="27"/>
      <c r="F494" s="28"/>
      <c r="G494" s="27"/>
      <c r="H494" s="180"/>
      <c r="I494" s="27"/>
      <c r="J494" s="32"/>
      <c r="K494" s="32"/>
      <c r="L494" s="32"/>
      <c r="M494" s="32"/>
      <c r="N494" s="31"/>
      <c r="O494" s="32"/>
      <c r="P494" s="33"/>
      <c r="Q494" s="33"/>
      <c r="R494" s="32"/>
      <c r="S494" s="33"/>
      <c r="T494" s="5"/>
    </row>
    <row r="495" spans="1:20" x14ac:dyDescent="0.25">
      <c r="A495" s="23"/>
      <c r="B495" s="24"/>
      <c r="C495" s="25"/>
      <c r="D495" s="27"/>
      <c r="E495" s="27"/>
      <c r="F495" s="28"/>
      <c r="G495" s="27"/>
      <c r="H495" s="180"/>
      <c r="I495" s="27"/>
      <c r="J495" s="32"/>
      <c r="K495" s="32"/>
      <c r="L495" s="32"/>
      <c r="M495" s="32"/>
      <c r="N495" s="31"/>
      <c r="O495" s="32"/>
      <c r="P495" s="33"/>
      <c r="Q495" s="33"/>
      <c r="R495" s="32"/>
      <c r="S495" s="33"/>
      <c r="T495" s="5"/>
    </row>
    <row r="496" spans="1:20" x14ac:dyDescent="0.25">
      <c r="A496" s="23"/>
      <c r="B496" s="24"/>
      <c r="C496" s="25"/>
      <c r="D496" s="27"/>
      <c r="E496" s="27"/>
      <c r="F496" s="28"/>
      <c r="G496" s="27"/>
      <c r="H496" s="180"/>
      <c r="I496" s="27"/>
      <c r="J496" s="32"/>
      <c r="K496" s="32"/>
      <c r="L496" s="32"/>
      <c r="M496" s="32"/>
      <c r="N496" s="31"/>
      <c r="O496" s="32"/>
      <c r="P496" s="33"/>
      <c r="Q496" s="33"/>
      <c r="R496" s="32"/>
      <c r="S496" s="33"/>
      <c r="T496" s="5"/>
    </row>
    <row r="497" spans="1:20" x14ac:dyDescent="0.25">
      <c r="A497" s="23"/>
      <c r="B497" s="24"/>
      <c r="C497" s="25"/>
      <c r="D497" s="27"/>
      <c r="E497" s="27"/>
      <c r="F497" s="28"/>
      <c r="G497" s="27"/>
      <c r="H497" s="180"/>
      <c r="I497" s="27"/>
      <c r="J497" s="32"/>
      <c r="K497" s="32"/>
      <c r="L497" s="32"/>
      <c r="M497" s="32"/>
      <c r="N497" s="31"/>
      <c r="O497" s="32"/>
      <c r="P497" s="33"/>
      <c r="Q497" s="33"/>
      <c r="R497" s="32"/>
      <c r="S497" s="33"/>
      <c r="T497" s="5"/>
    </row>
    <row r="498" spans="1:20" x14ac:dyDescent="0.25">
      <c r="A498" s="23"/>
      <c r="B498" s="24"/>
      <c r="C498" s="25"/>
      <c r="D498" s="27"/>
      <c r="E498" s="27"/>
      <c r="F498" s="28"/>
      <c r="G498" s="27"/>
      <c r="H498" s="180"/>
      <c r="I498" s="27"/>
      <c r="J498" s="32"/>
      <c r="K498" s="32"/>
      <c r="L498" s="32"/>
      <c r="M498" s="32"/>
      <c r="N498" s="31"/>
      <c r="O498" s="32"/>
      <c r="P498" s="33"/>
      <c r="Q498" s="33"/>
      <c r="R498" s="32"/>
      <c r="S498" s="33"/>
      <c r="T498" s="5"/>
    </row>
    <row r="499" spans="1:20" x14ac:dyDescent="0.25">
      <c r="A499" s="23"/>
      <c r="B499" s="24"/>
      <c r="C499" s="25"/>
      <c r="D499" s="27"/>
      <c r="E499" s="27"/>
      <c r="F499" s="28"/>
      <c r="G499" s="27"/>
      <c r="H499" s="180"/>
      <c r="I499" s="27"/>
      <c r="J499" s="32"/>
      <c r="K499" s="32"/>
      <c r="L499" s="32"/>
      <c r="M499" s="32"/>
      <c r="N499" s="31"/>
      <c r="O499" s="32"/>
      <c r="P499" s="33"/>
      <c r="Q499" s="33"/>
      <c r="R499" s="32"/>
      <c r="S499" s="33"/>
      <c r="T499" s="5"/>
    </row>
    <row r="500" spans="1:20" x14ac:dyDescent="0.25">
      <c r="A500" s="23"/>
      <c r="B500" s="24"/>
      <c r="C500" s="25"/>
      <c r="D500" s="27"/>
      <c r="E500" s="27"/>
      <c r="F500" s="28"/>
      <c r="G500" s="27"/>
      <c r="H500" s="180"/>
      <c r="I500" s="27"/>
      <c r="J500" s="32"/>
      <c r="K500" s="32"/>
      <c r="L500" s="32"/>
      <c r="M500" s="32"/>
      <c r="N500" s="31"/>
      <c r="O500" s="32"/>
      <c r="P500" s="33"/>
      <c r="Q500" s="33"/>
      <c r="R500" s="32"/>
      <c r="S500" s="33"/>
      <c r="T500" s="5"/>
    </row>
    <row r="501" spans="1:20" x14ac:dyDescent="0.25">
      <c r="A501" s="23"/>
      <c r="B501" s="24"/>
      <c r="C501" s="25"/>
      <c r="D501" s="27"/>
      <c r="E501" s="27"/>
      <c r="F501" s="28"/>
      <c r="G501" s="27"/>
      <c r="H501" s="180"/>
      <c r="I501" s="27"/>
      <c r="J501" s="32"/>
      <c r="K501" s="32"/>
      <c r="L501" s="32"/>
      <c r="M501" s="32"/>
      <c r="N501" s="31"/>
      <c r="O501" s="32"/>
      <c r="P501" s="33"/>
      <c r="Q501" s="33"/>
      <c r="R501" s="32"/>
      <c r="S501" s="33"/>
      <c r="T501" s="5"/>
    </row>
    <row r="502" spans="1:20" x14ac:dyDescent="0.25">
      <c r="A502" s="23"/>
      <c r="B502" s="24"/>
      <c r="C502" s="25"/>
      <c r="D502" s="27"/>
      <c r="E502" s="27"/>
      <c r="F502" s="28"/>
      <c r="G502" s="27"/>
      <c r="H502" s="180"/>
      <c r="I502" s="27"/>
      <c r="J502" s="32"/>
      <c r="K502" s="32"/>
      <c r="L502" s="32"/>
      <c r="M502" s="32"/>
      <c r="N502" s="31"/>
      <c r="O502" s="32"/>
      <c r="P502" s="33"/>
      <c r="Q502" s="33"/>
      <c r="R502" s="32"/>
      <c r="S502" s="33"/>
      <c r="T502" s="5"/>
    </row>
    <row r="503" spans="1:20" x14ac:dyDescent="0.25">
      <c r="A503" s="23"/>
      <c r="B503" s="24"/>
      <c r="C503" s="25"/>
      <c r="D503" s="27"/>
      <c r="E503" s="27"/>
      <c r="F503" s="28"/>
      <c r="G503" s="27"/>
      <c r="H503" s="180"/>
      <c r="I503" s="27"/>
      <c r="J503" s="32"/>
      <c r="K503" s="32"/>
      <c r="L503" s="32"/>
      <c r="M503" s="32"/>
      <c r="N503" s="31"/>
      <c r="O503" s="32"/>
      <c r="P503" s="33"/>
      <c r="Q503" s="33"/>
      <c r="R503" s="32"/>
      <c r="S503" s="33"/>
      <c r="T503" s="5"/>
    </row>
    <row r="504" spans="1:20" x14ac:dyDescent="0.25">
      <c r="A504" s="23"/>
      <c r="B504" s="24"/>
      <c r="C504" s="25"/>
      <c r="D504" s="27"/>
      <c r="E504" s="27"/>
      <c r="F504" s="28"/>
      <c r="G504" s="27"/>
      <c r="H504" s="180"/>
      <c r="I504" s="27"/>
      <c r="J504" s="32"/>
      <c r="K504" s="32"/>
      <c r="L504" s="32"/>
      <c r="M504" s="32"/>
      <c r="N504" s="31"/>
      <c r="O504" s="32"/>
      <c r="P504" s="33"/>
      <c r="Q504" s="33"/>
      <c r="R504" s="32"/>
      <c r="S504" s="33"/>
      <c r="T504" s="5"/>
    </row>
    <row r="505" spans="1:20" x14ac:dyDescent="0.25">
      <c r="A505" s="23"/>
      <c r="B505" s="24"/>
      <c r="C505" s="25"/>
      <c r="D505" s="27"/>
      <c r="E505" s="27"/>
      <c r="F505" s="28"/>
      <c r="G505" s="27"/>
      <c r="H505" s="180"/>
      <c r="I505" s="27"/>
      <c r="J505" s="32"/>
      <c r="K505" s="32"/>
      <c r="L505" s="32"/>
      <c r="M505" s="32"/>
      <c r="N505" s="31"/>
      <c r="O505" s="32"/>
      <c r="P505" s="33"/>
      <c r="Q505" s="33"/>
      <c r="R505" s="32"/>
      <c r="S505" s="33"/>
      <c r="T505" s="5"/>
    </row>
    <row r="506" spans="1:20" x14ac:dyDescent="0.25">
      <c r="A506" s="23"/>
      <c r="B506" s="24"/>
      <c r="C506" s="25"/>
      <c r="D506" s="27"/>
      <c r="E506" s="27"/>
      <c r="F506" s="28"/>
      <c r="G506" s="27"/>
      <c r="H506" s="180"/>
      <c r="I506" s="27"/>
      <c r="J506" s="32"/>
      <c r="K506" s="32"/>
      <c r="L506" s="32"/>
      <c r="M506" s="32"/>
      <c r="N506" s="31"/>
      <c r="O506" s="32"/>
      <c r="P506" s="33"/>
      <c r="Q506" s="33"/>
      <c r="R506" s="32"/>
      <c r="S506" s="33"/>
      <c r="T506" s="5"/>
    </row>
    <row r="507" spans="1:20" x14ac:dyDescent="0.25">
      <c r="A507" s="23"/>
      <c r="B507" s="24"/>
      <c r="C507" s="25"/>
      <c r="D507" s="27"/>
      <c r="E507" s="27"/>
      <c r="F507" s="28"/>
      <c r="G507" s="27"/>
      <c r="H507" s="180"/>
      <c r="I507" s="27"/>
      <c r="J507" s="32"/>
      <c r="K507" s="32"/>
      <c r="L507" s="32"/>
      <c r="M507" s="32"/>
      <c r="N507" s="31"/>
      <c r="O507" s="32"/>
      <c r="P507" s="33"/>
      <c r="Q507" s="33"/>
      <c r="R507" s="32"/>
      <c r="S507" s="33"/>
      <c r="T507" s="5"/>
    </row>
    <row r="508" spans="1:20" x14ac:dyDescent="0.25">
      <c r="A508" s="23"/>
      <c r="B508" s="24"/>
      <c r="C508" s="25"/>
      <c r="D508" s="27"/>
      <c r="E508" s="27"/>
      <c r="F508" s="28"/>
      <c r="G508" s="27"/>
      <c r="H508" s="180"/>
      <c r="I508" s="27"/>
      <c r="J508" s="32"/>
      <c r="K508" s="32"/>
      <c r="L508" s="32"/>
      <c r="M508" s="32"/>
      <c r="N508" s="31"/>
      <c r="O508" s="32"/>
      <c r="P508" s="33"/>
      <c r="Q508" s="33"/>
      <c r="R508" s="32"/>
      <c r="S508" s="33"/>
      <c r="T508" s="5"/>
    </row>
    <row r="509" spans="1:20" x14ac:dyDescent="0.25">
      <c r="A509" s="23"/>
      <c r="B509" s="24"/>
      <c r="C509" s="25"/>
      <c r="D509" s="27"/>
      <c r="E509" s="27"/>
      <c r="F509" s="28"/>
      <c r="G509" s="27"/>
      <c r="H509" s="180"/>
      <c r="I509" s="27"/>
      <c r="J509" s="32"/>
      <c r="K509" s="32"/>
      <c r="L509" s="32"/>
      <c r="M509" s="32"/>
      <c r="N509" s="31"/>
      <c r="O509" s="32"/>
      <c r="P509" s="33"/>
      <c r="Q509" s="33"/>
      <c r="R509" s="32"/>
      <c r="S509" s="33"/>
      <c r="T509" s="5"/>
    </row>
    <row r="510" spans="1:20" x14ac:dyDescent="0.25">
      <c r="A510" s="23"/>
      <c r="B510" s="24"/>
      <c r="C510" s="25"/>
      <c r="D510" s="27"/>
      <c r="E510" s="27"/>
      <c r="F510" s="28"/>
      <c r="G510" s="27"/>
      <c r="H510" s="180"/>
      <c r="I510" s="27"/>
      <c r="J510" s="32"/>
      <c r="K510" s="32"/>
      <c r="L510" s="32"/>
      <c r="M510" s="32"/>
      <c r="N510" s="31"/>
      <c r="O510" s="32"/>
      <c r="P510" s="33"/>
      <c r="Q510" s="33"/>
      <c r="R510" s="32"/>
      <c r="S510" s="33"/>
      <c r="T510" s="5"/>
    </row>
    <row r="511" spans="1:20" x14ac:dyDescent="0.25">
      <c r="A511" s="23"/>
      <c r="B511" s="24"/>
      <c r="C511" s="25"/>
      <c r="D511" s="27"/>
      <c r="E511" s="27"/>
      <c r="F511" s="28"/>
      <c r="G511" s="27"/>
      <c r="H511" s="180"/>
      <c r="I511" s="27"/>
      <c r="J511" s="32"/>
      <c r="K511" s="32"/>
      <c r="L511" s="32"/>
      <c r="M511" s="32"/>
      <c r="N511" s="31"/>
      <c r="O511" s="32"/>
      <c r="P511" s="33"/>
      <c r="Q511" s="33"/>
      <c r="R511" s="32"/>
      <c r="S511" s="33"/>
      <c r="T511" s="5"/>
    </row>
    <row r="512" spans="1:20" x14ac:dyDescent="0.25">
      <c r="A512" s="23"/>
      <c r="B512" s="24"/>
      <c r="C512" s="25"/>
      <c r="D512" s="27"/>
      <c r="E512" s="27"/>
      <c r="F512" s="28"/>
      <c r="G512" s="27"/>
      <c r="H512" s="180"/>
      <c r="I512" s="27"/>
      <c r="J512" s="32"/>
      <c r="K512" s="32"/>
      <c r="L512" s="32"/>
      <c r="M512" s="32"/>
      <c r="N512" s="31"/>
      <c r="O512" s="32"/>
      <c r="P512" s="33"/>
      <c r="Q512" s="33"/>
      <c r="R512" s="32"/>
      <c r="S512" s="33"/>
      <c r="T512" s="5"/>
    </row>
    <row r="513" spans="1:20" x14ac:dyDescent="0.25">
      <c r="A513" s="23"/>
      <c r="B513" s="24"/>
      <c r="C513" s="25"/>
      <c r="D513" s="27"/>
      <c r="E513" s="27"/>
      <c r="F513" s="28"/>
      <c r="G513" s="27"/>
      <c r="H513" s="180"/>
      <c r="I513" s="27"/>
      <c r="J513" s="32"/>
      <c r="K513" s="32"/>
      <c r="L513" s="32"/>
      <c r="M513" s="32"/>
      <c r="N513" s="31"/>
      <c r="O513" s="32"/>
      <c r="P513" s="33"/>
      <c r="Q513" s="33"/>
      <c r="R513" s="32"/>
      <c r="S513" s="33"/>
      <c r="T513" s="5"/>
    </row>
    <row r="514" spans="1:20" x14ac:dyDescent="0.25">
      <c r="A514" s="23"/>
      <c r="B514" s="24"/>
      <c r="C514" s="25"/>
      <c r="D514" s="27"/>
      <c r="E514" s="27"/>
      <c r="F514" s="28"/>
      <c r="G514" s="27"/>
      <c r="H514" s="180"/>
      <c r="I514" s="27"/>
      <c r="J514" s="32"/>
      <c r="K514" s="32"/>
      <c r="L514" s="32"/>
      <c r="M514" s="32"/>
      <c r="N514" s="31"/>
      <c r="O514" s="32"/>
      <c r="P514" s="33"/>
      <c r="Q514" s="33"/>
      <c r="R514" s="32"/>
      <c r="S514" s="33"/>
      <c r="T514" s="5"/>
    </row>
    <row r="515" spans="1:20" x14ac:dyDescent="0.25">
      <c r="A515" s="23"/>
      <c r="B515" s="24"/>
      <c r="C515" s="25"/>
      <c r="D515" s="27"/>
      <c r="E515" s="27"/>
      <c r="F515" s="28"/>
      <c r="G515" s="27"/>
      <c r="H515" s="180"/>
      <c r="I515" s="27"/>
      <c r="J515" s="32"/>
      <c r="K515" s="32"/>
      <c r="L515" s="32"/>
      <c r="M515" s="32"/>
      <c r="N515" s="31"/>
      <c r="O515" s="32"/>
      <c r="P515" s="33"/>
      <c r="Q515" s="33"/>
      <c r="R515" s="32"/>
      <c r="S515" s="33"/>
      <c r="T515" s="5"/>
    </row>
    <row r="516" spans="1:20" x14ac:dyDescent="0.25">
      <c r="A516" s="23"/>
      <c r="B516" s="24"/>
      <c r="C516" s="25"/>
      <c r="D516" s="27"/>
      <c r="E516" s="27"/>
      <c r="F516" s="28"/>
      <c r="G516" s="27"/>
      <c r="H516" s="180"/>
      <c r="I516" s="27"/>
      <c r="J516" s="32"/>
      <c r="K516" s="32"/>
      <c r="L516" s="32"/>
      <c r="M516" s="32"/>
      <c r="N516" s="31"/>
      <c r="O516" s="32"/>
      <c r="P516" s="33"/>
      <c r="Q516" s="33"/>
      <c r="R516" s="32"/>
      <c r="S516" s="33"/>
      <c r="T516" s="5"/>
    </row>
    <row r="517" spans="1:20" x14ac:dyDescent="0.25">
      <c r="A517" s="23"/>
      <c r="B517" s="24"/>
      <c r="C517" s="25"/>
      <c r="D517" s="27"/>
      <c r="E517" s="27"/>
      <c r="F517" s="28"/>
      <c r="G517" s="27"/>
      <c r="H517" s="180"/>
      <c r="I517" s="27"/>
      <c r="J517" s="32"/>
      <c r="K517" s="32"/>
      <c r="L517" s="32"/>
      <c r="M517" s="32"/>
      <c r="N517" s="31"/>
      <c r="O517" s="32"/>
      <c r="P517" s="33"/>
      <c r="Q517" s="33"/>
      <c r="R517" s="32"/>
      <c r="S517" s="33"/>
      <c r="T517" s="5"/>
    </row>
    <row r="518" spans="1:20" x14ac:dyDescent="0.25">
      <c r="A518" s="23"/>
      <c r="B518" s="24"/>
      <c r="C518" s="25"/>
      <c r="D518" s="27"/>
      <c r="E518" s="27"/>
      <c r="F518" s="28"/>
      <c r="G518" s="27"/>
      <c r="H518" s="180"/>
      <c r="I518" s="27"/>
      <c r="J518" s="32"/>
      <c r="K518" s="32"/>
      <c r="L518" s="32"/>
      <c r="M518" s="32"/>
      <c r="N518" s="31"/>
      <c r="O518" s="32"/>
      <c r="P518" s="33"/>
      <c r="Q518" s="33"/>
      <c r="R518" s="32"/>
      <c r="S518" s="33"/>
      <c r="T518" s="5"/>
    </row>
    <row r="519" spans="1:20" x14ac:dyDescent="0.25">
      <c r="A519" s="23"/>
      <c r="B519" s="24"/>
      <c r="C519" s="25"/>
      <c r="D519" s="27"/>
      <c r="E519" s="27"/>
      <c r="F519" s="28"/>
      <c r="G519" s="27"/>
      <c r="H519" s="180"/>
      <c r="I519" s="27"/>
      <c r="J519" s="32"/>
      <c r="K519" s="32"/>
      <c r="L519" s="32"/>
      <c r="M519" s="32"/>
      <c r="N519" s="31"/>
      <c r="O519" s="32"/>
      <c r="P519" s="33"/>
      <c r="Q519" s="33"/>
      <c r="R519" s="32"/>
      <c r="S519" s="33"/>
      <c r="T519" s="5"/>
    </row>
    <row r="520" spans="1:20" x14ac:dyDescent="0.25">
      <c r="A520" s="23"/>
      <c r="B520" s="24"/>
      <c r="C520" s="25"/>
      <c r="D520" s="27"/>
      <c r="E520" s="27"/>
      <c r="F520" s="28"/>
      <c r="G520" s="27"/>
      <c r="H520" s="180"/>
      <c r="I520" s="27"/>
      <c r="J520" s="32"/>
      <c r="K520" s="32"/>
      <c r="L520" s="32"/>
      <c r="M520" s="32"/>
      <c r="N520" s="31"/>
      <c r="O520" s="32"/>
      <c r="P520" s="33"/>
      <c r="Q520" s="33"/>
      <c r="R520" s="32"/>
      <c r="S520" s="33"/>
      <c r="T520" s="5"/>
    </row>
    <row r="521" spans="1:20" x14ac:dyDescent="0.25">
      <c r="A521" s="23"/>
      <c r="B521" s="24"/>
      <c r="C521" s="25"/>
      <c r="D521" s="27"/>
      <c r="E521" s="27"/>
      <c r="F521" s="28"/>
      <c r="G521" s="27"/>
      <c r="H521" s="180"/>
      <c r="I521" s="27"/>
      <c r="J521" s="32"/>
      <c r="K521" s="32"/>
      <c r="L521" s="32"/>
      <c r="M521" s="32"/>
      <c r="N521" s="31"/>
      <c r="O521" s="32"/>
      <c r="P521" s="33"/>
      <c r="Q521" s="33"/>
      <c r="R521" s="32"/>
      <c r="S521" s="33"/>
      <c r="T521" s="5"/>
    </row>
    <row r="522" spans="1:20" x14ac:dyDescent="0.25">
      <c r="A522" s="23"/>
      <c r="B522" s="24"/>
      <c r="C522" s="25"/>
      <c r="D522" s="27"/>
      <c r="E522" s="27"/>
      <c r="F522" s="28"/>
      <c r="G522" s="27"/>
      <c r="H522" s="180"/>
      <c r="I522" s="27"/>
      <c r="J522" s="32"/>
      <c r="K522" s="32"/>
      <c r="L522" s="32"/>
      <c r="M522" s="32"/>
      <c r="N522" s="31"/>
      <c r="O522" s="32"/>
      <c r="P522" s="33"/>
      <c r="Q522" s="33"/>
      <c r="R522" s="32"/>
      <c r="S522" s="33"/>
      <c r="T522" s="5"/>
    </row>
    <row r="523" spans="1:20" x14ac:dyDescent="0.25">
      <c r="A523" s="23"/>
      <c r="B523" s="24"/>
      <c r="C523" s="25"/>
      <c r="D523" s="27"/>
      <c r="E523" s="27"/>
      <c r="F523" s="28"/>
      <c r="G523" s="27"/>
      <c r="H523" s="180"/>
      <c r="I523" s="27"/>
      <c r="J523" s="32"/>
      <c r="K523" s="32"/>
      <c r="L523" s="32"/>
      <c r="M523" s="32"/>
      <c r="N523" s="31"/>
      <c r="O523" s="32"/>
      <c r="P523" s="33"/>
      <c r="Q523" s="33"/>
      <c r="R523" s="32"/>
      <c r="S523" s="33"/>
      <c r="T523" s="5"/>
    </row>
    <row r="524" spans="1:20" x14ac:dyDescent="0.25">
      <c r="A524" s="23"/>
      <c r="B524" s="24"/>
      <c r="C524" s="25"/>
      <c r="D524" s="27"/>
      <c r="E524" s="27"/>
      <c r="F524" s="28"/>
      <c r="G524" s="27"/>
      <c r="H524" s="180"/>
      <c r="I524" s="27"/>
      <c r="J524" s="32"/>
      <c r="K524" s="32"/>
      <c r="L524" s="32"/>
      <c r="M524" s="32"/>
      <c r="N524" s="31"/>
      <c r="O524" s="32"/>
      <c r="P524" s="33"/>
      <c r="Q524" s="33"/>
      <c r="R524" s="32"/>
      <c r="S524" s="33"/>
      <c r="T524" s="5"/>
    </row>
    <row r="525" spans="1:20" x14ac:dyDescent="0.25">
      <c r="A525" s="23"/>
      <c r="B525" s="24"/>
      <c r="C525" s="25"/>
      <c r="D525" s="27"/>
      <c r="E525" s="27"/>
      <c r="F525" s="28"/>
      <c r="G525" s="27"/>
      <c r="H525" s="180"/>
      <c r="I525" s="27"/>
      <c r="J525" s="32"/>
      <c r="K525" s="32"/>
      <c r="L525" s="32"/>
      <c r="M525" s="32"/>
      <c r="N525" s="31"/>
      <c r="O525" s="32"/>
      <c r="P525" s="33"/>
      <c r="Q525" s="33"/>
      <c r="R525" s="32"/>
      <c r="S525" s="33"/>
      <c r="T525" s="5"/>
    </row>
    <row r="526" spans="1:20" x14ac:dyDescent="0.25">
      <c r="A526" s="23"/>
      <c r="B526" s="24"/>
      <c r="C526" s="25"/>
      <c r="D526" s="27"/>
      <c r="E526" s="27"/>
      <c r="F526" s="28"/>
      <c r="G526" s="27"/>
      <c r="H526" s="180"/>
      <c r="I526" s="27"/>
      <c r="J526" s="32"/>
      <c r="K526" s="32"/>
      <c r="L526" s="32"/>
      <c r="M526" s="32"/>
      <c r="N526" s="31"/>
      <c r="O526" s="32"/>
      <c r="P526" s="33"/>
      <c r="Q526" s="33"/>
      <c r="R526" s="32"/>
      <c r="S526" s="33"/>
      <c r="T526" s="5"/>
    </row>
    <row r="527" spans="1:20" x14ac:dyDescent="0.25">
      <c r="A527" s="23"/>
      <c r="B527" s="24"/>
      <c r="C527" s="25"/>
      <c r="D527" s="27"/>
      <c r="E527" s="27"/>
      <c r="F527" s="28"/>
      <c r="G527" s="27"/>
      <c r="H527" s="180"/>
      <c r="I527" s="27"/>
      <c r="J527" s="32"/>
      <c r="K527" s="32"/>
      <c r="L527" s="32"/>
      <c r="M527" s="32"/>
      <c r="N527" s="31"/>
      <c r="O527" s="32"/>
      <c r="P527" s="33"/>
      <c r="Q527" s="33"/>
      <c r="R527" s="32"/>
      <c r="S527" s="33"/>
      <c r="T527" s="5"/>
    </row>
    <row r="528" spans="1:20" x14ac:dyDescent="0.25">
      <c r="A528" s="23"/>
      <c r="B528" s="24"/>
      <c r="C528" s="25"/>
      <c r="D528" s="27"/>
      <c r="E528" s="27"/>
      <c r="F528" s="28"/>
      <c r="G528" s="27"/>
      <c r="H528" s="180"/>
      <c r="I528" s="27"/>
      <c r="J528" s="32"/>
      <c r="K528" s="32"/>
      <c r="L528" s="32"/>
      <c r="M528" s="32"/>
      <c r="N528" s="31"/>
      <c r="O528" s="32"/>
      <c r="P528" s="33"/>
      <c r="Q528" s="33"/>
      <c r="R528" s="32"/>
      <c r="S528" s="33"/>
      <c r="T528" s="5"/>
    </row>
    <row r="529" spans="1:20" x14ac:dyDescent="0.25">
      <c r="A529" s="23"/>
      <c r="B529" s="24"/>
      <c r="C529" s="25"/>
      <c r="D529" s="27"/>
      <c r="E529" s="27"/>
      <c r="F529" s="28"/>
      <c r="G529" s="27"/>
      <c r="H529" s="180"/>
      <c r="I529" s="27"/>
      <c r="J529" s="32"/>
      <c r="K529" s="32"/>
      <c r="L529" s="32"/>
      <c r="M529" s="32"/>
      <c r="N529" s="31"/>
      <c r="O529" s="32"/>
      <c r="P529" s="33"/>
      <c r="Q529" s="33"/>
      <c r="R529" s="32"/>
      <c r="S529" s="33"/>
      <c r="T529" s="5"/>
    </row>
    <row r="530" spans="1:20" x14ac:dyDescent="0.25">
      <c r="A530" s="23"/>
      <c r="B530" s="24"/>
      <c r="C530" s="25"/>
      <c r="D530" s="27"/>
      <c r="E530" s="27"/>
      <c r="F530" s="28"/>
      <c r="G530" s="27"/>
      <c r="H530" s="180"/>
      <c r="I530" s="27"/>
      <c r="J530" s="32"/>
      <c r="K530" s="32"/>
      <c r="L530" s="32"/>
      <c r="M530" s="32"/>
      <c r="N530" s="31"/>
      <c r="O530" s="32"/>
      <c r="P530" s="33"/>
      <c r="Q530" s="33"/>
      <c r="R530" s="32"/>
      <c r="S530" s="33"/>
      <c r="T530" s="5"/>
    </row>
    <row r="531" spans="1:20" x14ac:dyDescent="0.25">
      <c r="A531" s="23"/>
      <c r="B531" s="24"/>
      <c r="C531" s="25"/>
      <c r="D531" s="27"/>
      <c r="E531" s="27"/>
      <c r="F531" s="28"/>
      <c r="G531" s="27"/>
      <c r="H531" s="180"/>
      <c r="I531" s="27"/>
      <c r="J531" s="32"/>
      <c r="K531" s="32"/>
      <c r="L531" s="32"/>
      <c r="M531" s="32"/>
      <c r="N531" s="31"/>
      <c r="O531" s="32"/>
      <c r="P531" s="33"/>
      <c r="Q531" s="33"/>
      <c r="R531" s="32"/>
      <c r="S531" s="33"/>
      <c r="T531" s="5"/>
    </row>
    <row r="532" spans="1:20" x14ac:dyDescent="0.25">
      <c r="A532" s="23"/>
      <c r="B532" s="24"/>
      <c r="C532" s="25"/>
      <c r="D532" s="27"/>
      <c r="E532" s="27"/>
      <c r="F532" s="28"/>
      <c r="G532" s="27"/>
      <c r="H532" s="180"/>
      <c r="I532" s="27"/>
      <c r="J532" s="32"/>
      <c r="K532" s="32"/>
      <c r="L532" s="32"/>
      <c r="M532" s="32"/>
      <c r="N532" s="31"/>
      <c r="O532" s="32"/>
      <c r="P532" s="33"/>
      <c r="Q532" s="33"/>
      <c r="R532" s="32"/>
      <c r="S532" s="33"/>
      <c r="T532" s="5"/>
    </row>
    <row r="533" spans="1:20" x14ac:dyDescent="0.25">
      <c r="A533" s="23"/>
      <c r="B533" s="24"/>
      <c r="C533" s="25"/>
      <c r="D533" s="27"/>
      <c r="E533" s="27"/>
      <c r="F533" s="28"/>
      <c r="G533" s="27"/>
      <c r="H533" s="180"/>
      <c r="I533" s="27"/>
      <c r="J533" s="32"/>
      <c r="K533" s="32"/>
      <c r="L533" s="32"/>
      <c r="M533" s="32"/>
      <c r="N533" s="31"/>
      <c r="O533" s="32"/>
      <c r="P533" s="33"/>
      <c r="Q533" s="33"/>
      <c r="R533" s="32"/>
      <c r="S533" s="33"/>
      <c r="T533" s="5"/>
    </row>
    <row r="534" spans="1:20" x14ac:dyDescent="0.25">
      <c r="A534" s="23"/>
      <c r="B534" s="24"/>
      <c r="C534" s="25"/>
      <c r="D534" s="27"/>
      <c r="E534" s="27"/>
      <c r="F534" s="28"/>
      <c r="G534" s="27"/>
      <c r="H534" s="180"/>
      <c r="I534" s="27"/>
      <c r="J534" s="32"/>
      <c r="K534" s="32"/>
      <c r="L534" s="32"/>
      <c r="M534" s="32"/>
      <c r="N534" s="31"/>
      <c r="O534" s="32"/>
      <c r="P534" s="33"/>
      <c r="Q534" s="33"/>
      <c r="R534" s="32"/>
      <c r="S534" s="33"/>
      <c r="T534" s="5"/>
    </row>
    <row r="535" spans="1:20" x14ac:dyDescent="0.25">
      <c r="A535" s="23"/>
      <c r="B535" s="24"/>
      <c r="C535" s="25"/>
      <c r="D535" s="27"/>
      <c r="E535" s="27"/>
      <c r="F535" s="28"/>
      <c r="G535" s="27"/>
      <c r="H535" s="180"/>
      <c r="I535" s="27"/>
      <c r="J535" s="32"/>
      <c r="K535" s="32"/>
      <c r="L535" s="32"/>
      <c r="M535" s="32"/>
      <c r="N535" s="31"/>
      <c r="O535" s="32"/>
      <c r="P535" s="33"/>
      <c r="Q535" s="33"/>
      <c r="R535" s="32"/>
      <c r="S535" s="33"/>
      <c r="T535" s="5"/>
    </row>
    <row r="536" spans="1:20" x14ac:dyDescent="0.25">
      <c r="A536" s="23"/>
      <c r="B536" s="24"/>
      <c r="C536" s="25"/>
      <c r="D536" s="27"/>
      <c r="E536" s="27"/>
      <c r="F536" s="28"/>
      <c r="G536" s="27"/>
      <c r="H536" s="180"/>
      <c r="I536" s="27"/>
      <c r="J536" s="32"/>
      <c r="K536" s="32"/>
      <c r="L536" s="32"/>
      <c r="M536" s="32"/>
      <c r="N536" s="31"/>
      <c r="O536" s="32"/>
      <c r="P536" s="33"/>
      <c r="Q536" s="33"/>
      <c r="R536" s="32"/>
      <c r="S536" s="33"/>
      <c r="T536" s="5"/>
    </row>
    <row r="537" spans="1:20" x14ac:dyDescent="0.25">
      <c r="A537" s="23"/>
      <c r="B537" s="24"/>
      <c r="C537" s="25"/>
      <c r="D537" s="27"/>
      <c r="E537" s="27"/>
      <c r="F537" s="28"/>
      <c r="G537" s="27"/>
      <c r="H537" s="180"/>
      <c r="I537" s="27"/>
      <c r="J537" s="32"/>
      <c r="K537" s="32"/>
      <c r="L537" s="32"/>
      <c r="M537" s="32"/>
      <c r="N537" s="31"/>
      <c r="O537" s="32"/>
      <c r="P537" s="33"/>
      <c r="Q537" s="33"/>
      <c r="R537" s="32"/>
      <c r="S537" s="33"/>
      <c r="T537" s="5"/>
    </row>
    <row r="538" spans="1:20" x14ac:dyDescent="0.25">
      <c r="A538" s="23"/>
      <c r="B538" s="24"/>
      <c r="C538" s="25"/>
      <c r="D538" s="27"/>
      <c r="E538" s="27"/>
      <c r="F538" s="28"/>
      <c r="G538" s="27"/>
      <c r="H538" s="180"/>
      <c r="I538" s="27"/>
      <c r="J538" s="32"/>
      <c r="K538" s="32"/>
      <c r="L538" s="32"/>
      <c r="M538" s="32"/>
      <c r="N538" s="31"/>
      <c r="O538" s="32"/>
      <c r="P538" s="33"/>
      <c r="Q538" s="33"/>
      <c r="R538" s="32"/>
      <c r="S538" s="33"/>
      <c r="T538" s="5"/>
    </row>
    <row r="539" spans="1:20" x14ac:dyDescent="0.25">
      <c r="A539" s="23"/>
      <c r="B539" s="24"/>
      <c r="C539" s="25"/>
      <c r="D539" s="27"/>
      <c r="E539" s="27"/>
      <c r="F539" s="28"/>
      <c r="G539" s="27"/>
      <c r="H539" s="180"/>
      <c r="I539" s="27"/>
      <c r="J539" s="32"/>
      <c r="K539" s="32"/>
      <c r="L539" s="32"/>
      <c r="M539" s="32"/>
      <c r="N539" s="31"/>
      <c r="O539" s="32"/>
      <c r="P539" s="33"/>
      <c r="Q539" s="33"/>
      <c r="R539" s="32"/>
      <c r="S539" s="33"/>
      <c r="T539" s="5"/>
    </row>
    <row r="540" spans="1:20" x14ac:dyDescent="0.25">
      <c r="A540" s="23"/>
      <c r="B540" s="24"/>
      <c r="C540" s="25"/>
      <c r="D540" s="27"/>
      <c r="E540" s="27"/>
      <c r="F540" s="28"/>
      <c r="G540" s="27"/>
      <c r="H540" s="180"/>
      <c r="I540" s="27"/>
      <c r="J540" s="32"/>
      <c r="K540" s="32"/>
      <c r="L540" s="32"/>
      <c r="M540" s="32"/>
      <c r="N540" s="31"/>
      <c r="O540" s="32"/>
      <c r="P540" s="33"/>
      <c r="Q540" s="33"/>
      <c r="R540" s="32"/>
      <c r="S540" s="33"/>
      <c r="T540" s="5"/>
    </row>
    <row r="541" spans="1:20" x14ac:dyDescent="0.25">
      <c r="A541" s="23"/>
      <c r="B541" s="24"/>
      <c r="C541" s="25"/>
      <c r="D541" s="27"/>
      <c r="E541" s="27"/>
      <c r="F541" s="28"/>
      <c r="G541" s="27"/>
      <c r="H541" s="180"/>
      <c r="I541" s="27"/>
      <c r="J541" s="32"/>
      <c r="K541" s="32"/>
      <c r="L541" s="32"/>
      <c r="M541" s="32"/>
      <c r="N541" s="31"/>
      <c r="O541" s="32"/>
      <c r="P541" s="33"/>
      <c r="Q541" s="33"/>
      <c r="R541" s="32"/>
      <c r="S541" s="33"/>
      <c r="T541" s="5"/>
    </row>
    <row r="542" spans="1:20" x14ac:dyDescent="0.25">
      <c r="A542" s="23"/>
      <c r="B542" s="24"/>
      <c r="C542" s="25"/>
      <c r="D542" s="27"/>
      <c r="E542" s="27"/>
      <c r="F542" s="28"/>
      <c r="G542" s="27"/>
      <c r="H542" s="180"/>
      <c r="I542" s="27"/>
      <c r="J542" s="32"/>
      <c r="K542" s="32"/>
      <c r="L542" s="32"/>
      <c r="M542" s="32"/>
      <c r="N542" s="31"/>
      <c r="O542" s="32"/>
      <c r="P542" s="33"/>
      <c r="Q542" s="33"/>
      <c r="R542" s="32"/>
      <c r="S542" s="33"/>
      <c r="T542" s="5"/>
    </row>
    <row r="543" spans="1:20" x14ac:dyDescent="0.25">
      <c r="A543" s="23"/>
      <c r="B543" s="24"/>
      <c r="C543" s="25"/>
      <c r="D543" s="27"/>
      <c r="E543" s="27"/>
      <c r="F543" s="28"/>
      <c r="G543" s="27"/>
      <c r="H543" s="180"/>
      <c r="I543" s="27"/>
      <c r="J543" s="32"/>
      <c r="K543" s="32"/>
      <c r="L543" s="32"/>
      <c r="M543" s="32"/>
      <c r="N543" s="31"/>
      <c r="O543" s="32"/>
      <c r="P543" s="33"/>
      <c r="Q543" s="33"/>
      <c r="R543" s="32"/>
      <c r="S543" s="33"/>
      <c r="T543" s="5"/>
    </row>
    <row r="544" spans="1:20" x14ac:dyDescent="0.25">
      <c r="A544" s="23"/>
      <c r="B544" s="24"/>
      <c r="C544" s="25"/>
      <c r="D544" s="27"/>
      <c r="E544" s="27"/>
      <c r="F544" s="28"/>
      <c r="G544" s="27"/>
      <c r="H544" s="180"/>
      <c r="I544" s="27"/>
      <c r="J544" s="32"/>
      <c r="K544" s="32"/>
      <c r="L544" s="32"/>
      <c r="M544" s="32"/>
      <c r="N544" s="31"/>
      <c r="O544" s="32"/>
      <c r="P544" s="33"/>
      <c r="Q544" s="33"/>
      <c r="R544" s="32"/>
      <c r="S544" s="33"/>
      <c r="T544" s="5"/>
    </row>
    <row r="545" spans="1:20" x14ac:dyDescent="0.25">
      <c r="A545" s="23"/>
      <c r="B545" s="24"/>
      <c r="C545" s="25"/>
      <c r="D545" s="27"/>
      <c r="E545" s="27"/>
      <c r="F545" s="28"/>
      <c r="G545" s="27"/>
      <c r="H545" s="180"/>
      <c r="I545" s="27"/>
      <c r="J545" s="32"/>
      <c r="K545" s="32"/>
      <c r="L545" s="32"/>
      <c r="M545" s="32"/>
      <c r="N545" s="31"/>
      <c r="O545" s="32"/>
      <c r="P545" s="33"/>
      <c r="Q545" s="33"/>
      <c r="R545" s="32"/>
      <c r="S545" s="33"/>
      <c r="T545" s="5"/>
    </row>
    <row r="546" spans="1:20" x14ac:dyDescent="0.25">
      <c r="A546" s="23"/>
      <c r="B546" s="24"/>
      <c r="C546" s="25"/>
      <c r="D546" s="27"/>
      <c r="E546" s="27"/>
      <c r="F546" s="28"/>
      <c r="G546" s="27"/>
      <c r="H546" s="180"/>
      <c r="I546" s="27"/>
      <c r="J546" s="32"/>
      <c r="K546" s="32"/>
      <c r="L546" s="32"/>
      <c r="M546" s="32"/>
      <c r="N546" s="31"/>
      <c r="O546" s="32"/>
      <c r="P546" s="33"/>
      <c r="Q546" s="33"/>
      <c r="R546" s="32"/>
      <c r="S546" s="33"/>
      <c r="T546" s="5"/>
    </row>
    <row r="547" spans="1:20" x14ac:dyDescent="0.25">
      <c r="A547" s="23"/>
      <c r="B547" s="24"/>
      <c r="C547" s="25"/>
      <c r="D547" s="27"/>
      <c r="E547" s="27"/>
      <c r="F547" s="28"/>
      <c r="G547" s="27"/>
      <c r="H547" s="180"/>
      <c r="I547" s="27"/>
      <c r="J547" s="32"/>
      <c r="K547" s="32"/>
      <c r="L547" s="32"/>
      <c r="M547" s="32"/>
      <c r="N547" s="31"/>
      <c r="O547" s="32"/>
      <c r="P547" s="33"/>
      <c r="Q547" s="33"/>
      <c r="R547" s="32"/>
      <c r="S547" s="33"/>
      <c r="T547" s="5"/>
    </row>
    <row r="548" spans="1:20" x14ac:dyDescent="0.25">
      <c r="A548" s="23"/>
      <c r="B548" s="24"/>
      <c r="C548" s="25"/>
      <c r="D548" s="27"/>
      <c r="E548" s="27"/>
      <c r="F548" s="28"/>
      <c r="G548" s="27"/>
      <c r="H548" s="180"/>
      <c r="I548" s="27"/>
      <c r="J548" s="32"/>
      <c r="K548" s="32"/>
      <c r="L548" s="32"/>
      <c r="M548" s="32"/>
      <c r="N548" s="31"/>
      <c r="O548" s="32"/>
      <c r="P548" s="33"/>
      <c r="Q548" s="33"/>
      <c r="R548" s="32"/>
      <c r="S548" s="33"/>
      <c r="T548" s="5"/>
    </row>
    <row r="549" spans="1:20" x14ac:dyDescent="0.25">
      <c r="A549" s="23"/>
      <c r="B549" s="24"/>
      <c r="C549" s="25"/>
      <c r="D549" s="27"/>
      <c r="E549" s="27"/>
      <c r="F549" s="28"/>
      <c r="G549" s="27"/>
      <c r="H549" s="180"/>
      <c r="I549" s="27"/>
      <c r="J549" s="32"/>
      <c r="K549" s="32"/>
      <c r="L549" s="32"/>
      <c r="M549" s="32"/>
      <c r="N549" s="31"/>
      <c r="O549" s="32"/>
      <c r="P549" s="33"/>
      <c r="Q549" s="33"/>
      <c r="R549" s="32"/>
      <c r="S549" s="33"/>
      <c r="T549" s="5"/>
    </row>
    <row r="550" spans="1:20" x14ac:dyDescent="0.25">
      <c r="A550" s="23"/>
      <c r="B550" s="24"/>
      <c r="C550" s="25"/>
      <c r="D550" s="27"/>
      <c r="E550" s="27"/>
      <c r="F550" s="28"/>
      <c r="G550" s="27"/>
      <c r="H550" s="180"/>
      <c r="I550" s="27"/>
      <c r="J550" s="32"/>
      <c r="K550" s="32"/>
      <c r="L550" s="32"/>
      <c r="M550" s="32"/>
      <c r="N550" s="31"/>
      <c r="O550" s="32"/>
      <c r="P550" s="33"/>
      <c r="Q550" s="33"/>
      <c r="R550" s="32"/>
      <c r="S550" s="33"/>
      <c r="T550" s="5"/>
    </row>
    <row r="551" spans="1:20" x14ac:dyDescent="0.25">
      <c r="A551" s="23"/>
      <c r="B551" s="24"/>
      <c r="C551" s="25"/>
      <c r="D551" s="27"/>
      <c r="E551" s="27"/>
      <c r="F551" s="28"/>
      <c r="G551" s="27"/>
      <c r="H551" s="180"/>
      <c r="I551" s="27"/>
      <c r="J551" s="32"/>
      <c r="K551" s="32"/>
      <c r="L551" s="32"/>
      <c r="M551" s="32"/>
      <c r="N551" s="31"/>
      <c r="O551" s="32"/>
      <c r="P551" s="33"/>
      <c r="Q551" s="33"/>
      <c r="R551" s="32"/>
      <c r="S551" s="33"/>
      <c r="T551" s="5"/>
    </row>
    <row r="552" spans="1:20" x14ac:dyDescent="0.25">
      <c r="A552" s="23"/>
      <c r="B552" s="24"/>
      <c r="C552" s="25"/>
      <c r="D552" s="27"/>
      <c r="E552" s="27"/>
      <c r="F552" s="28"/>
      <c r="G552" s="27"/>
      <c r="H552" s="180"/>
      <c r="I552" s="27"/>
      <c r="J552" s="32"/>
      <c r="K552" s="32"/>
      <c r="L552" s="32"/>
      <c r="M552" s="32"/>
      <c r="N552" s="31"/>
      <c r="O552" s="32"/>
      <c r="P552" s="33"/>
      <c r="Q552" s="33"/>
      <c r="R552" s="32"/>
      <c r="S552" s="33"/>
      <c r="T552" s="5"/>
    </row>
    <row r="553" spans="1:20" x14ac:dyDescent="0.25">
      <c r="A553" s="23"/>
      <c r="B553" s="24"/>
      <c r="C553" s="25"/>
      <c r="D553" s="27"/>
      <c r="E553" s="27"/>
      <c r="F553" s="28"/>
      <c r="G553" s="27"/>
      <c r="H553" s="180"/>
      <c r="I553" s="27"/>
      <c r="J553" s="32"/>
      <c r="K553" s="32"/>
      <c r="L553" s="32"/>
      <c r="M553" s="32"/>
      <c r="N553" s="31"/>
      <c r="O553" s="32"/>
      <c r="P553" s="33"/>
      <c r="Q553" s="33"/>
      <c r="R553" s="32"/>
      <c r="S553" s="33"/>
      <c r="T553" s="5"/>
    </row>
    <row r="554" spans="1:20" x14ac:dyDescent="0.25">
      <c r="A554" s="23"/>
      <c r="B554" s="24"/>
      <c r="C554" s="25"/>
      <c r="D554" s="27"/>
      <c r="E554" s="27"/>
      <c r="F554" s="28"/>
      <c r="G554" s="27"/>
      <c r="H554" s="180"/>
      <c r="I554" s="27"/>
      <c r="J554" s="32"/>
      <c r="K554" s="32"/>
      <c r="L554" s="32"/>
      <c r="M554" s="32"/>
      <c r="N554" s="31"/>
      <c r="O554" s="32"/>
      <c r="P554" s="33"/>
      <c r="Q554" s="33"/>
      <c r="R554" s="32"/>
      <c r="S554" s="33"/>
      <c r="T554" s="5"/>
    </row>
    <row r="555" spans="1:20" x14ac:dyDescent="0.25">
      <c r="A555" s="23"/>
      <c r="B555" s="24"/>
      <c r="C555" s="25"/>
      <c r="D555" s="27"/>
      <c r="E555" s="27"/>
      <c r="F555" s="28"/>
      <c r="G555" s="27"/>
      <c r="H555" s="180"/>
      <c r="I555" s="27"/>
      <c r="J555" s="32"/>
      <c r="K555" s="32"/>
      <c r="L555" s="32"/>
      <c r="M555" s="32"/>
      <c r="N555" s="31"/>
      <c r="O555" s="32"/>
      <c r="P555" s="33"/>
      <c r="Q555" s="33"/>
      <c r="R555" s="32"/>
      <c r="S555" s="33"/>
      <c r="T555" s="5"/>
    </row>
    <row r="556" spans="1:20" x14ac:dyDescent="0.25">
      <c r="A556" s="23"/>
      <c r="B556" s="24"/>
      <c r="C556" s="25"/>
      <c r="D556" s="27"/>
      <c r="E556" s="27"/>
      <c r="F556" s="28"/>
      <c r="G556" s="27"/>
      <c r="H556" s="180"/>
      <c r="I556" s="27"/>
      <c r="J556" s="32"/>
      <c r="K556" s="32"/>
      <c r="L556" s="32"/>
      <c r="M556" s="32"/>
      <c r="N556" s="31"/>
      <c r="O556" s="32"/>
      <c r="P556" s="33"/>
      <c r="Q556" s="33"/>
      <c r="R556" s="32"/>
      <c r="S556" s="33"/>
      <c r="T556" s="5"/>
    </row>
    <row r="557" spans="1:20" x14ac:dyDescent="0.25">
      <c r="A557" s="23"/>
      <c r="B557" s="24"/>
      <c r="C557" s="25"/>
      <c r="D557" s="27"/>
      <c r="E557" s="27"/>
      <c r="F557" s="28"/>
      <c r="G557" s="27"/>
      <c r="H557" s="180"/>
      <c r="I557" s="27"/>
      <c r="J557" s="32"/>
      <c r="K557" s="32"/>
      <c r="L557" s="32"/>
      <c r="M557" s="32"/>
      <c r="N557" s="31"/>
      <c r="O557" s="32"/>
      <c r="P557" s="33"/>
      <c r="Q557" s="33"/>
      <c r="R557" s="32"/>
      <c r="S557" s="33"/>
      <c r="T557" s="5"/>
    </row>
    <row r="558" spans="1:20" x14ac:dyDescent="0.25">
      <c r="A558" s="23"/>
      <c r="B558" s="24"/>
      <c r="C558" s="25"/>
      <c r="D558" s="27"/>
      <c r="E558" s="27"/>
      <c r="F558" s="28"/>
      <c r="G558" s="27"/>
      <c r="H558" s="180"/>
      <c r="I558" s="27"/>
      <c r="J558" s="32"/>
      <c r="K558" s="32"/>
      <c r="L558" s="32"/>
      <c r="M558" s="32"/>
      <c r="N558" s="31"/>
      <c r="O558" s="32"/>
      <c r="P558" s="33"/>
      <c r="Q558" s="33"/>
      <c r="R558" s="32"/>
      <c r="S558" s="33"/>
      <c r="T558" s="5"/>
    </row>
    <row r="559" spans="1:20" x14ac:dyDescent="0.25">
      <c r="A559" s="23"/>
      <c r="B559" s="24"/>
      <c r="C559" s="25"/>
      <c r="D559" s="27"/>
      <c r="E559" s="27"/>
      <c r="F559" s="28"/>
      <c r="G559" s="27"/>
      <c r="H559" s="180"/>
      <c r="I559" s="27"/>
      <c r="J559" s="32"/>
      <c r="K559" s="32"/>
      <c r="L559" s="32"/>
      <c r="M559" s="32"/>
      <c r="N559" s="31"/>
      <c r="O559" s="32"/>
      <c r="P559" s="33"/>
      <c r="Q559" s="33"/>
      <c r="R559" s="32"/>
      <c r="S559" s="33"/>
      <c r="T559" s="5"/>
    </row>
    <row r="560" spans="1:20" x14ac:dyDescent="0.25">
      <c r="A560" s="23"/>
      <c r="B560" s="24"/>
      <c r="C560" s="25"/>
      <c r="D560" s="27"/>
      <c r="E560" s="27"/>
      <c r="F560" s="28"/>
      <c r="G560" s="27"/>
      <c r="H560" s="180"/>
      <c r="I560" s="27"/>
      <c r="J560" s="32"/>
      <c r="K560" s="32"/>
      <c r="L560" s="32"/>
      <c r="M560" s="32"/>
      <c r="N560" s="31"/>
      <c r="O560" s="32"/>
      <c r="P560" s="33"/>
      <c r="Q560" s="33"/>
      <c r="R560" s="32"/>
      <c r="S560" s="33"/>
      <c r="T560" s="5"/>
    </row>
    <row r="561" spans="1:20" x14ac:dyDescent="0.25">
      <c r="A561" s="23"/>
      <c r="B561" s="24"/>
      <c r="C561" s="25"/>
      <c r="D561" s="27"/>
      <c r="E561" s="27"/>
      <c r="F561" s="28"/>
      <c r="G561" s="27"/>
      <c r="H561" s="180"/>
      <c r="I561" s="27"/>
      <c r="J561" s="32"/>
      <c r="K561" s="32"/>
      <c r="L561" s="32"/>
      <c r="M561" s="32"/>
      <c r="N561" s="31"/>
      <c r="O561" s="32"/>
      <c r="P561" s="33"/>
      <c r="Q561" s="33"/>
      <c r="R561" s="32"/>
      <c r="S561" s="33"/>
      <c r="T561" s="5"/>
    </row>
    <row r="562" spans="1:20" x14ac:dyDescent="0.25">
      <c r="A562" s="23"/>
      <c r="B562" s="24"/>
      <c r="C562" s="25"/>
      <c r="D562" s="27"/>
      <c r="E562" s="27"/>
      <c r="F562" s="28"/>
      <c r="G562" s="27"/>
      <c r="H562" s="180"/>
      <c r="I562" s="27"/>
      <c r="J562" s="32"/>
      <c r="K562" s="32"/>
      <c r="L562" s="32"/>
      <c r="M562" s="32"/>
      <c r="N562" s="31"/>
      <c r="O562" s="32"/>
      <c r="P562" s="33"/>
      <c r="Q562" s="33"/>
      <c r="R562" s="32"/>
      <c r="S562" s="33"/>
      <c r="T562" s="5"/>
    </row>
    <row r="563" spans="1:20" x14ac:dyDescent="0.25">
      <c r="A563" s="23"/>
      <c r="B563" s="24"/>
      <c r="C563" s="25"/>
      <c r="D563" s="27"/>
      <c r="E563" s="27"/>
      <c r="F563" s="28"/>
      <c r="G563" s="27"/>
      <c r="H563" s="180"/>
      <c r="I563" s="27"/>
      <c r="J563" s="32"/>
      <c r="K563" s="32"/>
      <c r="L563" s="32"/>
      <c r="M563" s="32"/>
      <c r="N563" s="31"/>
      <c r="O563" s="32"/>
      <c r="P563" s="33"/>
      <c r="Q563" s="33"/>
      <c r="R563" s="32"/>
      <c r="S563" s="33"/>
      <c r="T563" s="5"/>
    </row>
    <row r="564" spans="1:20" x14ac:dyDescent="0.25">
      <c r="A564" s="23"/>
      <c r="B564" s="24"/>
      <c r="C564" s="25"/>
      <c r="D564" s="27"/>
      <c r="E564" s="27"/>
      <c r="F564" s="28"/>
      <c r="G564" s="27"/>
      <c r="H564" s="180"/>
      <c r="I564" s="27"/>
      <c r="J564" s="32"/>
      <c r="K564" s="32"/>
      <c r="L564" s="32"/>
      <c r="M564" s="32"/>
      <c r="N564" s="31"/>
      <c r="O564" s="32"/>
      <c r="P564" s="33"/>
      <c r="Q564" s="33"/>
      <c r="R564" s="32"/>
      <c r="S564" s="33"/>
      <c r="T564" s="5"/>
    </row>
    <row r="565" spans="1:20" x14ac:dyDescent="0.25">
      <c r="A565" s="23"/>
      <c r="B565" s="24"/>
      <c r="C565" s="25"/>
      <c r="D565" s="27"/>
      <c r="E565" s="27"/>
      <c r="F565" s="28"/>
      <c r="G565" s="27"/>
      <c r="H565" s="180"/>
      <c r="I565" s="27"/>
      <c r="J565" s="32"/>
      <c r="K565" s="32"/>
      <c r="L565" s="32"/>
      <c r="M565" s="32"/>
      <c r="N565" s="31"/>
      <c r="O565" s="32"/>
      <c r="P565" s="33"/>
      <c r="Q565" s="33"/>
      <c r="R565" s="32"/>
      <c r="S565" s="33"/>
      <c r="T565" s="5"/>
    </row>
    <row r="566" spans="1:20" x14ac:dyDescent="0.25">
      <c r="A566" s="23"/>
      <c r="B566" s="24"/>
      <c r="C566" s="25"/>
      <c r="D566" s="27"/>
      <c r="E566" s="27"/>
      <c r="F566" s="28"/>
      <c r="G566" s="27"/>
      <c r="H566" s="180"/>
      <c r="I566" s="27"/>
      <c r="J566" s="32"/>
      <c r="K566" s="32"/>
      <c r="L566" s="32"/>
      <c r="M566" s="32"/>
      <c r="N566" s="31"/>
      <c r="O566" s="32"/>
      <c r="P566" s="33"/>
      <c r="Q566" s="33"/>
      <c r="R566" s="32"/>
      <c r="S566" s="33"/>
      <c r="T566" s="5"/>
    </row>
    <row r="567" spans="1:20" x14ac:dyDescent="0.25">
      <c r="A567" s="23"/>
      <c r="B567" s="24"/>
      <c r="C567" s="25"/>
      <c r="D567" s="27"/>
      <c r="E567" s="27"/>
      <c r="F567" s="28"/>
      <c r="G567" s="27"/>
      <c r="H567" s="180"/>
      <c r="I567" s="27"/>
      <c r="J567" s="32"/>
      <c r="K567" s="32"/>
      <c r="L567" s="32"/>
      <c r="M567" s="32"/>
      <c r="N567" s="31"/>
      <c r="O567" s="32"/>
      <c r="P567" s="33"/>
      <c r="Q567" s="33"/>
      <c r="R567" s="32"/>
      <c r="S567" s="33"/>
      <c r="T567" s="5"/>
    </row>
    <row r="568" spans="1:20" x14ac:dyDescent="0.25">
      <c r="A568" s="23"/>
      <c r="B568" s="24"/>
      <c r="C568" s="25"/>
      <c r="D568" s="27"/>
      <c r="E568" s="27"/>
      <c r="F568" s="28"/>
      <c r="G568" s="27"/>
      <c r="H568" s="180"/>
      <c r="I568" s="27"/>
      <c r="J568" s="32"/>
      <c r="K568" s="32"/>
      <c r="L568" s="32"/>
      <c r="M568" s="32"/>
      <c r="N568" s="31"/>
      <c r="O568" s="32"/>
      <c r="P568" s="33"/>
      <c r="Q568" s="33"/>
      <c r="R568" s="32"/>
      <c r="S568" s="33"/>
      <c r="T568" s="5"/>
    </row>
    <row r="569" spans="1:20" x14ac:dyDescent="0.25">
      <c r="A569" s="23"/>
      <c r="B569" s="24"/>
      <c r="C569" s="25"/>
      <c r="D569" s="27"/>
      <c r="E569" s="27"/>
      <c r="F569" s="28"/>
      <c r="G569" s="27"/>
      <c r="H569" s="180"/>
      <c r="I569" s="27"/>
      <c r="J569" s="32"/>
      <c r="K569" s="32"/>
      <c r="L569" s="32"/>
      <c r="M569" s="32"/>
      <c r="N569" s="31"/>
      <c r="O569" s="32"/>
      <c r="P569" s="33"/>
      <c r="Q569" s="33"/>
      <c r="R569" s="32"/>
      <c r="S569" s="33"/>
      <c r="T569" s="5"/>
    </row>
    <row r="570" spans="1:20" x14ac:dyDescent="0.25">
      <c r="A570" s="23"/>
      <c r="B570" s="24"/>
      <c r="C570" s="25"/>
      <c r="D570" s="27"/>
      <c r="E570" s="27"/>
      <c r="F570" s="28"/>
      <c r="G570" s="27"/>
      <c r="H570" s="180"/>
      <c r="I570" s="27"/>
      <c r="J570" s="32"/>
      <c r="K570" s="32"/>
      <c r="L570" s="32"/>
      <c r="M570" s="32"/>
      <c r="N570" s="31"/>
      <c r="O570" s="32"/>
      <c r="P570" s="33"/>
      <c r="Q570" s="33"/>
      <c r="R570" s="32"/>
      <c r="S570" s="33"/>
      <c r="T570" s="5"/>
    </row>
    <row r="571" spans="1:20" x14ac:dyDescent="0.25">
      <c r="A571" s="23"/>
      <c r="B571" s="24"/>
      <c r="C571" s="25"/>
      <c r="D571" s="27"/>
      <c r="E571" s="27"/>
      <c r="F571" s="28"/>
      <c r="G571" s="27"/>
      <c r="H571" s="180"/>
      <c r="I571" s="27"/>
      <c r="J571" s="32"/>
      <c r="K571" s="32"/>
      <c r="L571" s="32"/>
      <c r="M571" s="32"/>
      <c r="N571" s="31"/>
      <c r="O571" s="32"/>
      <c r="P571" s="33"/>
      <c r="Q571" s="33"/>
      <c r="R571" s="32"/>
      <c r="S571" s="33"/>
      <c r="T571" s="5"/>
    </row>
    <row r="572" spans="1:20" x14ac:dyDescent="0.25">
      <c r="A572" s="23"/>
      <c r="B572" s="24"/>
      <c r="C572" s="25"/>
      <c r="D572" s="27"/>
      <c r="E572" s="27"/>
      <c r="F572" s="28"/>
      <c r="G572" s="27"/>
      <c r="H572" s="180"/>
      <c r="I572" s="27"/>
      <c r="J572" s="32"/>
      <c r="K572" s="32"/>
      <c r="L572" s="32"/>
      <c r="M572" s="32"/>
      <c r="N572" s="31"/>
      <c r="O572" s="32"/>
      <c r="P572" s="33"/>
      <c r="Q572" s="33"/>
      <c r="R572" s="32"/>
      <c r="S572" s="33"/>
      <c r="T572" s="5"/>
    </row>
    <row r="573" spans="1:20" x14ac:dyDescent="0.25">
      <c r="A573" s="23"/>
      <c r="B573" s="24"/>
      <c r="C573" s="25"/>
      <c r="D573" s="27"/>
      <c r="E573" s="27"/>
      <c r="F573" s="28"/>
      <c r="G573" s="27"/>
      <c r="H573" s="180"/>
      <c r="I573" s="27"/>
      <c r="J573" s="32"/>
      <c r="K573" s="32"/>
      <c r="L573" s="32"/>
      <c r="M573" s="32"/>
      <c r="N573" s="31"/>
      <c r="O573" s="32"/>
      <c r="P573" s="33"/>
      <c r="Q573" s="33"/>
      <c r="R573" s="32"/>
      <c r="S573" s="33"/>
      <c r="T573" s="5"/>
    </row>
    <row r="574" spans="1:20" x14ac:dyDescent="0.25">
      <c r="A574" s="23"/>
      <c r="B574" s="24"/>
      <c r="C574" s="25"/>
      <c r="D574" s="27"/>
      <c r="E574" s="27"/>
      <c r="F574" s="28"/>
      <c r="G574" s="27"/>
      <c r="H574" s="180"/>
      <c r="I574" s="27"/>
      <c r="J574" s="32"/>
      <c r="K574" s="32"/>
      <c r="L574" s="32"/>
      <c r="M574" s="32"/>
      <c r="N574" s="31"/>
      <c r="O574" s="32"/>
      <c r="P574" s="33"/>
      <c r="Q574" s="33"/>
      <c r="R574" s="32"/>
      <c r="S574" s="33"/>
      <c r="T574" s="5"/>
    </row>
    <row r="575" spans="1:20" x14ac:dyDescent="0.25">
      <c r="A575" s="23"/>
      <c r="B575" s="24"/>
      <c r="C575" s="25"/>
      <c r="D575" s="27"/>
      <c r="E575" s="27"/>
      <c r="F575" s="28"/>
      <c r="G575" s="27"/>
      <c r="H575" s="180"/>
      <c r="I575" s="27"/>
      <c r="J575" s="32"/>
      <c r="K575" s="32"/>
      <c r="L575" s="32"/>
      <c r="M575" s="32"/>
      <c r="N575" s="31"/>
      <c r="O575" s="32"/>
      <c r="P575" s="33"/>
      <c r="Q575" s="33"/>
      <c r="R575" s="32"/>
      <c r="S575" s="33"/>
      <c r="T575" s="5"/>
    </row>
    <row r="576" spans="1:20" x14ac:dyDescent="0.25">
      <c r="A576" s="23"/>
      <c r="B576" s="24"/>
      <c r="C576" s="25"/>
      <c r="D576" s="27"/>
      <c r="E576" s="27"/>
      <c r="F576" s="28"/>
      <c r="G576" s="27"/>
      <c r="H576" s="180"/>
      <c r="I576" s="27"/>
      <c r="J576" s="32"/>
      <c r="K576" s="32"/>
      <c r="L576" s="32"/>
      <c r="M576" s="32"/>
      <c r="N576" s="31"/>
      <c r="O576" s="32"/>
      <c r="P576" s="33"/>
      <c r="Q576" s="33"/>
      <c r="R576" s="32"/>
      <c r="S576" s="33"/>
      <c r="T576" s="5"/>
    </row>
    <row r="577" spans="1:20" x14ac:dyDescent="0.25">
      <c r="A577" s="23"/>
      <c r="B577" s="24"/>
      <c r="C577" s="25"/>
      <c r="D577" s="27"/>
      <c r="E577" s="27"/>
      <c r="F577" s="28"/>
      <c r="G577" s="27"/>
      <c r="H577" s="180"/>
      <c r="I577" s="27"/>
      <c r="J577" s="32"/>
      <c r="K577" s="32"/>
      <c r="L577" s="32"/>
      <c r="M577" s="32"/>
      <c r="N577" s="31"/>
      <c r="O577" s="32"/>
      <c r="P577" s="33"/>
      <c r="Q577" s="33"/>
      <c r="R577" s="32"/>
      <c r="S577" s="33"/>
      <c r="T577" s="5"/>
    </row>
    <row r="578" spans="1:20" x14ac:dyDescent="0.25">
      <c r="A578" s="23"/>
      <c r="B578" s="24"/>
      <c r="C578" s="25"/>
      <c r="D578" s="27"/>
      <c r="E578" s="27"/>
      <c r="F578" s="28"/>
      <c r="G578" s="27"/>
      <c r="H578" s="180"/>
      <c r="I578" s="27"/>
      <c r="J578" s="32"/>
      <c r="K578" s="32"/>
      <c r="L578" s="32"/>
      <c r="M578" s="32"/>
      <c r="N578" s="31"/>
      <c r="O578" s="32"/>
      <c r="P578" s="33"/>
      <c r="Q578" s="33"/>
      <c r="R578" s="32"/>
      <c r="S578" s="33"/>
      <c r="T578" s="5"/>
    </row>
    <row r="579" spans="1:20" x14ac:dyDescent="0.25">
      <c r="A579" s="23"/>
      <c r="B579" s="24"/>
      <c r="C579" s="25"/>
      <c r="D579" s="27"/>
      <c r="E579" s="27"/>
      <c r="F579" s="28"/>
      <c r="G579" s="27"/>
      <c r="H579" s="180"/>
      <c r="I579" s="27"/>
      <c r="J579" s="32"/>
      <c r="K579" s="32"/>
      <c r="L579" s="32"/>
      <c r="M579" s="32"/>
      <c r="N579" s="31"/>
      <c r="O579" s="32"/>
      <c r="P579" s="33"/>
      <c r="Q579" s="33"/>
      <c r="R579" s="32"/>
      <c r="S579" s="33"/>
      <c r="T579" s="5"/>
    </row>
    <row r="580" spans="1:20" x14ac:dyDescent="0.25">
      <c r="A580" s="23"/>
      <c r="B580" s="24"/>
      <c r="C580" s="25"/>
      <c r="D580" s="27"/>
      <c r="E580" s="27"/>
      <c r="F580" s="28"/>
      <c r="G580" s="27"/>
      <c r="H580" s="180"/>
      <c r="I580" s="27"/>
      <c r="J580" s="32"/>
      <c r="K580" s="32"/>
      <c r="L580" s="32"/>
      <c r="M580" s="32"/>
      <c r="N580" s="31"/>
      <c r="O580" s="32"/>
      <c r="P580" s="33"/>
      <c r="Q580" s="33"/>
      <c r="R580" s="32"/>
      <c r="S580" s="33"/>
      <c r="T580" s="5"/>
    </row>
    <row r="581" spans="1:20" x14ac:dyDescent="0.25">
      <c r="A581" s="23"/>
      <c r="B581" s="24"/>
      <c r="C581" s="25"/>
      <c r="D581" s="27"/>
      <c r="E581" s="27"/>
      <c r="F581" s="28"/>
      <c r="G581" s="27"/>
      <c r="H581" s="180"/>
      <c r="I581" s="27"/>
      <c r="J581" s="32"/>
      <c r="K581" s="32"/>
      <c r="L581" s="32"/>
      <c r="M581" s="32"/>
      <c r="N581" s="31"/>
      <c r="O581" s="32"/>
      <c r="P581" s="33"/>
      <c r="Q581" s="33"/>
      <c r="R581" s="32"/>
      <c r="S581" s="33"/>
      <c r="T581" s="5"/>
    </row>
    <row r="582" spans="1:20" x14ac:dyDescent="0.25">
      <c r="A582" s="23"/>
      <c r="B582" s="24"/>
      <c r="C582" s="25"/>
      <c r="D582" s="27"/>
      <c r="E582" s="27"/>
      <c r="F582" s="28"/>
      <c r="G582" s="27"/>
      <c r="H582" s="180"/>
      <c r="I582" s="27"/>
      <c r="J582" s="32"/>
      <c r="K582" s="32"/>
      <c r="L582" s="32"/>
      <c r="M582" s="32"/>
      <c r="N582" s="31"/>
      <c r="O582" s="32"/>
      <c r="P582" s="33"/>
      <c r="Q582" s="33"/>
      <c r="R582" s="32"/>
      <c r="S582" s="33"/>
      <c r="T582" s="5"/>
    </row>
    <row r="583" spans="1:20" x14ac:dyDescent="0.25">
      <c r="A583" s="23"/>
      <c r="B583" s="24"/>
      <c r="C583" s="25"/>
      <c r="D583" s="27"/>
      <c r="E583" s="27"/>
      <c r="F583" s="28"/>
      <c r="G583" s="27"/>
      <c r="H583" s="180"/>
      <c r="I583" s="27"/>
      <c r="J583" s="32"/>
      <c r="K583" s="32"/>
      <c r="L583" s="32"/>
      <c r="M583" s="32"/>
      <c r="N583" s="31"/>
      <c r="O583" s="32"/>
      <c r="P583" s="33"/>
      <c r="Q583" s="33"/>
      <c r="R583" s="32"/>
      <c r="S583" s="33"/>
      <c r="T583" s="5"/>
    </row>
    <row r="584" spans="1:20" x14ac:dyDescent="0.25">
      <c r="A584" s="23"/>
      <c r="B584" s="24"/>
      <c r="C584" s="25"/>
      <c r="D584" s="27"/>
      <c r="E584" s="27"/>
      <c r="F584" s="28"/>
      <c r="G584" s="27"/>
      <c r="H584" s="180"/>
      <c r="I584" s="27"/>
      <c r="J584" s="32"/>
      <c r="K584" s="32"/>
      <c r="L584" s="32"/>
      <c r="M584" s="32"/>
      <c r="N584" s="31"/>
      <c r="O584" s="32"/>
      <c r="P584" s="33"/>
      <c r="Q584" s="33"/>
      <c r="R584" s="32"/>
      <c r="S584" s="33"/>
      <c r="T584" s="5"/>
    </row>
    <row r="585" spans="1:20" x14ac:dyDescent="0.25">
      <c r="A585" s="23"/>
      <c r="B585" s="24"/>
      <c r="C585" s="25"/>
      <c r="D585" s="27"/>
      <c r="E585" s="27"/>
      <c r="F585" s="28"/>
      <c r="G585" s="27"/>
      <c r="H585" s="180"/>
      <c r="I585" s="27"/>
      <c r="J585" s="32"/>
      <c r="K585" s="32"/>
      <c r="L585" s="32"/>
      <c r="M585" s="32"/>
      <c r="N585" s="31"/>
      <c r="O585" s="32"/>
      <c r="P585" s="33"/>
      <c r="Q585" s="33"/>
      <c r="R585" s="32"/>
      <c r="S585" s="33"/>
      <c r="T585" s="5"/>
    </row>
    <row r="586" spans="1:20" x14ac:dyDescent="0.25">
      <c r="A586" s="23"/>
      <c r="B586" s="24"/>
      <c r="C586" s="25"/>
      <c r="D586" s="27"/>
      <c r="E586" s="27"/>
      <c r="F586" s="28"/>
      <c r="G586" s="27"/>
      <c r="H586" s="180"/>
      <c r="I586" s="27"/>
      <c r="J586" s="32"/>
      <c r="K586" s="32"/>
      <c r="L586" s="32"/>
      <c r="M586" s="32"/>
      <c r="N586" s="31"/>
      <c r="O586" s="32"/>
      <c r="P586" s="33"/>
      <c r="Q586" s="33"/>
      <c r="R586" s="32"/>
      <c r="S586" s="33"/>
      <c r="T586" s="5"/>
    </row>
    <row r="587" spans="1:20" x14ac:dyDescent="0.25">
      <c r="A587" s="23"/>
      <c r="B587" s="24"/>
      <c r="C587" s="25"/>
      <c r="D587" s="27"/>
      <c r="E587" s="27"/>
      <c r="F587" s="28"/>
      <c r="G587" s="27"/>
      <c r="H587" s="180"/>
      <c r="I587" s="27"/>
      <c r="J587" s="32"/>
      <c r="K587" s="32"/>
      <c r="L587" s="32"/>
      <c r="M587" s="32"/>
      <c r="N587" s="31"/>
      <c r="O587" s="32"/>
      <c r="P587" s="33"/>
      <c r="Q587" s="33"/>
      <c r="R587" s="32"/>
      <c r="S587" s="33"/>
      <c r="T587" s="5"/>
    </row>
    <row r="588" spans="1:20" x14ac:dyDescent="0.25">
      <c r="A588" s="23"/>
      <c r="B588" s="24"/>
      <c r="C588" s="25"/>
      <c r="D588" s="27"/>
      <c r="E588" s="27"/>
      <c r="F588" s="28"/>
      <c r="G588" s="27"/>
      <c r="H588" s="180"/>
      <c r="I588" s="27"/>
      <c r="J588" s="32"/>
      <c r="K588" s="32"/>
      <c r="L588" s="32"/>
      <c r="M588" s="32"/>
      <c r="N588" s="31"/>
      <c r="O588" s="32"/>
      <c r="P588" s="33"/>
      <c r="Q588" s="33"/>
      <c r="R588" s="32"/>
      <c r="S588" s="33"/>
      <c r="T588" s="5"/>
    </row>
    <row r="589" spans="1:20" x14ac:dyDescent="0.25">
      <c r="A589" s="23"/>
      <c r="B589" s="24"/>
      <c r="C589" s="25"/>
      <c r="D589" s="27"/>
      <c r="E589" s="27"/>
      <c r="F589" s="28"/>
      <c r="G589" s="27"/>
      <c r="H589" s="180"/>
      <c r="I589" s="27"/>
      <c r="J589" s="32"/>
      <c r="K589" s="32"/>
      <c r="L589" s="32"/>
      <c r="M589" s="32"/>
      <c r="N589" s="31"/>
      <c r="O589" s="32"/>
      <c r="P589" s="33"/>
      <c r="Q589" s="33"/>
      <c r="R589" s="32"/>
      <c r="S589" s="33"/>
      <c r="T589" s="5"/>
    </row>
    <row r="590" spans="1:20" x14ac:dyDescent="0.25">
      <c r="A590" s="23"/>
      <c r="B590" s="24"/>
      <c r="C590" s="25"/>
      <c r="D590" s="27"/>
      <c r="E590" s="27"/>
      <c r="F590" s="28"/>
      <c r="G590" s="27"/>
      <c r="H590" s="180"/>
      <c r="I590" s="27"/>
      <c r="J590" s="32"/>
      <c r="K590" s="32"/>
      <c r="L590" s="32"/>
      <c r="M590" s="32"/>
      <c r="N590" s="31"/>
      <c r="O590" s="32"/>
      <c r="P590" s="33"/>
      <c r="Q590" s="33"/>
      <c r="R590" s="32"/>
      <c r="S590" s="33"/>
      <c r="T590" s="5"/>
    </row>
    <row r="591" spans="1:20" x14ac:dyDescent="0.25">
      <c r="A591" s="23"/>
      <c r="B591" s="24"/>
      <c r="C591" s="25"/>
      <c r="D591" s="27"/>
      <c r="E591" s="27"/>
      <c r="F591" s="28"/>
      <c r="G591" s="27"/>
      <c r="H591" s="180"/>
      <c r="I591" s="27"/>
      <c r="J591" s="32"/>
      <c r="K591" s="32"/>
      <c r="L591" s="32"/>
      <c r="M591" s="32"/>
      <c r="N591" s="31"/>
      <c r="O591" s="32"/>
      <c r="P591" s="33"/>
      <c r="Q591" s="33"/>
      <c r="R591" s="32"/>
      <c r="S591" s="33"/>
      <c r="T591" s="5"/>
    </row>
    <row r="592" spans="1:20" x14ac:dyDescent="0.25">
      <c r="A592" s="23"/>
      <c r="B592" s="24"/>
      <c r="C592" s="25"/>
      <c r="D592" s="27"/>
      <c r="E592" s="27"/>
      <c r="F592" s="28"/>
      <c r="G592" s="27"/>
      <c r="H592" s="180"/>
      <c r="I592" s="27"/>
      <c r="J592" s="32"/>
      <c r="K592" s="32"/>
      <c r="L592" s="32"/>
      <c r="M592" s="32"/>
      <c r="N592" s="31"/>
      <c r="O592" s="32"/>
      <c r="P592" s="33"/>
      <c r="Q592" s="33"/>
      <c r="R592" s="32"/>
      <c r="S592" s="33"/>
      <c r="T592" s="5"/>
    </row>
    <row r="593" spans="1:20" x14ac:dyDescent="0.25">
      <c r="A593" s="23"/>
      <c r="B593" s="24"/>
      <c r="C593" s="25"/>
      <c r="D593" s="27"/>
      <c r="E593" s="27"/>
      <c r="F593" s="28"/>
      <c r="G593" s="27"/>
      <c r="H593" s="180"/>
      <c r="I593" s="27"/>
      <c r="J593" s="32"/>
      <c r="K593" s="32"/>
      <c r="L593" s="32"/>
      <c r="M593" s="32"/>
      <c r="N593" s="31"/>
      <c r="O593" s="32"/>
      <c r="P593" s="33"/>
      <c r="Q593" s="33"/>
      <c r="R593" s="32"/>
      <c r="S593" s="33"/>
      <c r="T593" s="5"/>
    </row>
    <row r="594" spans="1:20" x14ac:dyDescent="0.25">
      <c r="A594" s="23"/>
      <c r="B594" s="24"/>
      <c r="C594" s="25"/>
      <c r="D594" s="27"/>
      <c r="E594" s="27"/>
      <c r="F594" s="28"/>
      <c r="G594" s="27"/>
      <c r="H594" s="180"/>
      <c r="I594" s="27"/>
      <c r="J594" s="32"/>
      <c r="K594" s="32"/>
      <c r="L594" s="32"/>
      <c r="M594" s="32"/>
      <c r="N594" s="31"/>
      <c r="O594" s="32"/>
      <c r="P594" s="33"/>
      <c r="Q594" s="33"/>
      <c r="R594" s="32"/>
      <c r="S594" s="33"/>
      <c r="T594" s="5"/>
    </row>
    <row r="595" spans="1:20" x14ac:dyDescent="0.25">
      <c r="A595" s="23"/>
      <c r="B595" s="24"/>
      <c r="C595" s="25"/>
      <c r="D595" s="27"/>
      <c r="E595" s="27"/>
      <c r="F595" s="28"/>
      <c r="G595" s="27"/>
      <c r="H595" s="180"/>
      <c r="I595" s="27"/>
      <c r="J595" s="32"/>
      <c r="K595" s="32"/>
      <c r="L595" s="32"/>
      <c r="M595" s="32"/>
      <c r="N595" s="31"/>
      <c r="O595" s="32"/>
      <c r="P595" s="33"/>
      <c r="Q595" s="33"/>
      <c r="R595" s="32"/>
      <c r="S595" s="33"/>
      <c r="T595" s="5"/>
    </row>
    <row r="596" spans="1:20" x14ac:dyDescent="0.25">
      <c r="A596" s="23"/>
      <c r="B596" s="24"/>
      <c r="C596" s="25"/>
      <c r="D596" s="27"/>
      <c r="E596" s="27"/>
      <c r="F596" s="28"/>
      <c r="G596" s="27"/>
      <c r="H596" s="180"/>
      <c r="I596" s="27"/>
      <c r="J596" s="32"/>
      <c r="K596" s="32"/>
      <c r="L596" s="32"/>
      <c r="M596" s="32"/>
      <c r="N596" s="31"/>
      <c r="O596" s="32"/>
      <c r="P596" s="33"/>
      <c r="Q596" s="33"/>
      <c r="R596" s="32"/>
      <c r="S596" s="33"/>
      <c r="T596" s="5"/>
    </row>
    <row r="597" spans="1:20" x14ac:dyDescent="0.25">
      <c r="A597" s="23"/>
      <c r="B597" s="24"/>
      <c r="C597" s="25"/>
      <c r="D597" s="27"/>
      <c r="E597" s="27"/>
      <c r="F597" s="28"/>
      <c r="G597" s="27"/>
      <c r="H597" s="180"/>
      <c r="I597" s="27"/>
      <c r="J597" s="32"/>
      <c r="K597" s="32"/>
      <c r="L597" s="32"/>
      <c r="M597" s="32"/>
      <c r="N597" s="31"/>
      <c r="O597" s="32"/>
      <c r="P597" s="33"/>
      <c r="Q597" s="33"/>
      <c r="R597" s="32"/>
      <c r="S597" s="33"/>
      <c r="T597" s="5"/>
    </row>
    <row r="598" spans="1:20" x14ac:dyDescent="0.25">
      <c r="A598" s="23"/>
      <c r="B598" s="24"/>
      <c r="C598" s="25"/>
      <c r="D598" s="27"/>
      <c r="E598" s="27"/>
      <c r="F598" s="28"/>
      <c r="G598" s="27"/>
      <c r="H598" s="180"/>
      <c r="I598" s="27"/>
      <c r="J598" s="32"/>
      <c r="K598" s="32"/>
      <c r="L598" s="32"/>
      <c r="M598" s="32"/>
      <c r="N598" s="31"/>
      <c r="O598" s="32"/>
      <c r="P598" s="33"/>
      <c r="Q598" s="33"/>
      <c r="R598" s="32"/>
      <c r="S598" s="33"/>
      <c r="T598" s="5"/>
    </row>
    <row r="599" spans="1:20" x14ac:dyDescent="0.25">
      <c r="A599" s="23"/>
      <c r="B599" s="24"/>
      <c r="C599" s="25"/>
      <c r="D599" s="27"/>
      <c r="E599" s="27"/>
      <c r="F599" s="28"/>
      <c r="G599" s="27"/>
      <c r="H599" s="180"/>
      <c r="I599" s="27"/>
      <c r="J599" s="32"/>
      <c r="K599" s="32"/>
      <c r="L599" s="32"/>
      <c r="M599" s="32"/>
      <c r="N599" s="31"/>
      <c r="O599" s="32"/>
      <c r="P599" s="33"/>
      <c r="Q599" s="33"/>
      <c r="R599" s="32"/>
      <c r="S599" s="33"/>
      <c r="T599" s="5"/>
    </row>
    <row r="600" spans="1:20" x14ac:dyDescent="0.25">
      <c r="A600" s="23"/>
      <c r="B600" s="24"/>
      <c r="C600" s="25"/>
      <c r="D600" s="27"/>
      <c r="E600" s="27"/>
      <c r="F600" s="28"/>
      <c r="G600" s="27"/>
      <c r="H600" s="180"/>
      <c r="I600" s="27"/>
      <c r="J600" s="32"/>
      <c r="K600" s="32"/>
      <c r="L600" s="32"/>
      <c r="M600" s="32"/>
      <c r="N600" s="31"/>
      <c r="O600" s="32"/>
      <c r="P600" s="33"/>
      <c r="Q600" s="33"/>
      <c r="R600" s="32"/>
      <c r="S600" s="33"/>
      <c r="T600" s="5"/>
    </row>
    <row r="601" spans="1:20" x14ac:dyDescent="0.25">
      <c r="A601" s="23"/>
      <c r="B601" s="24"/>
      <c r="C601" s="25"/>
      <c r="D601" s="27"/>
      <c r="E601" s="27"/>
      <c r="F601" s="28"/>
      <c r="G601" s="27"/>
      <c r="H601" s="180"/>
      <c r="I601" s="27"/>
      <c r="J601" s="32"/>
      <c r="K601" s="32"/>
      <c r="L601" s="32"/>
      <c r="M601" s="32"/>
      <c r="N601" s="31"/>
      <c r="O601" s="32"/>
      <c r="P601" s="33"/>
      <c r="Q601" s="33"/>
      <c r="R601" s="32"/>
      <c r="S601" s="33"/>
      <c r="T601" s="5"/>
    </row>
    <row r="602" spans="1:20" x14ac:dyDescent="0.25">
      <c r="A602" s="23"/>
      <c r="B602" s="24"/>
      <c r="C602" s="25"/>
      <c r="D602" s="27"/>
      <c r="E602" s="27"/>
      <c r="F602" s="28"/>
      <c r="G602" s="27"/>
      <c r="H602" s="180"/>
      <c r="I602" s="27"/>
      <c r="J602" s="32"/>
      <c r="K602" s="32"/>
      <c r="L602" s="32"/>
      <c r="M602" s="32"/>
      <c r="N602" s="31"/>
      <c r="O602" s="32"/>
      <c r="P602" s="33"/>
      <c r="Q602" s="33"/>
      <c r="R602" s="32"/>
      <c r="S602" s="33"/>
      <c r="T602" s="5"/>
    </row>
    <row r="603" spans="1:20" x14ac:dyDescent="0.25">
      <c r="A603" s="23"/>
      <c r="B603" s="24"/>
      <c r="C603" s="25"/>
      <c r="D603" s="27"/>
      <c r="E603" s="27"/>
      <c r="F603" s="28"/>
      <c r="G603" s="27"/>
      <c r="H603" s="180"/>
      <c r="I603" s="27"/>
      <c r="J603" s="32"/>
      <c r="K603" s="32"/>
      <c r="L603" s="32"/>
      <c r="M603" s="32"/>
      <c r="N603" s="31"/>
      <c r="O603" s="32"/>
      <c r="P603" s="33"/>
      <c r="Q603" s="33"/>
      <c r="R603" s="32"/>
      <c r="S603" s="33"/>
      <c r="T603" s="5"/>
    </row>
    <row r="604" spans="1:20" x14ac:dyDescent="0.25">
      <c r="A604" s="23"/>
      <c r="B604" s="24"/>
      <c r="C604" s="25"/>
      <c r="D604" s="27"/>
      <c r="E604" s="27"/>
      <c r="F604" s="28"/>
      <c r="G604" s="27"/>
      <c r="H604" s="180"/>
      <c r="I604" s="27"/>
      <c r="J604" s="32"/>
      <c r="K604" s="32"/>
      <c r="L604" s="32"/>
      <c r="M604" s="32"/>
      <c r="N604" s="31"/>
      <c r="O604" s="32"/>
      <c r="P604" s="33"/>
      <c r="Q604" s="33"/>
      <c r="R604" s="32"/>
      <c r="S604" s="33"/>
      <c r="T604" s="5"/>
    </row>
    <row r="605" spans="1:20" x14ac:dyDescent="0.25">
      <c r="A605" s="23"/>
      <c r="B605" s="24"/>
      <c r="C605" s="25"/>
      <c r="D605" s="27"/>
      <c r="E605" s="27"/>
      <c r="F605" s="28"/>
      <c r="G605" s="27"/>
      <c r="H605" s="180"/>
      <c r="I605" s="27"/>
      <c r="J605" s="32"/>
      <c r="K605" s="32"/>
      <c r="L605" s="32"/>
      <c r="M605" s="32"/>
      <c r="N605" s="31"/>
      <c r="O605" s="32"/>
      <c r="P605" s="33"/>
      <c r="Q605" s="33"/>
      <c r="R605" s="32"/>
      <c r="S605" s="33"/>
      <c r="T605" s="5"/>
    </row>
    <row r="606" spans="1:20" x14ac:dyDescent="0.25">
      <c r="A606" s="23"/>
      <c r="B606" s="24"/>
      <c r="C606" s="25"/>
      <c r="D606" s="27"/>
      <c r="E606" s="27"/>
      <c r="F606" s="28"/>
      <c r="G606" s="27"/>
      <c r="H606" s="180"/>
      <c r="I606" s="27"/>
      <c r="J606" s="32"/>
      <c r="K606" s="32"/>
      <c r="L606" s="32"/>
      <c r="M606" s="32"/>
      <c r="N606" s="31"/>
      <c r="O606" s="32"/>
      <c r="P606" s="33"/>
      <c r="Q606" s="33"/>
      <c r="R606" s="32"/>
      <c r="S606" s="33"/>
      <c r="T606" s="5"/>
    </row>
    <row r="607" spans="1:20" x14ac:dyDescent="0.25">
      <c r="A607" s="23"/>
      <c r="B607" s="24"/>
      <c r="C607" s="25"/>
      <c r="D607" s="27"/>
      <c r="E607" s="27"/>
      <c r="F607" s="28"/>
      <c r="G607" s="27"/>
      <c r="H607" s="180"/>
      <c r="I607" s="27"/>
      <c r="J607" s="32"/>
      <c r="K607" s="32"/>
      <c r="L607" s="32"/>
      <c r="M607" s="32"/>
      <c r="N607" s="31"/>
      <c r="O607" s="32"/>
      <c r="P607" s="33"/>
      <c r="Q607" s="33"/>
      <c r="R607" s="32"/>
      <c r="S607" s="33"/>
      <c r="T607" s="5"/>
    </row>
    <row r="608" spans="1:20" x14ac:dyDescent="0.25">
      <c r="A608" s="23"/>
      <c r="B608" s="24"/>
      <c r="C608" s="25"/>
      <c r="D608" s="27"/>
      <c r="E608" s="27"/>
      <c r="F608" s="28"/>
      <c r="G608" s="27"/>
      <c r="H608" s="180"/>
      <c r="I608" s="27"/>
      <c r="J608" s="32"/>
      <c r="K608" s="32"/>
      <c r="L608" s="32"/>
      <c r="M608" s="32"/>
      <c r="N608" s="31"/>
      <c r="O608" s="32"/>
      <c r="P608" s="33"/>
      <c r="Q608" s="33"/>
      <c r="R608" s="32"/>
      <c r="S608" s="33"/>
      <c r="T608" s="5"/>
    </row>
    <row r="609" spans="1:20" x14ac:dyDescent="0.25">
      <c r="A609" s="23"/>
      <c r="B609" s="24"/>
      <c r="C609" s="25"/>
      <c r="D609" s="27"/>
      <c r="E609" s="27"/>
      <c r="F609" s="28"/>
      <c r="G609" s="27"/>
      <c r="H609" s="180"/>
      <c r="I609" s="27"/>
      <c r="J609" s="32"/>
      <c r="K609" s="32"/>
      <c r="L609" s="32"/>
      <c r="M609" s="32"/>
      <c r="N609" s="31"/>
      <c r="O609" s="32"/>
      <c r="P609" s="33"/>
      <c r="Q609" s="33"/>
      <c r="R609" s="32"/>
      <c r="S609" s="33"/>
      <c r="T609" s="5"/>
    </row>
    <row r="610" spans="1:20" x14ac:dyDescent="0.25">
      <c r="A610" s="23"/>
      <c r="B610" s="24"/>
      <c r="C610" s="25"/>
      <c r="D610" s="27"/>
      <c r="E610" s="27"/>
      <c r="F610" s="28"/>
      <c r="G610" s="27"/>
      <c r="H610" s="180"/>
      <c r="I610" s="27"/>
      <c r="J610" s="32"/>
      <c r="K610" s="32"/>
      <c r="L610" s="32"/>
      <c r="M610" s="32"/>
      <c r="N610" s="31"/>
      <c r="O610" s="32"/>
      <c r="P610" s="33"/>
      <c r="Q610" s="33"/>
      <c r="R610" s="32"/>
      <c r="S610" s="33"/>
      <c r="T610" s="5"/>
    </row>
    <row r="611" spans="1:20" x14ac:dyDescent="0.25">
      <c r="A611" s="23"/>
      <c r="B611" s="24"/>
      <c r="C611" s="25"/>
      <c r="D611" s="27"/>
      <c r="E611" s="27"/>
      <c r="F611" s="28"/>
      <c r="G611" s="27"/>
      <c r="H611" s="180"/>
      <c r="I611" s="27"/>
      <c r="J611" s="32"/>
      <c r="K611" s="32"/>
      <c r="L611" s="32"/>
      <c r="M611" s="32"/>
      <c r="N611" s="31"/>
      <c r="O611" s="32"/>
      <c r="P611" s="33"/>
      <c r="Q611" s="33"/>
      <c r="R611" s="32"/>
      <c r="S611" s="33"/>
      <c r="T611" s="5"/>
    </row>
    <row r="612" spans="1:20" x14ac:dyDescent="0.25">
      <c r="A612" s="23"/>
      <c r="B612" s="24"/>
      <c r="C612" s="25"/>
      <c r="D612" s="27"/>
      <c r="E612" s="27"/>
      <c r="F612" s="28"/>
      <c r="G612" s="27"/>
      <c r="H612" s="180"/>
      <c r="I612" s="27"/>
      <c r="J612" s="32"/>
      <c r="K612" s="32"/>
      <c r="L612" s="32"/>
      <c r="M612" s="32"/>
      <c r="N612" s="31"/>
      <c r="O612" s="32"/>
      <c r="P612" s="33"/>
      <c r="Q612" s="33"/>
      <c r="R612" s="32"/>
      <c r="S612" s="33"/>
      <c r="T612" s="5"/>
    </row>
    <row r="613" spans="1:20" x14ac:dyDescent="0.25">
      <c r="A613" s="23"/>
      <c r="B613" s="24"/>
      <c r="C613" s="25"/>
      <c r="D613" s="27"/>
      <c r="E613" s="27"/>
      <c r="F613" s="28"/>
      <c r="G613" s="27"/>
      <c r="H613" s="180"/>
      <c r="I613" s="27"/>
      <c r="J613" s="32"/>
      <c r="K613" s="32"/>
      <c r="L613" s="32"/>
      <c r="M613" s="32"/>
      <c r="N613" s="31"/>
      <c r="O613" s="32"/>
      <c r="P613" s="33"/>
      <c r="Q613" s="33"/>
      <c r="R613" s="32"/>
      <c r="S613" s="33"/>
      <c r="T613" s="5"/>
    </row>
    <row r="614" spans="1:20" x14ac:dyDescent="0.25">
      <c r="A614" s="23"/>
      <c r="B614" s="24"/>
      <c r="C614" s="25"/>
      <c r="D614" s="27"/>
      <c r="E614" s="27"/>
      <c r="F614" s="28"/>
      <c r="G614" s="27"/>
      <c r="H614" s="180"/>
      <c r="I614" s="27"/>
      <c r="J614" s="32"/>
      <c r="K614" s="32"/>
      <c r="L614" s="32"/>
      <c r="M614" s="32"/>
      <c r="N614" s="31"/>
      <c r="O614" s="32"/>
      <c r="P614" s="33"/>
      <c r="Q614" s="33"/>
      <c r="R614" s="32"/>
      <c r="S614" s="33"/>
      <c r="T614" s="5"/>
    </row>
    <row r="615" spans="1:20" x14ac:dyDescent="0.25">
      <c r="A615" s="23"/>
      <c r="B615" s="24"/>
      <c r="C615" s="25"/>
      <c r="D615" s="27"/>
      <c r="E615" s="27"/>
      <c r="F615" s="28"/>
      <c r="G615" s="27"/>
      <c r="H615" s="180"/>
      <c r="I615" s="27"/>
      <c r="J615" s="32"/>
      <c r="K615" s="32"/>
      <c r="L615" s="32"/>
      <c r="M615" s="32"/>
      <c r="N615" s="31"/>
      <c r="O615" s="32"/>
      <c r="P615" s="33"/>
      <c r="Q615" s="33"/>
      <c r="R615" s="32"/>
      <c r="S615" s="33"/>
      <c r="T615" s="5"/>
    </row>
    <row r="616" spans="1:20" x14ac:dyDescent="0.25">
      <c r="A616" s="23"/>
      <c r="B616" s="24"/>
      <c r="C616" s="25"/>
      <c r="D616" s="27"/>
      <c r="E616" s="27"/>
      <c r="F616" s="28"/>
      <c r="G616" s="27"/>
      <c r="H616" s="180"/>
      <c r="I616" s="27"/>
      <c r="J616" s="32"/>
      <c r="K616" s="32"/>
      <c r="L616" s="32"/>
      <c r="M616" s="32"/>
      <c r="N616" s="31"/>
      <c r="O616" s="32"/>
      <c r="P616" s="33"/>
      <c r="Q616" s="33"/>
      <c r="R616" s="32"/>
      <c r="S616" s="33"/>
      <c r="T616" s="5"/>
    </row>
    <row r="617" spans="1:20" x14ac:dyDescent="0.25">
      <c r="A617" s="23"/>
      <c r="B617" s="24"/>
      <c r="C617" s="25"/>
      <c r="D617" s="27"/>
      <c r="E617" s="27"/>
      <c r="F617" s="28"/>
      <c r="G617" s="27"/>
      <c r="H617" s="180"/>
      <c r="I617" s="27"/>
      <c r="J617" s="32"/>
      <c r="K617" s="32"/>
      <c r="L617" s="32"/>
      <c r="M617" s="32"/>
      <c r="N617" s="31"/>
      <c r="O617" s="32"/>
      <c r="P617" s="33"/>
      <c r="Q617" s="33"/>
      <c r="R617" s="32"/>
      <c r="S617" s="33"/>
      <c r="T617" s="5"/>
    </row>
    <row r="618" spans="1:20" x14ac:dyDescent="0.25">
      <c r="A618" s="23"/>
      <c r="B618" s="24"/>
      <c r="C618" s="25"/>
      <c r="D618" s="27"/>
      <c r="E618" s="27"/>
      <c r="F618" s="28"/>
      <c r="G618" s="27"/>
      <c r="H618" s="180"/>
      <c r="I618" s="27"/>
      <c r="J618" s="32"/>
      <c r="K618" s="32"/>
      <c r="L618" s="32"/>
      <c r="M618" s="32"/>
      <c r="N618" s="31"/>
      <c r="O618" s="32"/>
      <c r="P618" s="33"/>
      <c r="Q618" s="33"/>
      <c r="R618" s="32"/>
      <c r="S618" s="33"/>
      <c r="T618" s="5"/>
    </row>
    <row r="619" spans="1:20" x14ac:dyDescent="0.25">
      <c r="A619" s="23"/>
      <c r="B619" s="24"/>
      <c r="C619" s="25"/>
      <c r="D619" s="27"/>
      <c r="E619" s="27"/>
      <c r="F619" s="28"/>
      <c r="G619" s="27"/>
      <c r="H619" s="180"/>
      <c r="I619" s="27"/>
      <c r="J619" s="32"/>
      <c r="K619" s="32"/>
      <c r="L619" s="32"/>
      <c r="M619" s="32"/>
      <c r="N619" s="31"/>
      <c r="O619" s="32"/>
      <c r="P619" s="33"/>
      <c r="Q619" s="33"/>
      <c r="R619" s="32"/>
      <c r="S619" s="33"/>
      <c r="T619" s="5"/>
    </row>
    <row r="620" spans="1:20" x14ac:dyDescent="0.25">
      <c r="A620" s="23"/>
      <c r="B620" s="24"/>
      <c r="C620" s="25"/>
      <c r="D620" s="27"/>
      <c r="E620" s="27"/>
      <c r="F620" s="28"/>
      <c r="G620" s="27"/>
      <c r="H620" s="180"/>
      <c r="I620" s="27"/>
      <c r="J620" s="32"/>
      <c r="K620" s="32"/>
      <c r="L620" s="32"/>
      <c r="M620" s="32"/>
      <c r="N620" s="31"/>
      <c r="O620" s="32"/>
      <c r="P620" s="33"/>
      <c r="Q620" s="33"/>
      <c r="R620" s="32"/>
      <c r="S620" s="33"/>
      <c r="T620" s="5"/>
    </row>
    <row r="621" spans="1:20" x14ac:dyDescent="0.25">
      <c r="A621" s="23"/>
      <c r="B621" s="24"/>
      <c r="C621" s="25"/>
      <c r="D621" s="27"/>
      <c r="E621" s="27"/>
      <c r="F621" s="28"/>
      <c r="G621" s="27"/>
      <c r="H621" s="180"/>
      <c r="I621" s="27"/>
      <c r="J621" s="32"/>
      <c r="K621" s="32"/>
      <c r="L621" s="32"/>
      <c r="M621" s="32"/>
      <c r="N621" s="31"/>
      <c r="O621" s="32"/>
      <c r="P621" s="33"/>
      <c r="Q621" s="33"/>
      <c r="R621" s="32"/>
      <c r="S621" s="33"/>
      <c r="T621" s="5"/>
    </row>
    <row r="622" spans="1:20" x14ac:dyDescent="0.25">
      <c r="A622" s="23"/>
      <c r="B622" s="24"/>
      <c r="C622" s="25"/>
      <c r="D622" s="27"/>
      <c r="E622" s="27"/>
      <c r="F622" s="28"/>
      <c r="G622" s="27"/>
      <c r="H622" s="180"/>
      <c r="I622" s="27"/>
      <c r="J622" s="32"/>
      <c r="K622" s="32"/>
      <c r="L622" s="32"/>
      <c r="M622" s="32"/>
      <c r="N622" s="31"/>
      <c r="O622" s="32"/>
      <c r="P622" s="33"/>
      <c r="Q622" s="33"/>
      <c r="R622" s="32"/>
      <c r="S622" s="33"/>
      <c r="T622" s="5"/>
    </row>
    <row r="623" spans="1:20" x14ac:dyDescent="0.25">
      <c r="A623" s="23"/>
      <c r="B623" s="24"/>
      <c r="C623" s="25"/>
      <c r="D623" s="27"/>
      <c r="E623" s="27"/>
      <c r="F623" s="28"/>
      <c r="G623" s="27"/>
      <c r="H623" s="180"/>
      <c r="I623" s="27"/>
      <c r="J623" s="32"/>
      <c r="K623" s="32"/>
      <c r="L623" s="32"/>
      <c r="M623" s="32"/>
      <c r="N623" s="31"/>
      <c r="O623" s="32"/>
      <c r="P623" s="33"/>
      <c r="Q623" s="33"/>
      <c r="R623" s="32"/>
      <c r="S623" s="33"/>
      <c r="T623" s="5"/>
    </row>
    <row r="624" spans="1:20" x14ac:dyDescent="0.25">
      <c r="A624" s="23"/>
      <c r="B624" s="24"/>
      <c r="C624" s="25"/>
      <c r="D624" s="27"/>
      <c r="E624" s="27"/>
      <c r="F624" s="28"/>
      <c r="G624" s="27"/>
      <c r="H624" s="180"/>
      <c r="I624" s="27"/>
      <c r="J624" s="32"/>
      <c r="K624" s="32"/>
      <c r="L624" s="32"/>
      <c r="M624" s="32"/>
      <c r="N624" s="31"/>
      <c r="O624" s="32"/>
      <c r="P624" s="33"/>
      <c r="Q624" s="33"/>
      <c r="R624" s="32"/>
      <c r="S624" s="33"/>
      <c r="T624" s="5"/>
    </row>
    <row r="625" spans="1:20" x14ac:dyDescent="0.25">
      <c r="A625" s="23"/>
      <c r="B625" s="24"/>
      <c r="C625" s="25"/>
      <c r="D625" s="27"/>
      <c r="E625" s="27"/>
      <c r="F625" s="28"/>
      <c r="G625" s="27"/>
      <c r="H625" s="180"/>
      <c r="I625" s="27"/>
      <c r="J625" s="32"/>
      <c r="K625" s="32"/>
      <c r="L625" s="32"/>
      <c r="M625" s="32"/>
      <c r="N625" s="31"/>
      <c r="O625" s="32"/>
      <c r="P625" s="33"/>
      <c r="Q625" s="33"/>
      <c r="R625" s="32"/>
      <c r="S625" s="33"/>
      <c r="T625" s="5"/>
    </row>
    <row r="626" spans="1:20" x14ac:dyDescent="0.25">
      <c r="A626" s="23"/>
      <c r="B626" s="24"/>
      <c r="C626" s="25"/>
      <c r="D626" s="27"/>
      <c r="E626" s="27"/>
      <c r="F626" s="28"/>
      <c r="G626" s="27"/>
      <c r="H626" s="180"/>
      <c r="I626" s="27"/>
      <c r="J626" s="32"/>
      <c r="K626" s="32"/>
      <c r="L626" s="32"/>
      <c r="M626" s="32"/>
      <c r="N626" s="31"/>
      <c r="O626" s="32"/>
      <c r="P626" s="33"/>
      <c r="Q626" s="33"/>
      <c r="R626" s="32"/>
      <c r="S626" s="33"/>
      <c r="T626" s="5"/>
    </row>
    <row r="627" spans="1:20" x14ac:dyDescent="0.25">
      <c r="A627" s="23"/>
      <c r="B627" s="24"/>
      <c r="C627" s="25"/>
      <c r="D627" s="27"/>
      <c r="E627" s="27"/>
      <c r="F627" s="28"/>
      <c r="G627" s="27"/>
      <c r="H627" s="180"/>
      <c r="I627" s="27"/>
      <c r="J627" s="32"/>
      <c r="K627" s="32"/>
      <c r="L627" s="32"/>
      <c r="M627" s="32"/>
      <c r="N627" s="31"/>
      <c r="O627" s="32"/>
      <c r="P627" s="33"/>
      <c r="Q627" s="33"/>
      <c r="R627" s="32"/>
      <c r="S627" s="33"/>
      <c r="T627" s="5"/>
    </row>
    <row r="628" spans="1:20" x14ac:dyDescent="0.25">
      <c r="A628" s="23"/>
      <c r="B628" s="24"/>
      <c r="C628" s="25"/>
      <c r="D628" s="27"/>
      <c r="E628" s="27"/>
      <c r="F628" s="28"/>
      <c r="G628" s="27"/>
      <c r="H628" s="180"/>
      <c r="I628" s="27"/>
      <c r="J628" s="32"/>
      <c r="K628" s="32"/>
      <c r="L628" s="32"/>
      <c r="M628" s="32"/>
      <c r="N628" s="31"/>
      <c r="O628" s="32"/>
      <c r="P628" s="33"/>
      <c r="Q628" s="33"/>
      <c r="R628" s="32"/>
      <c r="S628" s="33"/>
      <c r="T628" s="5"/>
    </row>
    <row r="629" spans="1:20" x14ac:dyDescent="0.25">
      <c r="A629" s="23"/>
      <c r="B629" s="24"/>
      <c r="C629" s="25"/>
      <c r="D629" s="27"/>
      <c r="E629" s="27"/>
      <c r="F629" s="28"/>
      <c r="G629" s="27"/>
      <c r="H629" s="180"/>
      <c r="I629" s="27"/>
      <c r="J629" s="32"/>
      <c r="K629" s="32"/>
      <c r="L629" s="32"/>
      <c r="M629" s="32"/>
      <c r="N629" s="31"/>
      <c r="O629" s="32"/>
      <c r="P629" s="33"/>
      <c r="Q629" s="33"/>
      <c r="R629" s="32"/>
      <c r="S629" s="33"/>
      <c r="T629" s="5"/>
    </row>
    <row r="630" spans="1:20" x14ac:dyDescent="0.25">
      <c r="A630" s="23"/>
      <c r="B630" s="24"/>
      <c r="C630" s="25"/>
      <c r="D630" s="27"/>
      <c r="E630" s="27"/>
      <c r="F630" s="28"/>
      <c r="G630" s="27"/>
      <c r="H630" s="180"/>
      <c r="I630" s="27"/>
      <c r="J630" s="32"/>
      <c r="K630" s="32"/>
      <c r="L630" s="32"/>
      <c r="M630" s="32"/>
      <c r="N630" s="31"/>
      <c r="O630" s="32"/>
      <c r="P630" s="33"/>
      <c r="Q630" s="33"/>
      <c r="R630" s="32"/>
      <c r="S630" s="33"/>
      <c r="T630" s="5"/>
    </row>
    <row r="631" spans="1:20" x14ac:dyDescent="0.25">
      <c r="A631" s="23"/>
      <c r="B631" s="24"/>
      <c r="C631" s="25"/>
      <c r="D631" s="27"/>
      <c r="E631" s="27"/>
      <c r="F631" s="28"/>
      <c r="G631" s="27"/>
      <c r="H631" s="180"/>
      <c r="I631" s="27"/>
      <c r="J631" s="32"/>
      <c r="K631" s="32"/>
      <c r="L631" s="32"/>
      <c r="M631" s="32"/>
      <c r="N631" s="31"/>
      <c r="O631" s="32"/>
      <c r="P631" s="33"/>
      <c r="Q631" s="33"/>
      <c r="R631" s="32"/>
      <c r="S631" s="33"/>
      <c r="T631" s="5"/>
    </row>
    <row r="632" spans="1:20" x14ac:dyDescent="0.25">
      <c r="A632" s="23"/>
      <c r="B632" s="24"/>
      <c r="C632" s="25"/>
      <c r="D632" s="27"/>
      <c r="E632" s="27"/>
      <c r="F632" s="28"/>
      <c r="G632" s="27"/>
      <c r="H632" s="180"/>
      <c r="I632" s="27"/>
      <c r="J632" s="32"/>
      <c r="K632" s="32"/>
      <c r="L632" s="32"/>
      <c r="M632" s="32"/>
      <c r="N632" s="31"/>
      <c r="O632" s="32"/>
      <c r="P632" s="33"/>
      <c r="Q632" s="33"/>
      <c r="R632" s="32"/>
      <c r="S632" s="33"/>
      <c r="T632" s="5"/>
    </row>
    <row r="633" spans="1:20" x14ac:dyDescent="0.25">
      <c r="A633" s="23"/>
      <c r="B633" s="24"/>
      <c r="C633" s="25"/>
      <c r="D633" s="27"/>
      <c r="E633" s="27"/>
      <c r="F633" s="28"/>
      <c r="G633" s="27"/>
      <c r="H633" s="180"/>
      <c r="I633" s="27"/>
      <c r="J633" s="32"/>
      <c r="K633" s="32"/>
      <c r="L633" s="32"/>
      <c r="M633" s="32"/>
      <c r="N633" s="31"/>
      <c r="O633" s="32"/>
      <c r="P633" s="33"/>
      <c r="Q633" s="33"/>
      <c r="R633" s="32"/>
      <c r="S633" s="33"/>
      <c r="T633" s="5"/>
    </row>
    <row r="634" spans="1:20" x14ac:dyDescent="0.25">
      <c r="A634" s="23"/>
      <c r="B634" s="24"/>
      <c r="C634" s="25"/>
      <c r="D634" s="27"/>
      <c r="E634" s="27"/>
      <c r="F634" s="28"/>
      <c r="G634" s="27"/>
      <c r="H634" s="180"/>
      <c r="I634" s="27"/>
      <c r="J634" s="32"/>
      <c r="K634" s="32"/>
      <c r="L634" s="32"/>
      <c r="M634" s="32"/>
      <c r="N634" s="31"/>
      <c r="O634" s="32"/>
      <c r="P634" s="33"/>
      <c r="Q634" s="33"/>
      <c r="R634" s="32"/>
      <c r="S634" s="33"/>
      <c r="T634" s="5"/>
    </row>
    <row r="635" spans="1:20" x14ac:dyDescent="0.25">
      <c r="A635" s="23"/>
      <c r="B635" s="24"/>
      <c r="C635" s="25"/>
      <c r="D635" s="27"/>
      <c r="E635" s="27"/>
      <c r="F635" s="28"/>
      <c r="G635" s="27"/>
      <c r="H635" s="180"/>
      <c r="I635" s="27"/>
      <c r="J635" s="32"/>
      <c r="K635" s="32"/>
      <c r="L635" s="32"/>
      <c r="M635" s="32"/>
      <c r="N635" s="31"/>
      <c r="O635" s="32"/>
      <c r="P635" s="33"/>
      <c r="Q635" s="33"/>
      <c r="R635" s="32"/>
      <c r="S635" s="33"/>
      <c r="T635" s="5"/>
    </row>
    <row r="636" spans="1:20" x14ac:dyDescent="0.25">
      <c r="A636" s="23"/>
      <c r="B636" s="24"/>
      <c r="C636" s="25"/>
      <c r="D636" s="27"/>
      <c r="E636" s="27"/>
      <c r="F636" s="28"/>
      <c r="G636" s="27"/>
      <c r="H636" s="180"/>
      <c r="I636" s="27"/>
      <c r="J636" s="32"/>
      <c r="K636" s="32"/>
      <c r="L636" s="32"/>
      <c r="M636" s="32"/>
      <c r="N636" s="31"/>
      <c r="O636" s="32"/>
      <c r="P636" s="33"/>
      <c r="Q636" s="33"/>
      <c r="R636" s="32"/>
      <c r="S636" s="33"/>
      <c r="T636" s="5"/>
    </row>
    <row r="637" spans="1:20" x14ac:dyDescent="0.25">
      <c r="A637" s="23"/>
      <c r="B637" s="24"/>
      <c r="C637" s="25"/>
      <c r="D637" s="27"/>
      <c r="E637" s="27"/>
      <c r="F637" s="28"/>
      <c r="G637" s="27"/>
      <c r="H637" s="180"/>
      <c r="I637" s="27"/>
      <c r="J637" s="32"/>
      <c r="K637" s="32"/>
      <c r="L637" s="32"/>
      <c r="M637" s="32"/>
      <c r="N637" s="31"/>
      <c r="O637" s="32"/>
      <c r="P637" s="33"/>
      <c r="Q637" s="33"/>
      <c r="R637" s="32"/>
      <c r="S637" s="33"/>
      <c r="T637" s="5"/>
    </row>
    <row r="638" spans="1:20" x14ac:dyDescent="0.25">
      <c r="A638" s="23"/>
      <c r="B638" s="24"/>
      <c r="C638" s="25"/>
      <c r="D638" s="27"/>
      <c r="E638" s="27"/>
      <c r="F638" s="28"/>
      <c r="G638" s="27"/>
      <c r="H638" s="180"/>
      <c r="I638" s="27"/>
      <c r="J638" s="32"/>
      <c r="K638" s="32"/>
      <c r="L638" s="32"/>
      <c r="M638" s="32"/>
      <c r="N638" s="31"/>
      <c r="O638" s="32"/>
      <c r="P638" s="33"/>
      <c r="Q638" s="33"/>
      <c r="R638" s="32"/>
      <c r="S638" s="33"/>
      <c r="T638" s="5"/>
    </row>
    <row r="639" spans="1:20" x14ac:dyDescent="0.25">
      <c r="A639" s="23"/>
      <c r="B639" s="24"/>
      <c r="C639" s="25"/>
      <c r="D639" s="27"/>
      <c r="E639" s="27"/>
      <c r="F639" s="28"/>
      <c r="G639" s="27"/>
      <c r="H639" s="180"/>
      <c r="I639" s="27"/>
      <c r="J639" s="32"/>
      <c r="K639" s="32"/>
      <c r="L639" s="32"/>
      <c r="M639" s="32"/>
      <c r="N639" s="31"/>
      <c r="O639" s="32"/>
      <c r="P639" s="33"/>
      <c r="Q639" s="33"/>
      <c r="R639" s="32"/>
      <c r="S639" s="33"/>
      <c r="T639" s="5"/>
    </row>
    <row r="640" spans="1:20" x14ac:dyDescent="0.25">
      <c r="A640" s="23"/>
      <c r="B640" s="24"/>
      <c r="C640" s="25"/>
      <c r="D640" s="27"/>
      <c r="E640" s="27"/>
      <c r="F640" s="28"/>
      <c r="G640" s="27"/>
      <c r="H640" s="180"/>
      <c r="I640" s="27"/>
      <c r="J640" s="32"/>
      <c r="K640" s="32"/>
      <c r="L640" s="32"/>
      <c r="M640" s="32"/>
      <c r="N640" s="31"/>
      <c r="O640" s="32"/>
      <c r="P640" s="33"/>
      <c r="Q640" s="33"/>
      <c r="R640" s="32"/>
      <c r="S640" s="33"/>
      <c r="T640" s="5"/>
    </row>
    <row r="641" spans="1:20" x14ac:dyDescent="0.25">
      <c r="A641" s="23"/>
      <c r="B641" s="24"/>
      <c r="C641" s="25"/>
      <c r="D641" s="27"/>
      <c r="E641" s="27"/>
      <c r="F641" s="28"/>
      <c r="G641" s="27"/>
      <c r="H641" s="180"/>
      <c r="I641" s="27"/>
      <c r="J641" s="32"/>
      <c r="K641" s="32"/>
      <c r="L641" s="32"/>
      <c r="M641" s="32"/>
      <c r="N641" s="31"/>
      <c r="O641" s="32"/>
      <c r="P641" s="33"/>
      <c r="Q641" s="33"/>
      <c r="R641" s="32"/>
      <c r="S641" s="33"/>
      <c r="T641" s="5"/>
    </row>
    <row r="642" spans="1:20" x14ac:dyDescent="0.25">
      <c r="A642" s="23"/>
      <c r="B642" s="24"/>
      <c r="C642" s="25"/>
      <c r="D642" s="27"/>
      <c r="E642" s="27"/>
      <c r="F642" s="28"/>
      <c r="G642" s="27"/>
      <c r="H642" s="180"/>
      <c r="I642" s="27"/>
      <c r="J642" s="32"/>
      <c r="K642" s="32"/>
      <c r="L642" s="32"/>
      <c r="M642" s="32"/>
      <c r="N642" s="31"/>
      <c r="O642" s="32"/>
      <c r="P642" s="33"/>
      <c r="Q642" s="33"/>
      <c r="R642" s="32"/>
      <c r="S642" s="33"/>
      <c r="T642" s="5"/>
    </row>
    <row r="643" spans="1:20" x14ac:dyDescent="0.25">
      <c r="A643" s="23"/>
      <c r="B643" s="24"/>
      <c r="C643" s="25"/>
      <c r="D643" s="27"/>
      <c r="E643" s="27"/>
      <c r="F643" s="28"/>
      <c r="G643" s="27"/>
      <c r="H643" s="180"/>
      <c r="I643" s="27"/>
      <c r="J643" s="32"/>
      <c r="K643" s="32"/>
      <c r="L643" s="32"/>
      <c r="M643" s="32"/>
      <c r="N643" s="31"/>
      <c r="O643" s="32"/>
      <c r="P643" s="33"/>
      <c r="Q643" s="33"/>
      <c r="R643" s="32"/>
      <c r="S643" s="33"/>
      <c r="T643" s="5"/>
    </row>
    <row r="644" spans="1:20" x14ac:dyDescent="0.25">
      <c r="A644" s="23"/>
      <c r="B644" s="24"/>
      <c r="C644" s="25"/>
      <c r="D644" s="27"/>
      <c r="E644" s="27"/>
      <c r="F644" s="28"/>
      <c r="G644" s="27"/>
      <c r="H644" s="180"/>
      <c r="I644" s="27"/>
      <c r="J644" s="32"/>
      <c r="K644" s="32"/>
      <c r="L644" s="32"/>
      <c r="M644" s="32"/>
      <c r="N644" s="31"/>
      <c r="O644" s="32"/>
      <c r="P644" s="33"/>
      <c r="Q644" s="33"/>
      <c r="R644" s="32"/>
      <c r="S644" s="33"/>
      <c r="T644" s="5"/>
    </row>
    <row r="645" spans="1:20" x14ac:dyDescent="0.25">
      <c r="A645" s="23"/>
      <c r="B645" s="24"/>
      <c r="C645" s="25"/>
      <c r="D645" s="27"/>
      <c r="E645" s="27"/>
      <c r="F645" s="28"/>
      <c r="G645" s="27"/>
      <c r="H645" s="180"/>
      <c r="I645" s="27"/>
      <c r="J645" s="32"/>
      <c r="K645" s="32"/>
      <c r="L645" s="32"/>
      <c r="M645" s="32"/>
      <c r="N645" s="31"/>
      <c r="O645" s="32"/>
      <c r="P645" s="33"/>
      <c r="Q645" s="33"/>
      <c r="R645" s="32"/>
      <c r="S645" s="33"/>
      <c r="T645" s="5"/>
    </row>
    <row r="646" spans="1:20" x14ac:dyDescent="0.25">
      <c r="A646" s="23"/>
      <c r="B646" s="24"/>
      <c r="C646" s="25"/>
      <c r="D646" s="27"/>
      <c r="E646" s="27"/>
      <c r="F646" s="28"/>
      <c r="G646" s="27"/>
      <c r="H646" s="180"/>
      <c r="I646" s="27"/>
      <c r="J646" s="32"/>
      <c r="K646" s="32"/>
      <c r="L646" s="32"/>
      <c r="M646" s="32"/>
      <c r="N646" s="31"/>
      <c r="O646" s="32"/>
      <c r="P646" s="33"/>
      <c r="Q646" s="33"/>
      <c r="R646" s="32"/>
      <c r="S646" s="33"/>
      <c r="T646" s="5"/>
    </row>
    <row r="647" spans="1:20" x14ac:dyDescent="0.25">
      <c r="A647" s="23"/>
      <c r="B647" s="24"/>
      <c r="C647" s="25"/>
      <c r="D647" s="27"/>
      <c r="E647" s="27"/>
      <c r="F647" s="28"/>
      <c r="G647" s="27"/>
      <c r="H647" s="180"/>
      <c r="I647" s="27"/>
      <c r="J647" s="32"/>
      <c r="K647" s="32"/>
      <c r="L647" s="32"/>
      <c r="M647" s="32"/>
      <c r="N647" s="31"/>
      <c r="O647" s="32"/>
      <c r="P647" s="33"/>
      <c r="Q647" s="33"/>
      <c r="R647" s="32"/>
      <c r="S647" s="33"/>
      <c r="T647" s="5"/>
    </row>
    <row r="648" spans="1:20" x14ac:dyDescent="0.25">
      <c r="A648" s="23"/>
      <c r="B648" s="24"/>
      <c r="C648" s="25"/>
      <c r="D648" s="27"/>
      <c r="E648" s="27"/>
      <c r="F648" s="28"/>
      <c r="G648" s="27"/>
      <c r="H648" s="180"/>
      <c r="I648" s="27"/>
      <c r="J648" s="32"/>
      <c r="K648" s="32"/>
      <c r="L648" s="32"/>
      <c r="M648" s="32"/>
      <c r="N648" s="31"/>
      <c r="O648" s="32"/>
      <c r="P648" s="33"/>
      <c r="Q648" s="33"/>
      <c r="R648" s="32"/>
      <c r="S648" s="33"/>
      <c r="T648" s="5"/>
    </row>
    <row r="649" spans="1:20" x14ac:dyDescent="0.25">
      <c r="A649" s="23"/>
      <c r="B649" s="24"/>
      <c r="C649" s="25"/>
      <c r="D649" s="27"/>
      <c r="E649" s="27"/>
      <c r="F649" s="28"/>
      <c r="G649" s="27"/>
      <c r="H649" s="180"/>
      <c r="I649" s="27"/>
      <c r="J649" s="32"/>
      <c r="K649" s="32"/>
      <c r="L649" s="32"/>
      <c r="M649" s="32"/>
      <c r="N649" s="31"/>
      <c r="O649" s="32"/>
      <c r="P649" s="33"/>
      <c r="Q649" s="33"/>
      <c r="R649" s="32"/>
      <c r="S649" s="33"/>
      <c r="T649" s="5"/>
    </row>
    <row r="650" spans="1:20" x14ac:dyDescent="0.25">
      <c r="A650" s="23"/>
      <c r="B650" s="24"/>
      <c r="C650" s="25"/>
      <c r="D650" s="27"/>
      <c r="E650" s="27"/>
      <c r="F650" s="28"/>
      <c r="G650" s="27"/>
      <c r="H650" s="180"/>
      <c r="I650" s="27"/>
      <c r="J650" s="32"/>
      <c r="K650" s="32"/>
      <c r="L650" s="32"/>
      <c r="M650" s="32"/>
      <c r="N650" s="31"/>
      <c r="O650" s="32"/>
      <c r="P650" s="33"/>
      <c r="Q650" s="33"/>
      <c r="R650" s="32"/>
      <c r="S650" s="33"/>
      <c r="T650" s="5"/>
    </row>
    <row r="651" spans="1:20" x14ac:dyDescent="0.25">
      <c r="A651" s="23"/>
      <c r="B651" s="24"/>
      <c r="C651" s="25"/>
      <c r="D651" s="27"/>
      <c r="E651" s="27"/>
      <c r="F651" s="28"/>
      <c r="G651" s="27"/>
      <c r="H651" s="180"/>
      <c r="I651" s="27"/>
      <c r="J651" s="32"/>
      <c r="K651" s="32"/>
      <c r="L651" s="32"/>
      <c r="M651" s="32"/>
      <c r="N651" s="31"/>
      <c r="O651" s="32"/>
      <c r="P651" s="33"/>
      <c r="Q651" s="33"/>
      <c r="R651" s="32"/>
      <c r="S651" s="33"/>
      <c r="T651" s="5"/>
    </row>
    <row r="652" spans="1:20" x14ac:dyDescent="0.25">
      <c r="A652" s="23"/>
      <c r="B652" s="24"/>
      <c r="C652" s="25"/>
      <c r="D652" s="27"/>
      <c r="E652" s="27"/>
      <c r="F652" s="28"/>
      <c r="G652" s="27"/>
      <c r="H652" s="180"/>
      <c r="I652" s="27"/>
      <c r="J652" s="32"/>
      <c r="K652" s="32"/>
      <c r="L652" s="32"/>
      <c r="M652" s="32"/>
      <c r="N652" s="31"/>
      <c r="O652" s="32"/>
      <c r="P652" s="33"/>
      <c r="Q652" s="33"/>
      <c r="R652" s="32"/>
      <c r="S652" s="33"/>
      <c r="T652" s="5"/>
    </row>
    <row r="653" spans="1:20" x14ac:dyDescent="0.25">
      <c r="A653" s="23"/>
      <c r="B653" s="24"/>
      <c r="C653" s="25"/>
      <c r="D653" s="27"/>
      <c r="E653" s="27"/>
      <c r="F653" s="28"/>
      <c r="G653" s="27"/>
      <c r="H653" s="180"/>
      <c r="I653" s="27"/>
      <c r="J653" s="32"/>
      <c r="K653" s="32"/>
      <c r="L653" s="32"/>
      <c r="M653" s="32"/>
      <c r="N653" s="31"/>
      <c r="O653" s="32"/>
      <c r="P653" s="33"/>
      <c r="Q653" s="33"/>
      <c r="R653" s="32"/>
      <c r="S653" s="33"/>
      <c r="T653" s="5"/>
    </row>
    <row r="654" spans="1:20" x14ac:dyDescent="0.25">
      <c r="A654" s="23"/>
      <c r="B654" s="24"/>
      <c r="C654" s="25"/>
      <c r="D654" s="27"/>
      <c r="E654" s="27"/>
      <c r="F654" s="28"/>
      <c r="G654" s="27"/>
      <c r="H654" s="180"/>
      <c r="I654" s="27"/>
      <c r="J654" s="32"/>
      <c r="K654" s="32"/>
      <c r="L654" s="32"/>
      <c r="M654" s="32"/>
      <c r="N654" s="31"/>
      <c r="O654" s="32"/>
      <c r="P654" s="33"/>
      <c r="Q654" s="33"/>
      <c r="R654" s="32"/>
      <c r="S654" s="33"/>
      <c r="T654" s="5"/>
    </row>
    <row r="655" spans="1:20" x14ac:dyDescent="0.25">
      <c r="A655" s="23"/>
      <c r="B655" s="24"/>
      <c r="C655" s="25"/>
      <c r="D655" s="27"/>
      <c r="E655" s="27"/>
      <c r="F655" s="28"/>
      <c r="G655" s="27"/>
      <c r="H655" s="180"/>
      <c r="I655" s="27"/>
      <c r="J655" s="32"/>
      <c r="K655" s="32"/>
      <c r="L655" s="32"/>
      <c r="M655" s="32"/>
      <c r="N655" s="31"/>
      <c r="O655" s="32"/>
      <c r="P655" s="33"/>
      <c r="Q655" s="33"/>
      <c r="R655" s="32"/>
      <c r="S655" s="33"/>
      <c r="T655" s="5"/>
    </row>
    <row r="656" spans="1:20" x14ac:dyDescent="0.25">
      <c r="A656" s="23"/>
      <c r="B656" s="24"/>
      <c r="C656" s="25"/>
      <c r="D656" s="27"/>
      <c r="E656" s="27"/>
      <c r="F656" s="28"/>
      <c r="G656" s="27"/>
      <c r="H656" s="180"/>
      <c r="I656" s="27"/>
      <c r="J656" s="32"/>
      <c r="K656" s="32"/>
      <c r="L656" s="32"/>
      <c r="M656" s="32"/>
      <c r="N656" s="31"/>
      <c r="O656" s="32"/>
      <c r="P656" s="33"/>
      <c r="Q656" s="33"/>
      <c r="R656" s="32"/>
      <c r="S656" s="33"/>
      <c r="T656" s="5"/>
    </row>
    <row r="657" spans="1:20" x14ac:dyDescent="0.25">
      <c r="A657" s="23"/>
      <c r="B657" s="24"/>
      <c r="C657" s="25"/>
      <c r="D657" s="27"/>
      <c r="E657" s="27"/>
      <c r="F657" s="28"/>
      <c r="G657" s="27"/>
      <c r="H657" s="180"/>
      <c r="I657" s="27"/>
      <c r="J657" s="32"/>
      <c r="K657" s="32"/>
      <c r="L657" s="32"/>
      <c r="M657" s="32"/>
      <c r="N657" s="31"/>
      <c r="O657" s="32"/>
      <c r="P657" s="33"/>
      <c r="Q657" s="33"/>
      <c r="R657" s="32"/>
      <c r="S657" s="33"/>
      <c r="T657" s="5"/>
    </row>
    <row r="658" spans="1:20" x14ac:dyDescent="0.25">
      <c r="A658" s="23"/>
      <c r="B658" s="24"/>
      <c r="C658" s="25"/>
      <c r="D658" s="27"/>
      <c r="E658" s="27"/>
      <c r="F658" s="28"/>
      <c r="G658" s="27"/>
      <c r="H658" s="180"/>
      <c r="I658" s="27"/>
      <c r="J658" s="32"/>
      <c r="K658" s="32"/>
      <c r="L658" s="32"/>
      <c r="M658" s="32"/>
      <c r="N658" s="31"/>
      <c r="O658" s="32"/>
      <c r="P658" s="33"/>
      <c r="Q658" s="33"/>
      <c r="R658" s="32"/>
      <c r="S658" s="33"/>
      <c r="T658" s="5"/>
    </row>
    <row r="659" spans="1:20" x14ac:dyDescent="0.25">
      <c r="A659" s="23"/>
      <c r="B659" s="24"/>
      <c r="C659" s="25"/>
      <c r="D659" s="27"/>
      <c r="E659" s="27"/>
      <c r="F659" s="28"/>
      <c r="G659" s="27"/>
      <c r="H659" s="180"/>
      <c r="I659" s="27"/>
      <c r="J659" s="32"/>
      <c r="K659" s="32"/>
      <c r="L659" s="32"/>
      <c r="M659" s="32"/>
      <c r="N659" s="31"/>
      <c r="O659" s="32"/>
      <c r="P659" s="33"/>
      <c r="Q659" s="33"/>
      <c r="R659" s="32"/>
      <c r="S659" s="33"/>
      <c r="T659" s="5"/>
    </row>
    <row r="660" spans="1:20" x14ac:dyDescent="0.25">
      <c r="A660" s="23"/>
      <c r="B660" s="24"/>
      <c r="C660" s="25"/>
      <c r="D660" s="27"/>
      <c r="E660" s="27"/>
      <c r="F660" s="28"/>
      <c r="G660" s="27"/>
      <c r="H660" s="180"/>
      <c r="I660" s="27"/>
      <c r="J660" s="32"/>
      <c r="K660" s="32"/>
      <c r="L660" s="32"/>
      <c r="M660" s="32"/>
      <c r="N660" s="31"/>
      <c r="O660" s="32"/>
      <c r="P660" s="33"/>
      <c r="Q660" s="33"/>
      <c r="R660" s="32"/>
      <c r="S660" s="33"/>
      <c r="T660" s="5"/>
    </row>
    <row r="661" spans="1:20" x14ac:dyDescent="0.25">
      <c r="A661" s="23"/>
      <c r="B661" s="24"/>
      <c r="C661" s="25"/>
      <c r="D661" s="27"/>
      <c r="E661" s="27"/>
      <c r="F661" s="28"/>
      <c r="G661" s="27"/>
      <c r="H661" s="180"/>
      <c r="I661" s="27"/>
      <c r="J661" s="32"/>
      <c r="K661" s="32"/>
      <c r="L661" s="32"/>
      <c r="M661" s="32"/>
      <c r="N661" s="31"/>
      <c r="O661" s="32"/>
      <c r="P661" s="33"/>
      <c r="Q661" s="33"/>
      <c r="R661" s="32"/>
      <c r="S661" s="33"/>
      <c r="T661" s="5"/>
    </row>
    <row r="662" spans="1:20" x14ac:dyDescent="0.25">
      <c r="A662" s="23"/>
      <c r="B662" s="24"/>
      <c r="C662" s="25"/>
      <c r="D662" s="27"/>
      <c r="E662" s="27"/>
      <c r="F662" s="28"/>
      <c r="G662" s="27"/>
      <c r="H662" s="180"/>
      <c r="I662" s="27"/>
      <c r="J662" s="32"/>
      <c r="K662" s="32"/>
      <c r="L662" s="32"/>
      <c r="M662" s="32"/>
      <c r="N662" s="31"/>
      <c r="O662" s="32"/>
      <c r="P662" s="33"/>
      <c r="Q662" s="33"/>
      <c r="R662" s="32"/>
      <c r="S662" s="33"/>
      <c r="T662" s="5"/>
    </row>
    <row r="663" spans="1:20" x14ac:dyDescent="0.25">
      <c r="A663" s="23"/>
      <c r="B663" s="24"/>
      <c r="C663" s="25"/>
      <c r="D663" s="27"/>
      <c r="E663" s="27"/>
      <c r="F663" s="28"/>
      <c r="G663" s="27"/>
      <c r="H663" s="180"/>
      <c r="I663" s="27"/>
      <c r="J663" s="32"/>
      <c r="K663" s="32"/>
      <c r="L663" s="32"/>
      <c r="M663" s="32"/>
      <c r="N663" s="31"/>
      <c r="O663" s="32"/>
      <c r="P663" s="33"/>
      <c r="Q663" s="33"/>
      <c r="R663" s="32"/>
      <c r="S663" s="33"/>
      <c r="T663" s="5"/>
    </row>
    <row r="664" spans="1:20" x14ac:dyDescent="0.25">
      <c r="A664" s="23"/>
      <c r="B664" s="24"/>
      <c r="C664" s="25"/>
      <c r="D664" s="27"/>
      <c r="E664" s="27"/>
      <c r="F664" s="28"/>
      <c r="G664" s="27"/>
      <c r="H664" s="180"/>
      <c r="I664" s="27"/>
      <c r="J664" s="32"/>
      <c r="K664" s="32"/>
      <c r="L664" s="32"/>
      <c r="M664" s="32"/>
      <c r="N664" s="31"/>
      <c r="O664" s="32"/>
      <c r="P664" s="33"/>
      <c r="Q664" s="33"/>
      <c r="R664" s="32"/>
      <c r="S664" s="33"/>
      <c r="T664" s="5"/>
    </row>
    <row r="665" spans="1:20" x14ac:dyDescent="0.25">
      <c r="A665" s="23"/>
      <c r="B665" s="24"/>
      <c r="C665" s="25"/>
      <c r="D665" s="27"/>
      <c r="E665" s="27"/>
      <c r="F665" s="28"/>
      <c r="G665" s="27"/>
      <c r="H665" s="180"/>
      <c r="I665" s="27"/>
      <c r="J665" s="32"/>
      <c r="K665" s="32"/>
      <c r="L665" s="32"/>
      <c r="M665" s="32"/>
      <c r="N665" s="31"/>
      <c r="O665" s="32"/>
      <c r="P665" s="33"/>
      <c r="Q665" s="33"/>
      <c r="R665" s="32"/>
      <c r="S665" s="33"/>
      <c r="T665" s="5"/>
    </row>
    <row r="666" spans="1:20" x14ac:dyDescent="0.25">
      <c r="A666" s="23"/>
      <c r="B666" s="24"/>
      <c r="C666" s="25"/>
      <c r="D666" s="27"/>
      <c r="E666" s="27"/>
      <c r="F666" s="28"/>
      <c r="G666" s="27"/>
      <c r="H666" s="180"/>
      <c r="I666" s="27"/>
      <c r="J666" s="32"/>
      <c r="K666" s="32"/>
      <c r="L666" s="32"/>
      <c r="M666" s="32"/>
      <c r="N666" s="31"/>
      <c r="O666" s="32"/>
      <c r="P666" s="33"/>
      <c r="Q666" s="33"/>
      <c r="R666" s="32"/>
      <c r="S666" s="33"/>
      <c r="T666" s="5"/>
    </row>
    <row r="667" spans="1:20" x14ac:dyDescent="0.25">
      <c r="A667" s="23"/>
      <c r="B667" s="24"/>
      <c r="C667" s="25"/>
      <c r="D667" s="27"/>
      <c r="E667" s="27"/>
      <c r="F667" s="28"/>
      <c r="G667" s="27"/>
      <c r="H667" s="180"/>
      <c r="I667" s="27"/>
      <c r="J667" s="32"/>
      <c r="K667" s="32"/>
      <c r="L667" s="32"/>
      <c r="M667" s="32"/>
      <c r="N667" s="31"/>
      <c r="O667" s="32"/>
      <c r="P667" s="33"/>
      <c r="Q667" s="33"/>
      <c r="R667" s="32"/>
      <c r="S667" s="33"/>
      <c r="T667" s="5"/>
    </row>
    <row r="668" spans="1:20" x14ac:dyDescent="0.25">
      <c r="A668" s="23"/>
      <c r="B668" s="24"/>
      <c r="C668" s="25"/>
      <c r="D668" s="27"/>
      <c r="E668" s="27"/>
      <c r="F668" s="28"/>
      <c r="G668" s="27"/>
      <c r="H668" s="180"/>
      <c r="I668" s="27"/>
      <c r="J668" s="32"/>
      <c r="K668" s="32"/>
      <c r="L668" s="32"/>
      <c r="M668" s="32"/>
      <c r="N668" s="31"/>
      <c r="O668" s="32"/>
      <c r="P668" s="33"/>
      <c r="Q668" s="33"/>
      <c r="R668" s="32"/>
      <c r="S668" s="33"/>
      <c r="T668" s="5"/>
    </row>
    <row r="669" spans="1:20" x14ac:dyDescent="0.25">
      <c r="A669" s="23"/>
      <c r="B669" s="24"/>
      <c r="C669" s="25"/>
      <c r="D669" s="27"/>
      <c r="E669" s="27"/>
      <c r="F669" s="28"/>
      <c r="G669" s="27"/>
      <c r="H669" s="180"/>
      <c r="I669" s="27"/>
      <c r="J669" s="32"/>
      <c r="K669" s="32"/>
      <c r="L669" s="32"/>
      <c r="M669" s="32"/>
      <c r="N669" s="31"/>
      <c r="O669" s="32"/>
      <c r="P669" s="33"/>
      <c r="Q669" s="33"/>
      <c r="R669" s="32"/>
      <c r="S669" s="33"/>
      <c r="T669" s="5"/>
    </row>
    <row r="670" spans="1:20" x14ac:dyDescent="0.25">
      <c r="A670" s="23"/>
      <c r="B670" s="24"/>
      <c r="C670" s="25"/>
      <c r="D670" s="27"/>
      <c r="E670" s="27"/>
      <c r="F670" s="28"/>
      <c r="G670" s="27"/>
      <c r="H670" s="180"/>
      <c r="I670" s="27"/>
      <c r="J670" s="32"/>
      <c r="K670" s="32"/>
      <c r="L670" s="32"/>
      <c r="M670" s="32"/>
      <c r="N670" s="31"/>
      <c r="O670" s="32"/>
      <c r="P670" s="33"/>
      <c r="Q670" s="33"/>
      <c r="R670" s="32"/>
      <c r="S670" s="33"/>
      <c r="T670" s="5"/>
    </row>
    <row r="671" spans="1:20" x14ac:dyDescent="0.25">
      <c r="A671" s="23"/>
      <c r="B671" s="24"/>
      <c r="C671" s="25"/>
      <c r="D671" s="27"/>
      <c r="E671" s="27"/>
      <c r="F671" s="28"/>
      <c r="G671" s="27"/>
      <c r="H671" s="180"/>
      <c r="I671" s="27"/>
      <c r="J671" s="32"/>
      <c r="K671" s="32"/>
      <c r="L671" s="32"/>
      <c r="M671" s="32"/>
      <c r="N671" s="31"/>
      <c r="O671" s="32"/>
      <c r="P671" s="33"/>
      <c r="Q671" s="33"/>
      <c r="R671" s="32"/>
      <c r="S671" s="33"/>
      <c r="T671" s="5"/>
    </row>
    <row r="672" spans="1:20" x14ac:dyDescent="0.25">
      <c r="A672" s="23"/>
      <c r="B672" s="24"/>
      <c r="C672" s="25"/>
      <c r="D672" s="27"/>
      <c r="E672" s="27"/>
      <c r="F672" s="28"/>
      <c r="G672" s="27"/>
      <c r="H672" s="180"/>
      <c r="I672" s="27"/>
      <c r="J672" s="32"/>
      <c r="K672" s="32"/>
      <c r="L672" s="32"/>
      <c r="M672" s="32"/>
      <c r="N672" s="31"/>
      <c r="O672" s="32"/>
      <c r="P672" s="33"/>
      <c r="Q672" s="33"/>
      <c r="R672" s="32"/>
      <c r="S672" s="33"/>
      <c r="T672" s="5"/>
    </row>
    <row r="673" spans="1:20" x14ac:dyDescent="0.25">
      <c r="A673" s="23"/>
      <c r="B673" s="24"/>
      <c r="C673" s="25"/>
      <c r="D673" s="27"/>
      <c r="E673" s="27"/>
      <c r="F673" s="28"/>
      <c r="G673" s="27"/>
      <c r="H673" s="180"/>
      <c r="I673" s="27"/>
      <c r="J673" s="32"/>
      <c r="K673" s="32"/>
      <c r="L673" s="32"/>
      <c r="M673" s="32"/>
      <c r="N673" s="31"/>
      <c r="O673" s="32"/>
      <c r="P673" s="33"/>
      <c r="Q673" s="33"/>
      <c r="R673" s="32"/>
      <c r="S673" s="33"/>
      <c r="T673" s="5"/>
    </row>
    <row r="674" spans="1:20" x14ac:dyDescent="0.25">
      <c r="A674" s="23"/>
      <c r="B674" s="24"/>
      <c r="C674" s="25"/>
      <c r="D674" s="27"/>
      <c r="E674" s="27"/>
      <c r="F674" s="28"/>
      <c r="G674" s="27"/>
      <c r="H674" s="180"/>
      <c r="I674" s="27"/>
      <c r="J674" s="32"/>
      <c r="K674" s="32"/>
      <c r="L674" s="32"/>
      <c r="M674" s="32"/>
      <c r="N674" s="31"/>
      <c r="O674" s="32"/>
      <c r="P674" s="33"/>
      <c r="Q674" s="33"/>
      <c r="R674" s="32"/>
      <c r="S674" s="33"/>
      <c r="T674" s="5"/>
    </row>
    <row r="675" spans="1:20" x14ac:dyDescent="0.25">
      <c r="A675" s="23"/>
      <c r="B675" s="24"/>
      <c r="C675" s="25"/>
      <c r="D675" s="27"/>
      <c r="E675" s="27"/>
      <c r="F675" s="28"/>
      <c r="G675" s="27"/>
      <c r="H675" s="180"/>
      <c r="I675" s="27"/>
      <c r="J675" s="32"/>
      <c r="K675" s="32"/>
      <c r="L675" s="32"/>
      <c r="M675" s="32"/>
      <c r="N675" s="31"/>
      <c r="O675" s="32"/>
      <c r="P675" s="33"/>
      <c r="Q675" s="33"/>
      <c r="R675" s="32"/>
      <c r="S675" s="33"/>
      <c r="T675" s="5"/>
    </row>
    <row r="676" spans="1:20" x14ac:dyDescent="0.25">
      <c r="A676" s="23"/>
      <c r="B676" s="24"/>
      <c r="C676" s="25"/>
      <c r="D676" s="27"/>
      <c r="E676" s="27"/>
      <c r="F676" s="28"/>
      <c r="G676" s="27"/>
      <c r="H676" s="180"/>
      <c r="I676" s="27"/>
      <c r="J676" s="32"/>
      <c r="K676" s="32"/>
      <c r="L676" s="32"/>
      <c r="M676" s="32"/>
      <c r="N676" s="31"/>
      <c r="O676" s="32"/>
      <c r="P676" s="33"/>
      <c r="Q676" s="33"/>
      <c r="R676" s="32"/>
      <c r="S676" s="33"/>
      <c r="T676" s="5"/>
    </row>
    <row r="677" spans="1:20" x14ac:dyDescent="0.25">
      <c r="A677" s="23"/>
      <c r="B677" s="24"/>
      <c r="C677" s="25"/>
      <c r="D677" s="27"/>
      <c r="E677" s="27"/>
      <c r="F677" s="28"/>
      <c r="G677" s="27"/>
      <c r="H677" s="180"/>
      <c r="I677" s="27"/>
      <c r="J677" s="32"/>
      <c r="K677" s="32"/>
      <c r="L677" s="32"/>
      <c r="M677" s="32"/>
      <c r="N677" s="31"/>
      <c r="O677" s="32"/>
      <c r="P677" s="33"/>
      <c r="Q677" s="33"/>
      <c r="R677" s="32"/>
      <c r="S677" s="33"/>
      <c r="T677" s="5"/>
    </row>
    <row r="678" spans="1:20" x14ac:dyDescent="0.25">
      <c r="A678" s="23"/>
      <c r="B678" s="24"/>
      <c r="C678" s="25"/>
      <c r="D678" s="27"/>
      <c r="E678" s="27"/>
      <c r="F678" s="28"/>
      <c r="G678" s="27"/>
      <c r="H678" s="180"/>
      <c r="I678" s="27"/>
      <c r="J678" s="32"/>
      <c r="K678" s="32"/>
      <c r="L678" s="32"/>
      <c r="M678" s="32"/>
      <c r="N678" s="31"/>
      <c r="O678" s="32"/>
      <c r="P678" s="33"/>
      <c r="Q678" s="33"/>
      <c r="R678" s="32"/>
      <c r="S678" s="33"/>
      <c r="T678" s="5"/>
    </row>
    <row r="679" spans="1:20" x14ac:dyDescent="0.25">
      <c r="A679" s="23"/>
      <c r="B679" s="24"/>
      <c r="C679" s="25"/>
      <c r="D679" s="27"/>
      <c r="E679" s="27"/>
      <c r="F679" s="28"/>
      <c r="G679" s="27"/>
      <c r="H679" s="180"/>
      <c r="I679" s="27"/>
      <c r="J679" s="32"/>
      <c r="K679" s="32"/>
      <c r="L679" s="32"/>
      <c r="M679" s="32"/>
      <c r="N679" s="31"/>
      <c r="O679" s="32"/>
      <c r="P679" s="33"/>
      <c r="Q679" s="33"/>
      <c r="R679" s="32"/>
      <c r="S679" s="33"/>
      <c r="T679" s="5"/>
    </row>
    <row r="680" spans="1:20" x14ac:dyDescent="0.25">
      <c r="A680" s="23"/>
      <c r="B680" s="24"/>
      <c r="C680" s="25"/>
      <c r="D680" s="27"/>
      <c r="E680" s="27"/>
      <c r="F680" s="28"/>
      <c r="G680" s="27"/>
      <c r="H680" s="180"/>
      <c r="I680" s="27"/>
      <c r="J680" s="32"/>
      <c r="K680" s="32"/>
      <c r="L680" s="32"/>
      <c r="M680" s="32"/>
      <c r="N680" s="31"/>
      <c r="O680" s="32"/>
      <c r="P680" s="33"/>
      <c r="Q680" s="33"/>
      <c r="R680" s="32"/>
      <c r="S680" s="33"/>
      <c r="T680" s="5"/>
    </row>
    <row r="681" spans="1:20" x14ac:dyDescent="0.25">
      <c r="A681" s="23"/>
      <c r="B681" s="24"/>
      <c r="C681" s="25"/>
      <c r="D681" s="27"/>
      <c r="E681" s="27"/>
      <c r="F681" s="28"/>
      <c r="G681" s="27"/>
      <c r="H681" s="180"/>
      <c r="I681" s="27"/>
      <c r="J681" s="32"/>
      <c r="K681" s="32"/>
      <c r="L681" s="32"/>
      <c r="M681" s="32"/>
      <c r="N681" s="31"/>
      <c r="O681" s="32"/>
      <c r="P681" s="33"/>
      <c r="Q681" s="33"/>
      <c r="R681" s="32"/>
      <c r="S681" s="33"/>
      <c r="T681" s="5"/>
    </row>
    <row r="682" spans="1:20" x14ac:dyDescent="0.25">
      <c r="A682" s="23"/>
      <c r="B682" s="24"/>
      <c r="C682" s="25"/>
      <c r="D682" s="27"/>
      <c r="E682" s="27"/>
      <c r="F682" s="28"/>
      <c r="G682" s="27"/>
      <c r="H682" s="180"/>
      <c r="I682" s="27"/>
      <c r="J682" s="32"/>
      <c r="K682" s="32"/>
      <c r="L682" s="32"/>
      <c r="M682" s="32"/>
      <c r="N682" s="31"/>
      <c r="O682" s="32"/>
      <c r="P682" s="33"/>
      <c r="Q682" s="33"/>
      <c r="R682" s="32"/>
      <c r="S682" s="33"/>
      <c r="T682" s="5"/>
    </row>
    <row r="683" spans="1:20" x14ac:dyDescent="0.25">
      <c r="A683" s="23"/>
      <c r="B683" s="24"/>
      <c r="C683" s="25"/>
      <c r="D683" s="27"/>
      <c r="E683" s="27"/>
      <c r="F683" s="28"/>
      <c r="G683" s="27"/>
      <c r="H683" s="180"/>
      <c r="I683" s="27"/>
      <c r="J683" s="32"/>
      <c r="K683" s="32"/>
      <c r="L683" s="32"/>
      <c r="M683" s="32"/>
      <c r="N683" s="31"/>
      <c r="O683" s="32"/>
      <c r="P683" s="33"/>
      <c r="Q683" s="33"/>
      <c r="R683" s="32"/>
      <c r="S683" s="33"/>
      <c r="T683" s="5"/>
    </row>
    <row r="684" spans="1:20" x14ac:dyDescent="0.25">
      <c r="A684" s="23"/>
      <c r="B684" s="24"/>
      <c r="C684" s="25"/>
      <c r="D684" s="27"/>
      <c r="E684" s="27"/>
      <c r="F684" s="28"/>
      <c r="G684" s="27"/>
      <c r="H684" s="180"/>
      <c r="I684" s="27"/>
      <c r="J684" s="32"/>
      <c r="K684" s="32"/>
      <c r="L684" s="32"/>
      <c r="M684" s="32"/>
      <c r="N684" s="31"/>
      <c r="O684" s="32"/>
      <c r="P684" s="33"/>
      <c r="Q684" s="33"/>
      <c r="R684" s="32"/>
      <c r="S684" s="33"/>
      <c r="T684" s="5"/>
    </row>
    <row r="685" spans="1:20" x14ac:dyDescent="0.25">
      <c r="A685" s="23"/>
      <c r="B685" s="24"/>
      <c r="C685" s="25"/>
      <c r="D685" s="27"/>
      <c r="E685" s="27"/>
      <c r="F685" s="28"/>
      <c r="G685" s="27"/>
      <c r="H685" s="180"/>
      <c r="I685" s="27"/>
      <c r="J685" s="32"/>
      <c r="K685" s="32"/>
      <c r="L685" s="32"/>
      <c r="M685" s="32"/>
      <c r="N685" s="31"/>
      <c r="O685" s="32"/>
      <c r="P685" s="33"/>
      <c r="Q685" s="33"/>
      <c r="R685" s="32"/>
      <c r="S685" s="33"/>
      <c r="T685" s="5"/>
    </row>
    <row r="686" spans="1:20" x14ac:dyDescent="0.25">
      <c r="A686" s="23"/>
      <c r="B686" s="24"/>
      <c r="C686" s="25"/>
      <c r="D686" s="27"/>
      <c r="E686" s="27"/>
      <c r="F686" s="28"/>
      <c r="G686" s="27"/>
      <c r="H686" s="180"/>
      <c r="I686" s="27"/>
      <c r="J686" s="32"/>
      <c r="K686" s="32"/>
      <c r="L686" s="32"/>
      <c r="M686" s="32"/>
      <c r="N686" s="31"/>
      <c r="O686" s="32"/>
      <c r="P686" s="33"/>
      <c r="Q686" s="33"/>
      <c r="R686" s="32"/>
      <c r="S686" s="33"/>
      <c r="T686" s="5"/>
    </row>
    <row r="687" spans="1:20" x14ac:dyDescent="0.25">
      <c r="A687" s="23"/>
      <c r="B687" s="24"/>
      <c r="C687" s="25"/>
      <c r="D687" s="27"/>
      <c r="E687" s="27"/>
      <c r="F687" s="28"/>
      <c r="G687" s="27"/>
      <c r="H687" s="180"/>
      <c r="I687" s="27"/>
      <c r="J687" s="32"/>
      <c r="K687" s="32"/>
      <c r="L687" s="32"/>
      <c r="M687" s="32"/>
      <c r="N687" s="31"/>
      <c r="O687" s="32"/>
      <c r="P687" s="33"/>
      <c r="Q687" s="33"/>
      <c r="R687" s="32"/>
      <c r="S687" s="33"/>
      <c r="T687" s="5"/>
    </row>
    <row r="688" spans="1:20" x14ac:dyDescent="0.25">
      <c r="A688" s="23"/>
      <c r="B688" s="24"/>
      <c r="C688" s="25"/>
      <c r="D688" s="27"/>
      <c r="E688" s="27"/>
      <c r="F688" s="28"/>
      <c r="G688" s="27"/>
      <c r="H688" s="180"/>
      <c r="I688" s="27"/>
      <c r="J688" s="32"/>
      <c r="K688" s="32"/>
      <c r="L688" s="32"/>
      <c r="M688" s="32"/>
      <c r="N688" s="31"/>
      <c r="O688" s="32"/>
      <c r="P688" s="33"/>
      <c r="Q688" s="33"/>
      <c r="R688" s="32"/>
      <c r="S688" s="33"/>
      <c r="T688" s="5"/>
    </row>
    <row r="689" spans="1:20" x14ac:dyDescent="0.25">
      <c r="A689" s="23"/>
      <c r="B689" s="24"/>
      <c r="C689" s="25"/>
      <c r="D689" s="27"/>
      <c r="E689" s="27"/>
      <c r="F689" s="28"/>
      <c r="G689" s="27"/>
      <c r="H689" s="180"/>
      <c r="I689" s="27"/>
      <c r="J689" s="32"/>
      <c r="K689" s="32"/>
      <c r="L689" s="32"/>
      <c r="M689" s="32"/>
      <c r="N689" s="31"/>
      <c r="O689" s="32"/>
      <c r="P689" s="33"/>
      <c r="Q689" s="33"/>
      <c r="R689" s="32"/>
      <c r="S689" s="33"/>
      <c r="T689" s="5"/>
    </row>
    <row r="690" spans="1:20" x14ac:dyDescent="0.25">
      <c r="A690" s="23"/>
      <c r="B690" s="24"/>
      <c r="C690" s="25"/>
      <c r="D690" s="27"/>
      <c r="E690" s="27"/>
      <c r="F690" s="28"/>
      <c r="G690" s="27"/>
      <c r="H690" s="180"/>
      <c r="I690" s="27"/>
      <c r="J690" s="32"/>
      <c r="K690" s="32"/>
      <c r="L690" s="32"/>
      <c r="M690" s="32"/>
      <c r="N690" s="31"/>
      <c r="O690" s="32"/>
      <c r="P690" s="33"/>
      <c r="Q690" s="33"/>
      <c r="R690" s="32"/>
      <c r="S690" s="33"/>
      <c r="T690" s="5"/>
    </row>
    <row r="691" spans="1:20" x14ac:dyDescent="0.25">
      <c r="A691" s="23"/>
      <c r="B691" s="24"/>
      <c r="C691" s="25"/>
      <c r="D691" s="27"/>
      <c r="E691" s="27"/>
      <c r="F691" s="28"/>
      <c r="G691" s="27"/>
      <c r="H691" s="180"/>
      <c r="I691" s="27"/>
      <c r="J691" s="32"/>
      <c r="K691" s="32"/>
      <c r="L691" s="32"/>
      <c r="M691" s="32"/>
      <c r="N691" s="31"/>
      <c r="O691" s="32"/>
      <c r="P691" s="33"/>
      <c r="Q691" s="33"/>
      <c r="R691" s="32"/>
      <c r="S691" s="33"/>
      <c r="T691" s="5"/>
    </row>
    <row r="692" spans="1:20" x14ac:dyDescent="0.25">
      <c r="A692" s="23"/>
      <c r="B692" s="24"/>
      <c r="C692" s="25"/>
      <c r="D692" s="27"/>
      <c r="E692" s="27"/>
      <c r="F692" s="28"/>
      <c r="G692" s="27"/>
      <c r="H692" s="180"/>
      <c r="I692" s="27"/>
      <c r="J692" s="32"/>
      <c r="K692" s="32"/>
      <c r="L692" s="32"/>
      <c r="M692" s="32"/>
      <c r="N692" s="31"/>
      <c r="O692" s="32"/>
      <c r="P692" s="33"/>
      <c r="Q692" s="33"/>
      <c r="R692" s="32"/>
      <c r="S692" s="33"/>
      <c r="T692" s="5"/>
    </row>
    <row r="693" spans="1:20" x14ac:dyDescent="0.25">
      <c r="A693" s="23"/>
      <c r="B693" s="24"/>
      <c r="C693" s="25"/>
      <c r="D693" s="27"/>
      <c r="E693" s="27"/>
      <c r="F693" s="28"/>
      <c r="G693" s="27"/>
      <c r="H693" s="180"/>
      <c r="I693" s="27"/>
      <c r="J693" s="32"/>
      <c r="K693" s="32"/>
      <c r="L693" s="32"/>
      <c r="M693" s="32"/>
      <c r="N693" s="31"/>
      <c r="O693" s="32"/>
      <c r="P693" s="33"/>
      <c r="Q693" s="33"/>
      <c r="R693" s="32"/>
      <c r="S693" s="33"/>
      <c r="T693" s="5"/>
    </row>
    <row r="694" spans="1:20" x14ac:dyDescent="0.25">
      <c r="A694" s="23"/>
      <c r="B694" s="24"/>
      <c r="C694" s="25"/>
      <c r="D694" s="27"/>
      <c r="E694" s="27"/>
      <c r="F694" s="28"/>
      <c r="G694" s="27"/>
      <c r="H694" s="180"/>
      <c r="I694" s="27"/>
      <c r="J694" s="32"/>
      <c r="K694" s="32"/>
      <c r="L694" s="32"/>
      <c r="M694" s="32"/>
      <c r="N694" s="31"/>
      <c r="O694" s="32"/>
      <c r="P694" s="33"/>
      <c r="Q694" s="33"/>
      <c r="R694" s="32"/>
      <c r="S694" s="33"/>
      <c r="T694" s="5"/>
    </row>
    <row r="695" spans="1:20" x14ac:dyDescent="0.25">
      <c r="A695" s="23"/>
      <c r="B695" s="24"/>
      <c r="C695" s="25"/>
      <c r="D695" s="27"/>
      <c r="E695" s="27"/>
      <c r="F695" s="28"/>
      <c r="G695" s="27"/>
      <c r="H695" s="180"/>
      <c r="I695" s="27"/>
      <c r="J695" s="32"/>
      <c r="K695" s="32"/>
      <c r="L695" s="32"/>
      <c r="M695" s="32"/>
      <c r="N695" s="31"/>
      <c r="O695" s="32"/>
      <c r="P695" s="33"/>
      <c r="Q695" s="33"/>
      <c r="R695" s="32"/>
      <c r="S695" s="33"/>
      <c r="T695" s="5"/>
    </row>
    <row r="696" spans="1:20" x14ac:dyDescent="0.25">
      <c r="A696" s="23"/>
      <c r="B696" s="24"/>
      <c r="C696" s="25"/>
      <c r="D696" s="27"/>
      <c r="E696" s="27"/>
      <c r="F696" s="28"/>
      <c r="G696" s="27"/>
      <c r="H696" s="180"/>
      <c r="I696" s="27"/>
      <c r="J696" s="32"/>
      <c r="K696" s="32"/>
      <c r="L696" s="32"/>
      <c r="M696" s="32"/>
      <c r="N696" s="31"/>
      <c r="O696" s="32"/>
      <c r="P696" s="33"/>
      <c r="Q696" s="33"/>
      <c r="R696" s="32"/>
      <c r="S696" s="33"/>
      <c r="T696" s="5"/>
    </row>
    <row r="697" spans="1:20" x14ac:dyDescent="0.25">
      <c r="A697" s="23"/>
      <c r="B697" s="24"/>
      <c r="C697" s="25"/>
      <c r="D697" s="27"/>
      <c r="E697" s="27"/>
      <c r="F697" s="28"/>
      <c r="G697" s="27"/>
      <c r="H697" s="180"/>
      <c r="I697" s="27"/>
      <c r="J697" s="32"/>
      <c r="K697" s="32"/>
      <c r="L697" s="32"/>
      <c r="M697" s="32"/>
      <c r="N697" s="31"/>
      <c r="O697" s="32"/>
      <c r="P697" s="33"/>
      <c r="Q697" s="33"/>
      <c r="R697" s="32"/>
      <c r="S697" s="33"/>
      <c r="T697" s="5"/>
    </row>
    <row r="698" spans="1:20" x14ac:dyDescent="0.25">
      <c r="A698" s="23"/>
      <c r="B698" s="24"/>
      <c r="C698" s="25"/>
      <c r="D698" s="27"/>
      <c r="E698" s="27"/>
      <c r="F698" s="28"/>
      <c r="G698" s="27"/>
      <c r="H698" s="180"/>
      <c r="I698" s="27"/>
      <c r="J698" s="32"/>
      <c r="K698" s="32"/>
      <c r="L698" s="32"/>
      <c r="M698" s="32"/>
      <c r="N698" s="31"/>
      <c r="O698" s="32"/>
      <c r="P698" s="33"/>
      <c r="Q698" s="33"/>
      <c r="R698" s="32"/>
      <c r="S698" s="33"/>
      <c r="T698" s="5"/>
    </row>
    <row r="699" spans="1:20" x14ac:dyDescent="0.25">
      <c r="A699" s="23"/>
      <c r="B699" s="24"/>
      <c r="C699" s="25"/>
      <c r="D699" s="27"/>
      <c r="E699" s="27"/>
      <c r="F699" s="28"/>
      <c r="G699" s="27"/>
      <c r="H699" s="180"/>
      <c r="I699" s="27"/>
      <c r="J699" s="32"/>
      <c r="K699" s="32"/>
      <c r="L699" s="32"/>
      <c r="M699" s="32"/>
      <c r="N699" s="31"/>
      <c r="O699" s="32"/>
      <c r="P699" s="33"/>
      <c r="Q699" s="33"/>
      <c r="R699" s="32"/>
      <c r="S699" s="33"/>
      <c r="T699" s="5"/>
    </row>
    <row r="700" spans="1:20" x14ac:dyDescent="0.25">
      <c r="A700" s="23"/>
      <c r="B700" s="24"/>
      <c r="C700" s="25"/>
      <c r="D700" s="27"/>
      <c r="E700" s="27"/>
      <c r="F700" s="28"/>
      <c r="G700" s="27"/>
      <c r="H700" s="180"/>
      <c r="I700" s="27"/>
      <c r="J700" s="32"/>
      <c r="K700" s="32"/>
      <c r="L700" s="32"/>
      <c r="M700" s="32"/>
      <c r="N700" s="31"/>
      <c r="O700" s="32"/>
      <c r="P700" s="33"/>
      <c r="Q700" s="33"/>
      <c r="R700" s="32"/>
      <c r="S700" s="33"/>
      <c r="T700" s="5"/>
    </row>
    <row r="701" spans="1:20" x14ac:dyDescent="0.25">
      <c r="A701" s="23"/>
      <c r="B701" s="24"/>
      <c r="C701" s="25"/>
      <c r="D701" s="27"/>
      <c r="E701" s="27"/>
      <c r="F701" s="28"/>
      <c r="G701" s="27"/>
      <c r="H701" s="180"/>
      <c r="I701" s="27"/>
      <c r="J701" s="32"/>
      <c r="K701" s="32"/>
      <c r="L701" s="32"/>
      <c r="M701" s="32"/>
      <c r="N701" s="31"/>
      <c r="O701" s="32"/>
      <c r="P701" s="33"/>
      <c r="Q701" s="33"/>
      <c r="R701" s="32"/>
      <c r="S701" s="33"/>
      <c r="T701" s="5"/>
    </row>
    <row r="702" spans="1:20" x14ac:dyDescent="0.25">
      <c r="A702" s="23"/>
      <c r="B702" s="24"/>
      <c r="C702" s="25"/>
      <c r="D702" s="27"/>
      <c r="E702" s="27"/>
      <c r="F702" s="28"/>
      <c r="G702" s="27"/>
      <c r="H702" s="180"/>
      <c r="I702" s="27"/>
      <c r="J702" s="32"/>
      <c r="K702" s="32"/>
      <c r="L702" s="32"/>
      <c r="M702" s="32"/>
      <c r="N702" s="31"/>
      <c r="O702" s="32"/>
      <c r="P702" s="33"/>
      <c r="Q702" s="33"/>
      <c r="R702" s="32"/>
      <c r="S702" s="33"/>
      <c r="T702" s="5"/>
    </row>
    <row r="703" spans="1:20" x14ac:dyDescent="0.25">
      <c r="A703" s="23"/>
      <c r="B703" s="24"/>
      <c r="C703" s="25"/>
      <c r="D703" s="27"/>
      <c r="E703" s="27"/>
      <c r="F703" s="28"/>
      <c r="G703" s="27"/>
      <c r="H703" s="180"/>
      <c r="I703" s="27"/>
      <c r="J703" s="32"/>
      <c r="K703" s="32"/>
      <c r="L703" s="32"/>
      <c r="M703" s="32"/>
      <c r="N703" s="31"/>
      <c r="O703" s="32"/>
      <c r="P703" s="33"/>
      <c r="Q703" s="33"/>
      <c r="R703" s="32"/>
      <c r="S703" s="33"/>
      <c r="T703" s="5"/>
    </row>
    <row r="704" spans="1:20" x14ac:dyDescent="0.25">
      <c r="A704" s="23"/>
      <c r="B704" s="24"/>
      <c r="C704" s="25"/>
      <c r="D704" s="27"/>
      <c r="E704" s="27"/>
      <c r="F704" s="28"/>
      <c r="G704" s="27"/>
      <c r="H704" s="180"/>
      <c r="I704" s="27"/>
      <c r="J704" s="32"/>
      <c r="K704" s="32"/>
      <c r="L704" s="32"/>
      <c r="M704" s="32"/>
      <c r="N704" s="31"/>
      <c r="O704" s="32"/>
      <c r="P704" s="33"/>
      <c r="Q704" s="33"/>
      <c r="R704" s="32"/>
      <c r="S704" s="33"/>
      <c r="T704" s="5"/>
    </row>
    <row r="705" spans="1:20" x14ac:dyDescent="0.25">
      <c r="A705" s="23"/>
      <c r="B705" s="24"/>
      <c r="C705" s="25"/>
      <c r="D705" s="27"/>
      <c r="E705" s="27"/>
      <c r="F705" s="28"/>
      <c r="G705" s="27"/>
      <c r="H705" s="180"/>
      <c r="I705" s="27"/>
      <c r="J705" s="32"/>
      <c r="K705" s="32"/>
      <c r="L705" s="32"/>
      <c r="M705" s="32"/>
      <c r="N705" s="31"/>
      <c r="O705" s="32"/>
      <c r="P705" s="33"/>
      <c r="Q705" s="33"/>
      <c r="R705" s="32"/>
      <c r="S705" s="33"/>
      <c r="T705" s="5"/>
    </row>
    <row r="706" spans="1:20" x14ac:dyDescent="0.25">
      <c r="A706" s="23"/>
      <c r="B706" s="24"/>
      <c r="C706" s="25"/>
      <c r="D706" s="27"/>
      <c r="E706" s="27"/>
      <c r="F706" s="28"/>
      <c r="G706" s="27"/>
      <c r="H706" s="180"/>
      <c r="I706" s="27"/>
      <c r="J706" s="32"/>
      <c r="K706" s="32"/>
      <c r="L706" s="32"/>
      <c r="M706" s="32"/>
      <c r="N706" s="31"/>
      <c r="O706" s="32"/>
      <c r="P706" s="33"/>
      <c r="Q706" s="33"/>
      <c r="R706" s="32"/>
      <c r="S706" s="33"/>
      <c r="T706" s="5"/>
    </row>
    <row r="707" spans="1:20" x14ac:dyDescent="0.25">
      <c r="A707" s="23"/>
      <c r="B707" s="24"/>
      <c r="C707" s="25"/>
      <c r="D707" s="27"/>
      <c r="E707" s="27"/>
      <c r="F707" s="28"/>
      <c r="G707" s="27"/>
      <c r="H707" s="180"/>
      <c r="I707" s="27"/>
      <c r="J707" s="32"/>
      <c r="K707" s="32"/>
      <c r="L707" s="32"/>
      <c r="M707" s="32"/>
      <c r="N707" s="31"/>
      <c r="O707" s="32"/>
      <c r="P707" s="33"/>
      <c r="Q707" s="33"/>
      <c r="R707" s="32"/>
      <c r="S707" s="33"/>
      <c r="T707" s="5"/>
    </row>
    <row r="708" spans="1:20" x14ac:dyDescent="0.25">
      <c r="A708" s="23"/>
      <c r="B708" s="24"/>
      <c r="C708" s="25"/>
      <c r="D708" s="27"/>
      <c r="E708" s="27"/>
      <c r="F708" s="28"/>
      <c r="G708" s="27"/>
      <c r="H708" s="180"/>
      <c r="I708" s="27"/>
      <c r="J708" s="32"/>
      <c r="K708" s="32"/>
      <c r="L708" s="32"/>
      <c r="M708" s="32"/>
      <c r="N708" s="31"/>
      <c r="O708" s="32"/>
      <c r="P708" s="33"/>
      <c r="Q708" s="33"/>
      <c r="R708" s="32"/>
      <c r="S708" s="33"/>
      <c r="T708" s="5"/>
    </row>
    <row r="709" spans="1:20" x14ac:dyDescent="0.25">
      <c r="A709" s="23"/>
      <c r="B709" s="24"/>
      <c r="C709" s="25"/>
      <c r="D709" s="27"/>
      <c r="E709" s="27"/>
      <c r="F709" s="28"/>
      <c r="G709" s="27"/>
      <c r="H709" s="180"/>
      <c r="I709" s="27"/>
      <c r="J709" s="32"/>
      <c r="K709" s="32"/>
      <c r="L709" s="32"/>
      <c r="M709" s="32"/>
      <c r="N709" s="31"/>
      <c r="O709" s="32"/>
      <c r="P709" s="33"/>
      <c r="Q709" s="33"/>
      <c r="R709" s="32"/>
      <c r="S709" s="33"/>
      <c r="T709" s="5"/>
    </row>
    <row r="710" spans="1:20" x14ac:dyDescent="0.25">
      <c r="A710" s="23"/>
      <c r="B710" s="24"/>
      <c r="C710" s="25"/>
      <c r="D710" s="27"/>
      <c r="E710" s="27"/>
      <c r="F710" s="28"/>
      <c r="G710" s="27"/>
      <c r="H710" s="180"/>
      <c r="I710" s="27"/>
      <c r="J710" s="32"/>
      <c r="K710" s="32"/>
      <c r="L710" s="32"/>
      <c r="M710" s="32"/>
      <c r="N710" s="31"/>
      <c r="O710" s="32"/>
      <c r="P710" s="33"/>
      <c r="Q710" s="33"/>
      <c r="R710" s="32"/>
      <c r="S710" s="33"/>
      <c r="T710" s="5"/>
    </row>
    <row r="711" spans="1:20" x14ac:dyDescent="0.25">
      <c r="A711" s="23"/>
      <c r="B711" s="24"/>
      <c r="C711" s="25"/>
      <c r="D711" s="27"/>
      <c r="E711" s="27"/>
      <c r="F711" s="28"/>
      <c r="G711" s="27"/>
      <c r="H711" s="180"/>
      <c r="I711" s="27"/>
      <c r="J711" s="32"/>
      <c r="K711" s="32"/>
      <c r="L711" s="32"/>
      <c r="M711" s="32"/>
      <c r="N711" s="31"/>
      <c r="O711" s="32"/>
      <c r="P711" s="33"/>
      <c r="Q711" s="33"/>
      <c r="R711" s="32"/>
      <c r="S711" s="33"/>
      <c r="T711" s="5"/>
    </row>
    <row r="712" spans="1:20" x14ac:dyDescent="0.25">
      <c r="A712" s="23"/>
      <c r="B712" s="24"/>
      <c r="C712" s="25"/>
      <c r="D712" s="27"/>
      <c r="E712" s="27"/>
      <c r="F712" s="28"/>
      <c r="G712" s="27"/>
      <c r="H712" s="180"/>
      <c r="I712" s="27"/>
      <c r="J712" s="32"/>
      <c r="K712" s="32"/>
      <c r="L712" s="32"/>
      <c r="M712" s="32"/>
      <c r="N712" s="31"/>
      <c r="O712" s="32"/>
      <c r="P712" s="33"/>
      <c r="Q712" s="33"/>
      <c r="R712" s="32"/>
      <c r="S712" s="33"/>
      <c r="T712" s="5"/>
    </row>
    <row r="713" spans="1:20" x14ac:dyDescent="0.25">
      <c r="A713" s="23"/>
      <c r="B713" s="24"/>
      <c r="C713" s="25"/>
      <c r="D713" s="27"/>
      <c r="E713" s="27"/>
      <c r="F713" s="28"/>
      <c r="G713" s="27"/>
      <c r="H713" s="180"/>
      <c r="I713" s="27"/>
      <c r="J713" s="32"/>
      <c r="K713" s="32"/>
      <c r="L713" s="32"/>
      <c r="M713" s="32"/>
      <c r="N713" s="31"/>
      <c r="O713" s="32"/>
      <c r="P713" s="33"/>
      <c r="Q713" s="33"/>
      <c r="R713" s="32"/>
      <c r="S713" s="33"/>
      <c r="T713" s="5"/>
    </row>
    <row r="714" spans="1:20" x14ac:dyDescent="0.25">
      <c r="A714" s="23"/>
      <c r="B714" s="24"/>
      <c r="C714" s="25"/>
      <c r="D714" s="27"/>
      <c r="E714" s="27"/>
      <c r="F714" s="28"/>
      <c r="G714" s="27"/>
      <c r="H714" s="180"/>
      <c r="I714" s="27"/>
      <c r="J714" s="32"/>
      <c r="K714" s="32"/>
      <c r="L714" s="32"/>
      <c r="M714" s="32"/>
      <c r="N714" s="31"/>
      <c r="O714" s="32"/>
      <c r="P714" s="33"/>
      <c r="Q714" s="33"/>
      <c r="R714" s="32"/>
      <c r="S714" s="33"/>
      <c r="T714" s="5"/>
    </row>
    <row r="715" spans="1:20" x14ac:dyDescent="0.25">
      <c r="A715" s="23"/>
      <c r="B715" s="24"/>
      <c r="C715" s="25"/>
      <c r="D715" s="27"/>
      <c r="E715" s="27"/>
      <c r="F715" s="28"/>
      <c r="G715" s="27"/>
      <c r="H715" s="180"/>
      <c r="I715" s="27"/>
      <c r="J715" s="32"/>
      <c r="K715" s="32"/>
      <c r="L715" s="32"/>
      <c r="M715" s="32"/>
      <c r="N715" s="31"/>
      <c r="O715" s="32"/>
      <c r="P715" s="33"/>
      <c r="Q715" s="33"/>
      <c r="R715" s="32"/>
      <c r="S715" s="33"/>
      <c r="T715" s="5"/>
    </row>
    <row r="716" spans="1:20" x14ac:dyDescent="0.25">
      <c r="A716" s="23"/>
      <c r="B716" s="24"/>
      <c r="C716" s="25"/>
      <c r="D716" s="27"/>
      <c r="E716" s="27"/>
      <c r="F716" s="28"/>
      <c r="G716" s="27"/>
      <c r="H716" s="180"/>
      <c r="I716" s="27"/>
      <c r="J716" s="32"/>
      <c r="K716" s="32"/>
      <c r="L716" s="32"/>
      <c r="M716" s="32"/>
      <c r="N716" s="31"/>
      <c r="O716" s="32"/>
      <c r="P716" s="33"/>
      <c r="Q716" s="33"/>
      <c r="R716" s="32"/>
      <c r="S716" s="33"/>
      <c r="T716" s="5"/>
    </row>
    <row r="717" spans="1:20" x14ac:dyDescent="0.25">
      <c r="A717" s="23"/>
      <c r="B717" s="24"/>
      <c r="C717" s="25"/>
      <c r="D717" s="27"/>
      <c r="E717" s="27"/>
      <c r="F717" s="28"/>
      <c r="G717" s="27"/>
      <c r="H717" s="180"/>
      <c r="I717" s="27"/>
      <c r="J717" s="32"/>
      <c r="K717" s="32"/>
      <c r="L717" s="32"/>
      <c r="M717" s="32"/>
      <c r="N717" s="31"/>
      <c r="O717" s="32"/>
      <c r="P717" s="33"/>
      <c r="Q717" s="33"/>
      <c r="R717" s="32"/>
      <c r="S717" s="33"/>
      <c r="T717" s="5"/>
    </row>
    <row r="718" spans="1:20" x14ac:dyDescent="0.25">
      <c r="A718" s="23"/>
      <c r="B718" s="24"/>
      <c r="C718" s="25"/>
      <c r="D718" s="27"/>
      <c r="E718" s="27"/>
      <c r="F718" s="28"/>
      <c r="G718" s="27"/>
      <c r="H718" s="180"/>
      <c r="I718" s="27"/>
      <c r="J718" s="32"/>
      <c r="K718" s="32"/>
      <c r="L718" s="32"/>
      <c r="M718" s="32"/>
      <c r="N718" s="31"/>
      <c r="O718" s="32"/>
      <c r="P718" s="33"/>
      <c r="Q718" s="33"/>
      <c r="R718" s="32"/>
      <c r="S718" s="33"/>
      <c r="T718" s="5"/>
    </row>
    <row r="719" spans="1:20" x14ac:dyDescent="0.25">
      <c r="A719" s="23"/>
      <c r="B719" s="24"/>
      <c r="C719" s="25"/>
      <c r="D719" s="27"/>
      <c r="E719" s="27"/>
      <c r="F719" s="28"/>
      <c r="G719" s="27"/>
      <c r="H719" s="180"/>
      <c r="I719" s="27"/>
      <c r="J719" s="32"/>
      <c r="K719" s="32"/>
      <c r="L719" s="32"/>
      <c r="M719" s="32"/>
      <c r="N719" s="31"/>
      <c r="O719" s="32"/>
      <c r="P719" s="33"/>
      <c r="Q719" s="33"/>
      <c r="R719" s="32"/>
      <c r="S719" s="33"/>
      <c r="T719" s="5"/>
    </row>
    <row r="720" spans="1:20" x14ac:dyDescent="0.25">
      <c r="A720" s="23"/>
      <c r="B720" s="24"/>
      <c r="C720" s="25"/>
      <c r="D720" s="27"/>
      <c r="E720" s="27"/>
      <c r="F720" s="28"/>
      <c r="G720" s="27"/>
      <c r="H720" s="180"/>
      <c r="I720" s="27"/>
      <c r="J720" s="32"/>
      <c r="K720" s="32"/>
      <c r="L720" s="32"/>
      <c r="M720" s="32"/>
      <c r="N720" s="31"/>
      <c r="O720" s="32"/>
      <c r="P720" s="33"/>
      <c r="Q720" s="33"/>
      <c r="R720" s="32"/>
      <c r="S720" s="33"/>
      <c r="T720" s="5"/>
    </row>
    <row r="721" spans="1:20" x14ac:dyDescent="0.25">
      <c r="A721" s="23"/>
      <c r="B721" s="24"/>
      <c r="C721" s="25"/>
      <c r="D721" s="27"/>
      <c r="E721" s="27"/>
      <c r="F721" s="28"/>
      <c r="G721" s="27"/>
      <c r="H721" s="180"/>
      <c r="I721" s="27"/>
      <c r="J721" s="32"/>
      <c r="K721" s="32"/>
      <c r="L721" s="32"/>
      <c r="M721" s="32"/>
      <c r="N721" s="31"/>
      <c r="O721" s="32"/>
      <c r="P721" s="33"/>
      <c r="Q721" s="33"/>
      <c r="R721" s="32"/>
      <c r="S721" s="33"/>
      <c r="T721" s="5"/>
    </row>
    <row r="722" spans="1:20" x14ac:dyDescent="0.25">
      <c r="A722" s="23"/>
      <c r="B722" s="24"/>
      <c r="C722" s="25"/>
      <c r="D722" s="27"/>
      <c r="E722" s="27"/>
      <c r="F722" s="28"/>
      <c r="G722" s="27"/>
      <c r="H722" s="180"/>
      <c r="I722" s="27"/>
      <c r="J722" s="32"/>
      <c r="K722" s="32"/>
      <c r="L722" s="32"/>
      <c r="M722" s="32"/>
      <c r="N722" s="31"/>
      <c r="O722" s="32"/>
      <c r="P722" s="33"/>
      <c r="Q722" s="33"/>
      <c r="R722" s="32"/>
      <c r="S722" s="33"/>
      <c r="T722" s="5"/>
    </row>
    <row r="723" spans="1:20" x14ac:dyDescent="0.25">
      <c r="A723" s="23"/>
      <c r="B723" s="24"/>
      <c r="C723" s="25"/>
      <c r="D723" s="27"/>
      <c r="E723" s="27"/>
      <c r="F723" s="28"/>
      <c r="G723" s="27"/>
      <c r="H723" s="180"/>
      <c r="I723" s="27"/>
      <c r="J723" s="32"/>
      <c r="K723" s="32"/>
      <c r="L723" s="32"/>
      <c r="M723" s="32"/>
      <c r="N723" s="31"/>
      <c r="O723" s="32"/>
      <c r="P723" s="33"/>
      <c r="Q723" s="33"/>
      <c r="R723" s="32"/>
      <c r="S723" s="33"/>
      <c r="T723" s="5"/>
    </row>
    <row r="724" spans="1:20" x14ac:dyDescent="0.25">
      <c r="A724" s="23"/>
      <c r="B724" s="24"/>
      <c r="C724" s="25"/>
      <c r="D724" s="27"/>
      <c r="E724" s="27"/>
      <c r="F724" s="28"/>
      <c r="G724" s="27"/>
      <c r="H724" s="180"/>
      <c r="I724" s="27"/>
      <c r="J724" s="32"/>
      <c r="K724" s="32"/>
      <c r="L724" s="32"/>
      <c r="M724" s="32"/>
      <c r="N724" s="31"/>
      <c r="O724" s="32"/>
      <c r="P724" s="33"/>
      <c r="Q724" s="33"/>
      <c r="R724" s="32"/>
      <c r="S724" s="33"/>
      <c r="T724" s="5"/>
    </row>
    <row r="725" spans="1:20" x14ac:dyDescent="0.25">
      <c r="A725" s="23"/>
      <c r="B725" s="24"/>
      <c r="C725" s="25"/>
      <c r="D725" s="27"/>
      <c r="E725" s="27"/>
      <c r="F725" s="28"/>
      <c r="G725" s="27"/>
      <c r="H725" s="180"/>
      <c r="I725" s="27"/>
      <c r="J725" s="32"/>
      <c r="K725" s="32"/>
      <c r="L725" s="32"/>
      <c r="M725" s="32"/>
      <c r="N725" s="31"/>
      <c r="O725" s="32"/>
      <c r="P725" s="33"/>
      <c r="Q725" s="33"/>
      <c r="R725" s="32"/>
      <c r="S725" s="33"/>
      <c r="T725" s="5"/>
    </row>
    <row r="726" spans="1:20" x14ac:dyDescent="0.25">
      <c r="A726" s="23"/>
      <c r="B726" s="24"/>
      <c r="C726" s="25"/>
      <c r="D726" s="27"/>
      <c r="E726" s="27"/>
      <c r="F726" s="28"/>
      <c r="G726" s="27"/>
      <c r="H726" s="180"/>
      <c r="I726" s="27"/>
      <c r="J726" s="32"/>
      <c r="K726" s="32"/>
      <c r="L726" s="32"/>
      <c r="M726" s="32"/>
      <c r="N726" s="31"/>
      <c r="O726" s="32"/>
      <c r="P726" s="33"/>
      <c r="Q726" s="33"/>
      <c r="R726" s="32"/>
      <c r="S726" s="33"/>
      <c r="T726" s="5"/>
    </row>
    <row r="727" spans="1:20" x14ac:dyDescent="0.25">
      <c r="A727" s="23"/>
      <c r="B727" s="24"/>
      <c r="C727" s="25"/>
      <c r="D727" s="27"/>
      <c r="E727" s="27"/>
      <c r="F727" s="28"/>
      <c r="G727" s="27"/>
      <c r="H727" s="180"/>
      <c r="I727" s="27"/>
      <c r="J727" s="32"/>
      <c r="K727" s="32"/>
      <c r="L727" s="32"/>
      <c r="M727" s="32"/>
      <c r="N727" s="31"/>
      <c r="O727" s="32"/>
      <c r="P727" s="33"/>
      <c r="Q727" s="33"/>
      <c r="R727" s="32"/>
      <c r="S727" s="33"/>
      <c r="T727" s="5"/>
    </row>
    <row r="728" spans="1:20" x14ac:dyDescent="0.25">
      <c r="A728" s="23"/>
      <c r="B728" s="24"/>
      <c r="C728" s="25"/>
      <c r="D728" s="27"/>
      <c r="E728" s="27"/>
      <c r="F728" s="28"/>
      <c r="G728" s="27"/>
      <c r="H728" s="180"/>
      <c r="I728" s="27"/>
      <c r="J728" s="32"/>
      <c r="K728" s="32"/>
      <c r="L728" s="32"/>
      <c r="M728" s="32"/>
      <c r="N728" s="31"/>
      <c r="O728" s="32"/>
      <c r="P728" s="33"/>
      <c r="Q728" s="33"/>
      <c r="R728" s="32"/>
      <c r="S728" s="33"/>
      <c r="T728" s="5"/>
    </row>
    <row r="729" spans="1:20" x14ac:dyDescent="0.25">
      <c r="A729" s="23"/>
      <c r="B729" s="24"/>
      <c r="C729" s="25"/>
      <c r="D729" s="27"/>
      <c r="E729" s="27"/>
      <c r="F729" s="28"/>
      <c r="G729" s="27"/>
      <c r="H729" s="180"/>
      <c r="I729" s="27"/>
      <c r="J729" s="32"/>
      <c r="K729" s="32"/>
      <c r="L729" s="32"/>
      <c r="M729" s="32"/>
      <c r="N729" s="31"/>
      <c r="O729" s="32"/>
      <c r="P729" s="33"/>
      <c r="Q729" s="33"/>
      <c r="R729" s="32"/>
      <c r="S729" s="33"/>
      <c r="T729" s="5"/>
    </row>
    <row r="730" spans="1:20" x14ac:dyDescent="0.25">
      <c r="A730" s="23"/>
      <c r="B730" s="24"/>
      <c r="C730" s="25"/>
      <c r="D730" s="27"/>
      <c r="E730" s="27"/>
      <c r="F730" s="28"/>
      <c r="G730" s="27"/>
      <c r="H730" s="180"/>
      <c r="I730" s="27"/>
      <c r="J730" s="32"/>
      <c r="K730" s="32"/>
      <c r="L730" s="32"/>
      <c r="M730" s="32"/>
      <c r="N730" s="31"/>
      <c r="O730" s="32"/>
      <c r="P730" s="33"/>
      <c r="Q730" s="33"/>
      <c r="R730" s="32"/>
      <c r="S730" s="33"/>
      <c r="T730" s="5"/>
    </row>
    <row r="731" spans="1:20" x14ac:dyDescent="0.25">
      <c r="A731" s="23"/>
      <c r="B731" s="24"/>
      <c r="C731" s="25"/>
      <c r="D731" s="27"/>
      <c r="E731" s="27"/>
      <c r="F731" s="28"/>
      <c r="G731" s="27"/>
      <c r="H731" s="180"/>
      <c r="I731" s="27"/>
      <c r="J731" s="32"/>
      <c r="K731" s="32"/>
      <c r="L731" s="32"/>
      <c r="M731" s="32"/>
      <c r="N731" s="31"/>
      <c r="O731" s="32"/>
      <c r="P731" s="33"/>
      <c r="Q731" s="33"/>
      <c r="R731" s="32"/>
      <c r="S731" s="33"/>
      <c r="T731" s="5"/>
    </row>
    <row r="732" spans="1:20" x14ac:dyDescent="0.25">
      <c r="A732" s="23"/>
      <c r="B732" s="24"/>
      <c r="C732" s="25"/>
      <c r="D732" s="27"/>
      <c r="E732" s="27"/>
      <c r="F732" s="28"/>
      <c r="G732" s="27"/>
      <c r="H732" s="180"/>
      <c r="I732" s="27"/>
      <c r="J732" s="32"/>
      <c r="K732" s="32"/>
      <c r="L732" s="32"/>
      <c r="M732" s="32"/>
      <c r="N732" s="31"/>
      <c r="O732" s="32"/>
      <c r="P732" s="33"/>
      <c r="Q732" s="33"/>
      <c r="R732" s="32"/>
      <c r="S732" s="33"/>
      <c r="T732" s="5"/>
    </row>
    <row r="733" spans="1:20" x14ac:dyDescent="0.25">
      <c r="A733" s="23"/>
      <c r="B733" s="24"/>
      <c r="C733" s="25"/>
      <c r="D733" s="27"/>
      <c r="E733" s="27"/>
      <c r="F733" s="28"/>
      <c r="G733" s="27"/>
      <c r="H733" s="180"/>
      <c r="I733" s="27"/>
      <c r="J733" s="32"/>
      <c r="K733" s="32"/>
      <c r="L733" s="32"/>
      <c r="M733" s="32"/>
      <c r="N733" s="31"/>
      <c r="O733" s="32"/>
      <c r="P733" s="33"/>
      <c r="Q733" s="33"/>
      <c r="R733" s="32"/>
      <c r="S733" s="33"/>
      <c r="T733" s="5"/>
    </row>
    <row r="734" spans="1:20" x14ac:dyDescent="0.25">
      <c r="A734" s="23"/>
      <c r="B734" s="24"/>
      <c r="C734" s="25"/>
      <c r="D734" s="27"/>
      <c r="E734" s="27"/>
      <c r="F734" s="28"/>
      <c r="G734" s="27"/>
      <c r="H734" s="180"/>
      <c r="I734" s="27"/>
      <c r="J734" s="32"/>
      <c r="K734" s="32"/>
      <c r="L734" s="32"/>
      <c r="M734" s="32"/>
      <c r="N734" s="31"/>
      <c r="O734" s="32"/>
      <c r="P734" s="33"/>
      <c r="Q734" s="33"/>
      <c r="R734" s="32"/>
      <c r="S734" s="33"/>
      <c r="T734" s="5"/>
    </row>
    <row r="735" spans="1:20" x14ac:dyDescent="0.25">
      <c r="A735" s="23"/>
      <c r="B735" s="24"/>
      <c r="C735" s="25"/>
      <c r="D735" s="27"/>
      <c r="E735" s="27"/>
      <c r="F735" s="28"/>
      <c r="G735" s="27"/>
      <c r="H735" s="180"/>
      <c r="I735" s="27"/>
      <c r="J735" s="32"/>
      <c r="K735" s="32"/>
      <c r="L735" s="32"/>
      <c r="M735" s="32"/>
      <c r="N735" s="31"/>
      <c r="O735" s="32"/>
      <c r="P735" s="33"/>
      <c r="Q735" s="33"/>
      <c r="R735" s="32"/>
      <c r="S735" s="33"/>
      <c r="T735" s="5"/>
    </row>
    <row r="736" spans="1:20" x14ac:dyDescent="0.25">
      <c r="A736" s="23"/>
      <c r="B736" s="24"/>
      <c r="C736" s="25"/>
      <c r="D736" s="27"/>
      <c r="E736" s="27"/>
      <c r="F736" s="28"/>
      <c r="G736" s="27"/>
      <c r="H736" s="180"/>
      <c r="I736" s="27"/>
      <c r="J736" s="32"/>
      <c r="K736" s="32"/>
      <c r="L736" s="32"/>
      <c r="M736" s="32"/>
      <c r="N736" s="31"/>
      <c r="O736" s="32"/>
      <c r="P736" s="33"/>
      <c r="Q736" s="33"/>
      <c r="R736" s="32"/>
      <c r="S736" s="33"/>
      <c r="T736" s="5"/>
    </row>
    <row r="737" spans="1:20" x14ac:dyDescent="0.25">
      <c r="A737" s="23"/>
      <c r="B737" s="24"/>
      <c r="C737" s="25"/>
      <c r="D737" s="27"/>
      <c r="E737" s="27"/>
      <c r="F737" s="28"/>
      <c r="G737" s="27"/>
      <c r="H737" s="180"/>
      <c r="I737" s="27"/>
      <c r="J737" s="32"/>
      <c r="K737" s="32"/>
      <c r="L737" s="32"/>
      <c r="M737" s="32"/>
      <c r="N737" s="31"/>
      <c r="O737" s="32"/>
      <c r="P737" s="33"/>
      <c r="Q737" s="33"/>
      <c r="R737" s="32"/>
      <c r="S737" s="33"/>
      <c r="T737" s="5"/>
    </row>
    <row r="738" spans="1:20" x14ac:dyDescent="0.25">
      <c r="A738" s="23"/>
      <c r="B738" s="24"/>
      <c r="C738" s="25"/>
      <c r="D738" s="27"/>
      <c r="E738" s="27"/>
      <c r="F738" s="28"/>
      <c r="G738" s="27"/>
      <c r="H738" s="180"/>
      <c r="I738" s="27"/>
      <c r="J738" s="32"/>
      <c r="K738" s="32"/>
      <c r="L738" s="32"/>
      <c r="M738" s="32"/>
      <c r="N738" s="31"/>
      <c r="O738" s="32"/>
      <c r="P738" s="33"/>
      <c r="Q738" s="33"/>
      <c r="R738" s="32"/>
      <c r="S738" s="33"/>
      <c r="T738" s="5"/>
    </row>
    <row r="739" spans="1:20" x14ac:dyDescent="0.25">
      <c r="A739" s="23"/>
      <c r="B739" s="24"/>
      <c r="C739" s="25"/>
      <c r="D739" s="27"/>
      <c r="E739" s="27"/>
      <c r="F739" s="28"/>
      <c r="G739" s="27"/>
      <c r="H739" s="180"/>
      <c r="I739" s="27"/>
      <c r="J739" s="32"/>
      <c r="K739" s="32"/>
      <c r="L739" s="32"/>
      <c r="M739" s="32"/>
      <c r="N739" s="31"/>
      <c r="O739" s="32"/>
      <c r="P739" s="33"/>
      <c r="Q739" s="33"/>
      <c r="R739" s="32"/>
      <c r="S739" s="33"/>
      <c r="T739" s="5"/>
    </row>
    <row r="740" spans="1:20" x14ac:dyDescent="0.25">
      <c r="A740" s="23"/>
      <c r="B740" s="24"/>
      <c r="C740" s="25"/>
      <c r="D740" s="27"/>
      <c r="E740" s="27"/>
      <c r="F740" s="28"/>
      <c r="G740" s="27"/>
      <c r="H740" s="180"/>
      <c r="I740" s="27"/>
      <c r="J740" s="32"/>
      <c r="K740" s="32"/>
      <c r="L740" s="32"/>
      <c r="M740" s="32"/>
      <c r="N740" s="31"/>
      <c r="O740" s="32"/>
      <c r="P740" s="33"/>
      <c r="Q740" s="33"/>
      <c r="R740" s="32"/>
      <c r="S740" s="33"/>
      <c r="T740" s="5"/>
    </row>
    <row r="741" spans="1:20" x14ac:dyDescent="0.25">
      <c r="A741" s="23"/>
      <c r="B741" s="24"/>
      <c r="C741" s="25"/>
      <c r="D741" s="27"/>
      <c r="E741" s="27"/>
      <c r="F741" s="28"/>
      <c r="G741" s="27"/>
      <c r="H741" s="180"/>
      <c r="I741" s="27"/>
      <c r="J741" s="32"/>
      <c r="K741" s="32"/>
      <c r="L741" s="32"/>
      <c r="M741" s="32"/>
      <c r="N741" s="31"/>
      <c r="O741" s="32"/>
      <c r="P741" s="33"/>
      <c r="Q741" s="33"/>
      <c r="R741" s="32"/>
      <c r="S741" s="33"/>
      <c r="T741" s="5"/>
    </row>
    <row r="742" spans="1:20" x14ac:dyDescent="0.25">
      <c r="A742" s="23"/>
      <c r="B742" s="24"/>
      <c r="C742" s="25"/>
      <c r="D742" s="27"/>
      <c r="E742" s="27"/>
      <c r="F742" s="28"/>
      <c r="G742" s="27"/>
      <c r="H742" s="180"/>
      <c r="I742" s="27"/>
      <c r="J742" s="32"/>
      <c r="K742" s="32"/>
      <c r="L742" s="32"/>
      <c r="M742" s="32"/>
      <c r="N742" s="31"/>
      <c r="O742" s="32"/>
      <c r="P742" s="33"/>
      <c r="Q742" s="33"/>
      <c r="R742" s="32"/>
      <c r="S742" s="33"/>
      <c r="T742" s="5"/>
    </row>
    <row r="743" spans="1:20" x14ac:dyDescent="0.25">
      <c r="A743" s="23"/>
      <c r="B743" s="24"/>
      <c r="C743" s="25"/>
      <c r="D743" s="27"/>
      <c r="E743" s="27"/>
      <c r="F743" s="28"/>
      <c r="G743" s="27"/>
      <c r="H743" s="180"/>
      <c r="I743" s="27"/>
      <c r="J743" s="32"/>
      <c r="K743" s="32"/>
      <c r="L743" s="32"/>
      <c r="M743" s="32"/>
      <c r="N743" s="31"/>
      <c r="O743" s="32"/>
      <c r="P743" s="33"/>
      <c r="Q743" s="33"/>
      <c r="R743" s="32"/>
      <c r="S743" s="33"/>
      <c r="T743" s="5"/>
    </row>
    <row r="744" spans="1:20" x14ac:dyDescent="0.25">
      <c r="A744" s="23"/>
      <c r="B744" s="24"/>
      <c r="C744" s="25"/>
      <c r="D744" s="27"/>
      <c r="E744" s="27"/>
      <c r="F744" s="28"/>
      <c r="G744" s="27"/>
      <c r="H744" s="180"/>
      <c r="I744" s="27"/>
      <c r="J744" s="32"/>
      <c r="K744" s="32"/>
      <c r="L744" s="32"/>
      <c r="M744" s="32"/>
      <c r="N744" s="31"/>
      <c r="O744" s="32"/>
      <c r="P744" s="33"/>
      <c r="Q744" s="33"/>
      <c r="R744" s="32"/>
      <c r="S744" s="33"/>
      <c r="T744" s="5"/>
    </row>
    <row r="745" spans="1:20" x14ac:dyDescent="0.25">
      <c r="A745" s="23"/>
      <c r="B745" s="24"/>
      <c r="C745" s="25"/>
      <c r="D745" s="27"/>
      <c r="E745" s="27"/>
      <c r="F745" s="28"/>
      <c r="G745" s="27"/>
      <c r="H745" s="180"/>
      <c r="I745" s="27"/>
      <c r="J745" s="32"/>
      <c r="K745" s="32"/>
      <c r="L745" s="32"/>
      <c r="M745" s="32"/>
      <c r="N745" s="31"/>
      <c r="O745" s="32"/>
      <c r="P745" s="33"/>
      <c r="Q745" s="33"/>
      <c r="R745" s="32"/>
      <c r="S745" s="33"/>
      <c r="T745" s="5"/>
    </row>
    <row r="746" spans="1:20" x14ac:dyDescent="0.25">
      <c r="A746" s="23"/>
      <c r="B746" s="24"/>
      <c r="C746" s="25"/>
      <c r="D746" s="27"/>
      <c r="E746" s="27"/>
      <c r="F746" s="28"/>
      <c r="G746" s="27"/>
      <c r="H746" s="180"/>
      <c r="I746" s="27"/>
      <c r="J746" s="32"/>
      <c r="K746" s="32"/>
      <c r="L746" s="32"/>
      <c r="M746" s="32"/>
      <c r="N746" s="31"/>
      <c r="O746" s="32"/>
      <c r="P746" s="33"/>
      <c r="Q746" s="33"/>
      <c r="R746" s="32"/>
      <c r="S746" s="33"/>
      <c r="T746" s="5"/>
    </row>
    <row r="747" spans="1:20" x14ac:dyDescent="0.25">
      <c r="A747" s="23"/>
      <c r="B747" s="24"/>
      <c r="C747" s="25"/>
      <c r="D747" s="27"/>
      <c r="E747" s="27"/>
      <c r="F747" s="28"/>
      <c r="G747" s="27"/>
      <c r="H747" s="180"/>
      <c r="I747" s="27"/>
      <c r="J747" s="32"/>
      <c r="K747" s="32"/>
      <c r="L747" s="32"/>
      <c r="M747" s="32"/>
      <c r="N747" s="31"/>
      <c r="O747" s="32"/>
      <c r="P747" s="33"/>
      <c r="Q747" s="33"/>
      <c r="R747" s="32"/>
      <c r="S747" s="33"/>
      <c r="T747" s="5"/>
    </row>
    <row r="748" spans="1:20" x14ac:dyDescent="0.25">
      <c r="A748" s="23"/>
      <c r="B748" s="24"/>
      <c r="C748" s="25"/>
      <c r="D748" s="27"/>
      <c r="E748" s="27"/>
      <c r="F748" s="28"/>
      <c r="G748" s="27"/>
      <c r="H748" s="180"/>
      <c r="I748" s="27"/>
      <c r="J748" s="32"/>
      <c r="K748" s="32"/>
      <c r="L748" s="32"/>
      <c r="M748" s="32"/>
      <c r="N748" s="31"/>
      <c r="O748" s="32"/>
      <c r="P748" s="33"/>
      <c r="Q748" s="33"/>
      <c r="R748" s="32"/>
      <c r="S748" s="33"/>
      <c r="T748" s="5"/>
    </row>
    <row r="749" spans="1:20" x14ac:dyDescent="0.25">
      <c r="A749" s="23"/>
      <c r="B749" s="24"/>
      <c r="C749" s="25"/>
      <c r="D749" s="27"/>
      <c r="E749" s="27"/>
      <c r="F749" s="28"/>
      <c r="G749" s="27"/>
      <c r="H749" s="180"/>
      <c r="I749" s="27"/>
      <c r="J749" s="32"/>
      <c r="K749" s="32"/>
      <c r="L749" s="32"/>
      <c r="M749" s="32"/>
      <c r="N749" s="31"/>
      <c r="O749" s="32"/>
      <c r="P749" s="33"/>
      <c r="Q749" s="33"/>
      <c r="R749" s="32"/>
      <c r="S749" s="33"/>
      <c r="T749" s="5"/>
    </row>
    <row r="750" spans="1:20" x14ac:dyDescent="0.25">
      <c r="A750" s="23"/>
      <c r="B750" s="24"/>
      <c r="C750" s="25"/>
      <c r="D750" s="27"/>
      <c r="E750" s="27"/>
      <c r="F750" s="28"/>
      <c r="G750" s="27"/>
      <c r="H750" s="180"/>
      <c r="I750" s="27"/>
      <c r="J750" s="32"/>
      <c r="K750" s="32"/>
      <c r="L750" s="32"/>
      <c r="M750" s="32"/>
      <c r="N750" s="31"/>
      <c r="O750" s="32"/>
      <c r="P750" s="33"/>
      <c r="Q750" s="33"/>
      <c r="R750" s="32"/>
      <c r="S750" s="33"/>
      <c r="T750" s="5"/>
    </row>
    <row r="751" spans="1:20" x14ac:dyDescent="0.25">
      <c r="A751" s="23"/>
      <c r="B751" s="24"/>
      <c r="C751" s="25"/>
      <c r="D751" s="27"/>
      <c r="E751" s="27"/>
      <c r="F751" s="28"/>
      <c r="G751" s="27"/>
      <c r="H751" s="180"/>
      <c r="I751" s="27"/>
      <c r="J751" s="32"/>
      <c r="K751" s="32"/>
      <c r="L751" s="32"/>
      <c r="M751" s="32"/>
      <c r="N751" s="31"/>
      <c r="O751" s="32"/>
      <c r="P751" s="33"/>
      <c r="Q751" s="33"/>
      <c r="R751" s="32"/>
      <c r="S751" s="33"/>
      <c r="T751" s="5"/>
    </row>
    <row r="752" spans="1:20" x14ac:dyDescent="0.25">
      <c r="A752" s="23"/>
      <c r="B752" s="24"/>
      <c r="C752" s="25"/>
      <c r="D752" s="27"/>
      <c r="E752" s="27"/>
      <c r="F752" s="28"/>
      <c r="G752" s="27"/>
      <c r="H752" s="180"/>
      <c r="I752" s="27"/>
      <c r="J752" s="32"/>
      <c r="K752" s="32"/>
      <c r="L752" s="32"/>
      <c r="M752" s="32"/>
      <c r="N752" s="31"/>
      <c r="O752" s="32"/>
      <c r="P752" s="33"/>
      <c r="Q752" s="33"/>
      <c r="R752" s="32"/>
      <c r="S752" s="33"/>
      <c r="T752" s="5"/>
    </row>
    <row r="753" spans="1:20" x14ac:dyDescent="0.25">
      <c r="A753" s="23"/>
      <c r="B753" s="24"/>
      <c r="C753" s="25"/>
      <c r="D753" s="27"/>
      <c r="E753" s="27"/>
      <c r="F753" s="28"/>
      <c r="G753" s="27"/>
      <c r="H753" s="180"/>
      <c r="I753" s="27"/>
      <c r="J753" s="32"/>
      <c r="K753" s="32"/>
      <c r="L753" s="32"/>
      <c r="M753" s="32"/>
      <c r="N753" s="31"/>
      <c r="O753" s="32"/>
      <c r="P753" s="33"/>
      <c r="Q753" s="33"/>
      <c r="R753" s="32"/>
      <c r="S753" s="33"/>
      <c r="T753" s="5"/>
    </row>
    <row r="754" spans="1:20" x14ac:dyDescent="0.25">
      <c r="A754" s="23"/>
      <c r="B754" s="24"/>
      <c r="C754" s="25"/>
      <c r="D754" s="27"/>
      <c r="E754" s="27"/>
      <c r="F754" s="28"/>
      <c r="G754" s="27"/>
      <c r="H754" s="180"/>
      <c r="I754" s="27"/>
      <c r="J754" s="32"/>
      <c r="K754" s="32"/>
      <c r="L754" s="32"/>
      <c r="M754" s="32"/>
      <c r="N754" s="31"/>
      <c r="O754" s="32"/>
      <c r="P754" s="33"/>
      <c r="Q754" s="33"/>
      <c r="R754" s="32"/>
      <c r="S754" s="33"/>
      <c r="T754" s="5"/>
    </row>
    <row r="755" spans="1:20" x14ac:dyDescent="0.25">
      <c r="A755" s="23"/>
      <c r="B755" s="24"/>
      <c r="C755" s="25"/>
      <c r="D755" s="27"/>
      <c r="E755" s="27"/>
      <c r="F755" s="28"/>
      <c r="G755" s="27"/>
      <c r="H755" s="180"/>
      <c r="I755" s="27"/>
      <c r="J755" s="32"/>
      <c r="K755" s="32"/>
      <c r="L755" s="32"/>
      <c r="M755" s="32"/>
      <c r="N755" s="31"/>
      <c r="O755" s="32"/>
      <c r="P755" s="33"/>
      <c r="Q755" s="33"/>
      <c r="R755" s="32"/>
      <c r="S755" s="33"/>
      <c r="T755" s="5"/>
    </row>
    <row r="756" spans="1:20" x14ac:dyDescent="0.25">
      <c r="A756" s="23"/>
      <c r="B756" s="24"/>
      <c r="C756" s="25"/>
      <c r="D756" s="27"/>
      <c r="E756" s="27"/>
      <c r="F756" s="28"/>
      <c r="G756" s="27"/>
      <c r="H756" s="180"/>
      <c r="I756" s="27"/>
      <c r="J756" s="32"/>
      <c r="K756" s="32"/>
      <c r="L756" s="32"/>
      <c r="M756" s="32"/>
      <c r="N756" s="31"/>
      <c r="O756" s="32"/>
      <c r="P756" s="33"/>
      <c r="Q756" s="33"/>
      <c r="R756" s="32"/>
      <c r="S756" s="33"/>
      <c r="T756" s="5"/>
    </row>
    <row r="757" spans="1:20" x14ac:dyDescent="0.25">
      <c r="A757" s="23"/>
      <c r="B757" s="24"/>
      <c r="C757" s="25"/>
      <c r="D757" s="27"/>
      <c r="E757" s="27"/>
      <c r="F757" s="28"/>
      <c r="G757" s="27"/>
      <c r="H757" s="180"/>
      <c r="I757" s="27"/>
      <c r="J757" s="32"/>
      <c r="K757" s="32"/>
      <c r="L757" s="32"/>
      <c r="M757" s="32"/>
      <c r="N757" s="31"/>
      <c r="O757" s="32"/>
      <c r="P757" s="33"/>
      <c r="Q757" s="33"/>
      <c r="R757" s="32"/>
      <c r="S757" s="33"/>
      <c r="T757" s="5"/>
    </row>
    <row r="758" spans="1:20" x14ac:dyDescent="0.25">
      <c r="A758" s="23"/>
      <c r="B758" s="24"/>
      <c r="C758" s="25"/>
      <c r="D758" s="27"/>
      <c r="E758" s="27"/>
      <c r="F758" s="28"/>
      <c r="G758" s="27"/>
      <c r="H758" s="180"/>
      <c r="I758" s="27"/>
      <c r="J758" s="32"/>
      <c r="K758" s="32"/>
      <c r="L758" s="32"/>
      <c r="M758" s="32"/>
      <c r="N758" s="31"/>
      <c r="O758" s="32"/>
      <c r="P758" s="33"/>
      <c r="Q758" s="33"/>
      <c r="R758" s="32"/>
      <c r="S758" s="33"/>
      <c r="T758" s="5"/>
    </row>
    <row r="759" spans="1:20" x14ac:dyDescent="0.25">
      <c r="A759" s="23"/>
      <c r="B759" s="24"/>
      <c r="C759" s="25"/>
      <c r="D759" s="27"/>
      <c r="E759" s="27"/>
      <c r="F759" s="28"/>
      <c r="G759" s="27"/>
      <c r="H759" s="180"/>
      <c r="I759" s="27"/>
      <c r="J759" s="32"/>
      <c r="K759" s="32"/>
      <c r="L759" s="32"/>
      <c r="M759" s="32"/>
      <c r="N759" s="31"/>
      <c r="O759" s="32"/>
      <c r="P759" s="33"/>
      <c r="Q759" s="33"/>
      <c r="R759" s="32"/>
      <c r="S759" s="33"/>
      <c r="T759" s="5"/>
    </row>
    <row r="760" spans="1:20" x14ac:dyDescent="0.25">
      <c r="A760" s="23"/>
      <c r="B760" s="24"/>
      <c r="C760" s="25"/>
      <c r="D760" s="27"/>
      <c r="E760" s="27"/>
      <c r="F760" s="28"/>
      <c r="G760" s="27"/>
      <c r="H760" s="180"/>
      <c r="I760" s="27"/>
      <c r="J760" s="32"/>
      <c r="K760" s="32"/>
      <c r="L760" s="32"/>
      <c r="M760" s="32"/>
      <c r="N760" s="31"/>
      <c r="O760" s="32"/>
      <c r="P760" s="33"/>
      <c r="Q760" s="33"/>
      <c r="R760" s="32"/>
      <c r="S760" s="33"/>
      <c r="T760" s="5"/>
    </row>
    <row r="761" spans="1:20" x14ac:dyDescent="0.25">
      <c r="A761" s="23"/>
      <c r="B761" s="24"/>
      <c r="C761" s="25"/>
      <c r="D761" s="27"/>
      <c r="E761" s="27"/>
      <c r="F761" s="28"/>
      <c r="G761" s="27"/>
      <c r="H761" s="180"/>
      <c r="I761" s="27"/>
      <c r="J761" s="32"/>
      <c r="K761" s="32"/>
      <c r="L761" s="32"/>
      <c r="M761" s="32"/>
      <c r="N761" s="31"/>
      <c r="O761" s="32"/>
      <c r="P761" s="33"/>
      <c r="Q761" s="33"/>
      <c r="R761" s="32"/>
      <c r="S761" s="33"/>
      <c r="T761" s="5"/>
    </row>
    <row r="762" spans="1:20" x14ac:dyDescent="0.25">
      <c r="A762" s="23"/>
      <c r="B762" s="24"/>
      <c r="C762" s="25"/>
      <c r="D762" s="27"/>
      <c r="E762" s="27"/>
      <c r="F762" s="28"/>
      <c r="G762" s="27"/>
      <c r="H762" s="180"/>
      <c r="I762" s="27"/>
      <c r="J762" s="32"/>
      <c r="K762" s="32"/>
      <c r="L762" s="32"/>
      <c r="M762" s="32"/>
      <c r="N762" s="31"/>
      <c r="O762" s="32"/>
      <c r="P762" s="33"/>
      <c r="Q762" s="33"/>
      <c r="R762" s="32"/>
      <c r="S762" s="33"/>
      <c r="T762" s="5"/>
    </row>
    <row r="763" spans="1:20" x14ac:dyDescent="0.25">
      <c r="A763" s="23"/>
      <c r="B763" s="24"/>
      <c r="C763" s="25"/>
      <c r="D763" s="27"/>
      <c r="E763" s="27"/>
      <c r="F763" s="28"/>
      <c r="G763" s="27"/>
      <c r="H763" s="180"/>
      <c r="I763" s="27"/>
      <c r="J763" s="32"/>
      <c r="K763" s="32"/>
      <c r="L763" s="32"/>
      <c r="M763" s="32"/>
      <c r="N763" s="31"/>
      <c r="O763" s="32"/>
      <c r="P763" s="33"/>
      <c r="Q763" s="33"/>
      <c r="R763" s="32"/>
      <c r="S763" s="33"/>
      <c r="T763" s="5"/>
    </row>
    <row r="764" spans="1:20" x14ac:dyDescent="0.25">
      <c r="A764" s="23"/>
      <c r="B764" s="24"/>
      <c r="C764" s="25"/>
      <c r="D764" s="27"/>
      <c r="E764" s="27"/>
      <c r="F764" s="28"/>
      <c r="G764" s="27"/>
      <c r="H764" s="180"/>
      <c r="I764" s="27"/>
      <c r="J764" s="32"/>
      <c r="K764" s="32"/>
      <c r="L764" s="32"/>
      <c r="M764" s="32"/>
      <c r="N764" s="31"/>
      <c r="O764" s="32"/>
      <c r="P764" s="33"/>
      <c r="Q764" s="33"/>
      <c r="R764" s="32"/>
      <c r="S764" s="33"/>
      <c r="T764" s="5"/>
    </row>
  </sheetData>
  <phoneticPr fontId="6" type="noConversion"/>
  <dataValidations count="1">
    <dataValidation type="list" allowBlank="1" showInputMessage="1" showErrorMessage="1" sqref="C6:C7 C9 C11">
      <formula1>$H$6:$H$11</formula1>
    </dataValidation>
  </dataValidations>
  <hyperlinks>
    <hyperlink ref="I2:J2"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121" r:id="rId4" name="Reset_Slopes">
          <controlPr defaultSize="0" autoLine="0" r:id="rId5">
            <anchor moveWithCells="1">
              <from>
                <xdr:col>3</xdr:col>
                <xdr:colOff>38100</xdr:colOff>
                <xdr:row>2</xdr:row>
                <xdr:rowOff>68580</xdr:rowOff>
              </from>
              <to>
                <xdr:col>5</xdr:col>
                <xdr:colOff>30480</xdr:colOff>
                <xdr:row>4</xdr:row>
                <xdr:rowOff>7620</xdr:rowOff>
              </to>
            </anchor>
          </controlPr>
        </control>
      </mc:Choice>
      <mc:Fallback>
        <control shapeId="5121" r:id="rId4" name="Reset_Slopes"/>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499984740745262"/>
  </sheetPr>
  <dimension ref="A1:AB764"/>
  <sheetViews>
    <sheetView topLeftCell="B1" workbookViewId="0">
      <selection activeCell="N14" sqref="N14:N18"/>
    </sheetView>
  </sheetViews>
  <sheetFormatPr defaultColWidth="9.109375" defaultRowHeight="13.2" x14ac:dyDescent="0.25"/>
  <cols>
    <col min="1" max="1" width="12.109375" style="191" customWidth="1"/>
    <col min="2" max="2" width="19.5546875" style="191" customWidth="1"/>
    <col min="3" max="13" width="9.109375" style="191"/>
    <col min="14" max="14" width="9.109375" style="634"/>
    <col min="15" max="18" width="9.109375" style="191"/>
    <col min="19" max="19" width="9.109375" style="634"/>
    <col min="20" max="27" width="9.109375" style="191"/>
    <col min="28" max="28" width="10.33203125" style="191" bestFit="1" customWidth="1"/>
    <col min="29" max="16384" width="9.109375" style="191"/>
  </cols>
  <sheetData>
    <row r="1" spans="1:28" ht="15.6" x14ac:dyDescent="0.3">
      <c r="A1" s="192" t="s">
        <v>1090</v>
      </c>
    </row>
    <row r="2" spans="1:28" ht="16.8" x14ac:dyDescent="0.3">
      <c r="A2" s="619" t="s">
        <v>94</v>
      </c>
      <c r="B2" s="620" t="str">
        <f>Weather_Site!D2</f>
        <v>Nicholson Street Melbourne</v>
      </c>
      <c r="C2" s="620"/>
      <c r="D2" s="620"/>
      <c r="E2" s="620"/>
      <c r="H2" s="676"/>
      <c r="I2" s="391"/>
      <c r="J2" s="676"/>
      <c r="R2" s="728" t="s">
        <v>1138</v>
      </c>
      <c r="S2" s="727"/>
      <c r="T2" s="728"/>
      <c r="U2" s="728"/>
      <c r="V2" s="725"/>
    </row>
    <row r="3" spans="1:28" ht="13.8" x14ac:dyDescent="0.25">
      <c r="L3" s="677" t="s">
        <v>1087</v>
      </c>
      <c r="Q3" s="734"/>
      <c r="R3" s="733" t="s">
        <v>736</v>
      </c>
      <c r="S3" s="733"/>
      <c r="T3" s="732"/>
      <c r="U3" s="729" t="s">
        <v>1130</v>
      </c>
      <c r="V3" s="725"/>
    </row>
    <row r="4" spans="1:28" x14ac:dyDescent="0.25">
      <c r="A4" s="621" t="s">
        <v>35</v>
      </c>
      <c r="B4" s="622"/>
      <c r="C4" s="623">
        <f>Weather_Site!D6</f>
        <v>0</v>
      </c>
      <c r="L4" s="678" t="s">
        <v>1088</v>
      </c>
      <c r="M4" s="679"/>
      <c r="N4" s="680"/>
      <c r="O4" s="679"/>
      <c r="P4" s="418">
        <v>35</v>
      </c>
      <c r="Q4" s="735"/>
      <c r="R4" s="728" t="s">
        <v>1131</v>
      </c>
      <c r="S4" s="728"/>
      <c r="T4" s="731"/>
      <c r="U4" s="729" t="s">
        <v>1132</v>
      </c>
      <c r="V4" s="725"/>
    </row>
    <row r="5" spans="1:28" x14ac:dyDescent="0.25">
      <c r="A5" s="624"/>
      <c r="B5" s="625"/>
      <c r="C5" s="626" t="s">
        <v>246</v>
      </c>
      <c r="D5" s="627" t="s">
        <v>245</v>
      </c>
      <c r="E5" s="628" t="s">
        <v>221</v>
      </c>
      <c r="F5" s="628"/>
      <c r="G5" s="628"/>
      <c r="H5" s="629" t="s">
        <v>247</v>
      </c>
      <c r="I5" s="626" t="s">
        <v>248</v>
      </c>
      <c r="L5" s="678" t="s">
        <v>718</v>
      </c>
      <c r="M5" s="679"/>
      <c r="N5" s="684"/>
      <c r="O5" s="685"/>
      <c r="P5" s="418">
        <v>18</v>
      </c>
      <c r="Q5" s="735"/>
      <c r="R5" s="728" t="s">
        <v>1133</v>
      </c>
      <c r="S5" s="728"/>
      <c r="T5" s="731"/>
      <c r="U5" s="729" t="s">
        <v>1134</v>
      </c>
      <c r="V5" s="725"/>
    </row>
    <row r="6" spans="1:28" x14ac:dyDescent="0.25">
      <c r="A6" s="630" t="s">
        <v>208</v>
      </c>
      <c r="B6" s="631"/>
      <c r="C6" s="206" t="s">
        <v>251</v>
      </c>
      <c r="D6" s="668">
        <f>IF(C6="Low",1,IF(C6="Moderate",2,IF(C6="High",3,IF(C6="Very High",3.5,IF(C6="Extreme",4,0)))))</f>
        <v>3</v>
      </c>
      <c r="E6" s="668">
        <f>IF(D6=4,20,IF(D6=3.5,14,IF(D6=3,12,IF(D6=2,8,IF(D6=1,4,0)))))</f>
        <v>12</v>
      </c>
      <c r="H6" s="632" t="s">
        <v>249</v>
      </c>
      <c r="I6" s="633" t="s">
        <v>268</v>
      </c>
      <c r="L6" s="678" t="s">
        <v>1141</v>
      </c>
      <c r="M6" s="679"/>
      <c r="N6" s="684"/>
      <c r="O6" s="685"/>
      <c r="P6" s="418">
        <v>0</v>
      </c>
      <c r="Q6" s="735"/>
      <c r="R6" s="728" t="s">
        <v>1135</v>
      </c>
      <c r="S6" s="728"/>
      <c r="T6" s="730"/>
      <c r="U6" s="729" t="s">
        <v>1136</v>
      </c>
      <c r="V6" s="725"/>
    </row>
    <row r="7" spans="1:28" x14ac:dyDescent="0.25">
      <c r="A7" s="630" t="s">
        <v>209</v>
      </c>
      <c r="B7" s="631"/>
      <c r="C7" s="206" t="s">
        <v>250</v>
      </c>
      <c r="D7" s="668">
        <f>IF(C7="Low",1,IF(C7="Moderate",2,IF(C7="High",3,IF(C7="Very High",3.5,IF(C7="Extreme",4,0)))))</f>
        <v>2</v>
      </c>
      <c r="E7" s="668">
        <f>IF(D7=4,4,IF(D7=3.5,3.5,IF(D7=3,3,IF(D7=2,2,IF(D7=1,1,0)))))</f>
        <v>2</v>
      </c>
      <c r="H7" s="632" t="s">
        <v>788</v>
      </c>
      <c r="I7" s="633" t="s">
        <v>255</v>
      </c>
      <c r="L7" s="681" t="s">
        <v>1139</v>
      </c>
      <c r="M7" s="682"/>
      <c r="N7" s="688"/>
      <c r="O7" s="689"/>
      <c r="P7" s="690">
        <f>(0.488623-0.00334694*P4-0.00202058*P5)*((-0.001*P6+0.33)/0.33)</f>
        <v>0.33510965999999998</v>
      </c>
      <c r="Q7" s="735"/>
      <c r="R7" s="728" t="s">
        <v>90</v>
      </c>
      <c r="S7" s="728"/>
      <c r="T7" s="730"/>
      <c r="U7" s="748" t="s">
        <v>1137</v>
      </c>
      <c r="V7" s="725"/>
    </row>
    <row r="8" spans="1:28" x14ac:dyDescent="0.25">
      <c r="A8" s="630" t="s">
        <v>210</v>
      </c>
      <c r="B8" s="631"/>
      <c r="C8" s="206">
        <v>50</v>
      </c>
      <c r="D8" s="207"/>
      <c r="E8" s="207"/>
      <c r="H8" s="632" t="s">
        <v>250</v>
      </c>
      <c r="I8" s="633" t="s">
        <v>256</v>
      </c>
      <c r="L8" s="681" t="s">
        <v>1089</v>
      </c>
      <c r="M8" s="682"/>
      <c r="N8" s="688"/>
      <c r="O8" s="689"/>
      <c r="P8" s="692">
        <f>1/P7</f>
        <v>2.984097802492474</v>
      </c>
      <c r="R8" s="725"/>
      <c r="S8" s="725"/>
      <c r="T8" s="725"/>
      <c r="U8" s="725"/>
      <c r="V8" s="725"/>
    </row>
    <row r="9" spans="1:28" x14ac:dyDescent="0.25">
      <c r="A9" s="630" t="s">
        <v>220</v>
      </c>
      <c r="B9" s="631"/>
      <c r="C9" s="206" t="s">
        <v>250</v>
      </c>
      <c r="D9" s="668">
        <f>IF(C9="Low",1,IF(C9="Moderate",2,IF(C9="High",3,IF(C9="Very High",3.5,IF(C9="Extreme",4,0)))))</f>
        <v>2</v>
      </c>
      <c r="E9" s="668">
        <f>IF(D9=4,6,IF(D9=3.5,4,IF(D9=3,3,IF(D9=2,2,IF(D9=1,1,0)))))</f>
        <v>2</v>
      </c>
      <c r="H9" s="632" t="s">
        <v>251</v>
      </c>
      <c r="I9" s="633" t="s">
        <v>257</v>
      </c>
      <c r="R9" s="725"/>
      <c r="S9" s="725"/>
      <c r="T9" s="725"/>
      <c r="U9" s="725"/>
      <c r="V9" s="725"/>
    </row>
    <row r="10" spans="1:28" x14ac:dyDescent="0.25">
      <c r="A10" s="697" t="s">
        <v>1091</v>
      </c>
      <c r="B10" s="631"/>
      <c r="C10" s="206">
        <v>0.8</v>
      </c>
      <c r="D10" s="207"/>
      <c r="E10" s="207"/>
      <c r="F10" s="634" t="s">
        <v>222</v>
      </c>
      <c r="H10" s="632" t="s">
        <v>252</v>
      </c>
      <c r="I10" s="633" t="s">
        <v>258</v>
      </c>
      <c r="L10" s="747" t="s">
        <v>1140</v>
      </c>
      <c r="M10" s="699"/>
      <c r="N10" s="700"/>
      <c r="O10" s="671">
        <v>3</v>
      </c>
      <c r="R10" s="725"/>
      <c r="S10" s="725"/>
      <c r="T10" s="725"/>
      <c r="U10" s="725"/>
      <c r="V10" s="725"/>
    </row>
    <row r="11" spans="1:28" x14ac:dyDescent="0.25">
      <c r="A11" s="630" t="s">
        <v>213</v>
      </c>
      <c r="B11" s="631"/>
      <c r="C11" s="206" t="s">
        <v>253</v>
      </c>
      <c r="D11" s="668">
        <f>IF(C11="Low",1,IF(C11="Moderate",2,IF(C11="High",3,IF(C11="Very High",3.5,IF(C11="Extreme",4,0)))))</f>
        <v>4</v>
      </c>
      <c r="E11" s="668">
        <f>IF(D11=4,7,IF(D11=3.5,6,IF(D11=3,5,IF(D11=2,2,IF(D11=1,1,0)))))</f>
        <v>7</v>
      </c>
      <c r="F11" s="668">
        <f>E6+E7+E9+E11</f>
        <v>23</v>
      </c>
      <c r="H11" s="632" t="s">
        <v>253</v>
      </c>
      <c r="I11" s="633" t="s">
        <v>259</v>
      </c>
      <c r="L11" s="698" t="s">
        <v>673</v>
      </c>
      <c r="M11" s="699"/>
      <c r="N11" s="700"/>
      <c r="O11" s="178" t="b">
        <v>1</v>
      </c>
      <c r="R11" s="725"/>
      <c r="S11" s="726"/>
      <c r="T11" s="725"/>
      <c r="U11" s="725"/>
      <c r="V11" s="725"/>
    </row>
    <row r="12" spans="1:28" x14ac:dyDescent="0.25">
      <c r="Y12" s="701"/>
      <c r="Z12" s="701"/>
      <c r="AA12" s="701"/>
    </row>
    <row r="13" spans="1:28" ht="79.8" x14ac:dyDescent="0.3">
      <c r="A13" s="26" t="s">
        <v>28</v>
      </c>
      <c r="B13" s="26" t="s">
        <v>32</v>
      </c>
      <c r="C13" s="26" t="s">
        <v>27</v>
      </c>
      <c r="D13" s="26" t="s">
        <v>18</v>
      </c>
      <c r="E13" s="26" t="s">
        <v>19</v>
      </c>
      <c r="F13" s="26" t="s">
        <v>24</v>
      </c>
      <c r="G13" s="26" t="s">
        <v>20</v>
      </c>
      <c r="H13" s="328" t="s">
        <v>35</v>
      </c>
      <c r="I13" s="669" t="s">
        <v>1096</v>
      </c>
      <c r="J13" s="669" t="s">
        <v>113</v>
      </c>
      <c r="K13" s="669" t="s">
        <v>217</v>
      </c>
      <c r="L13" s="669" t="s">
        <v>218</v>
      </c>
      <c r="M13" s="669" t="s">
        <v>219</v>
      </c>
      <c r="N13" s="670" t="s">
        <v>206</v>
      </c>
      <c r="O13" s="669" t="s">
        <v>1093</v>
      </c>
      <c r="P13" s="702" t="s">
        <v>1092</v>
      </c>
      <c r="Q13" s="669" t="s">
        <v>1094</v>
      </c>
      <c r="R13" s="669" t="s">
        <v>1095</v>
      </c>
      <c r="S13" s="669" t="s">
        <v>1103</v>
      </c>
      <c r="T13" s="669" t="s">
        <v>1097</v>
      </c>
      <c r="U13" s="669" t="s">
        <v>1098</v>
      </c>
      <c r="V13" s="669" t="s">
        <v>1099</v>
      </c>
      <c r="W13" s="669" t="s">
        <v>1101</v>
      </c>
      <c r="X13" s="669" t="s">
        <v>1102</v>
      </c>
      <c r="Y13" s="669" t="s">
        <v>1100</v>
      </c>
      <c r="Z13" s="669" t="s">
        <v>1104</v>
      </c>
      <c r="AA13" s="669" t="s">
        <v>1105</v>
      </c>
      <c r="AB13" s="669" t="s">
        <v>45</v>
      </c>
    </row>
    <row r="14" spans="1:28"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703">
        <f>G14/$O$10</f>
        <v>5.333333333333333</v>
      </c>
      <c r="J14" s="27">
        <f>IF(Weather_Site!M12&lt;180,Weather_Site!M12+180,Weather_Site!M12-180)</f>
        <v>216</v>
      </c>
      <c r="K14" s="635">
        <f>2.76+0.124*E14-0.0187*D14</f>
        <v>5.3138699999999996</v>
      </c>
      <c r="L14" s="635">
        <f>3.6+0.169*E14-0.045*D14</f>
        <v>6.6143000000000001</v>
      </c>
      <c r="M14" s="635">
        <f>3.08+0.198*E14-0.0483*D14</f>
        <v>6.7172299999999998</v>
      </c>
      <c r="N14" s="704">
        <f>IF(AND(OR(MONTH(B14)&gt;10,MONTH(B14)&lt;3),AND(HOUR(C14)&gt;=13,HOUR(C14)&lt;=17)),K14,IF(OR(HOUR(C14)&lt;8,HOUR(C14)&gt;=20),M14,L14))</f>
        <v>6.7172299999999998</v>
      </c>
      <c r="O14" s="636">
        <f>IF(N14&lt;=4.1,1,IF(N14&gt;=24,0,(0.9082+0.1206*N14-0.03106*N14^2+0.001853*N14^3-0.00003467*N14^4)))</f>
        <v>0.8078732889411081</v>
      </c>
      <c r="P14" s="705">
        <f>IF($O$11,Weather_Site!H12,IF(0.191*(Weather_Site!K12+104)*(Weather_Site!J12+1)^1.5/(3.52*(Weather_Site!J12+1)^1.5+Weather_Site!I12-1)&gt;10, 10,0.191*(Weather_Site!K12+104)*(Weather_Site!J12+1)^1.5/(3.52*(Weather_Site!J12+1)^1.5+Weather_Site!I12-1)))</f>
        <v>8.6999999999999993</v>
      </c>
      <c r="Q14" s="636">
        <f>1.008/(1+104.9*EXP(-0.9306*P14))</f>
        <v>0.97678030108050951</v>
      </c>
      <c r="R14" s="636">
        <f>O14*Q14</f>
        <v>0.78911471440679704</v>
      </c>
      <c r="S14" s="635">
        <f>MIN(IF(H14&gt;0,2^(H14/10),(2^(-H14/10))/(2*(2^(-H14/10))-1)),4)</f>
        <v>1</v>
      </c>
      <c r="T14" s="706">
        <f>IF(I14&gt;2,(0.03+0.05024*(I14-1)^0.92628*(($E$6+$E$7)/10)^0.79928)*1000*R14*S14,0.03*R14*S14*1000)</f>
        <v>225.44621380087682</v>
      </c>
      <c r="U14" s="707">
        <f>IF(I14&gt;2,(0.19591*(I14-1)^0.82569*(($E$6+$E$7)/10)^0.46722)*$C$10^0.495*1000*R14*S14,0.03*1000*R14*S14)</f>
        <v>543.64809229621608</v>
      </c>
      <c r="V14" s="707">
        <f>(0.05235*(G14)^1.19128)*1000*R14*S14</f>
        <v>1123.3132473175751</v>
      </c>
      <c r="W14" s="708">
        <f>IF((E$6+E$7)&lt;1,0,1/(1+EXP(-(-23.9315+1.7033*I14+12.0822*R14+9.5236*($E$6+$E$7)))))</f>
        <v>1</v>
      </c>
      <c r="X14" s="636">
        <f t="shared" ref="X14" si="0">IF(U14&lt;300,0,1/(1+EXP(-(-32.3074+0.2951*G14+26.8734*R14))))</f>
        <v>1.6929224368486674E-3</v>
      </c>
      <c r="Y14" s="709">
        <f>IF(W14&lt;0.5,(T14*(1-W14)+U14*W14),(T14*(1-W14)+U14*W14*(1-X14)+V14*X14))</f>
        <v>544.6294204430111</v>
      </c>
      <c r="Z14" s="635">
        <f>0.0193*Y14^0.723*EXP(0.64*$C$10)*1.07</f>
        <v>3.2771849759187091</v>
      </c>
      <c r="AA14" s="709">
        <f>(1/(0.2204*G14+1))*Y14</f>
        <v>120.32286595153124</v>
      </c>
      <c r="AB14" s="740">
        <f>18600*Y14/3600*$F$11/10</f>
        <v>6472.0129462644491</v>
      </c>
    </row>
    <row r="15" spans="1:28"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8" si="1">C$4</f>
        <v>0</v>
      </c>
      <c r="I15" s="703">
        <f t="shared" ref="I15:I78" si="2">G15/$O$10</f>
        <v>4.333333333333333</v>
      </c>
      <c r="J15" s="27">
        <f>IF(Weather_Site!M13&lt;180,Weather_Site!M13+180,Weather_Site!M13-180)</f>
        <v>132</v>
      </c>
      <c r="K15" s="635">
        <f t="shared" ref="K15:K78" si="3">2.76+0.124*E15-0.0187*D15</f>
        <v>5.3442799999999995</v>
      </c>
      <c r="L15" s="635">
        <f t="shared" ref="L15:L78" si="4">3.6+0.169*E15-0.045*D15</f>
        <v>6.6615999999999991</v>
      </c>
      <c r="M15" s="635">
        <f t="shared" ref="M15:M78" si="5">3.08+0.198*E15-0.0483*D15</f>
        <v>6.7713199999999993</v>
      </c>
      <c r="N15" s="704">
        <f t="shared" ref="N15:N78" si="6">IF(AND(OR(MONTH(B15)&gt;10,MONTH(B15)&lt;3),AND(HOUR(C15)&gt;=13,HOUR(C15)&lt;=17)),K15,IF(OR(HOUR(C15)&lt;8,HOUR(C15)&gt;=20),M15,L15))</f>
        <v>6.7713199999999993</v>
      </c>
      <c r="O15" s="636">
        <f t="shared" ref="O15:O78" si="7">IF(N15&lt;=4.1,1,IF(N15&gt;=24,0,(0.9082+0.1206*N15-0.03106*N15^2+0.001853*N15^3-0.00003467*N15^4)))</f>
        <v>0.8031110223095963</v>
      </c>
      <c r="P15" s="705">
        <f>IF($O$11,Weather_Site!H13,IF(0.191*(Weather_Site!K13+104)*(Weather_Site!J13+1)^1.5/(3.52*(Weather_Site!J13+1)^1.5+Weather_Site!I13-1)&gt;10, 10,0.191*(Weather_Site!K13+104)*(Weather_Site!J13+1)^1.5/(3.52*(Weather_Site!J13+1)^1.5+Weather_Site!I13-1)))</f>
        <v>8.6999999999999993</v>
      </c>
      <c r="Q15" s="636">
        <f t="shared" ref="Q15:Q78" si="8">1.008/(1+104.9*EXP(-0.9306*P15))</f>
        <v>0.97678030108050951</v>
      </c>
      <c r="R15" s="636">
        <f t="shared" ref="R15:R78" si="9">O15*Q15</f>
        <v>0.7844630261726433</v>
      </c>
      <c r="S15" s="635">
        <f t="shared" ref="S15:S78" si="10">MIN(IF(H15&gt;0,2^(H15/10),(2^(-H15/10))/(2*(2^(-H15/10))-1)),4)</f>
        <v>1</v>
      </c>
      <c r="T15" s="706">
        <f t="shared" ref="T15:T78" si="11">IF(I15&gt;2,(0.03+0.05024*(I15-1)^0.92628*(($E$6+$E$7)/10)^0.79928)*1000*R15*S15,0.03*R15*S15*1000)</f>
        <v>180.84212285834701</v>
      </c>
      <c r="U15" s="707">
        <f t="shared" ref="U15:U78" si="12">IF(I15&gt;2,(0.19591*(I15-1)^0.82569*(($E$6+$E$7)/10)^0.46722)*$C$10^0.495*1000*R15*S15,0.03*1000*R15*S15)</f>
        <v>435.1793900686551</v>
      </c>
      <c r="V15" s="707">
        <f t="shared" ref="V15:V78" si="13">(0.05235*(G15)^1.19128)*1000*R15*S15</f>
        <v>871.98216395278178</v>
      </c>
      <c r="W15" s="708">
        <f t="shared" ref="W15:W78" si="14">IF((E$6+E$7)&lt;1,0,1/(1+EXP(-(-23.9315+1.7033*I15+12.0822*R15+9.5236*($E$6+$E$7)))))</f>
        <v>1</v>
      </c>
      <c r="X15" s="636">
        <f t="shared" ref="X15:X78" si="15">IF(U15&lt;300,0,1/(1+EXP(-(-32.3074+0.2951*G15+26.8734*R15))))</f>
        <v>6.1706970114504506E-4</v>
      </c>
      <c r="Y15" s="709">
        <f t="shared" ref="Y15:Y78" si="16">IF(W15&lt;0.5,(T15*(1-W15)+U15*W15),(T15*(1-W15)+U15*W15*(1-X15)+V15*X15))</f>
        <v>435.44892782579507</v>
      </c>
      <c r="Z15" s="635">
        <f t="shared" ref="Z15:Z78" si="17">0.0193*Y15^0.723*EXP(0.64*$C$10)*1.07</f>
        <v>2.7877349218492777</v>
      </c>
      <c r="AA15" s="709">
        <f t="shared" ref="AA15:AA78" si="18">(1/(0.2204*G15+1))*Y15</f>
        <v>112.65883468534489</v>
      </c>
      <c r="AB15" s="740">
        <f t="shared" ref="AB15:AB78" si="19">18600*Y15/3600*$F$11/10</f>
        <v>5174.5847589965315</v>
      </c>
    </row>
    <row r="16" spans="1:28"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1"/>
        <v>0</v>
      </c>
      <c r="I16" s="703">
        <f t="shared" si="2"/>
        <v>5.333333333333333</v>
      </c>
      <c r="J16" s="27">
        <f>IF(Weather_Site!M14&lt;180,Weather_Site!M14+180,Weather_Site!M14-180)</f>
        <v>156</v>
      </c>
      <c r="K16" s="635">
        <f t="shared" si="3"/>
        <v>5.7207100000000004</v>
      </c>
      <c r="L16" s="635">
        <f t="shared" si="4"/>
        <v>7.1922000000000015</v>
      </c>
      <c r="M16" s="635">
        <f t="shared" si="5"/>
        <v>7.3889899999999997</v>
      </c>
      <c r="N16" s="704">
        <f t="shared" si="6"/>
        <v>7.3889899999999997</v>
      </c>
      <c r="O16" s="636">
        <f t="shared" si="7"/>
        <v>0.74771137115488462</v>
      </c>
      <c r="P16" s="705">
        <f>IF($O$11,Weather_Site!H14,IF(0.191*(Weather_Site!K14+104)*(Weather_Site!J14+1)^1.5/(3.52*(Weather_Site!J14+1)^1.5+Weather_Site!I14-1)&gt;10, 10,0.191*(Weather_Site!K14+104)*(Weather_Site!J14+1)^1.5/(3.52*(Weather_Site!J14+1)^1.5+Weather_Site!I14-1)))</f>
        <v>8.6999999999999993</v>
      </c>
      <c r="Q16" s="636">
        <f t="shared" si="8"/>
        <v>0.97678030108050951</v>
      </c>
      <c r="R16" s="636">
        <f t="shared" si="9"/>
        <v>0.73034973823798877</v>
      </c>
      <c r="S16" s="635">
        <f t="shared" si="10"/>
        <v>1</v>
      </c>
      <c r="T16" s="706">
        <f t="shared" si="11"/>
        <v>208.65734756953836</v>
      </c>
      <c r="U16" s="707">
        <f t="shared" si="12"/>
        <v>503.16289210321094</v>
      </c>
      <c r="V16" s="707">
        <f t="shared" si="13"/>
        <v>1039.6606743727823</v>
      </c>
      <c r="W16" s="708">
        <f t="shared" si="14"/>
        <v>1</v>
      </c>
      <c r="X16" s="636">
        <f t="shared" si="15"/>
        <v>3.4944343707585875E-4</v>
      </c>
      <c r="Y16" s="709">
        <f t="shared" si="16"/>
        <v>503.35036773223078</v>
      </c>
      <c r="Z16" s="635">
        <f t="shared" si="17"/>
        <v>3.0956521450034753</v>
      </c>
      <c r="AA16" s="709">
        <f t="shared" si="18"/>
        <v>111.20324490372718</v>
      </c>
      <c r="AB16" s="740">
        <f t="shared" si="19"/>
        <v>5981.4802032180096</v>
      </c>
    </row>
    <row r="17" spans="1:28"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1"/>
        <v>0</v>
      </c>
      <c r="I17" s="703">
        <f t="shared" si="2"/>
        <v>8.3333333333333339</v>
      </c>
      <c r="J17" s="27">
        <f>IF(Weather_Site!M15&lt;180,Weather_Site!M15+180,Weather_Site!M15-180)</f>
        <v>182</v>
      </c>
      <c r="K17" s="635">
        <f t="shared" si="3"/>
        <v>5.8266999999999998</v>
      </c>
      <c r="L17" s="635">
        <f t="shared" si="4"/>
        <v>7.3308</v>
      </c>
      <c r="M17" s="635">
        <f t="shared" si="5"/>
        <v>7.5527000000000006</v>
      </c>
      <c r="N17" s="704">
        <f t="shared" si="6"/>
        <v>7.5527000000000006</v>
      </c>
      <c r="O17" s="636">
        <f t="shared" si="7"/>
        <v>0.73280688314218367</v>
      </c>
      <c r="P17" s="705">
        <f>IF($O$11,Weather_Site!H15,IF(0.191*(Weather_Site!K15+104)*(Weather_Site!J15+1)^1.5/(3.52*(Weather_Site!J15+1)^1.5+Weather_Site!I15-1)&gt;10, 10,0.191*(Weather_Site!K15+104)*(Weather_Site!J15+1)^1.5/(3.52*(Weather_Site!J15+1)^1.5+Weather_Site!I15-1)))</f>
        <v>8.6999999999999993</v>
      </c>
      <c r="Q17" s="636">
        <f t="shared" si="8"/>
        <v>0.97678030108050951</v>
      </c>
      <c r="R17" s="636">
        <f t="shared" si="9"/>
        <v>0.71579132794949196</v>
      </c>
      <c r="S17" s="635">
        <f t="shared" si="10"/>
        <v>1</v>
      </c>
      <c r="T17" s="706">
        <f t="shared" si="11"/>
        <v>319.42462811596454</v>
      </c>
      <c r="U17" s="707">
        <f t="shared" si="12"/>
        <v>761.4076851673359</v>
      </c>
      <c r="V17" s="707">
        <f t="shared" si="13"/>
        <v>1733.9680543179638</v>
      </c>
      <c r="W17" s="708">
        <f t="shared" si="14"/>
        <v>1</v>
      </c>
      <c r="X17" s="636">
        <f t="shared" si="15"/>
        <v>3.3542963506786542E-3</v>
      </c>
      <c r="Y17" s="709">
        <f t="shared" si="16"/>
        <v>764.66994086439252</v>
      </c>
      <c r="Z17" s="635">
        <f t="shared" si="17"/>
        <v>4.1884330393764175</v>
      </c>
      <c r="AA17" s="709">
        <f t="shared" si="18"/>
        <v>117.46082040927688</v>
      </c>
      <c r="AB17" s="740">
        <f t="shared" si="19"/>
        <v>9086.8277972718643</v>
      </c>
    </row>
    <row r="18" spans="1:28"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1"/>
        <v>0</v>
      </c>
      <c r="I18" s="703">
        <f t="shared" si="2"/>
        <v>10.666666666666666</v>
      </c>
      <c r="J18" s="27">
        <f>IF(Weather_Site!M16&lt;180,Weather_Site!M16+180,Weather_Site!M16-180)</f>
        <v>180</v>
      </c>
      <c r="K18" s="635">
        <f t="shared" si="3"/>
        <v>5.5108899999999998</v>
      </c>
      <c r="L18" s="635">
        <f t="shared" si="4"/>
        <v>6.8554999999999993</v>
      </c>
      <c r="M18" s="635">
        <f t="shared" si="5"/>
        <v>7.0060100000000016</v>
      </c>
      <c r="N18" s="704">
        <f t="shared" si="6"/>
        <v>6.8554999999999993</v>
      </c>
      <c r="O18" s="636">
        <f t="shared" si="7"/>
        <v>0.79566544030590147</v>
      </c>
      <c r="P18" s="705">
        <f>IF($O$11,Weather_Site!H16,IF(0.191*(Weather_Site!K16+104)*(Weather_Site!J16+1)^1.5/(3.52*(Weather_Site!J16+1)^1.5+Weather_Site!I16-1)&gt;10, 10,0.191*(Weather_Site!K16+104)*(Weather_Site!J16+1)^1.5/(3.52*(Weather_Site!J16+1)^1.5+Weather_Site!I16-1)))</f>
        <v>8.6999999999999993</v>
      </c>
      <c r="Q18" s="636">
        <f t="shared" si="8"/>
        <v>0.97678030108050951</v>
      </c>
      <c r="R18" s="636">
        <f t="shared" si="9"/>
        <v>0.7771903283413546</v>
      </c>
      <c r="S18" s="635">
        <f t="shared" si="10"/>
        <v>1</v>
      </c>
      <c r="T18" s="706">
        <f t="shared" si="11"/>
        <v>441.16183216224351</v>
      </c>
      <c r="U18" s="707">
        <f t="shared" si="12"/>
        <v>1038.5337878545968</v>
      </c>
      <c r="V18" s="707">
        <f t="shared" si="13"/>
        <v>2526.3827051134617</v>
      </c>
      <c r="W18" s="708">
        <f t="shared" si="14"/>
        <v>1</v>
      </c>
      <c r="X18" s="636">
        <f t="shared" si="15"/>
        <v>0.12148379968747718</v>
      </c>
      <c r="Y18" s="709">
        <f t="shared" si="16"/>
        <v>1219.2833276841027</v>
      </c>
      <c r="Z18" s="635">
        <f t="shared" si="17"/>
        <v>5.8688567989964504</v>
      </c>
      <c r="AA18" s="709">
        <f t="shared" si="18"/>
        <v>151.4111026828063</v>
      </c>
      <c r="AB18" s="740">
        <f t="shared" si="19"/>
        <v>14489.150210646087</v>
      </c>
    </row>
    <row r="19" spans="1:28" x14ac:dyDescent="0.25">
      <c r="A19" s="675" t="str">
        <f>Weather_Site!A17</f>
        <v>Sun</v>
      </c>
      <c r="B19" s="672">
        <f>Weather_Site!B17</f>
        <v>44549</v>
      </c>
      <c r="C19" s="673">
        <f>Weather_Site!C17</f>
        <v>0.375</v>
      </c>
      <c r="D19" s="413">
        <f>Weather_Site!D17</f>
        <v>27.7</v>
      </c>
      <c r="E19" s="413">
        <f>Weather_Site!E17</f>
        <v>28</v>
      </c>
      <c r="F19" s="674">
        <f>Weather_Site!F17</f>
        <v>328</v>
      </c>
      <c r="G19" s="413">
        <f>Weather_Site!G17</f>
        <v>27</v>
      </c>
      <c r="H19" s="180">
        <f>C$4</f>
        <v>0</v>
      </c>
      <c r="I19" s="710">
        <f t="shared" si="2"/>
        <v>9</v>
      </c>
      <c r="J19" s="413">
        <f>IF(Weather_Site!M17&lt;180,Weather_Site!M17+180,Weather_Site!M17-180)</f>
        <v>148</v>
      </c>
      <c r="K19" s="711">
        <f t="shared" si="3"/>
        <v>5.7140099999999991</v>
      </c>
      <c r="L19" s="711">
        <f t="shared" si="4"/>
        <v>7.0855000000000006</v>
      </c>
      <c r="M19" s="711">
        <f t="shared" si="5"/>
        <v>7.2860900000000006</v>
      </c>
      <c r="N19" s="712">
        <f t="shared" si="6"/>
        <v>7.0855000000000006</v>
      </c>
      <c r="O19" s="713">
        <f t="shared" si="7"/>
        <v>0.77513468521171758</v>
      </c>
      <c r="P19" s="714">
        <f>IF($O$11,Weather_Site!H17,IF(0.191*(Weather_Site!K17+104)*(Weather_Site!J17+1)^1.5/(3.52*(Weather_Site!J17+1)^1.5+Weather_Site!I17-1)&gt;10, 10,0.191*(Weather_Site!K17+104)*(Weather_Site!J17+1)^1.5/(3.52*(Weather_Site!J17+1)^1.5+Weather_Site!I17-1)))</f>
        <v>8.6999999999999993</v>
      </c>
      <c r="Q19" s="713">
        <f t="shared" si="8"/>
        <v>0.97678030108050951</v>
      </c>
      <c r="R19" s="713">
        <f t="shared" si="9"/>
        <v>0.75713629119904746</v>
      </c>
      <c r="S19" s="711">
        <f t="shared" si="10"/>
        <v>1</v>
      </c>
      <c r="T19" s="715">
        <f t="shared" si="11"/>
        <v>364.32765060143038</v>
      </c>
      <c r="U19" s="716">
        <f t="shared" si="12"/>
        <v>865.37934212420146</v>
      </c>
      <c r="V19" s="716">
        <f t="shared" si="13"/>
        <v>2010.2301128676545</v>
      </c>
      <c r="W19" s="717">
        <f t="shared" si="14"/>
        <v>1</v>
      </c>
      <c r="X19" s="713">
        <f t="shared" si="15"/>
        <v>1.8112514937782431E-2</v>
      </c>
      <c r="Y19" s="718">
        <f t="shared" si="16"/>
        <v>886.11546881082404</v>
      </c>
      <c r="Z19" s="711">
        <f t="shared" si="17"/>
        <v>4.6594575707134025</v>
      </c>
      <c r="AA19" s="718">
        <f t="shared" si="18"/>
        <v>127.48395419388041</v>
      </c>
      <c r="AB19" s="741">
        <f t="shared" si="19"/>
        <v>10530.005487701959</v>
      </c>
    </row>
    <row r="20" spans="1:28" x14ac:dyDescent="0.25">
      <c r="A20" s="675" t="str">
        <f>Weather_Site!A18</f>
        <v>Sun</v>
      </c>
      <c r="B20" s="672">
        <f>Weather_Site!B18</f>
        <v>44549</v>
      </c>
      <c r="C20" s="673">
        <f>Weather_Site!C18</f>
        <v>0.41666666666666669</v>
      </c>
      <c r="D20" s="413">
        <f>Weather_Site!D18</f>
        <v>28.9</v>
      </c>
      <c r="E20" s="413">
        <f>Weather_Site!E18</f>
        <v>31.9</v>
      </c>
      <c r="F20" s="674">
        <f>Weather_Site!F18</f>
        <v>328</v>
      </c>
      <c r="G20" s="413">
        <f>Weather_Site!G18</f>
        <v>42</v>
      </c>
      <c r="H20" s="548">
        <f>C$4</f>
        <v>0</v>
      </c>
      <c r="I20" s="413">
        <f t="shared" si="2"/>
        <v>14</v>
      </c>
      <c r="J20" s="413">
        <f>IF(Weather_Site!M18&lt;180,Weather_Site!M18+180,Weather_Site!M18-180)</f>
        <v>148</v>
      </c>
      <c r="K20" s="711">
        <f t="shared" si="3"/>
        <v>6.1751700000000005</v>
      </c>
      <c r="L20" s="711">
        <f t="shared" si="4"/>
        <v>7.6905999999999999</v>
      </c>
      <c r="M20" s="711">
        <f t="shared" si="5"/>
        <v>8.0003299999999999</v>
      </c>
      <c r="N20" s="711">
        <f t="shared" si="6"/>
        <v>7.6905999999999999</v>
      </c>
      <c r="O20" s="713">
        <f t="shared" si="7"/>
        <v>0.72021216627089601</v>
      </c>
      <c r="P20" s="711">
        <f>IF($O$11,Weather_Site!H18,IF(0.191*(Weather_Site!K18+104)*(Weather_Site!J18+1)^1.5/(3.52*(Weather_Site!J18+1)^1.5+Weather_Site!I18-1)&gt;10, 10,0.191*(Weather_Site!K18+104)*(Weather_Site!J18+1)^1.5/(3.52*(Weather_Site!J18+1)^1.5+Weather_Site!I18-1)))</f>
        <v>8.6999999999999993</v>
      </c>
      <c r="Q20" s="713">
        <f t="shared" si="8"/>
        <v>0.97678030108050951</v>
      </c>
      <c r="R20" s="713">
        <f t="shared" si="9"/>
        <v>0.70348905661193173</v>
      </c>
      <c r="S20" s="711">
        <f t="shared" si="10"/>
        <v>1</v>
      </c>
      <c r="T20" s="716">
        <f t="shared" si="11"/>
        <v>518.75883475802777</v>
      </c>
      <c r="U20" s="716">
        <f t="shared" si="12"/>
        <v>1200.5750716681746</v>
      </c>
      <c r="V20" s="716">
        <f t="shared" si="13"/>
        <v>3161.6838924287608</v>
      </c>
      <c r="W20" s="717">
        <f t="shared" si="14"/>
        <v>1</v>
      </c>
      <c r="X20" s="713">
        <f t="shared" si="15"/>
        <v>0.26736023466595271</v>
      </c>
      <c r="Y20" s="716">
        <f t="shared" si="16"/>
        <v>1724.8975861921947</v>
      </c>
      <c r="Z20" s="711">
        <f t="shared" si="17"/>
        <v>7.5418820798800006</v>
      </c>
      <c r="AA20" s="716">
        <f t="shared" si="18"/>
        <v>168.17112415102125</v>
      </c>
      <c r="AB20" s="716">
        <f t="shared" si="19"/>
        <v>20497.532982583914</v>
      </c>
    </row>
    <row r="21" spans="1:28" x14ac:dyDescent="0.25">
      <c r="A21" s="675" t="str">
        <f>Weather_Site!A19</f>
        <v>Sun</v>
      </c>
      <c r="B21" s="672">
        <f>Weather_Site!B19</f>
        <v>44549</v>
      </c>
      <c r="C21" s="673">
        <f>Weather_Site!C19</f>
        <v>0.45833333333333331</v>
      </c>
      <c r="D21" s="413">
        <f>Weather_Site!D19</f>
        <v>29.1</v>
      </c>
      <c r="E21" s="413">
        <f>Weather_Site!E19</f>
        <v>35.1</v>
      </c>
      <c r="F21" s="674">
        <f>Weather_Site!F19</f>
        <v>326</v>
      </c>
      <c r="G21" s="413">
        <f>Weather_Site!G19</f>
        <v>43</v>
      </c>
      <c r="H21" s="548">
        <f>C$4</f>
        <v>0</v>
      </c>
      <c r="I21" s="413">
        <f t="shared" si="2"/>
        <v>14.333333333333334</v>
      </c>
      <c r="J21" s="413">
        <f>IF(Weather_Site!M19&lt;180,Weather_Site!M19+180,Weather_Site!M19-180)</f>
        <v>146</v>
      </c>
      <c r="K21" s="711">
        <f t="shared" si="3"/>
        <v>6.5682299999999998</v>
      </c>
      <c r="L21" s="711">
        <f t="shared" si="4"/>
        <v>8.2224000000000004</v>
      </c>
      <c r="M21" s="711">
        <f t="shared" si="5"/>
        <v>8.624270000000001</v>
      </c>
      <c r="N21" s="711">
        <f t="shared" si="6"/>
        <v>8.2224000000000004</v>
      </c>
      <c r="O21" s="713">
        <f t="shared" si="7"/>
        <v>0.67153145064164699</v>
      </c>
      <c r="P21" s="711">
        <f>IF($O$11,Weather_Site!H19,IF(0.191*(Weather_Site!K19+104)*(Weather_Site!J19+1)^1.5/(3.52*(Weather_Site!J19+1)^1.5+Weather_Site!I19-1)&gt;10, 10,0.191*(Weather_Site!K19+104)*(Weather_Site!J19+1)^1.5/(3.52*(Weather_Site!J19+1)^1.5+Weather_Site!I19-1)))</f>
        <v>8.6999999999999993</v>
      </c>
      <c r="Q21" s="713">
        <f t="shared" si="8"/>
        <v>0.97678030108050951</v>
      </c>
      <c r="R21" s="713">
        <f t="shared" si="9"/>
        <v>0.65593869254277926</v>
      </c>
      <c r="S21" s="711">
        <f t="shared" si="10"/>
        <v>1</v>
      </c>
      <c r="T21" s="716">
        <f t="shared" si="11"/>
        <v>494.70522064688987</v>
      </c>
      <c r="U21" s="716">
        <f t="shared" si="12"/>
        <v>1143.0730991769824</v>
      </c>
      <c r="V21" s="716">
        <f t="shared" si="13"/>
        <v>3031.7838669832208</v>
      </c>
      <c r="W21" s="717">
        <f t="shared" si="14"/>
        <v>1</v>
      </c>
      <c r="X21" s="713">
        <f t="shared" si="15"/>
        <v>0.1201725544664335</v>
      </c>
      <c r="Y21" s="716">
        <f t="shared" si="16"/>
        <v>1370.0442967925171</v>
      </c>
      <c r="Z21" s="711">
        <f t="shared" si="17"/>
        <v>6.3849718052746312</v>
      </c>
      <c r="AA21" s="716">
        <f t="shared" si="18"/>
        <v>130.76435467419893</v>
      </c>
      <c r="AB21" s="716">
        <f t="shared" si="19"/>
        <v>16280.693060217745</v>
      </c>
    </row>
    <row r="22" spans="1:28" x14ac:dyDescent="0.25">
      <c r="A22" s="675" t="str">
        <f>Weather_Site!A20</f>
        <v>Sun</v>
      </c>
      <c r="B22" s="672">
        <f>Weather_Site!B20</f>
        <v>44549</v>
      </c>
      <c r="C22" s="673">
        <f>Weather_Site!C20</f>
        <v>0.5</v>
      </c>
      <c r="D22" s="413">
        <f>Weather_Site!D20</f>
        <v>29.1</v>
      </c>
      <c r="E22" s="413">
        <f>Weather_Site!E20</f>
        <v>39</v>
      </c>
      <c r="F22" s="674">
        <f>Weather_Site!F20</f>
        <v>292</v>
      </c>
      <c r="G22" s="413">
        <f>Weather_Site!G20</f>
        <v>45</v>
      </c>
      <c r="H22" s="548">
        <f>C$4</f>
        <v>0</v>
      </c>
      <c r="I22" s="413">
        <f t="shared" si="2"/>
        <v>15</v>
      </c>
      <c r="J22" s="413">
        <f>IF(Weather_Site!M20&lt;180,Weather_Site!M20+180,Weather_Site!M20-180)</f>
        <v>112</v>
      </c>
      <c r="K22" s="711">
        <f t="shared" si="3"/>
        <v>7.0518299999999998</v>
      </c>
      <c r="L22" s="711">
        <f t="shared" si="4"/>
        <v>8.8815000000000008</v>
      </c>
      <c r="M22" s="711">
        <f t="shared" si="5"/>
        <v>9.396469999999999</v>
      </c>
      <c r="N22" s="711">
        <f t="shared" si="6"/>
        <v>8.8815000000000008</v>
      </c>
      <c r="O22" s="713">
        <f t="shared" si="7"/>
        <v>0.61171780390758079</v>
      </c>
      <c r="P22" s="711">
        <f>IF($O$11,Weather_Site!H20,IF(0.191*(Weather_Site!K20+104)*(Weather_Site!J20+1)^1.5/(3.52*(Weather_Site!J20+1)^1.5+Weather_Site!I20-1)&gt;10, 10,0.191*(Weather_Site!K20+104)*(Weather_Site!J20+1)^1.5/(3.52*(Weather_Site!J20+1)^1.5+Weather_Site!I20-1)))</f>
        <v>8.6999999999999993</v>
      </c>
      <c r="Q22" s="713">
        <f t="shared" si="8"/>
        <v>0.97678030108050951</v>
      </c>
      <c r="R22" s="713">
        <f t="shared" si="9"/>
        <v>0.59751390067715482</v>
      </c>
      <c r="S22" s="711">
        <f t="shared" si="10"/>
        <v>1</v>
      </c>
      <c r="T22" s="716">
        <f t="shared" si="11"/>
        <v>470.64610115900348</v>
      </c>
      <c r="U22" s="716">
        <f t="shared" si="12"/>
        <v>1084.0630953717036</v>
      </c>
      <c r="V22" s="716">
        <f t="shared" si="13"/>
        <v>2915.4372788014975</v>
      </c>
      <c r="W22" s="717">
        <f t="shared" si="14"/>
        <v>1</v>
      </c>
      <c r="X22" s="713">
        <f t="shared" si="15"/>
        <v>4.8768634842995637E-2</v>
      </c>
      <c r="Y22" s="716">
        <f t="shared" si="16"/>
        <v>1173.3767141842807</v>
      </c>
      <c r="Z22" s="711">
        <f t="shared" si="17"/>
        <v>5.7082521494108533</v>
      </c>
      <c r="AA22" s="716">
        <f t="shared" si="18"/>
        <v>107.47176352667893</v>
      </c>
      <c r="AB22" s="716">
        <f t="shared" si="19"/>
        <v>13943.626620223202</v>
      </c>
    </row>
    <row r="23" spans="1:28" x14ac:dyDescent="0.25">
      <c r="A23" s="675" t="str">
        <f>Weather_Site!A21</f>
        <v>Sun</v>
      </c>
      <c r="B23" s="672">
        <f>Weather_Site!B21</f>
        <v>44549</v>
      </c>
      <c r="C23" s="673">
        <f>Weather_Site!C21</f>
        <v>0.54166666666666663</v>
      </c>
      <c r="D23" s="413">
        <f>Weather_Site!D21</f>
        <v>29.1</v>
      </c>
      <c r="E23" s="413">
        <f>Weather_Site!E21</f>
        <v>38.200000000000003</v>
      </c>
      <c r="F23" s="674">
        <f>Weather_Site!F21</f>
        <v>285</v>
      </c>
      <c r="G23" s="413">
        <f>Weather_Site!G21</f>
        <v>40</v>
      </c>
      <c r="H23" s="548">
        <f>C$4</f>
        <v>0</v>
      </c>
      <c r="I23" s="413">
        <f t="shared" si="2"/>
        <v>13.333333333333334</v>
      </c>
      <c r="J23" s="413">
        <f>IF(Weather_Site!M21&lt;180,Weather_Site!M21+180,Weather_Site!M21-180)</f>
        <v>105</v>
      </c>
      <c r="K23" s="711">
        <f t="shared" si="3"/>
        <v>6.9526300000000001</v>
      </c>
      <c r="L23" s="711">
        <f t="shared" si="4"/>
        <v>8.7463000000000015</v>
      </c>
      <c r="M23" s="711">
        <f t="shared" si="5"/>
        <v>9.2380700000000004</v>
      </c>
      <c r="N23" s="711">
        <f t="shared" si="6"/>
        <v>6.9526300000000001</v>
      </c>
      <c r="O23" s="713">
        <f t="shared" si="7"/>
        <v>0.78702663261644168</v>
      </c>
      <c r="P23" s="711">
        <f>IF($O$11,Weather_Site!H21,IF(0.191*(Weather_Site!K21+104)*(Weather_Site!J21+1)^1.5/(3.52*(Weather_Site!J21+1)^1.5+Weather_Site!I21-1)&gt;10, 10,0.191*(Weather_Site!K21+104)*(Weather_Site!J21+1)^1.5/(3.52*(Weather_Site!J21+1)^1.5+Weather_Site!I21-1)))</f>
        <v>8.8000000000000007</v>
      </c>
      <c r="Q23" s="713">
        <f t="shared" si="8"/>
        <v>0.97947601629684489</v>
      </c>
      <c r="R23" s="713">
        <f t="shared" si="9"/>
        <v>0.77087371083467282</v>
      </c>
      <c r="S23" s="711">
        <f t="shared" si="10"/>
        <v>1</v>
      </c>
      <c r="T23" s="716">
        <f t="shared" si="11"/>
        <v>542.4953014950645</v>
      </c>
      <c r="U23" s="716">
        <f t="shared" si="12"/>
        <v>1259.6142260220847</v>
      </c>
      <c r="V23" s="716">
        <f t="shared" si="13"/>
        <v>3268.9023521035847</v>
      </c>
      <c r="W23" s="717">
        <f t="shared" si="14"/>
        <v>1</v>
      </c>
      <c r="X23" s="713">
        <f t="shared" si="15"/>
        <v>0.55295010985513227</v>
      </c>
      <c r="Y23" s="716">
        <f t="shared" si="16"/>
        <v>2370.6503160694629</v>
      </c>
      <c r="Z23" s="711">
        <f t="shared" si="17"/>
        <v>9.4913734675364001</v>
      </c>
      <c r="AA23" s="716">
        <f t="shared" si="18"/>
        <v>241.50879340560948</v>
      </c>
      <c r="AB23" s="716">
        <f t="shared" si="19"/>
        <v>28171.22792262545</v>
      </c>
    </row>
    <row r="24" spans="1:28" x14ac:dyDescent="0.25">
      <c r="A24" s="23" t="str">
        <f>Weather_Site!A22</f>
        <v>Sun</v>
      </c>
      <c r="B24" s="24">
        <f>Weather_Site!B22</f>
        <v>44549</v>
      </c>
      <c r="C24" s="25">
        <f>Weather_Site!C22</f>
        <v>0.58333333333333337</v>
      </c>
      <c r="D24" s="27">
        <f>Weather_Site!D22</f>
        <v>30.8</v>
      </c>
      <c r="E24" s="27">
        <f>Weather_Site!E22</f>
        <v>35.799999999999997</v>
      </c>
      <c r="F24" s="28">
        <f>Weather_Site!F22</f>
        <v>277</v>
      </c>
      <c r="G24" s="27">
        <f>Weather_Site!G22</f>
        <v>42</v>
      </c>
      <c r="H24" s="548">
        <f>C$4</f>
        <v>0</v>
      </c>
      <c r="I24" s="27">
        <f t="shared" si="2"/>
        <v>14</v>
      </c>
      <c r="J24" s="738">
        <f>IF(Weather_Site!M22&lt;180,Weather_Site!M22+180,Weather_Site!M22-180)</f>
        <v>97</v>
      </c>
      <c r="K24" s="635">
        <f t="shared" si="3"/>
        <v>6.6232399999999991</v>
      </c>
      <c r="L24" s="635">
        <f t="shared" si="4"/>
        <v>8.2642000000000007</v>
      </c>
      <c r="M24" s="635">
        <f t="shared" si="5"/>
        <v>8.6807599999999994</v>
      </c>
      <c r="N24" s="635">
        <f t="shared" si="6"/>
        <v>6.6232399999999991</v>
      </c>
      <c r="O24" s="636">
        <f t="shared" si="7"/>
        <v>0.81610475578061037</v>
      </c>
      <c r="P24" s="635">
        <f>IF($O$11,Weather_Site!H22,IF(0.191*(Weather_Site!K22+104)*(Weather_Site!J22+1)^1.5/(3.52*(Weather_Site!J22+1)^1.5+Weather_Site!I22-1)&gt;10, 10,0.191*(Weather_Site!K22+104)*(Weather_Site!J22+1)^1.5/(3.52*(Weather_Site!J22+1)^1.5+Weather_Site!I22-1)))</f>
        <v>8.8000000000000007</v>
      </c>
      <c r="Q24" s="636">
        <f t="shared" si="8"/>
        <v>0.97947601629684489</v>
      </c>
      <c r="R24" s="636">
        <f t="shared" si="9"/>
        <v>0.79935503507290173</v>
      </c>
      <c r="S24" s="635">
        <f t="shared" si="10"/>
        <v>1</v>
      </c>
      <c r="T24" s="707">
        <f t="shared" si="11"/>
        <v>589.45122550943711</v>
      </c>
      <c r="U24" s="707">
        <f t="shared" si="12"/>
        <v>1364.1800387669145</v>
      </c>
      <c r="V24" s="707">
        <f t="shared" si="13"/>
        <v>3592.5334089681069</v>
      </c>
      <c r="W24" s="708">
        <f t="shared" si="14"/>
        <v>1</v>
      </c>
      <c r="X24" s="636">
        <f t="shared" si="15"/>
        <v>0.82752508273691117</v>
      </c>
      <c r="Y24" s="707">
        <f t="shared" si="16"/>
        <v>3208.1983458097311</v>
      </c>
      <c r="Z24" s="635">
        <f t="shared" si="17"/>
        <v>11.812089165787922</v>
      </c>
      <c r="AA24" s="707">
        <f t="shared" si="18"/>
        <v>312.78745279324261</v>
      </c>
      <c r="AB24" s="707">
        <f t="shared" si="19"/>
        <v>38124.09034270564</v>
      </c>
    </row>
    <row r="25" spans="1:28" x14ac:dyDescent="0.25">
      <c r="A25" s="23" t="str">
        <f>Weather_Site!A23</f>
        <v>Sun</v>
      </c>
      <c r="B25" s="24">
        <f>Weather_Site!B23</f>
        <v>44549</v>
      </c>
      <c r="C25" s="25">
        <f>Weather_Site!C23</f>
        <v>0.625</v>
      </c>
      <c r="D25" s="27">
        <f>Weather_Site!D23</f>
        <v>31.1</v>
      </c>
      <c r="E25" s="27">
        <f>Weather_Site!E23</f>
        <v>29.9</v>
      </c>
      <c r="F25" s="28">
        <f>Weather_Site!F23</f>
        <v>258</v>
      </c>
      <c r="G25" s="27">
        <f>Weather_Site!G23</f>
        <v>37</v>
      </c>
      <c r="H25" s="548">
        <f>C$4</f>
        <v>0</v>
      </c>
      <c r="I25" s="27">
        <f t="shared" si="2"/>
        <v>12.333333333333334</v>
      </c>
      <c r="J25" s="738">
        <f>IF(Weather_Site!M23&lt;180,Weather_Site!M23+180,Weather_Site!M23-180)</f>
        <v>78</v>
      </c>
      <c r="K25" s="635">
        <f t="shared" si="3"/>
        <v>5.886029999999999</v>
      </c>
      <c r="L25" s="635">
        <f t="shared" si="4"/>
        <v>7.2536000000000005</v>
      </c>
      <c r="M25" s="635">
        <f t="shared" si="5"/>
        <v>7.4980699999999993</v>
      </c>
      <c r="N25" s="635">
        <f t="shared" si="6"/>
        <v>5.886029999999999</v>
      </c>
      <c r="O25" s="636">
        <f t="shared" si="7"/>
        <v>0.87822662954612007</v>
      </c>
      <c r="P25" s="635">
        <f>IF($O$11,Weather_Site!H23,IF(0.191*(Weather_Site!K23+104)*(Weather_Site!J23+1)^1.5/(3.52*(Weather_Site!J23+1)^1.5+Weather_Site!I23-1)&gt;10, 10,0.191*(Weather_Site!K23+104)*(Weather_Site!J23+1)^1.5/(3.52*(Weather_Site!J23+1)^1.5+Weather_Site!I23-1)))</f>
        <v>8.8000000000000007</v>
      </c>
      <c r="Q25" s="636">
        <f t="shared" si="8"/>
        <v>0.97947601629684489</v>
      </c>
      <c r="R25" s="636">
        <f t="shared" si="9"/>
        <v>0.86020192051363864</v>
      </c>
      <c r="S25" s="635">
        <f t="shared" si="10"/>
        <v>1</v>
      </c>
      <c r="T25" s="707">
        <f t="shared" si="11"/>
        <v>561.69854699786072</v>
      </c>
      <c r="U25" s="707">
        <f t="shared" si="12"/>
        <v>1310.7898658642957</v>
      </c>
      <c r="V25" s="707">
        <f t="shared" si="13"/>
        <v>3324.1793223952241</v>
      </c>
      <c r="W25" s="708">
        <f t="shared" si="14"/>
        <v>1</v>
      </c>
      <c r="X25" s="636">
        <f t="shared" si="15"/>
        <v>0.84913724228677201</v>
      </c>
      <c r="Y25" s="707">
        <f t="shared" si="16"/>
        <v>3020.4338366322309</v>
      </c>
      <c r="Z25" s="635">
        <f t="shared" si="17"/>
        <v>11.308108965793556</v>
      </c>
      <c r="AA25" s="707">
        <f t="shared" si="18"/>
        <v>329.92898115002299</v>
      </c>
      <c r="AB25" s="707">
        <f t="shared" si="19"/>
        <v>35892.82209197968</v>
      </c>
    </row>
    <row r="26" spans="1:28" x14ac:dyDescent="0.25">
      <c r="A26" s="23" t="str">
        <f>Weather_Site!A24</f>
        <v>Sun</v>
      </c>
      <c r="B26" s="24">
        <f>Weather_Site!B24</f>
        <v>44549</v>
      </c>
      <c r="C26" s="25">
        <f>Weather_Site!C24</f>
        <v>0.66666666666666663</v>
      </c>
      <c r="D26" s="27">
        <f>Weather_Site!D24</f>
        <v>32.4</v>
      </c>
      <c r="E26" s="27">
        <f>Weather_Site!E24</f>
        <v>25.1</v>
      </c>
      <c r="F26" s="28">
        <f>Weather_Site!F24</f>
        <v>261</v>
      </c>
      <c r="G26" s="27">
        <f>Weather_Site!G24</f>
        <v>37</v>
      </c>
      <c r="H26" s="548">
        <f>C$4</f>
        <v>0</v>
      </c>
      <c r="I26" s="27">
        <f t="shared" si="2"/>
        <v>12.333333333333334</v>
      </c>
      <c r="J26" s="738">
        <f>IF(Weather_Site!M24&lt;180,Weather_Site!M24+180,Weather_Site!M24-180)</f>
        <v>81</v>
      </c>
      <c r="K26" s="635">
        <f t="shared" si="3"/>
        <v>5.2665199999999999</v>
      </c>
      <c r="L26" s="635">
        <f t="shared" si="4"/>
        <v>6.3839000000000006</v>
      </c>
      <c r="M26" s="635">
        <f t="shared" si="5"/>
        <v>6.4848800000000013</v>
      </c>
      <c r="N26" s="635">
        <f t="shared" si="6"/>
        <v>5.2665199999999999</v>
      </c>
      <c r="O26" s="636">
        <f t="shared" si="7"/>
        <v>0.9258573919526869</v>
      </c>
      <c r="P26" s="635">
        <f>IF($O$11,Weather_Site!H24,IF(0.191*(Weather_Site!K24+104)*(Weather_Site!J24+1)^1.5/(3.52*(Weather_Site!J24+1)^1.5+Weather_Site!I24-1)&gt;10, 10,0.191*(Weather_Site!K24+104)*(Weather_Site!J24+1)^1.5/(3.52*(Weather_Site!J24+1)^1.5+Weather_Site!I24-1)))</f>
        <v>8.8000000000000007</v>
      </c>
      <c r="Q26" s="636">
        <f t="shared" si="8"/>
        <v>0.97947601629684489</v>
      </c>
      <c r="R26" s="636">
        <f t="shared" si="9"/>
        <v>0.90685510992880425</v>
      </c>
      <c r="S26" s="635">
        <f t="shared" si="10"/>
        <v>1</v>
      </c>
      <c r="T26" s="707">
        <f t="shared" si="11"/>
        <v>592.1623579733897</v>
      </c>
      <c r="U26" s="707">
        <f t="shared" si="12"/>
        <v>1381.8807649163828</v>
      </c>
      <c r="V26" s="707">
        <f t="shared" si="13"/>
        <v>3504.4667222246485</v>
      </c>
      <c r="W26" s="708">
        <f t="shared" si="14"/>
        <v>1</v>
      </c>
      <c r="X26" s="636">
        <f t="shared" si="15"/>
        <v>0.95173500628232965</v>
      </c>
      <c r="Y26" s="707">
        <f t="shared" si="16"/>
        <v>3402.0201243299498</v>
      </c>
      <c r="Z26" s="635">
        <f t="shared" si="17"/>
        <v>12.323827888731698</v>
      </c>
      <c r="AA26" s="707">
        <f t="shared" si="18"/>
        <v>371.61053483745684</v>
      </c>
      <c r="AB26" s="707">
        <f t="shared" si="19"/>
        <v>40427.339144120902</v>
      </c>
    </row>
    <row r="27" spans="1:28" x14ac:dyDescent="0.25">
      <c r="A27" s="23" t="str">
        <f>Weather_Site!A25</f>
        <v>Sun</v>
      </c>
      <c r="B27" s="24">
        <f>Weather_Site!B25</f>
        <v>44549</v>
      </c>
      <c r="C27" s="25">
        <f>Weather_Site!C25</f>
        <v>0.70833333333333337</v>
      </c>
      <c r="D27" s="27">
        <f>Weather_Site!D25</f>
        <v>32.299999999999997</v>
      </c>
      <c r="E27" s="27">
        <f>Weather_Site!E25</f>
        <v>22.5</v>
      </c>
      <c r="F27" s="28">
        <f>Weather_Site!F25</f>
        <v>243</v>
      </c>
      <c r="G27" s="27">
        <f>Weather_Site!G25</f>
        <v>34</v>
      </c>
      <c r="H27" s="548">
        <f>C$4</f>
        <v>0</v>
      </c>
      <c r="I27" s="27">
        <f t="shared" si="2"/>
        <v>11.333333333333334</v>
      </c>
      <c r="J27" s="738">
        <f>IF(Weather_Site!M25&lt;180,Weather_Site!M25+180,Weather_Site!M25-180)</f>
        <v>63</v>
      </c>
      <c r="K27" s="635">
        <f t="shared" si="3"/>
        <v>4.9459900000000001</v>
      </c>
      <c r="L27" s="635">
        <f t="shared" si="4"/>
        <v>5.9489999999999998</v>
      </c>
      <c r="M27" s="635">
        <f t="shared" si="5"/>
        <v>5.9749100000000004</v>
      </c>
      <c r="N27" s="635">
        <f t="shared" si="6"/>
        <v>4.9459900000000001</v>
      </c>
      <c r="O27" s="636">
        <f t="shared" si="7"/>
        <v>0.94832349606667909</v>
      </c>
      <c r="P27" s="635">
        <f>IF($O$11,Weather_Site!H25,IF(0.191*(Weather_Site!K25+104)*(Weather_Site!J25+1)^1.5/(3.52*(Weather_Site!J25+1)^1.5+Weather_Site!I25-1)&gt;10, 10,0.191*(Weather_Site!K25+104)*(Weather_Site!J25+1)^1.5/(3.52*(Weather_Site!J25+1)^1.5+Weather_Site!I25-1)))</f>
        <v>8.8000000000000007</v>
      </c>
      <c r="Q27" s="636">
        <f t="shared" si="8"/>
        <v>0.97947601629684489</v>
      </c>
      <c r="R27" s="636">
        <f t="shared" si="9"/>
        <v>0.92886012008808749</v>
      </c>
      <c r="S27" s="635">
        <f t="shared" si="10"/>
        <v>1</v>
      </c>
      <c r="T27" s="707">
        <f t="shared" si="11"/>
        <v>559.07770707334487</v>
      </c>
      <c r="U27" s="707">
        <f t="shared" si="12"/>
        <v>1311.4707061534452</v>
      </c>
      <c r="V27" s="707">
        <f t="shared" si="13"/>
        <v>3245.5418045535039</v>
      </c>
      <c r="W27" s="708">
        <f t="shared" si="14"/>
        <v>1</v>
      </c>
      <c r="X27" s="636">
        <f t="shared" si="15"/>
        <v>0.93629273373759747</v>
      </c>
      <c r="Y27" s="707">
        <f t="shared" si="16"/>
        <v>3122.3274221173142</v>
      </c>
      <c r="Z27" s="635">
        <f t="shared" si="17"/>
        <v>11.582645805698693</v>
      </c>
      <c r="AA27" s="707">
        <f t="shared" si="18"/>
        <v>367.6094261699767</v>
      </c>
      <c r="AB27" s="707">
        <f t="shared" si="19"/>
        <v>37103.657532827419</v>
      </c>
    </row>
    <row r="28" spans="1:28" x14ac:dyDescent="0.25">
      <c r="A28" s="23" t="str">
        <f>Weather_Site!A26</f>
        <v>Sun</v>
      </c>
      <c r="B28" s="24">
        <f>Weather_Site!B26</f>
        <v>44549</v>
      </c>
      <c r="C28" s="25">
        <f>Weather_Site!C26</f>
        <v>0.75</v>
      </c>
      <c r="D28" s="27">
        <f>Weather_Site!D26</f>
        <v>31.4</v>
      </c>
      <c r="E28" s="27">
        <f>Weather_Site!E26</f>
        <v>21.8</v>
      </c>
      <c r="F28" s="28">
        <f>Weather_Site!F26</f>
        <v>237</v>
      </c>
      <c r="G28" s="27">
        <f>Weather_Site!G26</f>
        <v>37</v>
      </c>
      <c r="H28" s="548">
        <f>C$4</f>
        <v>0</v>
      </c>
      <c r="I28" s="27">
        <f t="shared" si="2"/>
        <v>12.333333333333334</v>
      </c>
      <c r="J28" s="738">
        <f>IF(Weather_Site!M26&lt;180,Weather_Site!M26+180,Weather_Site!M26-180)</f>
        <v>57</v>
      </c>
      <c r="K28" s="635">
        <f t="shared" si="3"/>
        <v>4.8760200000000005</v>
      </c>
      <c r="L28" s="635">
        <f t="shared" si="4"/>
        <v>5.8712</v>
      </c>
      <c r="M28" s="635">
        <f t="shared" si="5"/>
        <v>5.8797800000000002</v>
      </c>
      <c r="N28" s="635">
        <f t="shared" si="6"/>
        <v>5.8712</v>
      </c>
      <c r="O28" s="636">
        <f t="shared" si="7"/>
        <v>0.87942258488667746</v>
      </c>
      <c r="P28" s="635">
        <f>IF($O$11,Weather_Site!H26,IF(0.191*(Weather_Site!K26+104)*(Weather_Site!J26+1)^1.5/(3.52*(Weather_Site!J26+1)^1.5+Weather_Site!I26-1)&gt;10, 10,0.191*(Weather_Site!K26+104)*(Weather_Site!J26+1)^1.5/(3.52*(Weather_Site!J26+1)^1.5+Weather_Site!I26-1)))</f>
        <v>8.8000000000000007</v>
      </c>
      <c r="Q28" s="636">
        <f t="shared" si="8"/>
        <v>0.97947601629684489</v>
      </c>
      <c r="R28" s="636">
        <f t="shared" si="9"/>
        <v>0.8613733300862767</v>
      </c>
      <c r="S28" s="635">
        <f t="shared" si="10"/>
        <v>1</v>
      </c>
      <c r="T28" s="707">
        <f t="shared" si="11"/>
        <v>562.4634593273953</v>
      </c>
      <c r="U28" s="707">
        <f t="shared" si="12"/>
        <v>1312.574879080348</v>
      </c>
      <c r="V28" s="707">
        <f t="shared" si="13"/>
        <v>3328.7061380027667</v>
      </c>
      <c r="W28" s="708">
        <f t="shared" si="14"/>
        <v>1</v>
      </c>
      <c r="X28" s="636">
        <f t="shared" si="15"/>
        <v>0.85312573367927902</v>
      </c>
      <c r="Y28" s="707">
        <f t="shared" si="16"/>
        <v>3032.5883385422653</v>
      </c>
      <c r="Z28" s="635">
        <f t="shared" si="17"/>
        <v>11.340990677672263</v>
      </c>
      <c r="AA28" s="707">
        <f t="shared" si="18"/>
        <v>331.2566455348304</v>
      </c>
      <c r="AB28" s="707">
        <f t="shared" si="19"/>
        <v>36037.258089677256</v>
      </c>
    </row>
    <row r="29" spans="1:28" x14ac:dyDescent="0.25">
      <c r="A29" s="675" t="str">
        <f>Weather_Site!A27</f>
        <v>Sun</v>
      </c>
      <c r="B29" s="672">
        <f>Weather_Site!B27</f>
        <v>44549</v>
      </c>
      <c r="C29" s="673">
        <f>Weather_Site!C27</f>
        <v>0.79166666666666663</v>
      </c>
      <c r="D29" s="413">
        <f>Weather_Site!D27</f>
        <v>30.1</v>
      </c>
      <c r="E29" s="413">
        <f>Weather_Site!E27</f>
        <v>21.8</v>
      </c>
      <c r="F29" s="674">
        <f>Weather_Site!F27</f>
        <v>226</v>
      </c>
      <c r="G29" s="413">
        <f>Weather_Site!G27</f>
        <v>37</v>
      </c>
      <c r="H29" s="548">
        <f>C$4</f>
        <v>0</v>
      </c>
      <c r="I29" s="413">
        <f t="shared" si="2"/>
        <v>12.333333333333334</v>
      </c>
      <c r="J29" s="413">
        <f>IF(Weather_Site!M27&lt;180,Weather_Site!M27+180,Weather_Site!M27-180)</f>
        <v>46</v>
      </c>
      <c r="K29" s="711">
        <f t="shared" si="3"/>
        <v>4.9003300000000003</v>
      </c>
      <c r="L29" s="711">
        <f t="shared" si="4"/>
        <v>5.9297000000000004</v>
      </c>
      <c r="M29" s="711">
        <f t="shared" si="5"/>
        <v>5.9425700000000008</v>
      </c>
      <c r="N29" s="711">
        <f t="shared" si="6"/>
        <v>5.9297000000000004</v>
      </c>
      <c r="O29" s="713">
        <f t="shared" si="7"/>
        <v>0.87469079854630616</v>
      </c>
      <c r="P29" s="711">
        <f>IF($O$11,Weather_Site!H27,IF(0.191*(Weather_Site!K27+104)*(Weather_Site!J27+1)^1.5/(3.52*(Weather_Site!J27+1)^1.5+Weather_Site!I27-1)&gt;10, 10,0.191*(Weather_Site!K27+104)*(Weather_Site!J27+1)^1.5/(3.52*(Weather_Site!J27+1)^1.5+Weather_Site!I27-1)))</f>
        <v>8.8000000000000007</v>
      </c>
      <c r="Q29" s="713">
        <f t="shared" si="8"/>
        <v>0.97947601629684489</v>
      </c>
      <c r="R29" s="713">
        <f t="shared" si="9"/>
        <v>0.85673865885164202</v>
      </c>
      <c r="S29" s="711">
        <f t="shared" si="10"/>
        <v>1</v>
      </c>
      <c r="T29" s="716">
        <f t="shared" si="11"/>
        <v>559.43709070832426</v>
      </c>
      <c r="U29" s="716">
        <f t="shared" si="12"/>
        <v>1305.5124906560761</v>
      </c>
      <c r="V29" s="716">
        <f t="shared" si="13"/>
        <v>3310.7958335534659</v>
      </c>
      <c r="W29" s="717">
        <f t="shared" si="14"/>
        <v>1</v>
      </c>
      <c r="X29" s="713">
        <f t="shared" si="15"/>
        <v>0.83682349122763144</v>
      </c>
      <c r="Y29" s="716">
        <f t="shared" si="16"/>
        <v>2983.5806985600857</v>
      </c>
      <c r="Z29" s="711">
        <f t="shared" si="17"/>
        <v>11.208184796645215</v>
      </c>
      <c r="AA29" s="716">
        <f t="shared" si="18"/>
        <v>325.90342755276856</v>
      </c>
      <c r="AB29" s="716">
        <f t="shared" si="19"/>
        <v>35454.883967889022</v>
      </c>
    </row>
    <row r="30" spans="1:28" x14ac:dyDescent="0.25">
      <c r="A30" s="675" t="str">
        <f>Weather_Site!A28</f>
        <v>Sun</v>
      </c>
      <c r="B30" s="672">
        <f>Weather_Site!B28</f>
        <v>44549</v>
      </c>
      <c r="C30" s="673">
        <f>Weather_Site!C28</f>
        <v>0.83333333333333337</v>
      </c>
      <c r="D30" s="413">
        <f>Weather_Site!D28</f>
        <v>27.2</v>
      </c>
      <c r="E30" s="413">
        <f>Weather_Site!E28</f>
        <v>25.6</v>
      </c>
      <c r="F30" s="674">
        <f>Weather_Site!F28</f>
        <v>215</v>
      </c>
      <c r="G30" s="413">
        <f>Weather_Site!G28</f>
        <v>33</v>
      </c>
      <c r="H30" s="548">
        <f>C$4</f>
        <v>0</v>
      </c>
      <c r="I30" s="413">
        <f t="shared" si="2"/>
        <v>11</v>
      </c>
      <c r="J30" s="413">
        <f>IF(Weather_Site!M28&lt;180,Weather_Site!M28+180,Weather_Site!M28-180)</f>
        <v>35</v>
      </c>
      <c r="K30" s="711">
        <f t="shared" si="3"/>
        <v>5.4257600000000004</v>
      </c>
      <c r="L30" s="711">
        <f t="shared" si="4"/>
        <v>6.7024000000000008</v>
      </c>
      <c r="M30" s="711">
        <f t="shared" si="5"/>
        <v>6.8350400000000011</v>
      </c>
      <c r="N30" s="711">
        <f t="shared" si="6"/>
        <v>6.8350400000000011</v>
      </c>
      <c r="O30" s="713">
        <f t="shared" si="7"/>
        <v>0.79747877195559513</v>
      </c>
      <c r="P30" s="711">
        <f>IF($O$11,Weather_Site!H28,IF(0.191*(Weather_Site!K28+104)*(Weather_Site!J28+1)^1.5/(3.52*(Weather_Site!J28+1)^1.5+Weather_Site!I28-1)&gt;10, 10,0.191*(Weather_Site!K28+104)*(Weather_Site!J28+1)^1.5/(3.52*(Weather_Site!J28+1)^1.5+Weather_Site!I28-1)))</f>
        <v>8.8000000000000007</v>
      </c>
      <c r="Q30" s="713">
        <f t="shared" si="8"/>
        <v>0.97947601629684489</v>
      </c>
      <c r="R30" s="713">
        <f t="shared" si="9"/>
        <v>0.7811113306363664</v>
      </c>
      <c r="S30" s="711">
        <f t="shared" si="10"/>
        <v>1</v>
      </c>
      <c r="T30" s="716">
        <f t="shared" si="11"/>
        <v>456.78432160239777</v>
      </c>
      <c r="U30" s="716">
        <f t="shared" si="12"/>
        <v>1073.4035484662907</v>
      </c>
      <c r="V30" s="716">
        <f t="shared" si="13"/>
        <v>2633.9341307149075</v>
      </c>
      <c r="W30" s="717">
        <f t="shared" si="14"/>
        <v>1</v>
      </c>
      <c r="X30" s="713">
        <f t="shared" si="15"/>
        <v>0.1710813611171646</v>
      </c>
      <c r="Y30" s="716">
        <f t="shared" si="16"/>
        <v>1340.3812445423453</v>
      </c>
      <c r="Z30" s="711">
        <f t="shared" si="17"/>
        <v>6.2847202800395259</v>
      </c>
      <c r="AA30" s="716">
        <f t="shared" si="18"/>
        <v>162.01484849179826</v>
      </c>
      <c r="AB30" s="716">
        <f t="shared" si="19"/>
        <v>15928.19712264487</v>
      </c>
    </row>
    <row r="31" spans="1:28" x14ac:dyDescent="0.25">
      <c r="A31" s="675" t="str">
        <f>Weather_Site!A29</f>
        <v>Sun</v>
      </c>
      <c r="B31" s="672">
        <f>Weather_Site!B29</f>
        <v>44549</v>
      </c>
      <c r="C31" s="673">
        <f>Weather_Site!C29</f>
        <v>0.875</v>
      </c>
      <c r="D31" s="413">
        <f>Weather_Site!D29</f>
        <v>24.6</v>
      </c>
      <c r="E31" s="413">
        <f>Weather_Site!E29</f>
        <v>25.8</v>
      </c>
      <c r="F31" s="674">
        <f>Weather_Site!F29</f>
        <v>210</v>
      </c>
      <c r="G31" s="413">
        <f>Weather_Site!G29</f>
        <v>34</v>
      </c>
      <c r="H31" s="548">
        <f>C$4</f>
        <v>0</v>
      </c>
      <c r="I31" s="413">
        <f t="shared" si="2"/>
        <v>11.333333333333334</v>
      </c>
      <c r="J31" s="413">
        <f>IF(Weather_Site!M29&lt;180,Weather_Site!M29+180,Weather_Site!M29-180)</f>
        <v>30</v>
      </c>
      <c r="K31" s="711">
        <f t="shared" si="3"/>
        <v>5.49918</v>
      </c>
      <c r="L31" s="711">
        <f t="shared" si="4"/>
        <v>6.8532000000000002</v>
      </c>
      <c r="M31" s="711">
        <f t="shared" si="5"/>
        <v>7.0002200000000014</v>
      </c>
      <c r="N31" s="711">
        <f t="shared" si="6"/>
        <v>7.0002200000000014</v>
      </c>
      <c r="O31" s="713">
        <f t="shared" si="7"/>
        <v>0.78277665831395427</v>
      </c>
      <c r="P31" s="711">
        <f>IF($O$11,Weather_Site!H29,IF(0.191*(Weather_Site!K29+104)*(Weather_Site!J29+1)^1.5/(3.52*(Weather_Site!J29+1)^1.5+Weather_Site!I29-1)&gt;10, 10,0.191*(Weather_Site!K29+104)*(Weather_Site!J29+1)^1.5/(3.52*(Weather_Site!J29+1)^1.5+Weather_Site!I29-1)))</f>
        <v>8.8000000000000007</v>
      </c>
      <c r="Q31" s="713">
        <f t="shared" si="8"/>
        <v>0.97947601629684489</v>
      </c>
      <c r="R31" s="713">
        <f t="shared" si="9"/>
        <v>0.76671096293550844</v>
      </c>
      <c r="S31" s="711">
        <f t="shared" si="10"/>
        <v>1</v>
      </c>
      <c r="T31" s="716">
        <f t="shared" si="11"/>
        <v>461.48068786216135</v>
      </c>
      <c r="U31" s="716">
        <f t="shared" si="12"/>
        <v>1082.5300238762127</v>
      </c>
      <c r="V31" s="716">
        <f t="shared" si="13"/>
        <v>2678.9743992676536</v>
      </c>
      <c r="W31" s="713">
        <f t="shared" si="14"/>
        <v>1</v>
      </c>
      <c r="X31" s="713">
        <f t="shared" si="15"/>
        <v>0.15844156417109964</v>
      </c>
      <c r="Y31" s="716">
        <f t="shared" si="16"/>
        <v>1335.4731678253866</v>
      </c>
      <c r="Z31" s="711">
        <f t="shared" si="17"/>
        <v>6.268073593990156</v>
      </c>
      <c r="AA31" s="716">
        <f t="shared" si="18"/>
        <v>157.23287744011802</v>
      </c>
      <c r="AB31" s="716">
        <f t="shared" si="19"/>
        <v>15869.872810991676</v>
      </c>
    </row>
    <row r="32" spans="1:28" x14ac:dyDescent="0.25">
      <c r="A32" s="675" t="str">
        <f>Weather_Site!A30</f>
        <v>Sun</v>
      </c>
      <c r="B32" s="672">
        <f>Weather_Site!B30</f>
        <v>44549</v>
      </c>
      <c r="C32" s="673">
        <f>Weather_Site!C30</f>
        <v>0.91666666666666663</v>
      </c>
      <c r="D32" s="413">
        <f>Weather_Site!D30</f>
        <v>21.9</v>
      </c>
      <c r="E32" s="413">
        <f>Weather_Site!E30</f>
        <v>28.9</v>
      </c>
      <c r="F32" s="674">
        <f>Weather_Site!F30</f>
        <v>210</v>
      </c>
      <c r="G32" s="413">
        <f>Weather_Site!G30</f>
        <v>33</v>
      </c>
      <c r="H32" s="548">
        <f>C$4</f>
        <v>0</v>
      </c>
      <c r="I32" s="413">
        <f t="shared" si="2"/>
        <v>11</v>
      </c>
      <c r="J32" s="413">
        <f>IF(Weather_Site!M30&lt;180,Weather_Site!M30+180,Weather_Site!M30-180)</f>
        <v>30</v>
      </c>
      <c r="K32" s="711">
        <f t="shared" si="3"/>
        <v>5.9340699999999993</v>
      </c>
      <c r="L32" s="711">
        <f t="shared" si="4"/>
        <v>7.4985999999999997</v>
      </c>
      <c r="M32" s="711">
        <f t="shared" si="5"/>
        <v>7.7444299999999995</v>
      </c>
      <c r="N32" s="711">
        <f t="shared" si="6"/>
        <v>7.7444299999999995</v>
      </c>
      <c r="O32" s="713">
        <f t="shared" si="7"/>
        <v>0.71528875402998504</v>
      </c>
      <c r="P32" s="711">
        <f>IF($O$11,Weather_Site!H30,IF(0.191*(Weather_Site!K30+104)*(Weather_Site!J30+1)^1.5/(3.52*(Weather_Site!J30+1)^1.5+Weather_Site!I30-1)&gt;10, 10,0.191*(Weather_Site!K30+104)*(Weather_Site!J30+1)^1.5/(3.52*(Weather_Site!J30+1)^1.5+Weather_Site!I30-1)))</f>
        <v>8.8000000000000007</v>
      </c>
      <c r="Q32" s="713">
        <f t="shared" si="8"/>
        <v>0.97947601629684489</v>
      </c>
      <c r="R32" s="713">
        <f t="shared" si="9"/>
        <v>0.70060817929922348</v>
      </c>
      <c r="S32" s="711">
        <f t="shared" si="10"/>
        <v>1</v>
      </c>
      <c r="T32" s="716">
        <f t="shared" si="11"/>
        <v>409.70706650684872</v>
      </c>
      <c r="U32" s="716">
        <f t="shared" si="12"/>
        <v>962.7760810121847</v>
      </c>
      <c r="V32" s="716">
        <f t="shared" si="13"/>
        <v>2362.4747501881129</v>
      </c>
      <c r="W32" s="713">
        <f t="shared" si="14"/>
        <v>1</v>
      </c>
      <c r="X32" s="713">
        <f t="shared" si="15"/>
        <v>2.3171768665391071E-2</v>
      </c>
      <c r="Y32" s="716">
        <f t="shared" si="16"/>
        <v>995.20957477558511</v>
      </c>
      <c r="Z32" s="711">
        <f t="shared" si="17"/>
        <v>5.067480403870694</v>
      </c>
      <c r="AA32" s="716">
        <f t="shared" si="18"/>
        <v>120.29318459309398</v>
      </c>
      <c r="AB32" s="716">
        <f t="shared" si="19"/>
        <v>11826.407113583202</v>
      </c>
    </row>
    <row r="33" spans="1:28" x14ac:dyDescent="0.25">
      <c r="A33" s="675" t="str">
        <f>Weather_Site!A31</f>
        <v>Sun</v>
      </c>
      <c r="B33" s="672">
        <f>Weather_Site!B31</f>
        <v>44549</v>
      </c>
      <c r="C33" s="673">
        <f>Weather_Site!C31</f>
        <v>0.95833333333333337</v>
      </c>
      <c r="D33" s="413">
        <f>Weather_Site!D31</f>
        <v>19.7</v>
      </c>
      <c r="E33" s="413">
        <f>Weather_Site!E31</f>
        <v>31.5</v>
      </c>
      <c r="F33" s="674">
        <f>Weather_Site!F31</f>
        <v>205</v>
      </c>
      <c r="G33" s="413">
        <f>Weather_Site!G31</f>
        <v>29</v>
      </c>
      <c r="H33" s="548">
        <f>C$4</f>
        <v>0</v>
      </c>
      <c r="I33" s="413">
        <f t="shared" si="2"/>
        <v>9.6666666666666661</v>
      </c>
      <c r="J33" s="413">
        <f>IF(Weather_Site!M31&lt;180,Weather_Site!M31+180,Weather_Site!M31-180)</f>
        <v>25</v>
      </c>
      <c r="K33" s="711">
        <f t="shared" si="3"/>
        <v>6.2976100000000006</v>
      </c>
      <c r="L33" s="711">
        <f t="shared" si="4"/>
        <v>8.0370000000000008</v>
      </c>
      <c r="M33" s="711">
        <f t="shared" si="5"/>
        <v>8.3654899999999994</v>
      </c>
      <c r="N33" s="711">
        <f t="shared" si="6"/>
        <v>8.3654899999999994</v>
      </c>
      <c r="O33" s="713">
        <f t="shared" si="7"/>
        <v>0.65846199504402303</v>
      </c>
      <c r="P33" s="711">
        <f>IF($O$11,Weather_Site!H31,IF(0.191*(Weather_Site!K31+104)*(Weather_Site!J31+1)^1.5/(3.52*(Weather_Site!J31+1)^1.5+Weather_Site!I31-1)&gt;10, 10,0.191*(Weather_Site!K31+104)*(Weather_Site!J31+1)^1.5/(3.52*(Weather_Site!J31+1)^1.5+Weather_Site!I31-1)))</f>
        <v>8.8000000000000007</v>
      </c>
      <c r="Q33" s="713">
        <f t="shared" si="8"/>
        <v>0.97947601629684489</v>
      </c>
      <c r="R33" s="713">
        <f t="shared" si="9"/>
        <v>0.64494773178859255</v>
      </c>
      <c r="S33" s="711">
        <f t="shared" si="10"/>
        <v>1</v>
      </c>
      <c r="T33" s="716">
        <f t="shared" si="11"/>
        <v>332.73833767742468</v>
      </c>
      <c r="U33" s="716">
        <f t="shared" si="12"/>
        <v>787.51657569945837</v>
      </c>
      <c r="V33" s="716">
        <f t="shared" si="13"/>
        <v>1864.5184821106634</v>
      </c>
      <c r="W33" s="713">
        <f t="shared" si="14"/>
        <v>1</v>
      </c>
      <c r="X33" s="713">
        <f t="shared" si="15"/>
        <v>1.6299712120916776E-3</v>
      </c>
      <c r="Y33" s="716">
        <f t="shared" si="16"/>
        <v>789.27205780227655</v>
      </c>
      <c r="Z33" s="711">
        <f t="shared" si="17"/>
        <v>4.2854337516598502</v>
      </c>
      <c r="AA33" s="716">
        <f t="shared" si="18"/>
        <v>106.779595460019</v>
      </c>
      <c r="AB33" s="716">
        <f t="shared" si="19"/>
        <v>9379.1829535503875</v>
      </c>
    </row>
    <row r="34" spans="1:28" x14ac:dyDescent="0.25">
      <c r="A34" s="23" t="str">
        <f>Weather_Site!A32</f>
        <v>Mon</v>
      </c>
      <c r="B34" s="24">
        <f>Weather_Site!B32</f>
        <v>44550</v>
      </c>
      <c r="C34" s="25">
        <f>Weather_Site!C32</f>
        <v>0</v>
      </c>
      <c r="D34" s="27">
        <f>Weather_Site!D32</f>
        <v>18.899999999999999</v>
      </c>
      <c r="E34" s="27">
        <f>Weather_Site!E32</f>
        <v>32.4</v>
      </c>
      <c r="F34" s="28">
        <f>Weather_Site!F32</f>
        <v>203</v>
      </c>
      <c r="G34" s="27">
        <f>Weather_Site!G32</f>
        <v>24</v>
      </c>
      <c r="H34" s="548">
        <f>C$4</f>
        <v>0</v>
      </c>
      <c r="I34" s="27">
        <f t="shared" si="2"/>
        <v>8</v>
      </c>
      <c r="J34" s="738">
        <f>IF(Weather_Site!M32&lt;180,Weather_Site!M32+180,Weather_Site!M32-180)</f>
        <v>23</v>
      </c>
      <c r="K34" s="635">
        <f t="shared" si="3"/>
        <v>6.4241699999999993</v>
      </c>
      <c r="L34" s="635">
        <f t="shared" si="4"/>
        <v>8.2250999999999994</v>
      </c>
      <c r="M34" s="635">
        <f t="shared" si="5"/>
        <v>8.5823300000000007</v>
      </c>
      <c r="N34" s="635">
        <f t="shared" si="6"/>
        <v>8.5823300000000007</v>
      </c>
      <c r="O34" s="636">
        <f t="shared" si="7"/>
        <v>0.63872946964178212</v>
      </c>
      <c r="P34" s="635">
        <f>IF($O$11,Weather_Site!H32,IF(0.191*(Weather_Site!K32+104)*(Weather_Site!J32+1)^1.5/(3.52*(Weather_Site!J32+1)^1.5+Weather_Site!I32-1)&gt;10, 10,0.191*(Weather_Site!K32+104)*(Weather_Site!J32+1)^1.5/(3.52*(Weather_Site!J32+1)^1.5+Weather_Site!I32-1)))</f>
        <v>8.8000000000000007</v>
      </c>
      <c r="Q34" s="636">
        <f t="shared" si="8"/>
        <v>0.97947601629684489</v>
      </c>
      <c r="R34" s="636">
        <f t="shared" si="9"/>
        <v>0.62562019641612931</v>
      </c>
      <c r="S34" s="635">
        <f t="shared" si="10"/>
        <v>1</v>
      </c>
      <c r="T34" s="707">
        <f t="shared" si="11"/>
        <v>268.20224325955246</v>
      </c>
      <c r="U34" s="707">
        <f t="shared" si="12"/>
        <v>640.41257338239257</v>
      </c>
      <c r="V34" s="707">
        <f t="shared" si="13"/>
        <v>1443.5954159515466</v>
      </c>
      <c r="W34" s="636">
        <f t="shared" si="14"/>
        <v>1</v>
      </c>
      <c r="X34" s="636">
        <f t="shared" si="15"/>
        <v>2.2203394725235645E-4</v>
      </c>
      <c r="Y34" s="707">
        <f t="shared" si="16"/>
        <v>640.59090723929353</v>
      </c>
      <c r="Z34" s="635">
        <f t="shared" si="17"/>
        <v>3.6851719601475543</v>
      </c>
      <c r="AA34" s="707">
        <f t="shared" si="18"/>
        <v>101.84922844684773</v>
      </c>
      <c r="AB34" s="707">
        <f t="shared" si="19"/>
        <v>7612.3552810269393</v>
      </c>
    </row>
    <row r="35" spans="1:28" x14ac:dyDescent="0.25">
      <c r="A35" s="23" t="str">
        <f>Weather_Site!A33</f>
        <v>Mon</v>
      </c>
      <c r="B35" s="24">
        <f>Weather_Site!B33</f>
        <v>44550</v>
      </c>
      <c r="C35" s="25">
        <f>Weather_Site!C33</f>
        <v>4.1666666666666664E-2</v>
      </c>
      <c r="D35" s="27">
        <f>Weather_Site!D33</f>
        <v>17.7</v>
      </c>
      <c r="E35" s="27">
        <f>Weather_Site!E33</f>
        <v>34.9</v>
      </c>
      <c r="F35" s="28">
        <f>Weather_Site!F33</f>
        <v>200</v>
      </c>
      <c r="G35" s="27">
        <f>Weather_Site!G33</f>
        <v>24</v>
      </c>
      <c r="H35" s="548">
        <f>C$4</f>
        <v>0</v>
      </c>
      <c r="I35" s="27">
        <f t="shared" si="2"/>
        <v>8</v>
      </c>
      <c r="J35" s="738">
        <f>IF(Weather_Site!M33&lt;180,Weather_Site!M33+180,Weather_Site!M33-180)</f>
        <v>20</v>
      </c>
      <c r="K35" s="635">
        <f t="shared" si="3"/>
        <v>6.7566099999999993</v>
      </c>
      <c r="L35" s="635">
        <f t="shared" si="4"/>
        <v>8.7016000000000009</v>
      </c>
      <c r="M35" s="635">
        <f t="shared" si="5"/>
        <v>9.1352899999999995</v>
      </c>
      <c r="N35" s="635">
        <f t="shared" si="6"/>
        <v>9.1352899999999995</v>
      </c>
      <c r="O35" s="636">
        <f t="shared" si="7"/>
        <v>0.58906622083230475</v>
      </c>
      <c r="P35" s="635">
        <f>IF($O$11,Weather_Site!H33,IF(0.191*(Weather_Site!K33+104)*(Weather_Site!J33+1)^1.5/(3.52*(Weather_Site!J33+1)^1.5+Weather_Site!I33-1)&gt;10, 10,0.191*(Weather_Site!K33+104)*(Weather_Site!J33+1)^1.5/(3.52*(Weather_Site!J33+1)^1.5+Weather_Site!I33-1)))</f>
        <v>8.8000000000000007</v>
      </c>
      <c r="Q35" s="636">
        <f t="shared" si="8"/>
        <v>0.97947601629684489</v>
      </c>
      <c r="R35" s="636">
        <f t="shared" si="9"/>
        <v>0.57697623531586339</v>
      </c>
      <c r="S35" s="635">
        <f t="shared" si="10"/>
        <v>1</v>
      </c>
      <c r="T35" s="707">
        <f t="shared" si="11"/>
        <v>247.34866538137933</v>
      </c>
      <c r="U35" s="707">
        <f t="shared" si="12"/>
        <v>590.61845790116297</v>
      </c>
      <c r="V35" s="707">
        <f t="shared" si="13"/>
        <v>1331.3512785973855</v>
      </c>
      <c r="W35" s="636">
        <f t="shared" si="14"/>
        <v>1</v>
      </c>
      <c r="X35" s="636">
        <f t="shared" si="15"/>
        <v>6.0085204693627647E-5</v>
      </c>
      <c r="Y35" s="707">
        <f t="shared" si="16"/>
        <v>590.6629649843178</v>
      </c>
      <c r="Z35" s="635">
        <f t="shared" si="17"/>
        <v>3.4751895229361391</v>
      </c>
      <c r="AA35" s="707">
        <f t="shared" si="18"/>
        <v>93.911053959602796</v>
      </c>
      <c r="AB35" s="707">
        <f t="shared" si="19"/>
        <v>7019.0449005636447</v>
      </c>
    </row>
    <row r="36" spans="1:28" x14ac:dyDescent="0.25">
      <c r="A36" s="23" t="str">
        <f>Weather_Site!A34</f>
        <v>Mon</v>
      </c>
      <c r="B36" s="24">
        <f>Weather_Site!B34</f>
        <v>44550</v>
      </c>
      <c r="C36" s="25">
        <f>Weather_Site!C34</f>
        <v>8.3333333333333329E-2</v>
      </c>
      <c r="D36" s="27">
        <f>Weather_Site!D34</f>
        <v>16.399999999999999</v>
      </c>
      <c r="E36" s="27">
        <f>Weather_Site!E34</f>
        <v>37.6</v>
      </c>
      <c r="F36" s="28">
        <f>Weather_Site!F34</f>
        <v>197</v>
      </c>
      <c r="G36" s="27">
        <f>Weather_Site!G34</f>
        <v>21</v>
      </c>
      <c r="H36" s="548">
        <f>C$4</f>
        <v>0</v>
      </c>
      <c r="I36" s="27">
        <f t="shared" si="2"/>
        <v>7</v>
      </c>
      <c r="J36" s="738">
        <f>IF(Weather_Site!M34&lt;180,Weather_Site!M34+180,Weather_Site!M34-180)</f>
        <v>17</v>
      </c>
      <c r="K36" s="635">
        <f t="shared" si="3"/>
        <v>7.1157199999999996</v>
      </c>
      <c r="L36" s="635">
        <f t="shared" si="4"/>
        <v>9.2164000000000019</v>
      </c>
      <c r="M36" s="635">
        <f t="shared" si="5"/>
        <v>9.7326800000000002</v>
      </c>
      <c r="N36" s="635">
        <f t="shared" si="6"/>
        <v>9.7326800000000002</v>
      </c>
      <c r="O36" s="636">
        <f t="shared" si="7"/>
        <v>0.53704646170044446</v>
      </c>
      <c r="P36" s="635">
        <f>IF($O$11,Weather_Site!H34,IF(0.191*(Weather_Site!K34+104)*(Weather_Site!J34+1)^1.5/(3.52*(Weather_Site!J34+1)^1.5+Weather_Site!I34-1)&gt;10, 10,0.191*(Weather_Site!K34+104)*(Weather_Site!J34+1)^1.5/(3.52*(Weather_Site!J34+1)^1.5+Weather_Site!I34-1)))</f>
        <v>8.8000000000000007</v>
      </c>
      <c r="Q36" s="636">
        <f t="shared" si="8"/>
        <v>0.97947601629684489</v>
      </c>
      <c r="R36" s="636">
        <f t="shared" si="9"/>
        <v>0.52602412887266736</v>
      </c>
      <c r="S36" s="635">
        <f t="shared" si="10"/>
        <v>1</v>
      </c>
      <c r="T36" s="707">
        <f t="shared" si="11"/>
        <v>197.59938403851137</v>
      </c>
      <c r="U36" s="707">
        <f t="shared" si="12"/>
        <v>474.10819342782605</v>
      </c>
      <c r="V36" s="707">
        <f t="shared" si="13"/>
        <v>1035.2750632783182</v>
      </c>
      <c r="W36" s="636">
        <f t="shared" si="14"/>
        <v>1</v>
      </c>
      <c r="X36" s="636">
        <f t="shared" si="15"/>
        <v>6.3044836976955301E-6</v>
      </c>
      <c r="Y36" s="707">
        <f t="shared" si="16"/>
        <v>474.1117312952087</v>
      </c>
      <c r="Z36" s="635">
        <f t="shared" si="17"/>
        <v>2.9645693117771006</v>
      </c>
      <c r="AA36" s="707">
        <f t="shared" si="18"/>
        <v>84.235614258973897</v>
      </c>
      <c r="AB36" s="707">
        <f t="shared" si="19"/>
        <v>5634.0277402247293</v>
      </c>
    </row>
    <row r="37" spans="1:28" x14ac:dyDescent="0.25">
      <c r="A37" s="23" t="str">
        <f>Weather_Site!A35</f>
        <v>Mon</v>
      </c>
      <c r="B37" s="24">
        <f>Weather_Site!B35</f>
        <v>44550</v>
      </c>
      <c r="C37" s="25">
        <f>Weather_Site!C35</f>
        <v>0.125</v>
      </c>
      <c r="D37" s="27">
        <f>Weather_Site!D35</f>
        <v>15.4</v>
      </c>
      <c r="E37" s="27">
        <f>Weather_Site!E35</f>
        <v>41.3</v>
      </c>
      <c r="F37" s="28">
        <f>Weather_Site!F35</f>
        <v>193</v>
      </c>
      <c r="G37" s="27">
        <f>Weather_Site!G35</f>
        <v>18</v>
      </c>
      <c r="H37" s="548">
        <f>C$4</f>
        <v>0</v>
      </c>
      <c r="I37" s="27">
        <f t="shared" si="2"/>
        <v>6</v>
      </c>
      <c r="J37" s="738">
        <f>IF(Weather_Site!M35&lt;180,Weather_Site!M35+180,Weather_Site!M35-180)</f>
        <v>13</v>
      </c>
      <c r="K37" s="635">
        <f t="shared" si="3"/>
        <v>7.5932199999999996</v>
      </c>
      <c r="L37" s="635">
        <f t="shared" si="4"/>
        <v>9.8867000000000012</v>
      </c>
      <c r="M37" s="635">
        <f t="shared" si="5"/>
        <v>10.513580000000001</v>
      </c>
      <c r="N37" s="635">
        <f t="shared" si="6"/>
        <v>10.513580000000001</v>
      </c>
      <c r="O37" s="636">
        <f t="shared" si="7"/>
        <v>0.47272175467155969</v>
      </c>
      <c r="P37" s="635">
        <f>IF($O$11,Weather_Site!H35,IF(0.191*(Weather_Site!K35+104)*(Weather_Site!J35+1)^1.5/(3.52*(Weather_Site!J35+1)^1.5+Weather_Site!I35-1)&gt;10, 10,0.191*(Weather_Site!K35+104)*(Weather_Site!J35+1)^1.5/(3.52*(Weather_Site!J35+1)^1.5+Weather_Site!I35-1)))</f>
        <v>8.8000000000000007</v>
      </c>
      <c r="Q37" s="636">
        <f t="shared" si="8"/>
        <v>0.97947601629684489</v>
      </c>
      <c r="R37" s="636">
        <f t="shared" si="9"/>
        <v>0.46301962108255373</v>
      </c>
      <c r="S37" s="635">
        <f t="shared" si="10"/>
        <v>1</v>
      </c>
      <c r="T37" s="707">
        <f t="shared" si="11"/>
        <v>149.06303629062694</v>
      </c>
      <c r="U37" s="707">
        <f t="shared" si="12"/>
        <v>358.99799835700816</v>
      </c>
      <c r="V37" s="707">
        <f t="shared" si="13"/>
        <v>758.39788139474399</v>
      </c>
      <c r="W37" s="636">
        <f t="shared" si="14"/>
        <v>1</v>
      </c>
      <c r="X37" s="636">
        <f t="shared" si="15"/>
        <v>4.7846202429760306E-7</v>
      </c>
      <c r="Y37" s="707">
        <f t="shared" si="16"/>
        <v>358.99818945468468</v>
      </c>
      <c r="Z37" s="635">
        <f t="shared" si="17"/>
        <v>2.4245523416406374</v>
      </c>
      <c r="AA37" s="707">
        <f t="shared" si="18"/>
        <v>72.273753715309368</v>
      </c>
      <c r="AB37" s="707">
        <f t="shared" si="19"/>
        <v>4266.09515135317</v>
      </c>
    </row>
    <row r="38" spans="1:28" x14ac:dyDescent="0.25">
      <c r="A38" s="23" t="str">
        <f>Weather_Site!A36</f>
        <v>Mon</v>
      </c>
      <c r="B38" s="24">
        <f>Weather_Site!B36</f>
        <v>44550</v>
      </c>
      <c r="C38" s="25">
        <f>Weather_Site!C36</f>
        <v>0.16666666666666666</v>
      </c>
      <c r="D38" s="27">
        <f>Weather_Site!D36</f>
        <v>14.5</v>
      </c>
      <c r="E38" s="27">
        <f>Weather_Site!E36</f>
        <v>44.7</v>
      </c>
      <c r="F38" s="28">
        <f>Weather_Site!F36</f>
        <v>190</v>
      </c>
      <c r="G38" s="27">
        <f>Weather_Site!G36</f>
        <v>15</v>
      </c>
      <c r="H38" s="548">
        <f>C$4</f>
        <v>0</v>
      </c>
      <c r="I38" s="27">
        <f t="shared" si="2"/>
        <v>5</v>
      </c>
      <c r="J38" s="738">
        <f>IF(Weather_Site!M36&lt;180,Weather_Site!M36+180,Weather_Site!M36-180)</f>
        <v>10</v>
      </c>
      <c r="K38" s="635">
        <f t="shared" si="3"/>
        <v>8.0316500000000008</v>
      </c>
      <c r="L38" s="635">
        <f t="shared" si="4"/>
        <v>10.501800000000001</v>
      </c>
      <c r="M38" s="635">
        <f t="shared" si="5"/>
        <v>11.230250000000002</v>
      </c>
      <c r="N38" s="635">
        <f t="shared" si="6"/>
        <v>11.230250000000002</v>
      </c>
      <c r="O38" s="636">
        <f t="shared" si="7"/>
        <v>0.41835278490704364</v>
      </c>
      <c r="P38" s="635">
        <f>IF($O$11,Weather_Site!H36,IF(0.191*(Weather_Site!K36+104)*(Weather_Site!J36+1)^1.5/(3.52*(Weather_Site!J36+1)^1.5+Weather_Site!I36-1)&gt;10, 10,0.191*(Weather_Site!K36+104)*(Weather_Site!J36+1)^1.5/(3.52*(Weather_Site!J36+1)^1.5+Weather_Site!I36-1)))</f>
        <v>8.8000000000000007</v>
      </c>
      <c r="Q38" s="636">
        <f t="shared" si="8"/>
        <v>0.97947601629684489</v>
      </c>
      <c r="R38" s="636">
        <f t="shared" si="9"/>
        <v>0.40976651916744194</v>
      </c>
      <c r="S38" s="635">
        <f t="shared" si="10"/>
        <v>1</v>
      </c>
      <c r="T38" s="707">
        <f t="shared" si="11"/>
        <v>109.5810338724425</v>
      </c>
      <c r="U38" s="707">
        <f t="shared" si="12"/>
        <v>264.24785692539547</v>
      </c>
      <c r="V38" s="707">
        <f t="shared" si="13"/>
        <v>540.14100937881983</v>
      </c>
      <c r="W38" s="636">
        <f t="shared" si="14"/>
        <v>1</v>
      </c>
      <c r="X38" s="636">
        <f t="shared" si="15"/>
        <v>0</v>
      </c>
      <c r="Y38" s="707">
        <f t="shared" si="16"/>
        <v>264.24785692539547</v>
      </c>
      <c r="Z38" s="635">
        <f t="shared" si="17"/>
        <v>1.9427376507868279</v>
      </c>
      <c r="AA38" s="707">
        <f t="shared" si="18"/>
        <v>61.367361106687284</v>
      </c>
      <c r="AB38" s="707">
        <f t="shared" si="19"/>
        <v>3140.1453664634491</v>
      </c>
    </row>
    <row r="39" spans="1:28" x14ac:dyDescent="0.25">
      <c r="A39" s="675" t="str">
        <f>Weather_Site!A37</f>
        <v>Mon</v>
      </c>
      <c r="B39" s="672">
        <f>Weather_Site!B37</f>
        <v>44550</v>
      </c>
      <c r="C39" s="673">
        <f>Weather_Site!C37</f>
        <v>0.20833333333333334</v>
      </c>
      <c r="D39" s="413">
        <f>Weather_Site!D37</f>
        <v>13.5</v>
      </c>
      <c r="E39" s="413">
        <f>Weather_Site!E37</f>
        <v>48.3</v>
      </c>
      <c r="F39" s="674">
        <f>Weather_Site!F37</f>
        <v>189</v>
      </c>
      <c r="G39" s="413">
        <f>Weather_Site!G37</f>
        <v>15</v>
      </c>
      <c r="H39" s="548">
        <f>C$4</f>
        <v>0</v>
      </c>
      <c r="I39" s="413">
        <f t="shared" si="2"/>
        <v>5</v>
      </c>
      <c r="J39" s="413">
        <f>IF(Weather_Site!M37&lt;180,Weather_Site!M37+180,Weather_Site!M37-180)</f>
        <v>9</v>
      </c>
      <c r="K39" s="711">
        <f t="shared" si="3"/>
        <v>8.4967499999999987</v>
      </c>
      <c r="L39" s="711">
        <f t="shared" si="4"/>
        <v>11.155200000000001</v>
      </c>
      <c r="M39" s="711">
        <f t="shared" si="5"/>
        <v>11.991350000000001</v>
      </c>
      <c r="N39" s="711">
        <f t="shared" si="6"/>
        <v>11.991350000000001</v>
      </c>
      <c r="O39" s="713">
        <f t="shared" si="7"/>
        <v>0.3663807591470567</v>
      </c>
      <c r="P39" s="711">
        <f>IF($O$11,Weather_Site!H37,IF(0.191*(Weather_Site!K37+104)*(Weather_Site!J37+1)^1.5/(3.52*(Weather_Site!J37+1)^1.5+Weather_Site!I37-1)&gt;10, 10,0.191*(Weather_Site!K37+104)*(Weather_Site!J37+1)^1.5/(3.52*(Weather_Site!J37+1)^1.5+Weather_Site!I37-1)))</f>
        <v>8.8000000000000007</v>
      </c>
      <c r="Q39" s="713">
        <f t="shared" si="8"/>
        <v>0.97947601629684489</v>
      </c>
      <c r="R39" s="713">
        <f t="shared" si="9"/>
        <v>0.35886116641717292</v>
      </c>
      <c r="S39" s="711">
        <f t="shared" si="10"/>
        <v>1</v>
      </c>
      <c r="T39" s="716">
        <f t="shared" si="11"/>
        <v>95.967766504113584</v>
      </c>
      <c r="U39" s="716">
        <f t="shared" si="12"/>
        <v>231.42030820906618</v>
      </c>
      <c r="V39" s="716">
        <f t="shared" si="13"/>
        <v>473.03921523228655</v>
      </c>
      <c r="W39" s="713">
        <f t="shared" si="14"/>
        <v>1</v>
      </c>
      <c r="X39" s="713">
        <f t="shared" si="15"/>
        <v>0</v>
      </c>
      <c r="Y39" s="716">
        <f t="shared" si="16"/>
        <v>231.42030820906618</v>
      </c>
      <c r="Z39" s="711">
        <f t="shared" si="17"/>
        <v>1.7650707681887385</v>
      </c>
      <c r="AA39" s="716">
        <f t="shared" si="18"/>
        <v>53.743685139123585</v>
      </c>
      <c r="AB39" s="716">
        <f t="shared" si="19"/>
        <v>2750.0446625510695</v>
      </c>
    </row>
    <row r="40" spans="1:28" x14ac:dyDescent="0.25">
      <c r="A40" s="675" t="str">
        <f>Weather_Site!A38</f>
        <v>Mon</v>
      </c>
      <c r="B40" s="672">
        <f>Weather_Site!B38</f>
        <v>44550</v>
      </c>
      <c r="C40" s="673">
        <f>Weather_Site!C38</f>
        <v>0.25</v>
      </c>
      <c r="D40" s="413">
        <f>Weather_Site!D38</f>
        <v>12.5</v>
      </c>
      <c r="E40" s="413">
        <f>Weather_Site!E38</f>
        <v>53.1</v>
      </c>
      <c r="F40" s="674">
        <f>Weather_Site!F38</f>
        <v>185</v>
      </c>
      <c r="G40" s="413">
        <f>Weather_Site!G38</f>
        <v>14</v>
      </c>
      <c r="H40" s="548">
        <f>C$4</f>
        <v>0</v>
      </c>
      <c r="I40" s="413">
        <f t="shared" si="2"/>
        <v>4.666666666666667</v>
      </c>
      <c r="J40" s="413">
        <f>IF(Weather_Site!M38&lt;180,Weather_Site!M38+180,Weather_Site!M38-180)</f>
        <v>5</v>
      </c>
      <c r="K40" s="711">
        <f t="shared" si="3"/>
        <v>9.1106499999999997</v>
      </c>
      <c r="L40" s="711">
        <f t="shared" si="4"/>
        <v>12.0114</v>
      </c>
      <c r="M40" s="711">
        <f t="shared" si="5"/>
        <v>12.990050000000002</v>
      </c>
      <c r="N40" s="711">
        <f t="shared" si="6"/>
        <v>12.990050000000002</v>
      </c>
      <c r="O40" s="713">
        <f t="shared" si="7"/>
        <v>0.30821081022775787</v>
      </c>
      <c r="P40" s="711">
        <f>IF($O$11,Weather_Site!H38,IF(0.191*(Weather_Site!K38+104)*(Weather_Site!J38+1)^1.5/(3.52*(Weather_Site!J38+1)^1.5+Weather_Site!I38-1)&gt;10, 10,0.191*(Weather_Site!K38+104)*(Weather_Site!J38+1)^1.5/(3.52*(Weather_Site!J38+1)^1.5+Weather_Site!I38-1)))</f>
        <v>8.8000000000000007</v>
      </c>
      <c r="Q40" s="713">
        <f t="shared" si="8"/>
        <v>0.97947601629684489</v>
      </c>
      <c r="R40" s="713">
        <f t="shared" si="9"/>
        <v>0.30188509658150714</v>
      </c>
      <c r="S40" s="711">
        <f t="shared" si="10"/>
        <v>1</v>
      </c>
      <c r="T40" s="716">
        <f t="shared" si="11"/>
        <v>75.180970663193165</v>
      </c>
      <c r="U40" s="716">
        <f t="shared" si="12"/>
        <v>181.18199600167472</v>
      </c>
      <c r="V40" s="716">
        <f t="shared" si="13"/>
        <v>366.53695338679717</v>
      </c>
      <c r="W40" s="713">
        <f t="shared" si="14"/>
        <v>1</v>
      </c>
      <c r="X40" s="713">
        <f t="shared" si="15"/>
        <v>0</v>
      </c>
      <c r="Y40" s="716">
        <f t="shared" si="16"/>
        <v>181.18199600167472</v>
      </c>
      <c r="Z40" s="711">
        <f t="shared" si="17"/>
        <v>1.4788258558412699</v>
      </c>
      <c r="AA40" s="716">
        <f t="shared" si="18"/>
        <v>44.346484237731232</v>
      </c>
      <c r="AB40" s="716">
        <f t="shared" si="19"/>
        <v>2153.046052486568</v>
      </c>
    </row>
    <row r="41" spans="1:28" x14ac:dyDescent="0.25">
      <c r="A41" s="675" t="str">
        <f>Weather_Site!A39</f>
        <v>Mon</v>
      </c>
      <c r="B41" s="672">
        <f>Weather_Site!B39</f>
        <v>44550</v>
      </c>
      <c r="C41" s="673">
        <f>Weather_Site!C39</f>
        <v>0.29166666666666669</v>
      </c>
      <c r="D41" s="413">
        <f>Weather_Site!D39</f>
        <v>13.4</v>
      </c>
      <c r="E41" s="413">
        <f>Weather_Site!E39</f>
        <v>50.4</v>
      </c>
      <c r="F41" s="674">
        <f>Weather_Site!F39</f>
        <v>181</v>
      </c>
      <c r="G41" s="413">
        <f>Weather_Site!G39</f>
        <v>16</v>
      </c>
      <c r="H41" s="548">
        <f>C$4</f>
        <v>0</v>
      </c>
      <c r="I41" s="413">
        <f t="shared" si="2"/>
        <v>5.333333333333333</v>
      </c>
      <c r="J41" s="413">
        <f>IF(Weather_Site!M39&lt;180,Weather_Site!M39+180,Weather_Site!M39-180)</f>
        <v>1</v>
      </c>
      <c r="K41" s="711">
        <f t="shared" si="3"/>
        <v>8.7590199999999996</v>
      </c>
      <c r="L41" s="711">
        <f t="shared" si="4"/>
        <v>11.5146</v>
      </c>
      <c r="M41" s="711">
        <f t="shared" si="5"/>
        <v>12.41198</v>
      </c>
      <c r="N41" s="711">
        <f t="shared" si="6"/>
        <v>12.41198</v>
      </c>
      <c r="O41" s="713">
        <f t="shared" si="7"/>
        <v>0.34044563208119372</v>
      </c>
      <c r="P41" s="711">
        <f>IF($O$11,Weather_Site!H39,IF(0.191*(Weather_Site!K39+104)*(Weather_Site!J39+1)^1.5/(3.52*(Weather_Site!J39+1)^1.5+Weather_Site!I39-1)&gt;10, 10,0.191*(Weather_Site!K39+104)*(Weather_Site!J39+1)^1.5/(3.52*(Weather_Site!J39+1)^1.5+Weather_Site!I39-1)))</f>
        <v>8.8000000000000007</v>
      </c>
      <c r="Q41" s="713">
        <f t="shared" si="8"/>
        <v>0.97947601629684489</v>
      </c>
      <c r="R41" s="713">
        <f t="shared" si="9"/>
        <v>0.33345833147654896</v>
      </c>
      <c r="S41" s="711">
        <f t="shared" si="10"/>
        <v>1</v>
      </c>
      <c r="T41" s="716">
        <f t="shared" si="11"/>
        <v>95.267414127816167</v>
      </c>
      <c r="U41" s="716">
        <f t="shared" si="12"/>
        <v>229.73083945568308</v>
      </c>
      <c r="V41" s="716">
        <f t="shared" si="13"/>
        <v>474.68150617062696</v>
      </c>
      <c r="W41" s="713">
        <f t="shared" si="14"/>
        <v>1</v>
      </c>
      <c r="X41" s="713">
        <f t="shared" si="15"/>
        <v>0</v>
      </c>
      <c r="Y41" s="716">
        <f t="shared" si="16"/>
        <v>229.73083945568308</v>
      </c>
      <c r="Z41" s="711">
        <f t="shared" si="17"/>
        <v>1.7557448976409737</v>
      </c>
      <c r="AA41" s="716">
        <f t="shared" si="18"/>
        <v>50.753543534747934</v>
      </c>
      <c r="AB41" s="716">
        <f t="shared" si="19"/>
        <v>2729.9681421983678</v>
      </c>
    </row>
    <row r="42" spans="1:28" x14ac:dyDescent="0.25">
      <c r="A42" s="675" t="str">
        <f>Weather_Site!A40</f>
        <v>Mon</v>
      </c>
      <c r="B42" s="672">
        <f>Weather_Site!B40</f>
        <v>44550</v>
      </c>
      <c r="C42" s="673">
        <f>Weather_Site!C40</f>
        <v>0.33333333333333331</v>
      </c>
      <c r="D42" s="413">
        <f>Weather_Site!D40</f>
        <v>15.8</v>
      </c>
      <c r="E42" s="413">
        <f>Weather_Site!E40</f>
        <v>44.1</v>
      </c>
      <c r="F42" s="674">
        <f>Weather_Site!F40</f>
        <v>178</v>
      </c>
      <c r="G42" s="413">
        <f>Weather_Site!G40</f>
        <v>21</v>
      </c>
      <c r="H42" s="548">
        <f>C$4</f>
        <v>0</v>
      </c>
      <c r="I42" s="413">
        <f t="shared" si="2"/>
        <v>7</v>
      </c>
      <c r="J42" s="413">
        <f>IF(Weather_Site!M40&lt;180,Weather_Site!M40+180,Weather_Site!M40-180)</f>
        <v>358</v>
      </c>
      <c r="K42" s="711">
        <f t="shared" si="3"/>
        <v>7.9329400000000003</v>
      </c>
      <c r="L42" s="711">
        <f t="shared" si="4"/>
        <v>10.341900000000001</v>
      </c>
      <c r="M42" s="711">
        <f t="shared" si="5"/>
        <v>11.048660000000002</v>
      </c>
      <c r="N42" s="711">
        <f t="shared" si="6"/>
        <v>10.341900000000001</v>
      </c>
      <c r="O42" s="713">
        <f t="shared" si="7"/>
        <v>0.48644632351610784</v>
      </c>
      <c r="P42" s="711">
        <f>IF($O$11,Weather_Site!H40,IF(0.191*(Weather_Site!K40+104)*(Weather_Site!J40+1)^1.5/(3.52*(Weather_Site!J40+1)^1.5+Weather_Site!I40-1)&gt;10, 10,0.191*(Weather_Site!K40+104)*(Weather_Site!J40+1)^1.5/(3.52*(Weather_Site!J40+1)^1.5+Weather_Site!I40-1)))</f>
        <v>8.8000000000000007</v>
      </c>
      <c r="Q42" s="713">
        <f t="shared" si="8"/>
        <v>0.97947601629684489</v>
      </c>
      <c r="R42" s="713">
        <f t="shared" si="9"/>
        <v>0.47646250709980353</v>
      </c>
      <c r="S42" s="711">
        <f t="shared" si="10"/>
        <v>1</v>
      </c>
      <c r="T42" s="716">
        <f t="shared" si="11"/>
        <v>178.98170968342831</v>
      </c>
      <c r="U42" s="716">
        <f t="shared" si="12"/>
        <v>429.4380544126372</v>
      </c>
      <c r="V42" s="716">
        <f t="shared" si="13"/>
        <v>937.73217826458142</v>
      </c>
      <c r="W42" s="713">
        <f t="shared" si="14"/>
        <v>1</v>
      </c>
      <c r="X42" s="713">
        <f t="shared" si="15"/>
        <v>1.6642530963516144E-6</v>
      </c>
      <c r="Y42" s="716">
        <f t="shared" si="16"/>
        <v>429.43890034270669</v>
      </c>
      <c r="Z42" s="711">
        <f t="shared" si="17"/>
        <v>2.7598632319517939</v>
      </c>
      <c r="AA42" s="716">
        <f t="shared" si="18"/>
        <v>76.298575144393908</v>
      </c>
      <c r="AB42" s="716">
        <f t="shared" si="19"/>
        <v>5103.1655990724985</v>
      </c>
    </row>
    <row r="43" spans="1:28" x14ac:dyDescent="0.25">
      <c r="A43" s="675" t="str">
        <f>Weather_Site!A41</f>
        <v>Mon</v>
      </c>
      <c r="B43" s="672">
        <f>Weather_Site!B41</f>
        <v>44550</v>
      </c>
      <c r="C43" s="673">
        <f>Weather_Site!C41</f>
        <v>0.375</v>
      </c>
      <c r="D43" s="413">
        <f>Weather_Site!D41</f>
        <v>17.100000000000001</v>
      </c>
      <c r="E43" s="413">
        <f>Weather_Site!E41</f>
        <v>39.799999999999997</v>
      </c>
      <c r="F43" s="674">
        <f>Weather_Site!F41</f>
        <v>177</v>
      </c>
      <c r="G43" s="413">
        <f>Weather_Site!G41</f>
        <v>14</v>
      </c>
      <c r="H43" s="548">
        <f>C$4</f>
        <v>0</v>
      </c>
      <c r="I43" s="413">
        <f t="shared" si="2"/>
        <v>4.666666666666667</v>
      </c>
      <c r="J43" s="413">
        <f>IF(Weather_Site!M41&lt;180,Weather_Site!M41+180,Weather_Site!M41-180)</f>
        <v>357</v>
      </c>
      <c r="K43" s="711">
        <f t="shared" si="3"/>
        <v>7.3754299999999997</v>
      </c>
      <c r="L43" s="711">
        <f t="shared" si="4"/>
        <v>9.5566999999999993</v>
      </c>
      <c r="M43" s="711">
        <f t="shared" si="5"/>
        <v>10.13447</v>
      </c>
      <c r="N43" s="711">
        <f t="shared" si="6"/>
        <v>9.5566999999999993</v>
      </c>
      <c r="O43" s="713">
        <f t="shared" si="7"/>
        <v>0.55215300958367042</v>
      </c>
      <c r="P43" s="711">
        <f>IF($O$11,Weather_Site!H41,IF(0.191*(Weather_Site!K41+104)*(Weather_Site!J41+1)^1.5/(3.52*(Weather_Site!J41+1)^1.5+Weather_Site!I41-1)&gt;10, 10,0.191*(Weather_Site!K41+104)*(Weather_Site!J41+1)^1.5/(3.52*(Weather_Site!J41+1)^1.5+Weather_Site!I41-1)))</f>
        <v>8.8000000000000007</v>
      </c>
      <c r="Q43" s="713">
        <f t="shared" si="8"/>
        <v>0.97947601629684489</v>
      </c>
      <c r="R43" s="713">
        <f t="shared" si="9"/>
        <v>0.54082063021332716</v>
      </c>
      <c r="S43" s="711">
        <f t="shared" si="10"/>
        <v>1</v>
      </c>
      <c r="T43" s="716">
        <f t="shared" si="11"/>
        <v>134.68508513516497</v>
      </c>
      <c r="U43" s="716">
        <f t="shared" si="12"/>
        <v>324.58363254934108</v>
      </c>
      <c r="V43" s="716">
        <f t="shared" si="13"/>
        <v>656.64303528676999</v>
      </c>
      <c r="W43" s="713">
        <f t="shared" si="14"/>
        <v>1</v>
      </c>
      <c r="X43" s="713">
        <f t="shared" si="15"/>
        <v>1.1891021099110478E-6</v>
      </c>
      <c r="Y43" s="716">
        <f t="shared" si="16"/>
        <v>324.58402740187751</v>
      </c>
      <c r="Z43" s="711">
        <f t="shared" si="17"/>
        <v>2.2541841251912942</v>
      </c>
      <c r="AA43" s="716">
        <f t="shared" si="18"/>
        <v>79.445865332356931</v>
      </c>
      <c r="AB43" s="716">
        <f t="shared" si="19"/>
        <v>3857.1401922923114</v>
      </c>
    </row>
    <row r="44" spans="1:28" x14ac:dyDescent="0.25">
      <c r="A44" s="23" t="str">
        <f>Weather_Site!A42</f>
        <v>Mon</v>
      </c>
      <c r="B44" s="24">
        <f>Weather_Site!B42</f>
        <v>44550</v>
      </c>
      <c r="C44" s="25">
        <f>Weather_Site!C42</f>
        <v>0.41666666666666669</v>
      </c>
      <c r="D44" s="27">
        <f>Weather_Site!D42</f>
        <v>19</v>
      </c>
      <c r="E44" s="27">
        <f>Weather_Site!E42</f>
        <v>33.6</v>
      </c>
      <c r="F44" s="28">
        <f>Weather_Site!F42</f>
        <v>176</v>
      </c>
      <c r="G44" s="27">
        <f>Weather_Site!G42</f>
        <v>18</v>
      </c>
      <c r="H44" s="548">
        <f>C$4</f>
        <v>0</v>
      </c>
      <c r="I44" s="27">
        <f t="shared" si="2"/>
        <v>6</v>
      </c>
      <c r="J44" s="738">
        <f>IF(Weather_Site!M42&lt;180,Weather_Site!M42+180,Weather_Site!M42-180)</f>
        <v>356</v>
      </c>
      <c r="K44" s="635">
        <f t="shared" si="3"/>
        <v>6.5711000000000004</v>
      </c>
      <c r="L44" s="635">
        <f t="shared" si="4"/>
        <v>8.4234000000000009</v>
      </c>
      <c r="M44" s="635">
        <f t="shared" si="5"/>
        <v>8.815100000000001</v>
      </c>
      <c r="N44" s="635">
        <f t="shared" si="6"/>
        <v>8.4234000000000009</v>
      </c>
      <c r="O44" s="636">
        <f t="shared" si="7"/>
        <v>0.65318227377019322</v>
      </c>
      <c r="P44" s="635">
        <f>IF($O$11,Weather_Site!H42,IF(0.191*(Weather_Site!K42+104)*(Weather_Site!J42+1)^1.5/(3.52*(Weather_Site!J42+1)^1.5+Weather_Site!I42-1)&gt;10, 10,0.191*(Weather_Site!K42+104)*(Weather_Site!J42+1)^1.5/(3.52*(Weather_Site!J42+1)^1.5+Weather_Site!I42-1)))</f>
        <v>8.8000000000000007</v>
      </c>
      <c r="Q44" s="636">
        <f t="shared" si="8"/>
        <v>0.97947601629684489</v>
      </c>
      <c r="R44" s="636">
        <f t="shared" si="9"/>
        <v>0.63977637142814403</v>
      </c>
      <c r="S44" s="635">
        <f t="shared" si="10"/>
        <v>1</v>
      </c>
      <c r="T44" s="707">
        <f t="shared" si="11"/>
        <v>205.96753167632104</v>
      </c>
      <c r="U44" s="707">
        <f t="shared" si="12"/>
        <v>496.04471664034111</v>
      </c>
      <c r="V44" s="707">
        <f t="shared" si="13"/>
        <v>1047.9146510532262</v>
      </c>
      <c r="W44" s="636">
        <f t="shared" si="14"/>
        <v>1</v>
      </c>
      <c r="X44" s="636">
        <f t="shared" si="15"/>
        <v>5.5302692354414258E-5</v>
      </c>
      <c r="Y44" s="707">
        <f t="shared" si="16"/>
        <v>496.07523653354355</v>
      </c>
      <c r="Z44" s="635">
        <f t="shared" si="17"/>
        <v>3.0632379848633025</v>
      </c>
      <c r="AA44" s="707">
        <f t="shared" si="18"/>
        <v>99.870195791098311</v>
      </c>
      <c r="AB44" s="707">
        <f t="shared" si="19"/>
        <v>5895.0273941402756</v>
      </c>
    </row>
    <row r="45" spans="1:28" x14ac:dyDescent="0.25">
      <c r="A45" s="23" t="str">
        <f>Weather_Site!A43</f>
        <v>Mon</v>
      </c>
      <c r="B45" s="24">
        <f>Weather_Site!B43</f>
        <v>44550</v>
      </c>
      <c r="C45" s="25">
        <f>Weather_Site!C43</f>
        <v>0.45833333333333331</v>
      </c>
      <c r="D45" s="27">
        <f>Weather_Site!D43</f>
        <v>20.5</v>
      </c>
      <c r="E45" s="27">
        <f>Weather_Site!E43</f>
        <v>29.9</v>
      </c>
      <c r="F45" s="28">
        <f>Weather_Site!F43</f>
        <v>166</v>
      </c>
      <c r="G45" s="27">
        <f>Weather_Site!G43</f>
        <v>16</v>
      </c>
      <c r="H45" s="548">
        <f>C$4</f>
        <v>0</v>
      </c>
      <c r="I45" s="27">
        <f t="shared" si="2"/>
        <v>5.333333333333333</v>
      </c>
      <c r="J45" s="738">
        <f>IF(Weather_Site!M43&lt;180,Weather_Site!M43+180,Weather_Site!M43-180)</f>
        <v>346</v>
      </c>
      <c r="K45" s="635">
        <f t="shared" si="3"/>
        <v>6.084249999999999</v>
      </c>
      <c r="L45" s="635">
        <f t="shared" si="4"/>
        <v>7.7305999999999999</v>
      </c>
      <c r="M45" s="635">
        <f t="shared" si="5"/>
        <v>8.0100499999999997</v>
      </c>
      <c r="N45" s="635">
        <f t="shared" si="6"/>
        <v>7.7305999999999999</v>
      </c>
      <c r="O45" s="636">
        <f t="shared" si="7"/>
        <v>0.71655397428579803</v>
      </c>
      <c r="P45" s="635">
        <f>IF($O$11,Weather_Site!H43,IF(0.191*(Weather_Site!K43+104)*(Weather_Site!J43+1)^1.5/(3.52*(Weather_Site!J43+1)^1.5+Weather_Site!I43-1)&gt;10, 10,0.191*(Weather_Site!K43+104)*(Weather_Site!J43+1)^1.5/(3.52*(Weather_Site!J43+1)^1.5+Weather_Site!I43-1)))</f>
        <v>8.8000000000000007</v>
      </c>
      <c r="Q45" s="636">
        <f t="shared" si="8"/>
        <v>0.97947601629684489</v>
      </c>
      <c r="R45" s="636">
        <f t="shared" si="9"/>
        <v>0.70184743219512524</v>
      </c>
      <c r="S45" s="635">
        <f t="shared" si="10"/>
        <v>1</v>
      </c>
      <c r="T45" s="707">
        <f t="shared" si="11"/>
        <v>200.51437815755892</v>
      </c>
      <c r="U45" s="707">
        <f t="shared" si="12"/>
        <v>483.52667949260984</v>
      </c>
      <c r="V45" s="707">
        <f t="shared" si="13"/>
        <v>999.08733646320263</v>
      </c>
      <c r="W45" s="636">
        <f t="shared" si="14"/>
        <v>1</v>
      </c>
      <c r="X45" s="636">
        <f t="shared" si="15"/>
        <v>1.6248323803196566E-4</v>
      </c>
      <c r="Y45" s="707">
        <f t="shared" si="16"/>
        <v>483.61044945755634</v>
      </c>
      <c r="Z45" s="635">
        <f t="shared" si="17"/>
        <v>3.0073933515635711</v>
      </c>
      <c r="AA45" s="707">
        <f t="shared" si="18"/>
        <v>106.84218130469165</v>
      </c>
      <c r="AB45" s="707">
        <f t="shared" si="19"/>
        <v>5746.904174387294</v>
      </c>
    </row>
    <row r="46" spans="1:28" x14ac:dyDescent="0.25">
      <c r="A46" s="23" t="str">
        <f>Weather_Site!A44</f>
        <v>Mon</v>
      </c>
      <c r="B46" s="24">
        <f>Weather_Site!B44</f>
        <v>44550</v>
      </c>
      <c r="C46" s="25">
        <f>Weather_Site!C44</f>
        <v>0.5</v>
      </c>
      <c r="D46" s="27">
        <f>Weather_Site!D44</f>
        <v>22.3</v>
      </c>
      <c r="E46" s="27">
        <f>Weather_Site!E44</f>
        <v>25.7</v>
      </c>
      <c r="F46" s="28">
        <f>Weather_Site!F44</f>
        <v>169</v>
      </c>
      <c r="G46" s="27">
        <f>Weather_Site!G44</f>
        <v>15</v>
      </c>
      <c r="H46" s="548">
        <f>C$4</f>
        <v>0</v>
      </c>
      <c r="I46" s="27">
        <f t="shared" si="2"/>
        <v>5</v>
      </c>
      <c r="J46" s="738">
        <f>IF(Weather_Site!M44&lt;180,Weather_Site!M44+180,Weather_Site!M44-180)</f>
        <v>349</v>
      </c>
      <c r="K46" s="635">
        <f t="shared" si="3"/>
        <v>5.5297899999999993</v>
      </c>
      <c r="L46" s="635">
        <f t="shared" si="4"/>
        <v>6.9398000000000009</v>
      </c>
      <c r="M46" s="635">
        <f t="shared" si="5"/>
        <v>7.0915100000000013</v>
      </c>
      <c r="N46" s="635">
        <f t="shared" si="6"/>
        <v>6.9398000000000009</v>
      </c>
      <c r="O46" s="636">
        <f t="shared" si="7"/>
        <v>0.78817051453569886</v>
      </c>
      <c r="P46" s="635">
        <f>IF($O$11,Weather_Site!H44,IF(0.191*(Weather_Site!K44+104)*(Weather_Site!J44+1)^1.5/(3.52*(Weather_Site!J44+1)^1.5+Weather_Site!I44-1)&gt;10, 10,0.191*(Weather_Site!K44+104)*(Weather_Site!J44+1)^1.5/(3.52*(Weather_Site!J44+1)^1.5+Weather_Site!I44-1)))</f>
        <v>8.8000000000000007</v>
      </c>
      <c r="Q46" s="636">
        <f t="shared" si="8"/>
        <v>0.97947601629684489</v>
      </c>
      <c r="R46" s="636">
        <f t="shared" si="9"/>
        <v>0.77199411574006083</v>
      </c>
      <c r="S46" s="635">
        <f t="shared" si="10"/>
        <v>1</v>
      </c>
      <c r="T46" s="707">
        <f t="shared" si="11"/>
        <v>206.44906157320693</v>
      </c>
      <c r="U46" s="707">
        <f t="shared" si="12"/>
        <v>497.83908909348355</v>
      </c>
      <c r="V46" s="707">
        <f t="shared" si="13"/>
        <v>1017.6177442646407</v>
      </c>
      <c r="W46" s="636">
        <f t="shared" si="14"/>
        <v>1</v>
      </c>
      <c r="X46" s="636">
        <f t="shared" si="15"/>
        <v>7.9625593040951966E-4</v>
      </c>
      <c r="Y46" s="707">
        <f t="shared" si="16"/>
        <v>498.25296593016384</v>
      </c>
      <c r="Z46" s="635">
        <f t="shared" si="17"/>
        <v>3.0729545275078252</v>
      </c>
      <c r="AA46" s="707">
        <f t="shared" si="18"/>
        <v>115.7113251115104</v>
      </c>
      <c r="AB46" s="707">
        <f t="shared" si="19"/>
        <v>5920.9060784701132</v>
      </c>
    </row>
    <row r="47" spans="1:28" x14ac:dyDescent="0.25">
      <c r="A47" s="23" t="str">
        <f>Weather_Site!A45</f>
        <v>Mon</v>
      </c>
      <c r="B47" s="24">
        <f>Weather_Site!B45</f>
        <v>44550</v>
      </c>
      <c r="C47" s="25">
        <f>Weather_Site!C45</f>
        <v>0.54166666666666663</v>
      </c>
      <c r="D47" s="27">
        <f>Weather_Site!D45</f>
        <v>24</v>
      </c>
      <c r="E47" s="27">
        <f>Weather_Site!E45</f>
        <v>22.2</v>
      </c>
      <c r="F47" s="28">
        <f>Weather_Site!F45</f>
        <v>185</v>
      </c>
      <c r="G47" s="27">
        <f>Weather_Site!G45</f>
        <v>14</v>
      </c>
      <c r="H47" s="548">
        <f>C$4</f>
        <v>0</v>
      </c>
      <c r="I47" s="27">
        <f t="shared" si="2"/>
        <v>4.666666666666667</v>
      </c>
      <c r="J47" s="738">
        <f>IF(Weather_Site!M45&lt;180,Weather_Site!M45+180,Weather_Site!M45-180)</f>
        <v>5</v>
      </c>
      <c r="K47" s="635">
        <f t="shared" si="3"/>
        <v>5.0639999999999992</v>
      </c>
      <c r="L47" s="635">
        <f t="shared" si="4"/>
        <v>6.2718000000000007</v>
      </c>
      <c r="M47" s="635">
        <f t="shared" si="5"/>
        <v>6.3163999999999998</v>
      </c>
      <c r="N47" s="635">
        <f t="shared" si="6"/>
        <v>5.0639999999999992</v>
      </c>
      <c r="O47" s="636">
        <f t="shared" si="7"/>
        <v>0.94024683871251657</v>
      </c>
      <c r="P47" s="635">
        <f>IF($O$11,Weather_Site!H45,IF(0.191*(Weather_Site!K45+104)*(Weather_Site!J45+1)^1.5/(3.52*(Weather_Site!J45+1)^1.5+Weather_Site!I45-1)&gt;10, 10,0.191*(Weather_Site!K45+104)*(Weather_Site!J45+1)^1.5/(3.52*(Weather_Site!J45+1)^1.5+Weather_Site!I45-1)))</f>
        <v>8.8000000000000007</v>
      </c>
      <c r="Q47" s="636">
        <f t="shared" si="8"/>
        <v>0.97947601629684489</v>
      </c>
      <c r="R47" s="636">
        <f t="shared" si="9"/>
        <v>0.92094922791783773</v>
      </c>
      <c r="S47" s="635">
        <f t="shared" si="10"/>
        <v>1</v>
      </c>
      <c r="T47" s="707">
        <f t="shared" si="11"/>
        <v>229.35168933616953</v>
      </c>
      <c r="U47" s="707">
        <f t="shared" si="12"/>
        <v>552.72493150487173</v>
      </c>
      <c r="V47" s="707">
        <f t="shared" si="13"/>
        <v>1118.1801554545693</v>
      </c>
      <c r="W47" s="636">
        <f t="shared" si="14"/>
        <v>1</v>
      </c>
      <c r="X47" s="636">
        <f t="shared" si="15"/>
        <v>3.1463347845417211E-2</v>
      </c>
      <c r="Y47" s="707">
        <f t="shared" si="16"/>
        <v>570.51604590700936</v>
      </c>
      <c r="Z47" s="635">
        <f t="shared" si="17"/>
        <v>3.389077707358302</v>
      </c>
      <c r="AA47" s="707">
        <f t="shared" si="18"/>
        <v>139.64070048634457</v>
      </c>
      <c r="AB47" s="707">
        <f t="shared" si="19"/>
        <v>6779.6323455282954</v>
      </c>
    </row>
    <row r="48" spans="1:28" x14ac:dyDescent="0.25">
      <c r="A48" s="23" t="str">
        <f>Weather_Site!A46</f>
        <v>Mon</v>
      </c>
      <c r="B48" s="24">
        <f>Weather_Site!B46</f>
        <v>44550</v>
      </c>
      <c r="C48" s="25">
        <f>Weather_Site!C46</f>
        <v>0.58333333333333337</v>
      </c>
      <c r="D48" s="27">
        <f>Weather_Site!D46</f>
        <v>26</v>
      </c>
      <c r="E48" s="27">
        <f>Weather_Site!E46</f>
        <v>18.8</v>
      </c>
      <c r="F48" s="28">
        <f>Weather_Site!F46</f>
        <v>199</v>
      </c>
      <c r="G48" s="27">
        <f>Weather_Site!G46</f>
        <v>13</v>
      </c>
      <c r="H48" s="548">
        <f>C$4</f>
        <v>0</v>
      </c>
      <c r="I48" s="27">
        <f t="shared" si="2"/>
        <v>4.333333333333333</v>
      </c>
      <c r="J48" s="738">
        <f>IF(Weather_Site!M46&lt;180,Weather_Site!M46+180,Weather_Site!M46-180)</f>
        <v>19</v>
      </c>
      <c r="K48" s="635">
        <f t="shared" si="3"/>
        <v>4.6049999999999995</v>
      </c>
      <c r="L48" s="635">
        <f t="shared" si="4"/>
        <v>5.6072000000000006</v>
      </c>
      <c r="M48" s="635">
        <f t="shared" si="5"/>
        <v>5.5466000000000006</v>
      </c>
      <c r="N48" s="635">
        <f t="shared" si="6"/>
        <v>4.6049999999999995</v>
      </c>
      <c r="O48" s="636">
        <f t="shared" si="7"/>
        <v>0.97026531035988228</v>
      </c>
      <c r="P48" s="635">
        <f>IF($O$11,Weather_Site!H46,IF(0.191*(Weather_Site!K46+104)*(Weather_Site!J46+1)^1.5/(3.52*(Weather_Site!J46+1)^1.5+Weather_Site!I46-1)&gt;10, 10,0.191*(Weather_Site!K46+104)*(Weather_Site!J46+1)^1.5/(3.52*(Weather_Site!J46+1)^1.5+Weather_Site!I46-1)))</f>
        <v>8.8000000000000007</v>
      </c>
      <c r="Q48" s="636">
        <f t="shared" si="8"/>
        <v>0.97947601629684489</v>
      </c>
      <c r="R48" s="636">
        <f t="shared" si="9"/>
        <v>0.9503516009423193</v>
      </c>
      <c r="S48" s="635">
        <f t="shared" si="10"/>
        <v>1</v>
      </c>
      <c r="T48" s="707">
        <f t="shared" si="11"/>
        <v>219.08438669793244</v>
      </c>
      <c r="U48" s="707">
        <f t="shared" si="12"/>
        <v>527.2057652820846</v>
      </c>
      <c r="V48" s="707">
        <f t="shared" si="13"/>
        <v>1056.3782075859081</v>
      </c>
      <c r="W48" s="636">
        <f t="shared" si="14"/>
        <v>1</v>
      </c>
      <c r="X48" s="636">
        <f t="shared" si="15"/>
        <v>5.0597950792526103E-2</v>
      </c>
      <c r="Y48" s="707">
        <f t="shared" si="16"/>
        <v>553.98080647853442</v>
      </c>
      <c r="Z48" s="635">
        <f t="shared" si="17"/>
        <v>3.3177720384491658</v>
      </c>
      <c r="AA48" s="707">
        <f t="shared" si="18"/>
        <v>143.32526298213142</v>
      </c>
      <c r="AB48" s="707">
        <f t="shared" si="19"/>
        <v>6583.13858365325</v>
      </c>
    </row>
    <row r="49" spans="1:28" x14ac:dyDescent="0.25">
      <c r="A49" s="675" t="str">
        <f>Weather_Site!A47</f>
        <v>Mon</v>
      </c>
      <c r="B49" s="672">
        <f>Weather_Site!B47</f>
        <v>44550</v>
      </c>
      <c r="C49" s="673">
        <f>Weather_Site!C47</f>
        <v>0.625</v>
      </c>
      <c r="D49" s="413">
        <f>Weather_Site!D47</f>
        <v>27.5</v>
      </c>
      <c r="E49" s="413">
        <f>Weather_Site!E47</f>
        <v>16.600000000000001</v>
      </c>
      <c r="F49" s="674">
        <f>Weather_Site!F47</f>
        <v>204</v>
      </c>
      <c r="G49" s="413">
        <f>Weather_Site!G47</f>
        <v>11</v>
      </c>
      <c r="H49" s="548">
        <f>C$4</f>
        <v>0</v>
      </c>
      <c r="I49" s="413">
        <f t="shared" si="2"/>
        <v>3.6666666666666665</v>
      </c>
      <c r="J49" s="413">
        <f>IF(Weather_Site!M47&lt;180,Weather_Site!M47+180,Weather_Site!M47-180)</f>
        <v>24</v>
      </c>
      <c r="K49" s="711">
        <f t="shared" si="3"/>
        <v>4.3041500000000008</v>
      </c>
      <c r="L49" s="711">
        <f t="shared" si="4"/>
        <v>5.1679000000000004</v>
      </c>
      <c r="M49" s="711">
        <f t="shared" si="5"/>
        <v>5.0385500000000008</v>
      </c>
      <c r="N49" s="711">
        <f t="shared" si="6"/>
        <v>4.3041500000000008</v>
      </c>
      <c r="O49" s="713">
        <f t="shared" si="7"/>
        <v>0.98772666062955183</v>
      </c>
      <c r="P49" s="711">
        <f>IF($O$11,Weather_Site!H47,IF(0.191*(Weather_Site!K47+104)*(Weather_Site!J47+1)^1.5/(3.52*(Weather_Site!J47+1)^1.5+Weather_Site!I47-1)&gt;10, 10,0.191*(Weather_Site!K47+104)*(Weather_Site!J47+1)^1.5/(3.52*(Weather_Site!J47+1)^1.5+Weather_Site!I47-1)))</f>
        <v>8.8000000000000007</v>
      </c>
      <c r="Q49" s="713">
        <f t="shared" si="8"/>
        <v>0.97947601629684489</v>
      </c>
      <c r="R49" s="713">
        <f t="shared" si="9"/>
        <v>0.96745457474361907</v>
      </c>
      <c r="S49" s="711">
        <f t="shared" si="10"/>
        <v>1</v>
      </c>
      <c r="T49" s="716">
        <f t="shared" si="11"/>
        <v>186.80065647642249</v>
      </c>
      <c r="U49" s="716">
        <f t="shared" si="12"/>
        <v>446.384179460756</v>
      </c>
      <c r="V49" s="716">
        <f t="shared" si="13"/>
        <v>881.32795654878657</v>
      </c>
      <c r="W49" s="713">
        <f t="shared" si="14"/>
        <v>1</v>
      </c>
      <c r="X49" s="713">
        <f t="shared" si="15"/>
        <v>4.4680604302726086E-2</v>
      </c>
      <c r="Y49" s="716">
        <f t="shared" si="16"/>
        <v>465.81773025875941</v>
      </c>
      <c r="Z49" s="711">
        <f t="shared" si="17"/>
        <v>2.926981922761446</v>
      </c>
      <c r="AA49" s="716">
        <f t="shared" si="18"/>
        <v>136.02900661685533</v>
      </c>
      <c r="AB49" s="716">
        <f t="shared" si="19"/>
        <v>5535.4673612415909</v>
      </c>
    </row>
    <row r="50" spans="1:28" x14ac:dyDescent="0.25">
      <c r="A50" s="675" t="str">
        <f>Weather_Site!A48</f>
        <v>Mon</v>
      </c>
      <c r="B50" s="672">
        <f>Weather_Site!B48</f>
        <v>44550</v>
      </c>
      <c r="C50" s="673">
        <f>Weather_Site!C48</f>
        <v>0.66666666666666663</v>
      </c>
      <c r="D50" s="413">
        <f>Weather_Site!D48</f>
        <v>28.5</v>
      </c>
      <c r="E50" s="413">
        <f>Weather_Site!E48</f>
        <v>16</v>
      </c>
      <c r="F50" s="674">
        <f>Weather_Site!F48</f>
        <v>209</v>
      </c>
      <c r="G50" s="413">
        <f>Weather_Site!G48</f>
        <v>12</v>
      </c>
      <c r="H50" s="548">
        <f>C$4</f>
        <v>0</v>
      </c>
      <c r="I50" s="413">
        <f t="shared" si="2"/>
        <v>4</v>
      </c>
      <c r="J50" s="413">
        <f>IF(Weather_Site!M48&lt;180,Weather_Site!M48+180,Weather_Site!M48-180)</f>
        <v>29</v>
      </c>
      <c r="K50" s="711">
        <f t="shared" si="3"/>
        <v>4.2110500000000002</v>
      </c>
      <c r="L50" s="711">
        <f t="shared" si="4"/>
        <v>5.0215000000000005</v>
      </c>
      <c r="M50" s="711">
        <f t="shared" si="5"/>
        <v>4.8714500000000003</v>
      </c>
      <c r="N50" s="711">
        <f t="shared" si="6"/>
        <v>4.2110500000000002</v>
      </c>
      <c r="O50" s="713">
        <f t="shared" si="7"/>
        <v>0.99273670466060748</v>
      </c>
      <c r="P50" s="711">
        <f>IF($O$11,Weather_Site!H48,IF(0.191*(Weather_Site!K48+104)*(Weather_Site!J48+1)^1.5/(3.52*(Weather_Site!J48+1)^1.5+Weather_Site!I48-1)&gt;10, 10,0.191*(Weather_Site!K48+104)*(Weather_Site!J48+1)^1.5/(3.52*(Weather_Site!J48+1)^1.5+Weather_Site!I48-1)))</f>
        <v>8.8000000000000007</v>
      </c>
      <c r="Q50" s="713">
        <f t="shared" si="8"/>
        <v>0.97947601629684489</v>
      </c>
      <c r="R50" s="713">
        <f t="shared" si="9"/>
        <v>0.97236179271262924</v>
      </c>
      <c r="S50" s="711">
        <f t="shared" si="10"/>
        <v>1</v>
      </c>
      <c r="T50" s="716">
        <f t="shared" si="11"/>
        <v>206.02799822198179</v>
      </c>
      <c r="U50" s="716">
        <f t="shared" si="12"/>
        <v>494.47259117336813</v>
      </c>
      <c r="V50" s="716">
        <f t="shared" si="13"/>
        <v>982.5430917061293</v>
      </c>
      <c r="W50" s="713">
        <f t="shared" si="14"/>
        <v>1</v>
      </c>
      <c r="X50" s="713">
        <f t="shared" si="15"/>
        <v>6.6886318458700619E-2</v>
      </c>
      <c r="Y50" s="716">
        <f t="shared" si="16"/>
        <v>527.11783010229988</v>
      </c>
      <c r="Z50" s="711">
        <f t="shared" si="17"/>
        <v>3.2006569864275685</v>
      </c>
      <c r="AA50" s="716">
        <f t="shared" si="18"/>
        <v>144.62188051533687</v>
      </c>
      <c r="AB50" s="716">
        <f t="shared" si="19"/>
        <v>6263.9168810489973</v>
      </c>
    </row>
    <row r="51" spans="1:28" x14ac:dyDescent="0.25">
      <c r="A51" s="675" t="str">
        <f>Weather_Site!A49</f>
        <v>Mon</v>
      </c>
      <c r="B51" s="672">
        <f>Weather_Site!B49</f>
        <v>44550</v>
      </c>
      <c r="C51" s="673">
        <f>Weather_Site!C49</f>
        <v>0.70833333333333337</v>
      </c>
      <c r="D51" s="413">
        <f>Weather_Site!D49</f>
        <v>29.2</v>
      </c>
      <c r="E51" s="413">
        <f>Weather_Site!E49</f>
        <v>15.3</v>
      </c>
      <c r="F51" s="674">
        <f>Weather_Site!F49</f>
        <v>212</v>
      </c>
      <c r="G51" s="413">
        <f>Weather_Site!G49</f>
        <v>11</v>
      </c>
      <c r="H51" s="548">
        <f>C$4</f>
        <v>0</v>
      </c>
      <c r="I51" s="413">
        <f t="shared" si="2"/>
        <v>3.6666666666666665</v>
      </c>
      <c r="J51" s="413">
        <f>IF(Weather_Site!M49&lt;180,Weather_Site!M49+180,Weather_Site!M49-180)</f>
        <v>32</v>
      </c>
      <c r="K51" s="711">
        <f t="shared" si="3"/>
        <v>4.1111599999999999</v>
      </c>
      <c r="L51" s="711">
        <f t="shared" si="4"/>
        <v>4.8717000000000006</v>
      </c>
      <c r="M51" s="711">
        <f t="shared" si="5"/>
        <v>4.699040000000001</v>
      </c>
      <c r="N51" s="711">
        <f t="shared" si="6"/>
        <v>4.1111599999999999</v>
      </c>
      <c r="O51" s="713">
        <f t="shared" si="7"/>
        <v>0.99789336870419154</v>
      </c>
      <c r="P51" s="711">
        <f>IF($O$11,Weather_Site!H49,IF(0.191*(Weather_Site!K49+104)*(Weather_Site!J49+1)^1.5/(3.52*(Weather_Site!J49+1)^1.5+Weather_Site!I49-1)&gt;10, 10,0.191*(Weather_Site!K49+104)*(Weather_Site!J49+1)^1.5/(3.52*(Weather_Site!J49+1)^1.5+Weather_Site!I49-1)))</f>
        <v>8.8000000000000007</v>
      </c>
      <c r="Q51" s="713">
        <f t="shared" si="8"/>
        <v>0.97947601629684489</v>
      </c>
      <c r="R51" s="713">
        <f t="shared" si="9"/>
        <v>0.97741262146742014</v>
      </c>
      <c r="S51" s="711">
        <f t="shared" si="10"/>
        <v>1</v>
      </c>
      <c r="T51" s="716">
        <f t="shared" si="11"/>
        <v>188.72340273634057</v>
      </c>
      <c r="U51" s="716">
        <f t="shared" si="12"/>
        <v>450.97882879301409</v>
      </c>
      <c r="V51" s="716">
        <f t="shared" si="13"/>
        <v>890.3994987166767</v>
      </c>
      <c r="W51" s="713">
        <f t="shared" si="14"/>
        <v>1</v>
      </c>
      <c r="X51" s="713">
        <f t="shared" si="15"/>
        <v>5.7600411837373952E-2</v>
      </c>
      <c r="Y51" s="716">
        <f t="shared" si="16"/>
        <v>476.28964035047181</v>
      </c>
      <c r="Z51" s="711">
        <f t="shared" si="17"/>
        <v>2.9744090396667171</v>
      </c>
      <c r="AA51" s="716">
        <f t="shared" si="18"/>
        <v>139.08703432731917</v>
      </c>
      <c r="AB51" s="716">
        <f t="shared" si="19"/>
        <v>5659.9085594981061</v>
      </c>
    </row>
    <row r="52" spans="1:28" x14ac:dyDescent="0.25">
      <c r="A52" s="675" t="str">
        <f>Weather_Site!A50</f>
        <v>Mon</v>
      </c>
      <c r="B52" s="672">
        <f>Weather_Site!B50</f>
        <v>44550</v>
      </c>
      <c r="C52" s="673">
        <f>Weather_Site!C50</f>
        <v>0.75</v>
      </c>
      <c r="D52" s="413">
        <f>Weather_Site!D50</f>
        <v>29.1</v>
      </c>
      <c r="E52" s="413">
        <f>Weather_Site!E50</f>
        <v>15.9</v>
      </c>
      <c r="F52" s="674">
        <f>Weather_Site!F50</f>
        <v>211</v>
      </c>
      <c r="G52" s="413">
        <f>Weather_Site!G50</f>
        <v>11</v>
      </c>
      <c r="H52" s="548">
        <f>C$4</f>
        <v>0</v>
      </c>
      <c r="I52" s="413">
        <f t="shared" si="2"/>
        <v>3.6666666666666665</v>
      </c>
      <c r="J52" s="413">
        <f>IF(Weather_Site!M50&lt;180,Weather_Site!M50+180,Weather_Site!M50-180)</f>
        <v>31</v>
      </c>
      <c r="K52" s="711">
        <f t="shared" si="3"/>
        <v>4.18743</v>
      </c>
      <c r="L52" s="711">
        <f t="shared" si="4"/>
        <v>4.9776000000000007</v>
      </c>
      <c r="M52" s="711">
        <f t="shared" si="5"/>
        <v>4.8226700000000005</v>
      </c>
      <c r="N52" s="711">
        <f t="shared" si="6"/>
        <v>4.9776000000000007</v>
      </c>
      <c r="O52" s="713">
        <f t="shared" si="7"/>
        <v>0.94618325330875519</v>
      </c>
      <c r="P52" s="711">
        <f>IF($O$11,Weather_Site!H50,IF(0.191*(Weather_Site!K50+104)*(Weather_Site!J50+1)^1.5/(3.52*(Weather_Site!J50+1)^1.5+Weather_Site!I50-1)&gt;10, 10,0.191*(Weather_Site!K50+104)*(Weather_Site!J50+1)^1.5/(3.52*(Weather_Site!J50+1)^1.5+Weather_Site!I50-1)))</f>
        <v>8.8000000000000007</v>
      </c>
      <c r="Q52" s="713">
        <f t="shared" si="8"/>
        <v>0.97947601629684489</v>
      </c>
      <c r="R52" s="713">
        <f t="shared" si="9"/>
        <v>0.92676380363764799</v>
      </c>
      <c r="S52" s="711">
        <f t="shared" si="10"/>
        <v>1</v>
      </c>
      <c r="T52" s="716">
        <f t="shared" si="11"/>
        <v>178.94389197960717</v>
      </c>
      <c r="U52" s="716">
        <f t="shared" si="12"/>
        <v>427.60943081007355</v>
      </c>
      <c r="V52" s="716">
        <f t="shared" si="13"/>
        <v>844.25963821588346</v>
      </c>
      <c r="W52" s="713">
        <f t="shared" si="14"/>
        <v>1</v>
      </c>
      <c r="X52" s="713">
        <f t="shared" si="15"/>
        <v>1.5428264145371311E-2</v>
      </c>
      <c r="Y52" s="716">
        <f t="shared" si="16"/>
        <v>434.03762026615414</v>
      </c>
      <c r="Z52" s="711">
        <f t="shared" si="17"/>
        <v>2.7811995637622799</v>
      </c>
      <c r="AA52" s="716">
        <f t="shared" si="18"/>
        <v>126.74851660616579</v>
      </c>
      <c r="AB52" s="716">
        <f t="shared" si="19"/>
        <v>5157.8137208294656</v>
      </c>
    </row>
    <row r="53" spans="1:28" x14ac:dyDescent="0.25">
      <c r="A53" s="675" t="str">
        <f>Weather_Site!A51</f>
        <v>Mon</v>
      </c>
      <c r="B53" s="672">
        <f>Weather_Site!B51</f>
        <v>44550</v>
      </c>
      <c r="C53" s="673">
        <f>Weather_Site!C51</f>
        <v>0.79166666666666663</v>
      </c>
      <c r="D53" s="413">
        <f>Weather_Site!D51</f>
        <v>29.1</v>
      </c>
      <c r="E53" s="413">
        <f>Weather_Site!E51</f>
        <v>16.2</v>
      </c>
      <c r="F53" s="674">
        <f>Weather_Site!F51</f>
        <v>208</v>
      </c>
      <c r="G53" s="413">
        <f>Weather_Site!G51</f>
        <v>10</v>
      </c>
      <c r="H53" s="548">
        <f>C$4</f>
        <v>0</v>
      </c>
      <c r="I53" s="413">
        <f t="shared" si="2"/>
        <v>3.3333333333333335</v>
      </c>
      <c r="J53" s="413">
        <f>IF(Weather_Site!M51&lt;180,Weather_Site!M51+180,Weather_Site!M51-180)</f>
        <v>28</v>
      </c>
      <c r="K53" s="711">
        <f t="shared" si="3"/>
        <v>4.2246299999999994</v>
      </c>
      <c r="L53" s="711">
        <f t="shared" si="4"/>
        <v>5.0282999999999998</v>
      </c>
      <c r="M53" s="711">
        <f t="shared" si="5"/>
        <v>4.8820700000000006</v>
      </c>
      <c r="N53" s="711">
        <f t="shared" si="6"/>
        <v>5.0282999999999998</v>
      </c>
      <c r="O53" s="713">
        <f t="shared" si="7"/>
        <v>0.94271490832601745</v>
      </c>
      <c r="P53" s="711">
        <f>IF($O$11,Weather_Site!H51,IF(0.191*(Weather_Site!K51+104)*(Weather_Site!J51+1)^1.5/(3.52*(Weather_Site!J51+1)^1.5+Weather_Site!I51-1)&gt;10, 10,0.191*(Weather_Site!K51+104)*(Weather_Site!J51+1)^1.5/(3.52*(Weather_Site!J51+1)^1.5+Weather_Site!I51-1)))</f>
        <v>8.8000000000000007</v>
      </c>
      <c r="Q53" s="713">
        <f t="shared" si="8"/>
        <v>0.97947601629684489</v>
      </c>
      <c r="R53" s="713">
        <f t="shared" si="9"/>
        <v>0.92336664291081294</v>
      </c>
      <c r="S53" s="711">
        <f t="shared" si="10"/>
        <v>1</v>
      </c>
      <c r="T53" s="716">
        <f t="shared" si="11"/>
        <v>160.76806036842234</v>
      </c>
      <c r="U53" s="716">
        <f t="shared" si="12"/>
        <v>381.56543150511112</v>
      </c>
      <c r="V53" s="716">
        <f t="shared" si="13"/>
        <v>750.88057148559483</v>
      </c>
      <c r="W53" s="713">
        <f t="shared" si="14"/>
        <v>1</v>
      </c>
      <c r="X53" s="713">
        <f t="shared" si="15"/>
        <v>1.0535651389030723E-2</v>
      </c>
      <c r="Y53" s="716">
        <f t="shared" si="16"/>
        <v>385.45640707263664</v>
      </c>
      <c r="Z53" s="711">
        <f t="shared" si="17"/>
        <v>2.5524660885339197</v>
      </c>
      <c r="AA53" s="716">
        <f t="shared" si="18"/>
        <v>120.30474627735225</v>
      </c>
      <c r="AB53" s="716">
        <f t="shared" si="19"/>
        <v>4580.5069707131652</v>
      </c>
    </row>
    <row r="54" spans="1:28" x14ac:dyDescent="0.25">
      <c r="A54" s="23" t="str">
        <f>Weather_Site!A52</f>
        <v>Mon</v>
      </c>
      <c r="B54" s="24">
        <f>Weather_Site!B52</f>
        <v>44550</v>
      </c>
      <c r="C54" s="25">
        <f>Weather_Site!C52</f>
        <v>0.83333333333333337</v>
      </c>
      <c r="D54" s="27">
        <f>Weather_Site!D52</f>
        <v>28.3</v>
      </c>
      <c r="E54" s="27">
        <f>Weather_Site!E52</f>
        <v>17.7</v>
      </c>
      <c r="F54" s="28">
        <f>Weather_Site!F52</f>
        <v>202</v>
      </c>
      <c r="G54" s="27">
        <f>Weather_Site!G52</f>
        <v>8</v>
      </c>
      <c r="H54" s="548">
        <f>C$4</f>
        <v>0</v>
      </c>
      <c r="I54" s="27">
        <f t="shared" si="2"/>
        <v>2.6666666666666665</v>
      </c>
      <c r="J54" s="738">
        <f>IF(Weather_Site!M52&lt;180,Weather_Site!M52+180,Weather_Site!M52-180)</f>
        <v>22</v>
      </c>
      <c r="K54" s="635">
        <f t="shared" si="3"/>
        <v>4.4255899999999997</v>
      </c>
      <c r="L54" s="635">
        <f t="shared" si="4"/>
        <v>5.3178000000000001</v>
      </c>
      <c r="M54" s="635">
        <f t="shared" si="5"/>
        <v>5.2177100000000003</v>
      </c>
      <c r="N54" s="635">
        <f t="shared" si="6"/>
        <v>5.2177100000000003</v>
      </c>
      <c r="O54" s="636">
        <f t="shared" si="7"/>
        <v>0.92938423760054134</v>
      </c>
      <c r="P54" s="635">
        <f>IF($O$11,Weather_Site!H52,IF(0.191*(Weather_Site!K52+104)*(Weather_Site!J52+1)^1.5/(3.52*(Weather_Site!J52+1)^1.5+Weather_Site!I52-1)&gt;10, 10,0.191*(Weather_Site!K52+104)*(Weather_Site!J52+1)^1.5/(3.52*(Weather_Site!J52+1)^1.5+Weather_Site!I52-1)))</f>
        <v>8.8000000000000007</v>
      </c>
      <c r="Q54" s="636">
        <f t="shared" si="8"/>
        <v>0.97947601629684489</v>
      </c>
      <c r="R54" s="636">
        <f t="shared" si="9"/>
        <v>0.9103095706540586</v>
      </c>
      <c r="S54" s="635">
        <f t="shared" si="10"/>
        <v>1</v>
      </c>
      <c r="T54" s="707">
        <f t="shared" si="11"/>
        <v>123.36650758706683</v>
      </c>
      <c r="U54" s="707">
        <f t="shared" si="12"/>
        <v>284.92298910592609</v>
      </c>
      <c r="V54" s="707">
        <f t="shared" si="13"/>
        <v>567.464678732111</v>
      </c>
      <c r="W54" s="636">
        <f t="shared" si="14"/>
        <v>1</v>
      </c>
      <c r="X54" s="636">
        <f t="shared" si="15"/>
        <v>0</v>
      </c>
      <c r="Y54" s="707">
        <f t="shared" si="16"/>
        <v>284.92298910592609</v>
      </c>
      <c r="Z54" s="635">
        <f t="shared" si="17"/>
        <v>2.051482601216458</v>
      </c>
      <c r="AA54" s="707">
        <f t="shared" si="18"/>
        <v>103.11341528153086</v>
      </c>
      <c r="AB54" s="707">
        <f t="shared" si="19"/>
        <v>3385.8348538754217</v>
      </c>
    </row>
    <row r="55" spans="1:28" x14ac:dyDescent="0.25">
      <c r="A55" s="23" t="str">
        <f>Weather_Site!A53</f>
        <v>Mon</v>
      </c>
      <c r="B55" s="24">
        <f>Weather_Site!B53</f>
        <v>44550</v>
      </c>
      <c r="C55" s="25">
        <f>Weather_Site!C53</f>
        <v>0.875</v>
      </c>
      <c r="D55" s="27">
        <f>Weather_Site!D53</f>
        <v>25.4</v>
      </c>
      <c r="E55" s="27">
        <f>Weather_Site!E53</f>
        <v>26.2</v>
      </c>
      <c r="F55" s="28">
        <f>Weather_Site!F53</f>
        <v>207</v>
      </c>
      <c r="G55" s="27">
        <f>Weather_Site!G53</f>
        <v>6</v>
      </c>
      <c r="H55" s="548">
        <f>C$4</f>
        <v>0</v>
      </c>
      <c r="I55" s="27">
        <f t="shared" si="2"/>
        <v>2</v>
      </c>
      <c r="J55" s="738">
        <f>IF(Weather_Site!M53&lt;180,Weather_Site!M53+180,Weather_Site!M53-180)</f>
        <v>27</v>
      </c>
      <c r="K55" s="635">
        <f t="shared" si="3"/>
        <v>5.5338199999999986</v>
      </c>
      <c r="L55" s="635">
        <f t="shared" si="4"/>
        <v>6.8848000000000011</v>
      </c>
      <c r="M55" s="635">
        <f t="shared" si="5"/>
        <v>7.0407799999999998</v>
      </c>
      <c r="N55" s="635">
        <f t="shared" si="6"/>
        <v>7.0407799999999998</v>
      </c>
      <c r="O55" s="636">
        <f t="shared" si="7"/>
        <v>0.77914610406181672</v>
      </c>
      <c r="P55" s="635">
        <f>IF($O$11,Weather_Site!H53,IF(0.191*(Weather_Site!K53+104)*(Weather_Site!J53+1)^1.5/(3.52*(Weather_Site!J53+1)^1.5+Weather_Site!I53-1)&gt;10, 10,0.191*(Weather_Site!K53+104)*(Weather_Site!J53+1)^1.5/(3.52*(Weather_Site!J53+1)^1.5+Weather_Site!I53-1)))</f>
        <v>8.8000000000000007</v>
      </c>
      <c r="Q55" s="636">
        <f t="shared" si="8"/>
        <v>0.97947601629684489</v>
      </c>
      <c r="R55" s="636">
        <f t="shared" si="9"/>
        <v>0.76315492211967517</v>
      </c>
      <c r="S55" s="635">
        <f t="shared" si="10"/>
        <v>1</v>
      </c>
      <c r="T55" s="707">
        <f t="shared" si="11"/>
        <v>22.894647663590252</v>
      </c>
      <c r="U55" s="707">
        <f t="shared" si="12"/>
        <v>22.894647663590256</v>
      </c>
      <c r="V55" s="707">
        <f t="shared" si="13"/>
        <v>337.69561179463943</v>
      </c>
      <c r="W55" s="636">
        <f t="shared" si="14"/>
        <v>1</v>
      </c>
      <c r="X55" s="636">
        <f t="shared" si="15"/>
        <v>0</v>
      </c>
      <c r="Y55" s="707">
        <f t="shared" si="16"/>
        <v>22.894647663590256</v>
      </c>
      <c r="Z55" s="635">
        <f t="shared" si="17"/>
        <v>0.33142671911854016</v>
      </c>
      <c r="AA55" s="707">
        <f t="shared" si="18"/>
        <v>9.8581844917284958</v>
      </c>
      <c r="AB55" s="707">
        <f t="shared" si="19"/>
        <v>272.06472973566417</v>
      </c>
    </row>
    <row r="56" spans="1:28" x14ac:dyDescent="0.25">
      <c r="A56" s="23" t="str">
        <f>Weather_Site!A54</f>
        <v>Mon</v>
      </c>
      <c r="B56" s="24">
        <f>Weather_Site!B54</f>
        <v>44550</v>
      </c>
      <c r="C56" s="25">
        <f>Weather_Site!C54</f>
        <v>0.91666666666666663</v>
      </c>
      <c r="D56" s="27">
        <f>Weather_Site!D54</f>
        <v>22.8</v>
      </c>
      <c r="E56" s="27">
        <f>Weather_Site!E54</f>
        <v>30.8</v>
      </c>
      <c r="F56" s="28">
        <f>Weather_Site!F54</f>
        <v>197</v>
      </c>
      <c r="G56" s="27">
        <f>Weather_Site!G54</f>
        <v>6</v>
      </c>
      <c r="H56" s="548">
        <f>C$4</f>
        <v>0</v>
      </c>
      <c r="I56" s="27">
        <f t="shared" si="2"/>
        <v>2</v>
      </c>
      <c r="J56" s="738">
        <f>IF(Weather_Site!M54&lt;180,Weather_Site!M54+180,Weather_Site!M54-180)</f>
        <v>17</v>
      </c>
      <c r="K56" s="635">
        <f t="shared" si="3"/>
        <v>6.1528400000000003</v>
      </c>
      <c r="L56" s="635">
        <f t="shared" si="4"/>
        <v>7.7792000000000012</v>
      </c>
      <c r="M56" s="635">
        <f t="shared" si="5"/>
        <v>8.0771599999999992</v>
      </c>
      <c r="N56" s="635">
        <f t="shared" si="6"/>
        <v>8.0771599999999992</v>
      </c>
      <c r="O56" s="636">
        <f t="shared" si="7"/>
        <v>0.68482166567154035</v>
      </c>
      <c r="P56" s="635">
        <f>IF($O$11,Weather_Site!H54,IF(0.191*(Weather_Site!K54+104)*(Weather_Site!J54+1)^1.5/(3.52*(Weather_Site!J54+1)^1.5+Weather_Site!I54-1)&gt;10, 10,0.191*(Weather_Site!K54+104)*(Weather_Site!J54+1)^1.5/(3.52*(Weather_Site!J54+1)^1.5+Weather_Site!I54-1)))</f>
        <v>8.8000000000000007</v>
      </c>
      <c r="Q56" s="636">
        <f t="shared" si="8"/>
        <v>0.97947601629684489</v>
      </c>
      <c r="R56" s="636">
        <f t="shared" si="9"/>
        <v>0.67076639696573015</v>
      </c>
      <c r="S56" s="635">
        <f t="shared" si="10"/>
        <v>1</v>
      </c>
      <c r="T56" s="707">
        <f t="shared" si="11"/>
        <v>20.122991908971905</v>
      </c>
      <c r="U56" s="707">
        <f t="shared" si="12"/>
        <v>20.122991908971905</v>
      </c>
      <c r="V56" s="707">
        <f t="shared" si="13"/>
        <v>296.81374283150728</v>
      </c>
      <c r="W56" s="636">
        <f t="shared" si="14"/>
        <v>1</v>
      </c>
      <c r="X56" s="636">
        <f t="shared" si="15"/>
        <v>0</v>
      </c>
      <c r="Y56" s="707">
        <f t="shared" si="16"/>
        <v>20.122991908971905</v>
      </c>
      <c r="Z56" s="635">
        <f t="shared" si="17"/>
        <v>0.30190449342731762</v>
      </c>
      <c r="AA56" s="707">
        <f t="shared" si="18"/>
        <v>8.6647398850206283</v>
      </c>
      <c r="AB56" s="707">
        <f t="shared" si="19"/>
        <v>239.1282205182828</v>
      </c>
    </row>
    <row r="57" spans="1:28" x14ac:dyDescent="0.25">
      <c r="A57" s="23" t="str">
        <f>Weather_Site!A55</f>
        <v>Mon</v>
      </c>
      <c r="B57" s="24">
        <f>Weather_Site!B55</f>
        <v>44550</v>
      </c>
      <c r="C57" s="25">
        <f>Weather_Site!C55</f>
        <v>0.95833333333333337</v>
      </c>
      <c r="D57" s="27">
        <f>Weather_Site!D55</f>
        <v>20.9</v>
      </c>
      <c r="E57" s="27">
        <f>Weather_Site!E55</f>
        <v>34.9</v>
      </c>
      <c r="F57" s="28">
        <f>Weather_Site!F55</f>
        <v>188</v>
      </c>
      <c r="G57" s="27">
        <f>Weather_Site!G55</f>
        <v>5</v>
      </c>
      <c r="H57" s="548">
        <f>C$4</f>
        <v>0</v>
      </c>
      <c r="I57" s="27">
        <f t="shared" si="2"/>
        <v>1.6666666666666667</v>
      </c>
      <c r="J57" s="738">
        <f>IF(Weather_Site!M55&lt;180,Weather_Site!M55+180,Weather_Site!M55-180)</f>
        <v>8</v>
      </c>
      <c r="K57" s="635">
        <f t="shared" si="3"/>
        <v>6.696769999999999</v>
      </c>
      <c r="L57" s="635">
        <f t="shared" si="4"/>
        <v>8.5576000000000008</v>
      </c>
      <c r="M57" s="635">
        <f t="shared" si="5"/>
        <v>8.9807299999999994</v>
      </c>
      <c r="N57" s="635">
        <f t="shared" si="6"/>
        <v>8.9807299999999994</v>
      </c>
      <c r="O57" s="636">
        <f t="shared" si="7"/>
        <v>0.60282869973953668</v>
      </c>
      <c r="P57" s="635">
        <f>IF($O$11,Weather_Site!H55,IF(0.191*(Weather_Site!K55+104)*(Weather_Site!J55+1)^1.5/(3.52*(Weather_Site!J55+1)^1.5+Weather_Site!I55-1)&gt;10, 10,0.191*(Weather_Site!K55+104)*(Weather_Site!J55+1)^1.5/(3.52*(Weather_Site!J55+1)^1.5+Weather_Site!I55-1)))</f>
        <v>8.8000000000000007</v>
      </c>
      <c r="Q57" s="636">
        <f t="shared" si="8"/>
        <v>0.97947601629684489</v>
      </c>
      <c r="R57" s="636">
        <f t="shared" si="9"/>
        <v>0.59045625333028828</v>
      </c>
      <c r="S57" s="635">
        <f t="shared" si="10"/>
        <v>1</v>
      </c>
      <c r="T57" s="707">
        <f t="shared" si="11"/>
        <v>17.713687599908649</v>
      </c>
      <c r="U57" s="707">
        <f t="shared" si="12"/>
        <v>17.713687599908649</v>
      </c>
      <c r="V57" s="707">
        <f t="shared" si="13"/>
        <v>210.26810426825367</v>
      </c>
      <c r="W57" s="636">
        <f t="shared" si="14"/>
        <v>1</v>
      </c>
      <c r="X57" s="636">
        <f t="shared" si="15"/>
        <v>0</v>
      </c>
      <c r="Y57" s="707">
        <f t="shared" si="16"/>
        <v>17.713687599908649</v>
      </c>
      <c r="Z57" s="635">
        <f t="shared" si="17"/>
        <v>0.27531333977559652</v>
      </c>
      <c r="AA57" s="707">
        <f t="shared" si="18"/>
        <v>8.4270635584722395</v>
      </c>
      <c r="AB57" s="707">
        <f t="shared" si="19"/>
        <v>210.49765431224779</v>
      </c>
    </row>
    <row r="58" spans="1:28" x14ac:dyDescent="0.25">
      <c r="A58" s="23" t="str">
        <f>Weather_Site!A56</f>
        <v>Tue</v>
      </c>
      <c r="B58" s="24">
        <f>Weather_Site!B56</f>
        <v>44551</v>
      </c>
      <c r="C58" s="25">
        <f>Weather_Site!C56</f>
        <v>0</v>
      </c>
      <c r="D58" s="27">
        <f>Weather_Site!D56</f>
        <v>19.899999999999999</v>
      </c>
      <c r="E58" s="27">
        <f>Weather_Site!E56</f>
        <v>38.4</v>
      </c>
      <c r="F58" s="28">
        <f>Weather_Site!F56</f>
        <v>190</v>
      </c>
      <c r="G58" s="27">
        <f>Weather_Site!G56</f>
        <v>5</v>
      </c>
      <c r="H58" s="548">
        <f>C$4</f>
        <v>0</v>
      </c>
      <c r="I58" s="27">
        <f t="shared" si="2"/>
        <v>1.6666666666666667</v>
      </c>
      <c r="J58" s="738">
        <f>IF(Weather_Site!M56&lt;180,Weather_Site!M56+180,Weather_Site!M56-180)</f>
        <v>10</v>
      </c>
      <c r="K58" s="635">
        <f t="shared" si="3"/>
        <v>7.1494699999999991</v>
      </c>
      <c r="L58" s="635">
        <f t="shared" si="4"/>
        <v>9.1941000000000006</v>
      </c>
      <c r="M58" s="635">
        <f t="shared" si="5"/>
        <v>9.7220300000000002</v>
      </c>
      <c r="N58" s="635">
        <f t="shared" si="6"/>
        <v>9.7220300000000002</v>
      </c>
      <c r="O58" s="636">
        <f t="shared" si="7"/>
        <v>0.53795497114184299</v>
      </c>
      <c r="P58" s="635">
        <f>IF($O$11,Weather_Site!H56,IF(0.191*(Weather_Site!K56+104)*(Weather_Site!J56+1)^1.5/(3.52*(Weather_Site!J56+1)^1.5+Weather_Site!I56-1)&gt;10, 10,0.191*(Weather_Site!K56+104)*(Weather_Site!J56+1)^1.5/(3.52*(Weather_Site!J56+1)^1.5+Weather_Site!I56-1)))</f>
        <v>8.8000000000000007</v>
      </c>
      <c r="Q58" s="636">
        <f t="shared" si="8"/>
        <v>0.97947601629684489</v>
      </c>
      <c r="R58" s="636">
        <f t="shared" si="9"/>
        <v>0.52691399208109657</v>
      </c>
      <c r="S58" s="635">
        <f t="shared" si="10"/>
        <v>1</v>
      </c>
      <c r="T58" s="707">
        <f t="shared" si="11"/>
        <v>15.807419762432898</v>
      </c>
      <c r="U58" s="707">
        <f t="shared" si="12"/>
        <v>15.807419762432897</v>
      </c>
      <c r="V58" s="707">
        <f t="shared" si="13"/>
        <v>187.63999128202053</v>
      </c>
      <c r="W58" s="636">
        <f t="shared" si="14"/>
        <v>1</v>
      </c>
      <c r="X58" s="636">
        <f t="shared" si="15"/>
        <v>0</v>
      </c>
      <c r="Y58" s="707">
        <f t="shared" si="16"/>
        <v>15.807419762432897</v>
      </c>
      <c r="Z58" s="635">
        <f t="shared" si="17"/>
        <v>0.25355743765939348</v>
      </c>
      <c r="AA58" s="707">
        <f t="shared" si="18"/>
        <v>7.5201806671897691</v>
      </c>
      <c r="AB58" s="707">
        <f t="shared" si="19"/>
        <v>187.84483817691094</v>
      </c>
    </row>
    <row r="59" spans="1:28" x14ac:dyDescent="0.25">
      <c r="A59" s="675" t="str">
        <f>Weather_Site!A57</f>
        <v>Tue</v>
      </c>
      <c r="B59" s="672">
        <f>Weather_Site!B57</f>
        <v>44551</v>
      </c>
      <c r="C59" s="673">
        <f>Weather_Site!C57</f>
        <v>4.1666666666666664E-2</v>
      </c>
      <c r="D59" s="413">
        <f>Weather_Site!D57</f>
        <v>18.5</v>
      </c>
      <c r="E59" s="413">
        <f>Weather_Site!E57</f>
        <v>42.5</v>
      </c>
      <c r="F59" s="674">
        <f>Weather_Site!F57</f>
        <v>267</v>
      </c>
      <c r="G59" s="413">
        <f>Weather_Site!G57</f>
        <v>6</v>
      </c>
      <c r="H59" s="548">
        <f>C$4</f>
        <v>0</v>
      </c>
      <c r="I59" s="413">
        <f t="shared" si="2"/>
        <v>2</v>
      </c>
      <c r="J59" s="413">
        <f>IF(Weather_Site!M57&lt;180,Weather_Site!M57+180,Weather_Site!M57-180)</f>
        <v>87</v>
      </c>
      <c r="K59" s="711">
        <f t="shared" si="3"/>
        <v>7.6840499999999992</v>
      </c>
      <c r="L59" s="711">
        <f t="shared" si="4"/>
        <v>9.9500000000000011</v>
      </c>
      <c r="M59" s="711">
        <f t="shared" si="5"/>
        <v>10.601450000000002</v>
      </c>
      <c r="N59" s="711">
        <f t="shared" si="6"/>
        <v>10.601450000000002</v>
      </c>
      <c r="O59" s="713">
        <f t="shared" si="7"/>
        <v>0.46579656776879452</v>
      </c>
      <c r="P59" s="711">
        <f>IF($O$11,Weather_Site!H57,IF(0.191*(Weather_Site!K57+104)*(Weather_Site!J57+1)^1.5/(3.52*(Weather_Site!J57+1)^1.5+Weather_Site!I57-1)&gt;10, 10,0.191*(Weather_Site!K57+104)*(Weather_Site!J57+1)^1.5/(3.52*(Weather_Site!J57+1)^1.5+Weather_Site!I57-1)))</f>
        <v>8.8000000000000007</v>
      </c>
      <c r="Q59" s="713">
        <f t="shared" si="8"/>
        <v>0.97947601629684489</v>
      </c>
      <c r="R59" s="713">
        <f t="shared" si="9"/>
        <v>0.45623656660292222</v>
      </c>
      <c r="S59" s="711">
        <f t="shared" si="10"/>
        <v>1</v>
      </c>
      <c r="T59" s="716">
        <f t="shared" si="11"/>
        <v>13.687096998087666</v>
      </c>
      <c r="U59" s="716">
        <f t="shared" si="12"/>
        <v>13.687096998087666</v>
      </c>
      <c r="V59" s="716">
        <f t="shared" si="13"/>
        <v>201.88441693349785</v>
      </c>
      <c r="W59" s="713">
        <f t="shared" si="14"/>
        <v>1</v>
      </c>
      <c r="X59" s="713">
        <f t="shared" si="15"/>
        <v>0</v>
      </c>
      <c r="Y59" s="716">
        <f t="shared" si="16"/>
        <v>13.687096998087666</v>
      </c>
      <c r="Z59" s="711">
        <f t="shared" si="17"/>
        <v>0.22848251148061455</v>
      </c>
      <c r="AA59" s="716">
        <f t="shared" si="18"/>
        <v>5.8935140363794636</v>
      </c>
      <c r="AB59" s="716">
        <f t="shared" si="19"/>
        <v>162.64833599394177</v>
      </c>
    </row>
    <row r="60" spans="1:28" x14ac:dyDescent="0.25">
      <c r="A60" s="675" t="str">
        <f>Weather_Site!A58</f>
        <v>Tue</v>
      </c>
      <c r="B60" s="672">
        <f>Weather_Site!B58</f>
        <v>44551</v>
      </c>
      <c r="C60" s="673">
        <f>Weather_Site!C58</f>
        <v>8.3333333333333329E-2</v>
      </c>
      <c r="D60" s="413">
        <f>Weather_Site!D58</f>
        <v>17.2</v>
      </c>
      <c r="E60" s="413">
        <f>Weather_Site!E58</f>
        <v>47.4</v>
      </c>
      <c r="F60" s="674">
        <f>Weather_Site!F58</f>
        <v>245</v>
      </c>
      <c r="G60" s="413">
        <f>Weather_Site!G58</f>
        <v>6</v>
      </c>
      <c r="H60" s="548">
        <f>C$4</f>
        <v>0</v>
      </c>
      <c r="I60" s="413">
        <f t="shared" si="2"/>
        <v>2</v>
      </c>
      <c r="J60" s="413">
        <f>IF(Weather_Site!M58&lt;180,Weather_Site!M58+180,Weather_Site!M58-180)</f>
        <v>65</v>
      </c>
      <c r="K60" s="711">
        <f t="shared" si="3"/>
        <v>8.3159599999999987</v>
      </c>
      <c r="L60" s="711">
        <f t="shared" si="4"/>
        <v>10.836600000000001</v>
      </c>
      <c r="M60" s="711">
        <f t="shared" si="5"/>
        <v>11.63444</v>
      </c>
      <c r="N60" s="711">
        <f t="shared" si="6"/>
        <v>11.63444</v>
      </c>
      <c r="O60" s="713">
        <f t="shared" si="7"/>
        <v>0.3899674709307569</v>
      </c>
      <c r="P60" s="711">
        <f>IF($O$11,Weather_Site!H58,IF(0.191*(Weather_Site!K58+104)*(Weather_Site!J58+1)^1.5/(3.52*(Weather_Site!J58+1)^1.5+Weather_Site!I58-1)&gt;10, 10,0.191*(Weather_Site!K58+104)*(Weather_Site!J58+1)^1.5/(3.52*(Weather_Site!J58+1)^1.5+Weather_Site!I58-1)))</f>
        <v>8.8000000000000007</v>
      </c>
      <c r="Q60" s="713">
        <f t="shared" si="8"/>
        <v>0.97947601629684489</v>
      </c>
      <c r="R60" s="713">
        <f t="shared" si="9"/>
        <v>0.3819637849126134</v>
      </c>
      <c r="S60" s="711">
        <f t="shared" si="10"/>
        <v>1</v>
      </c>
      <c r="T60" s="716">
        <f t="shared" si="11"/>
        <v>11.458913547378403</v>
      </c>
      <c r="U60" s="716">
        <f t="shared" si="12"/>
        <v>11.458913547378401</v>
      </c>
      <c r="V60" s="716">
        <f t="shared" si="13"/>
        <v>169.01875397880707</v>
      </c>
      <c r="W60" s="713">
        <f t="shared" si="14"/>
        <v>1</v>
      </c>
      <c r="X60" s="713">
        <f t="shared" si="15"/>
        <v>0</v>
      </c>
      <c r="Y60" s="716">
        <f t="shared" si="16"/>
        <v>11.458913547378401</v>
      </c>
      <c r="Z60" s="711">
        <f t="shared" si="17"/>
        <v>0.20093730383456071</v>
      </c>
      <c r="AA60" s="716">
        <f t="shared" si="18"/>
        <v>4.9340826504385129</v>
      </c>
      <c r="AB60" s="716">
        <f t="shared" si="19"/>
        <v>136.17008932134667</v>
      </c>
    </row>
    <row r="61" spans="1:28" x14ac:dyDescent="0.25">
      <c r="A61" s="675" t="str">
        <f>Weather_Site!A59</f>
        <v>Tue</v>
      </c>
      <c r="B61" s="672">
        <f>Weather_Site!B59</f>
        <v>44551</v>
      </c>
      <c r="C61" s="673">
        <f>Weather_Site!C59</f>
        <v>0.125</v>
      </c>
      <c r="D61" s="413">
        <f>Weather_Site!D59</f>
        <v>16.3</v>
      </c>
      <c r="E61" s="413">
        <f>Weather_Site!E59</f>
        <v>50.2</v>
      </c>
      <c r="F61" s="674">
        <f>Weather_Site!F59</f>
        <v>226</v>
      </c>
      <c r="G61" s="413">
        <f>Weather_Site!G59</f>
        <v>6</v>
      </c>
      <c r="H61" s="548">
        <f>C$4</f>
        <v>0</v>
      </c>
      <c r="I61" s="413">
        <f t="shared" si="2"/>
        <v>2</v>
      </c>
      <c r="J61" s="413">
        <f>IF(Weather_Site!M59&lt;180,Weather_Site!M59+180,Weather_Site!M59-180)</f>
        <v>46</v>
      </c>
      <c r="K61" s="711">
        <f t="shared" si="3"/>
        <v>8.6799900000000001</v>
      </c>
      <c r="L61" s="711">
        <f t="shared" si="4"/>
        <v>11.350300000000001</v>
      </c>
      <c r="M61" s="711">
        <f t="shared" si="5"/>
        <v>12.23231</v>
      </c>
      <c r="N61" s="711">
        <f t="shared" si="6"/>
        <v>12.23231</v>
      </c>
      <c r="O61" s="713">
        <f t="shared" si="7"/>
        <v>0.35127249247835024</v>
      </c>
      <c r="P61" s="711">
        <f>IF($O$11,Weather_Site!H59,IF(0.191*(Weather_Site!K59+104)*(Weather_Site!J59+1)^1.5/(3.52*(Weather_Site!J59+1)^1.5+Weather_Site!I59-1)&gt;10, 10,0.191*(Weather_Site!K59+104)*(Weather_Site!J59+1)^1.5/(3.52*(Weather_Site!J59+1)^1.5+Weather_Site!I59-1)))</f>
        <v>8.8000000000000007</v>
      </c>
      <c r="Q61" s="713">
        <f t="shared" si="8"/>
        <v>0.97947601629684489</v>
      </c>
      <c r="R61" s="713">
        <f t="shared" si="9"/>
        <v>0.34406298156735793</v>
      </c>
      <c r="S61" s="711">
        <f t="shared" si="10"/>
        <v>1</v>
      </c>
      <c r="T61" s="716">
        <f t="shared" si="11"/>
        <v>10.321889447020737</v>
      </c>
      <c r="U61" s="716">
        <f t="shared" si="12"/>
        <v>10.321889447020737</v>
      </c>
      <c r="V61" s="716">
        <f t="shared" si="13"/>
        <v>152.24767041213738</v>
      </c>
      <c r="W61" s="713">
        <f t="shared" si="14"/>
        <v>1</v>
      </c>
      <c r="X61" s="713">
        <f t="shared" si="15"/>
        <v>0</v>
      </c>
      <c r="Y61" s="716">
        <f t="shared" si="16"/>
        <v>10.321889447020737</v>
      </c>
      <c r="Z61" s="711">
        <f t="shared" si="17"/>
        <v>0.18631497620121548</v>
      </c>
      <c r="AA61" s="716">
        <f t="shared" si="18"/>
        <v>4.4444925279972178</v>
      </c>
      <c r="AB61" s="716">
        <f t="shared" si="19"/>
        <v>122.65845292876308</v>
      </c>
    </row>
    <row r="62" spans="1:28" x14ac:dyDescent="0.25">
      <c r="A62" s="675" t="str">
        <f>Weather_Site!A60</f>
        <v>Tue</v>
      </c>
      <c r="B62" s="672">
        <f>Weather_Site!B60</f>
        <v>44551</v>
      </c>
      <c r="C62" s="673">
        <f>Weather_Site!C60</f>
        <v>0.16666666666666666</v>
      </c>
      <c r="D62" s="413">
        <f>Weather_Site!D60</f>
        <v>15.5</v>
      </c>
      <c r="E62" s="413">
        <f>Weather_Site!E60</f>
        <v>54.3</v>
      </c>
      <c r="F62" s="674">
        <f>Weather_Site!F60</f>
        <v>216</v>
      </c>
      <c r="G62" s="413">
        <f>Weather_Site!G60</f>
        <v>6</v>
      </c>
      <c r="H62" s="548">
        <f>C$4</f>
        <v>0</v>
      </c>
      <c r="I62" s="413">
        <f t="shared" si="2"/>
        <v>2</v>
      </c>
      <c r="J62" s="413">
        <f>IF(Weather_Site!M60&lt;180,Weather_Site!M60+180,Weather_Site!M60-180)</f>
        <v>36</v>
      </c>
      <c r="K62" s="711">
        <f t="shared" si="3"/>
        <v>9.2033499999999986</v>
      </c>
      <c r="L62" s="711">
        <f t="shared" si="4"/>
        <v>12.0792</v>
      </c>
      <c r="M62" s="711">
        <f t="shared" si="5"/>
        <v>13.082750000000001</v>
      </c>
      <c r="N62" s="711">
        <f t="shared" si="6"/>
        <v>13.082750000000001</v>
      </c>
      <c r="O62" s="713">
        <f t="shared" si="7"/>
        <v>0.30341561420298202</v>
      </c>
      <c r="P62" s="711">
        <f>IF($O$11,Weather_Site!H60,IF(0.191*(Weather_Site!K60+104)*(Weather_Site!J60+1)^1.5/(3.52*(Weather_Site!J60+1)^1.5+Weather_Site!I60-1)&gt;10, 10,0.191*(Weather_Site!K60+104)*(Weather_Site!J60+1)^1.5/(3.52*(Weather_Site!J60+1)^1.5+Weather_Site!I60-1)))</f>
        <v>8.8000000000000007</v>
      </c>
      <c r="Q62" s="713">
        <f t="shared" si="8"/>
        <v>0.97947601629684489</v>
      </c>
      <c r="R62" s="713">
        <f t="shared" si="9"/>
        <v>0.29718831708179722</v>
      </c>
      <c r="S62" s="711">
        <f t="shared" si="10"/>
        <v>1</v>
      </c>
      <c r="T62" s="716">
        <f t="shared" si="11"/>
        <v>8.9156495124539159</v>
      </c>
      <c r="U62" s="716">
        <f t="shared" si="12"/>
        <v>8.9156495124539159</v>
      </c>
      <c r="V62" s="716">
        <f t="shared" si="13"/>
        <v>131.50565847941795</v>
      </c>
      <c r="W62" s="713">
        <f t="shared" si="14"/>
        <v>1</v>
      </c>
      <c r="X62" s="713">
        <f t="shared" si="15"/>
        <v>0</v>
      </c>
      <c r="Y62" s="716">
        <f t="shared" si="16"/>
        <v>8.9156495124539159</v>
      </c>
      <c r="Z62" s="711">
        <f t="shared" si="17"/>
        <v>0.16759477366071826</v>
      </c>
      <c r="AA62" s="716">
        <f t="shared" si="18"/>
        <v>3.8389810163855995</v>
      </c>
      <c r="AB62" s="716">
        <f t="shared" si="19"/>
        <v>105.94763503966071</v>
      </c>
    </row>
    <row r="63" spans="1:28" x14ac:dyDescent="0.25">
      <c r="A63" s="675" t="str">
        <f>Weather_Site!A61</f>
        <v>Tue</v>
      </c>
      <c r="B63" s="672">
        <f>Weather_Site!B61</f>
        <v>44551</v>
      </c>
      <c r="C63" s="673">
        <f>Weather_Site!C61</f>
        <v>0.20833333333333334</v>
      </c>
      <c r="D63" s="413">
        <f>Weather_Site!D61</f>
        <v>14.5</v>
      </c>
      <c r="E63" s="413">
        <f>Weather_Site!E61</f>
        <v>62.4</v>
      </c>
      <c r="F63" s="674">
        <f>Weather_Site!F61</f>
        <v>188</v>
      </c>
      <c r="G63" s="413">
        <f>Weather_Site!G61</f>
        <v>9</v>
      </c>
      <c r="H63" s="548">
        <f>C$4</f>
        <v>0</v>
      </c>
      <c r="I63" s="413">
        <f t="shared" si="2"/>
        <v>3</v>
      </c>
      <c r="J63" s="413">
        <f>IF(Weather_Site!M61&lt;180,Weather_Site!M61+180,Weather_Site!M61-180)</f>
        <v>8</v>
      </c>
      <c r="K63" s="711">
        <f t="shared" si="3"/>
        <v>10.226449999999998</v>
      </c>
      <c r="L63" s="711">
        <f t="shared" si="4"/>
        <v>13.4931</v>
      </c>
      <c r="M63" s="711">
        <f t="shared" si="5"/>
        <v>14.73485</v>
      </c>
      <c r="N63" s="711">
        <f t="shared" si="6"/>
        <v>14.73485</v>
      </c>
      <c r="O63" s="713">
        <f t="shared" si="7"/>
        <v>0.23534725054282379</v>
      </c>
      <c r="P63" s="711">
        <f>IF($O$11,Weather_Site!H61,IF(0.191*(Weather_Site!K61+104)*(Weather_Site!J61+1)^1.5/(3.52*(Weather_Site!J61+1)^1.5+Weather_Site!I61-1)&gt;10, 10,0.191*(Weather_Site!K61+104)*(Weather_Site!J61+1)^1.5/(3.52*(Weather_Site!J61+1)^1.5+Weather_Site!I61-1)))</f>
        <v>8.8000000000000007</v>
      </c>
      <c r="Q63" s="713">
        <f t="shared" si="8"/>
        <v>0.97947601629684489</v>
      </c>
      <c r="R63" s="713">
        <f t="shared" si="9"/>
        <v>0.2305169874081005</v>
      </c>
      <c r="S63" s="711">
        <f t="shared" si="10"/>
        <v>1</v>
      </c>
      <c r="T63" s="716">
        <f t="shared" si="11"/>
        <v>35.715201853712017</v>
      </c>
      <c r="U63" s="716">
        <f t="shared" si="12"/>
        <v>83.872672470860678</v>
      </c>
      <c r="V63" s="716">
        <f t="shared" si="13"/>
        <v>165.34445610581042</v>
      </c>
      <c r="W63" s="713">
        <f t="shared" si="14"/>
        <v>1</v>
      </c>
      <c r="X63" s="713">
        <f t="shared" si="15"/>
        <v>0</v>
      </c>
      <c r="Y63" s="716">
        <f t="shared" si="16"/>
        <v>83.872672470860678</v>
      </c>
      <c r="Z63" s="711">
        <f t="shared" si="17"/>
        <v>0.84737855603303858</v>
      </c>
      <c r="AA63" s="716">
        <f t="shared" si="18"/>
        <v>28.111232226458199</v>
      </c>
      <c r="AB63" s="716">
        <f t="shared" si="19"/>
        <v>996.68692452872779</v>
      </c>
    </row>
    <row r="64" spans="1:28" x14ac:dyDescent="0.25">
      <c r="A64" s="23" t="str">
        <f>Weather_Site!A62</f>
        <v>Tue</v>
      </c>
      <c r="B64" s="24">
        <f>Weather_Site!B62</f>
        <v>44551</v>
      </c>
      <c r="C64" s="25">
        <f>Weather_Site!C62</f>
        <v>0.25</v>
      </c>
      <c r="D64" s="27">
        <f>Weather_Site!D62</f>
        <v>13.9</v>
      </c>
      <c r="E64" s="27">
        <f>Weather_Site!E62</f>
        <v>65.3</v>
      </c>
      <c r="F64" s="28">
        <f>Weather_Site!F62</f>
        <v>189</v>
      </c>
      <c r="G64" s="27">
        <f>Weather_Site!G62</f>
        <v>10</v>
      </c>
      <c r="H64" s="548">
        <f>C$4</f>
        <v>0</v>
      </c>
      <c r="I64" s="27">
        <f t="shared" si="2"/>
        <v>3.3333333333333335</v>
      </c>
      <c r="J64" s="738">
        <f>IF(Weather_Site!M62&lt;180,Weather_Site!M62+180,Weather_Site!M62-180)</f>
        <v>9</v>
      </c>
      <c r="K64" s="635">
        <f t="shared" si="3"/>
        <v>10.597269999999998</v>
      </c>
      <c r="L64" s="635">
        <f t="shared" si="4"/>
        <v>14.010199999999999</v>
      </c>
      <c r="M64" s="635">
        <f t="shared" si="5"/>
        <v>15.33803</v>
      </c>
      <c r="N64" s="635">
        <f t="shared" si="6"/>
        <v>15.33803</v>
      </c>
      <c r="O64" s="636">
        <f t="shared" si="7"/>
        <v>0.21840410365558349</v>
      </c>
      <c r="P64" s="635">
        <f>IF($O$11,Weather_Site!H62,IF(0.191*(Weather_Site!K62+104)*(Weather_Site!J62+1)^1.5/(3.52*(Weather_Site!J62+1)^1.5+Weather_Site!I62-1)&gt;10, 10,0.191*(Weather_Site!K62+104)*(Weather_Site!J62+1)^1.5/(3.52*(Weather_Site!J62+1)^1.5+Weather_Site!I62-1)))</f>
        <v>8.8000000000000007</v>
      </c>
      <c r="Q64" s="636">
        <f t="shared" si="8"/>
        <v>0.97947601629684489</v>
      </c>
      <c r="R64" s="636">
        <f t="shared" si="9"/>
        <v>0.21392158139145409</v>
      </c>
      <c r="S64" s="635">
        <f t="shared" si="10"/>
        <v>1</v>
      </c>
      <c r="T64" s="707">
        <f t="shared" si="11"/>
        <v>37.246047358645519</v>
      </c>
      <c r="U64" s="707">
        <f t="shared" si="12"/>
        <v>88.399425232182679</v>
      </c>
      <c r="V64" s="707">
        <f t="shared" si="13"/>
        <v>173.96075602422675</v>
      </c>
      <c r="W64" s="636">
        <f t="shared" si="14"/>
        <v>1</v>
      </c>
      <c r="X64" s="636">
        <f t="shared" si="15"/>
        <v>0</v>
      </c>
      <c r="Y64" s="707">
        <f t="shared" si="16"/>
        <v>88.399425232182679</v>
      </c>
      <c r="Z64" s="635">
        <f t="shared" si="17"/>
        <v>0.88020292506100395</v>
      </c>
      <c r="AA64" s="707">
        <f t="shared" si="18"/>
        <v>27.590332469470248</v>
      </c>
      <c r="AB64" s="707">
        <f t="shared" si="19"/>
        <v>1050.4798365091042</v>
      </c>
    </row>
    <row r="65" spans="1:28" x14ac:dyDescent="0.25">
      <c r="A65" s="23" t="str">
        <f>Weather_Site!A63</f>
        <v>Tue</v>
      </c>
      <c r="B65" s="24">
        <f>Weather_Site!B63</f>
        <v>44551</v>
      </c>
      <c r="C65" s="25">
        <f>Weather_Site!C63</f>
        <v>0.29166666666666669</v>
      </c>
      <c r="D65" s="27">
        <f>Weather_Site!D63</f>
        <v>15.8</v>
      </c>
      <c r="E65" s="27">
        <f>Weather_Site!E63</f>
        <v>58.6</v>
      </c>
      <c r="F65" s="28">
        <f>Weather_Site!F63</f>
        <v>178</v>
      </c>
      <c r="G65" s="27">
        <f>Weather_Site!G63</f>
        <v>12</v>
      </c>
      <c r="H65" s="548">
        <f>C$4</f>
        <v>0</v>
      </c>
      <c r="I65" s="27">
        <f t="shared" si="2"/>
        <v>4</v>
      </c>
      <c r="J65" s="738">
        <f>IF(Weather_Site!M63&lt;180,Weather_Site!M63+180,Weather_Site!M63-180)</f>
        <v>358</v>
      </c>
      <c r="K65" s="635">
        <f t="shared" si="3"/>
        <v>9.7309399999999986</v>
      </c>
      <c r="L65" s="635">
        <f t="shared" si="4"/>
        <v>12.792400000000001</v>
      </c>
      <c r="M65" s="635">
        <f t="shared" si="5"/>
        <v>13.91966</v>
      </c>
      <c r="N65" s="635">
        <f t="shared" si="6"/>
        <v>13.91966</v>
      </c>
      <c r="O65" s="636">
        <f t="shared" si="7"/>
        <v>0.26484594527384653</v>
      </c>
      <c r="P65" s="635">
        <f>IF($O$11,Weather_Site!H63,IF(0.191*(Weather_Site!K63+104)*(Weather_Site!J63+1)^1.5/(3.52*(Weather_Site!J63+1)^1.5+Weather_Site!I63-1)&gt;10, 10,0.191*(Weather_Site!K63+104)*(Weather_Site!J63+1)^1.5/(3.52*(Weather_Site!J63+1)^1.5+Weather_Site!I63-1)))</f>
        <v>8.8000000000000007</v>
      </c>
      <c r="Q65" s="636">
        <f t="shared" si="8"/>
        <v>0.97947601629684489</v>
      </c>
      <c r="R65" s="636">
        <f t="shared" si="9"/>
        <v>0.25941025140919938</v>
      </c>
      <c r="S65" s="635">
        <f t="shared" si="10"/>
        <v>1</v>
      </c>
      <c r="T65" s="707">
        <f t="shared" si="11"/>
        <v>54.964906289662991</v>
      </c>
      <c r="U65" s="707">
        <f t="shared" si="12"/>
        <v>131.91721451065985</v>
      </c>
      <c r="V65" s="707">
        <f t="shared" si="13"/>
        <v>262.12645575964802</v>
      </c>
      <c r="W65" s="636">
        <f t="shared" si="14"/>
        <v>1</v>
      </c>
      <c r="X65" s="636">
        <f t="shared" si="15"/>
        <v>0</v>
      </c>
      <c r="Y65" s="707">
        <f t="shared" si="16"/>
        <v>131.91721451065985</v>
      </c>
      <c r="Z65" s="635">
        <f t="shared" si="17"/>
        <v>1.175649398477171</v>
      </c>
      <c r="AA65" s="707">
        <f t="shared" si="18"/>
        <v>36.193265614206496</v>
      </c>
      <c r="AB65" s="707">
        <f t="shared" si="19"/>
        <v>1567.6162324350075</v>
      </c>
    </row>
    <row r="66" spans="1:28" x14ac:dyDescent="0.25">
      <c r="A66" s="23" t="str">
        <f>Weather_Site!A64</f>
        <v>Tue</v>
      </c>
      <c r="B66" s="24">
        <f>Weather_Site!B64</f>
        <v>44551</v>
      </c>
      <c r="C66" s="25">
        <f>Weather_Site!C64</f>
        <v>0.33333333333333331</v>
      </c>
      <c r="D66" s="27">
        <f>Weather_Site!D64</f>
        <v>19.100000000000001</v>
      </c>
      <c r="E66" s="27">
        <f>Weather_Site!E64</f>
        <v>48.2</v>
      </c>
      <c r="F66" s="28">
        <f>Weather_Site!F64</f>
        <v>183</v>
      </c>
      <c r="G66" s="27">
        <f>Weather_Site!G64</f>
        <v>16</v>
      </c>
      <c r="H66" s="548">
        <f>C$4</f>
        <v>0</v>
      </c>
      <c r="I66" s="27">
        <f t="shared" si="2"/>
        <v>5.333333333333333</v>
      </c>
      <c r="J66" s="738">
        <f>IF(Weather_Site!M64&lt;180,Weather_Site!M64+180,Weather_Site!M64-180)</f>
        <v>3</v>
      </c>
      <c r="K66" s="635">
        <f t="shared" si="3"/>
        <v>8.3796299999999988</v>
      </c>
      <c r="L66" s="635">
        <f t="shared" si="4"/>
        <v>10.8863</v>
      </c>
      <c r="M66" s="635">
        <f t="shared" si="5"/>
        <v>11.701070000000001</v>
      </c>
      <c r="N66" s="635">
        <f t="shared" si="6"/>
        <v>10.8863</v>
      </c>
      <c r="O66" s="636">
        <f t="shared" si="7"/>
        <v>0.443831934564692</v>
      </c>
      <c r="P66" s="635">
        <f>IF($O$11,Weather_Site!H64,IF(0.191*(Weather_Site!K64+104)*(Weather_Site!J64+1)^1.5/(3.52*(Weather_Site!J64+1)^1.5+Weather_Site!I64-1)&gt;10, 10,0.191*(Weather_Site!K64+104)*(Weather_Site!J64+1)^1.5/(3.52*(Weather_Site!J64+1)^1.5+Weather_Site!I64-1)))</f>
        <v>8.8000000000000007</v>
      </c>
      <c r="Q66" s="636">
        <f t="shared" si="8"/>
        <v>0.97947601629684489</v>
      </c>
      <c r="R66" s="636">
        <f t="shared" si="9"/>
        <v>0.43472273517274646</v>
      </c>
      <c r="S66" s="635">
        <f t="shared" si="10"/>
        <v>1</v>
      </c>
      <c r="T66" s="707">
        <f t="shared" si="11"/>
        <v>124.19815890967344</v>
      </c>
      <c r="U66" s="707">
        <f t="shared" si="12"/>
        <v>299.49534755807753</v>
      </c>
      <c r="V66" s="707">
        <f t="shared" si="13"/>
        <v>618.83246936634464</v>
      </c>
      <c r="W66" s="636">
        <f t="shared" si="14"/>
        <v>1</v>
      </c>
      <c r="X66" s="636">
        <f t="shared" si="15"/>
        <v>0</v>
      </c>
      <c r="Y66" s="707">
        <f t="shared" si="16"/>
        <v>299.49534755807753</v>
      </c>
      <c r="Z66" s="635">
        <f t="shared" si="17"/>
        <v>2.1268158563236272</v>
      </c>
      <c r="AA66" s="707">
        <f t="shared" si="18"/>
        <v>66.166345784304852</v>
      </c>
      <c r="AB66" s="707">
        <f t="shared" si="19"/>
        <v>3559.0030468151549</v>
      </c>
    </row>
    <row r="67" spans="1:28" x14ac:dyDescent="0.25">
      <c r="A67" s="23" t="str">
        <f>Weather_Site!A65</f>
        <v>Tue</v>
      </c>
      <c r="B67" s="24">
        <f>Weather_Site!B65</f>
        <v>44551</v>
      </c>
      <c r="C67" s="25">
        <f>Weather_Site!C65</f>
        <v>0.375</v>
      </c>
      <c r="D67" s="27">
        <f>Weather_Site!D65</f>
        <v>21.8</v>
      </c>
      <c r="E67" s="27">
        <f>Weather_Site!E65</f>
        <v>42</v>
      </c>
      <c r="F67" s="28">
        <f>Weather_Site!F65</f>
        <v>179</v>
      </c>
      <c r="G67" s="27">
        <f>Weather_Site!G65</f>
        <v>10</v>
      </c>
      <c r="H67" s="548">
        <f>C$4</f>
        <v>0</v>
      </c>
      <c r="I67" s="27">
        <f t="shared" si="2"/>
        <v>3.3333333333333335</v>
      </c>
      <c r="J67" s="738">
        <f>IF(Weather_Site!M65&lt;180,Weather_Site!M65+180,Weather_Site!M65-180)</f>
        <v>359</v>
      </c>
      <c r="K67" s="635">
        <f t="shared" si="3"/>
        <v>7.5603400000000001</v>
      </c>
      <c r="L67" s="635">
        <f t="shared" si="4"/>
        <v>9.7170000000000005</v>
      </c>
      <c r="M67" s="635">
        <f t="shared" si="5"/>
        <v>10.343060000000001</v>
      </c>
      <c r="N67" s="635">
        <f t="shared" si="6"/>
        <v>9.7170000000000005</v>
      </c>
      <c r="O67" s="636">
        <f t="shared" si="7"/>
        <v>0.53838432289984517</v>
      </c>
      <c r="P67" s="635">
        <f>IF($O$11,Weather_Site!H65,IF(0.191*(Weather_Site!K65+104)*(Weather_Site!J65+1)^1.5/(3.52*(Weather_Site!J65+1)^1.5+Weather_Site!I65-1)&gt;10, 10,0.191*(Weather_Site!K65+104)*(Weather_Site!J65+1)^1.5/(3.52*(Weather_Site!J65+1)^1.5+Weather_Site!I65-1)))</f>
        <v>8.8000000000000007</v>
      </c>
      <c r="Q67" s="636">
        <f t="shared" si="8"/>
        <v>0.97947601629684489</v>
      </c>
      <c r="R67" s="636">
        <f t="shared" si="9"/>
        <v>0.52733453183061452</v>
      </c>
      <c r="S67" s="635">
        <f t="shared" si="10"/>
        <v>1</v>
      </c>
      <c r="T67" s="707">
        <f t="shared" si="11"/>
        <v>91.814611778093706</v>
      </c>
      <c r="U67" s="707">
        <f t="shared" si="12"/>
        <v>217.91195266832821</v>
      </c>
      <c r="V67" s="707">
        <f t="shared" si="13"/>
        <v>428.82776594227295</v>
      </c>
      <c r="W67" s="636">
        <f t="shared" si="14"/>
        <v>1</v>
      </c>
      <c r="X67" s="636">
        <f t="shared" si="15"/>
        <v>0</v>
      </c>
      <c r="Y67" s="707">
        <f t="shared" si="16"/>
        <v>217.91195266832821</v>
      </c>
      <c r="Z67" s="635">
        <f t="shared" si="17"/>
        <v>1.6899624785151306</v>
      </c>
      <c r="AA67" s="707">
        <f t="shared" si="18"/>
        <v>68.012469621825275</v>
      </c>
      <c r="AB67" s="707">
        <f t="shared" si="19"/>
        <v>2589.5203708753002</v>
      </c>
    </row>
    <row r="68" spans="1:28" x14ac:dyDescent="0.25">
      <c r="A68" s="23" t="str">
        <f>Weather_Site!A66</f>
        <v>Tue</v>
      </c>
      <c r="B68" s="24">
        <f>Weather_Site!B66</f>
        <v>44551</v>
      </c>
      <c r="C68" s="25">
        <f>Weather_Site!C66</f>
        <v>0.41666666666666669</v>
      </c>
      <c r="D68" s="27">
        <f>Weather_Site!D66</f>
        <v>24.5</v>
      </c>
      <c r="E68" s="27">
        <f>Weather_Site!E66</f>
        <v>33.1</v>
      </c>
      <c r="F68" s="28">
        <f>Weather_Site!F66</f>
        <v>158</v>
      </c>
      <c r="G68" s="27">
        <f>Weather_Site!G66</f>
        <v>14</v>
      </c>
      <c r="H68" s="548">
        <f>C$4</f>
        <v>0</v>
      </c>
      <c r="I68" s="27">
        <f t="shared" si="2"/>
        <v>4.666666666666667</v>
      </c>
      <c r="J68" s="738">
        <f>IF(Weather_Site!M66&lt;180,Weather_Site!M66+180,Weather_Site!M66-180)</f>
        <v>338</v>
      </c>
      <c r="K68" s="635">
        <f t="shared" si="3"/>
        <v>6.40625</v>
      </c>
      <c r="L68" s="635">
        <f t="shared" si="4"/>
        <v>8.0914000000000001</v>
      </c>
      <c r="M68" s="635">
        <f t="shared" si="5"/>
        <v>8.45045</v>
      </c>
      <c r="N68" s="635">
        <f t="shared" si="6"/>
        <v>8.0914000000000001</v>
      </c>
      <c r="O68" s="636">
        <f t="shared" si="7"/>
        <v>0.6835179122060423</v>
      </c>
      <c r="P68" s="635">
        <f>IF($O$11,Weather_Site!H66,IF(0.191*(Weather_Site!K66+104)*(Weather_Site!J66+1)^1.5/(3.52*(Weather_Site!J66+1)^1.5+Weather_Site!I66-1)&gt;10, 10,0.191*(Weather_Site!K66+104)*(Weather_Site!J66+1)^1.5/(3.52*(Weather_Site!J66+1)^1.5+Weather_Site!I66-1)))</f>
        <v>8.8000000000000007</v>
      </c>
      <c r="Q68" s="636">
        <f t="shared" si="8"/>
        <v>0.97947601629684489</v>
      </c>
      <c r="R68" s="636">
        <f t="shared" si="9"/>
        <v>0.66948940171511084</v>
      </c>
      <c r="S68" s="635">
        <f t="shared" si="10"/>
        <v>1</v>
      </c>
      <c r="T68" s="707">
        <f t="shared" si="11"/>
        <v>166.72854552815903</v>
      </c>
      <c r="U68" s="707">
        <f t="shared" si="12"/>
        <v>401.80660615010095</v>
      </c>
      <c r="V68" s="707">
        <f t="shared" si="13"/>
        <v>812.86757249095194</v>
      </c>
      <c r="W68" s="636">
        <f t="shared" si="14"/>
        <v>1</v>
      </c>
      <c r="X68" s="636">
        <f t="shared" si="15"/>
        <v>3.7747879329811706E-5</v>
      </c>
      <c r="Y68" s="707">
        <f t="shared" si="16"/>
        <v>401.82212282985557</v>
      </c>
      <c r="Z68" s="635">
        <f t="shared" si="17"/>
        <v>2.6303668976180195</v>
      </c>
      <c r="AA68" s="707">
        <f t="shared" si="18"/>
        <v>98.350823093267948</v>
      </c>
      <c r="AB68" s="707">
        <f t="shared" si="19"/>
        <v>4774.9862262947845</v>
      </c>
    </row>
    <row r="69" spans="1:28" x14ac:dyDescent="0.25">
      <c r="A69" s="675" t="str">
        <f>Weather_Site!A67</f>
        <v>Tue</v>
      </c>
      <c r="B69" s="672">
        <f>Weather_Site!B67</f>
        <v>44551</v>
      </c>
      <c r="C69" s="673">
        <f>Weather_Site!C67</f>
        <v>0.45833333333333331</v>
      </c>
      <c r="D69" s="413">
        <f>Weather_Site!D67</f>
        <v>26.9</v>
      </c>
      <c r="E69" s="413">
        <f>Weather_Site!E67</f>
        <v>27.9</v>
      </c>
      <c r="F69" s="674">
        <f>Weather_Site!F67</f>
        <v>153</v>
      </c>
      <c r="G69" s="413">
        <f>Weather_Site!G67</f>
        <v>11</v>
      </c>
      <c r="H69" s="548">
        <f>C$4</f>
        <v>0</v>
      </c>
      <c r="I69" s="413">
        <f t="shared" si="2"/>
        <v>3.6666666666666665</v>
      </c>
      <c r="J69" s="413">
        <f>IF(Weather_Site!M67&lt;180,Weather_Site!M67+180,Weather_Site!M67-180)</f>
        <v>333</v>
      </c>
      <c r="K69" s="711">
        <f t="shared" si="3"/>
        <v>5.7165699999999999</v>
      </c>
      <c r="L69" s="711">
        <f t="shared" si="4"/>
        <v>7.1046000000000014</v>
      </c>
      <c r="M69" s="711">
        <f t="shared" si="5"/>
        <v>7.3049299999999988</v>
      </c>
      <c r="N69" s="711">
        <f t="shared" si="6"/>
        <v>7.1046000000000014</v>
      </c>
      <c r="O69" s="713">
        <f t="shared" si="7"/>
        <v>0.77341879472556574</v>
      </c>
      <c r="P69" s="711">
        <f>IF($O$11,Weather_Site!H67,IF(0.191*(Weather_Site!K67+104)*(Weather_Site!J67+1)^1.5/(3.52*(Weather_Site!J67+1)^1.5+Weather_Site!I67-1)&gt;10, 10,0.191*(Weather_Site!K67+104)*(Weather_Site!J67+1)^1.5/(3.52*(Weather_Site!J67+1)^1.5+Weather_Site!I67-1)))</f>
        <v>8.8000000000000007</v>
      </c>
      <c r="Q69" s="713">
        <f t="shared" si="8"/>
        <v>0.97947601629684489</v>
      </c>
      <c r="R69" s="713">
        <f t="shared" si="9"/>
        <v>0.7575451599869043</v>
      </c>
      <c r="S69" s="711">
        <f t="shared" si="10"/>
        <v>1</v>
      </c>
      <c r="T69" s="716">
        <f t="shared" si="11"/>
        <v>146.27036440815959</v>
      </c>
      <c r="U69" s="716">
        <f t="shared" si="12"/>
        <v>349.53183691837387</v>
      </c>
      <c r="V69" s="716">
        <f t="shared" si="13"/>
        <v>690.1055049758919</v>
      </c>
      <c r="W69" s="713">
        <f t="shared" si="14"/>
        <v>1</v>
      </c>
      <c r="X69" s="713">
        <f t="shared" si="15"/>
        <v>1.6597856740668864E-4</v>
      </c>
      <c r="Y69" s="716">
        <f t="shared" si="16"/>
        <v>349.58836484789447</v>
      </c>
      <c r="Z69" s="711">
        <f t="shared" si="17"/>
        <v>2.3784364429670801</v>
      </c>
      <c r="AA69" s="716">
        <f t="shared" si="18"/>
        <v>102.08747951404463</v>
      </c>
      <c r="AB69" s="716">
        <f t="shared" si="19"/>
        <v>4154.2750689424793</v>
      </c>
    </row>
    <row r="70" spans="1:28" x14ac:dyDescent="0.25">
      <c r="A70" s="675" t="str">
        <f>Weather_Site!A68</f>
        <v>Tue</v>
      </c>
      <c r="B70" s="672">
        <f>Weather_Site!B68</f>
        <v>44551</v>
      </c>
      <c r="C70" s="673">
        <f>Weather_Site!C68</f>
        <v>0.5</v>
      </c>
      <c r="D70" s="413">
        <f>Weather_Site!D68</f>
        <v>28</v>
      </c>
      <c r="E70" s="413">
        <f>Weather_Site!E68</f>
        <v>25</v>
      </c>
      <c r="F70" s="674">
        <f>Weather_Site!F68</f>
        <v>162</v>
      </c>
      <c r="G70" s="413">
        <f>Weather_Site!G68</f>
        <v>11</v>
      </c>
      <c r="H70" s="548">
        <f>C$4</f>
        <v>0</v>
      </c>
      <c r="I70" s="413">
        <f t="shared" si="2"/>
        <v>3.6666666666666665</v>
      </c>
      <c r="J70" s="413">
        <f>IF(Weather_Site!M68&lt;180,Weather_Site!M68+180,Weather_Site!M68-180)</f>
        <v>342</v>
      </c>
      <c r="K70" s="711">
        <f t="shared" si="3"/>
        <v>5.3363999999999994</v>
      </c>
      <c r="L70" s="711">
        <f t="shared" si="4"/>
        <v>6.5650000000000013</v>
      </c>
      <c r="M70" s="711">
        <f t="shared" si="5"/>
        <v>6.6776000000000009</v>
      </c>
      <c r="N70" s="711">
        <f t="shared" si="6"/>
        <v>6.5650000000000013</v>
      </c>
      <c r="O70" s="713">
        <f t="shared" si="7"/>
        <v>0.82117575057615111</v>
      </c>
      <c r="P70" s="711">
        <f>IF($O$11,Weather_Site!H68,IF(0.191*(Weather_Site!K68+104)*(Weather_Site!J68+1)^1.5/(3.52*(Weather_Site!J68+1)^1.5+Weather_Site!I68-1)&gt;10, 10,0.191*(Weather_Site!K68+104)*(Weather_Site!J68+1)^1.5/(3.52*(Weather_Site!J68+1)^1.5+Weather_Site!I68-1)))</f>
        <v>8.8000000000000007</v>
      </c>
      <c r="Q70" s="713">
        <f t="shared" si="8"/>
        <v>0.97947601629684489</v>
      </c>
      <c r="R70" s="713">
        <f t="shared" si="9"/>
        <v>0.80432195285390007</v>
      </c>
      <c r="S70" s="711">
        <f t="shared" si="10"/>
        <v>1</v>
      </c>
      <c r="T70" s="716">
        <f t="shared" si="11"/>
        <v>155.3022464660144</v>
      </c>
      <c r="U70" s="716">
        <f t="shared" si="12"/>
        <v>371.11468002733648</v>
      </c>
      <c r="V70" s="716">
        <f t="shared" si="13"/>
        <v>732.71804343259441</v>
      </c>
      <c r="W70" s="713">
        <f t="shared" si="14"/>
        <v>1</v>
      </c>
      <c r="X70" s="713">
        <f t="shared" si="15"/>
        <v>5.8317818685728448E-4</v>
      </c>
      <c r="Y70" s="716">
        <f t="shared" si="16"/>
        <v>371.32555922116865</v>
      </c>
      <c r="Z70" s="711">
        <f t="shared" si="17"/>
        <v>2.4844634582416605</v>
      </c>
      <c r="AA70" s="716">
        <f t="shared" si="18"/>
        <v>108.43521762094633</v>
      </c>
      <c r="AB70" s="716">
        <f t="shared" si="19"/>
        <v>4412.5853954115537</v>
      </c>
    </row>
    <row r="71" spans="1:28" x14ac:dyDescent="0.25">
      <c r="A71" s="675" t="str">
        <f>Weather_Site!A69</f>
        <v>Tue</v>
      </c>
      <c r="B71" s="672">
        <f>Weather_Site!B69</f>
        <v>44551</v>
      </c>
      <c r="C71" s="673">
        <f>Weather_Site!C69</f>
        <v>0.54166666666666663</v>
      </c>
      <c r="D71" s="413">
        <f>Weather_Site!D69</f>
        <v>29.5</v>
      </c>
      <c r="E71" s="413">
        <f>Weather_Site!E69</f>
        <v>22</v>
      </c>
      <c r="F71" s="674">
        <f>Weather_Site!F69</f>
        <v>198</v>
      </c>
      <c r="G71" s="413">
        <f>Weather_Site!G69</f>
        <v>11</v>
      </c>
      <c r="H71" s="548">
        <f>C$4</f>
        <v>0</v>
      </c>
      <c r="I71" s="413">
        <f t="shared" si="2"/>
        <v>3.6666666666666665</v>
      </c>
      <c r="J71" s="413">
        <f>IF(Weather_Site!M69&lt;180,Weather_Site!M69+180,Weather_Site!M69-180)</f>
        <v>18</v>
      </c>
      <c r="K71" s="711">
        <f t="shared" si="3"/>
        <v>4.9363499999999991</v>
      </c>
      <c r="L71" s="711">
        <f t="shared" si="4"/>
        <v>5.9905000000000008</v>
      </c>
      <c r="M71" s="711">
        <f t="shared" si="5"/>
        <v>6.0111499999999998</v>
      </c>
      <c r="N71" s="711">
        <f t="shared" si="6"/>
        <v>4.9363499999999991</v>
      </c>
      <c r="O71" s="713">
        <f t="shared" si="7"/>
        <v>0.94897276793813146</v>
      </c>
      <c r="P71" s="711">
        <f>IF($O$11,Weather_Site!H69,IF(0.191*(Weather_Site!K69+104)*(Weather_Site!J69+1)^1.5/(3.52*(Weather_Site!J69+1)^1.5+Weather_Site!I69-1)&gt;10, 10,0.191*(Weather_Site!K69+104)*(Weather_Site!J69+1)^1.5/(3.52*(Weather_Site!J69+1)^1.5+Weather_Site!I69-1)))</f>
        <v>8.9000009999999996</v>
      </c>
      <c r="Q71" s="713">
        <f t="shared" si="8"/>
        <v>0.98194519810002745</v>
      </c>
      <c r="R71" s="713">
        <f t="shared" si="9"/>
        <v>0.93183925260453992</v>
      </c>
      <c r="S71" s="711">
        <f t="shared" si="10"/>
        <v>1</v>
      </c>
      <c r="T71" s="716">
        <f t="shared" si="11"/>
        <v>179.92388341659969</v>
      </c>
      <c r="U71" s="716">
        <f t="shared" si="12"/>
        <v>429.95124631400188</v>
      </c>
      <c r="V71" s="716">
        <f t="shared" si="13"/>
        <v>848.88325071752877</v>
      </c>
      <c r="W71" s="713">
        <f t="shared" si="14"/>
        <v>1</v>
      </c>
      <c r="X71" s="713">
        <f t="shared" si="15"/>
        <v>1.7643080642503441E-2</v>
      </c>
      <c r="Y71" s="716">
        <f t="shared" si="16"/>
        <v>437.34249745141892</v>
      </c>
      <c r="Z71" s="711">
        <f t="shared" si="17"/>
        <v>2.7964942877067256</v>
      </c>
      <c r="AA71" s="716">
        <f t="shared" si="18"/>
        <v>127.71361331953595</v>
      </c>
      <c r="AB71" s="716">
        <f t="shared" si="19"/>
        <v>5197.0866780476954</v>
      </c>
    </row>
    <row r="72" spans="1:28" x14ac:dyDescent="0.25">
      <c r="A72" s="675" t="str">
        <f>Weather_Site!A70</f>
        <v>Tue</v>
      </c>
      <c r="B72" s="672">
        <f>Weather_Site!B70</f>
        <v>44551</v>
      </c>
      <c r="C72" s="673">
        <f>Weather_Site!C70</f>
        <v>0.58333333333333337</v>
      </c>
      <c r="D72" s="413">
        <f>Weather_Site!D70</f>
        <v>31.4</v>
      </c>
      <c r="E72" s="413">
        <f>Weather_Site!E70</f>
        <v>18.600000000000001</v>
      </c>
      <c r="F72" s="674">
        <f>Weather_Site!F70</f>
        <v>208</v>
      </c>
      <c r="G72" s="413">
        <f>Weather_Site!G70</f>
        <v>11</v>
      </c>
      <c r="H72" s="548">
        <f>C$4</f>
        <v>0</v>
      </c>
      <c r="I72" s="413">
        <f t="shared" si="2"/>
        <v>3.6666666666666665</v>
      </c>
      <c r="J72" s="413">
        <f>IF(Weather_Site!M70&lt;180,Weather_Site!M70+180,Weather_Site!M70-180)</f>
        <v>28</v>
      </c>
      <c r="K72" s="711">
        <f t="shared" si="3"/>
        <v>4.4792199999999998</v>
      </c>
      <c r="L72" s="711">
        <f t="shared" si="4"/>
        <v>5.3304000000000009</v>
      </c>
      <c r="M72" s="711">
        <f t="shared" si="5"/>
        <v>5.2461800000000007</v>
      </c>
      <c r="N72" s="711">
        <f t="shared" si="6"/>
        <v>4.4792199999999998</v>
      </c>
      <c r="O72" s="713">
        <f t="shared" si="7"/>
        <v>0.97779449319624634</v>
      </c>
      <c r="P72" s="711">
        <f>IF($O$11,Weather_Site!H70,IF(0.191*(Weather_Site!K70+104)*(Weather_Site!J70+1)^1.5/(3.52*(Weather_Site!J70+1)^1.5+Weather_Site!I70-1)&gt;10, 10,0.191*(Weather_Site!K70+104)*(Weather_Site!J70+1)^1.5/(3.52*(Weather_Site!J70+1)^1.5+Weather_Site!I70-1)))</f>
        <v>8.9000009999999996</v>
      </c>
      <c r="Q72" s="713">
        <f t="shared" si="8"/>
        <v>0.98194519810002745</v>
      </c>
      <c r="R72" s="713">
        <f t="shared" si="9"/>
        <v>0.96014060732270401</v>
      </c>
      <c r="S72" s="711">
        <f t="shared" si="10"/>
        <v>1</v>
      </c>
      <c r="T72" s="716">
        <f t="shared" si="11"/>
        <v>185.38844142122349</v>
      </c>
      <c r="U72" s="716">
        <f t="shared" si="12"/>
        <v>443.00951006436281</v>
      </c>
      <c r="V72" s="716">
        <f t="shared" si="13"/>
        <v>874.6651073260748</v>
      </c>
      <c r="W72" s="713">
        <f t="shared" si="14"/>
        <v>1</v>
      </c>
      <c r="X72" s="713">
        <f t="shared" si="15"/>
        <v>3.7002782738476236E-2</v>
      </c>
      <c r="Y72" s="716">
        <f t="shared" si="16"/>
        <v>458.9819683476851</v>
      </c>
      <c r="Z72" s="711">
        <f t="shared" si="17"/>
        <v>2.8958635709049489</v>
      </c>
      <c r="AA72" s="716">
        <f t="shared" si="18"/>
        <v>134.03281402513875</v>
      </c>
      <c r="AB72" s="716">
        <f t="shared" si="19"/>
        <v>5454.2357238649911</v>
      </c>
    </row>
    <row r="73" spans="1:28" x14ac:dyDescent="0.25">
      <c r="A73" s="675" t="str">
        <f>Weather_Site!A71</f>
        <v>Tue</v>
      </c>
      <c r="B73" s="672">
        <f>Weather_Site!B71</f>
        <v>44551</v>
      </c>
      <c r="C73" s="673">
        <f>Weather_Site!C71</f>
        <v>0.625</v>
      </c>
      <c r="D73" s="413">
        <f>Weather_Site!D71</f>
        <v>32.4</v>
      </c>
      <c r="E73" s="413">
        <f>Weather_Site!E71</f>
        <v>16.5</v>
      </c>
      <c r="F73" s="674">
        <f>Weather_Site!F71</f>
        <v>212</v>
      </c>
      <c r="G73" s="413">
        <f>Weather_Site!G71</f>
        <v>9</v>
      </c>
      <c r="H73" s="548">
        <f>C$4</f>
        <v>0</v>
      </c>
      <c r="I73" s="413">
        <f t="shared" si="2"/>
        <v>3</v>
      </c>
      <c r="J73" s="413">
        <f>IF(Weather_Site!M71&lt;180,Weather_Site!M71+180,Weather_Site!M71-180)</f>
        <v>32</v>
      </c>
      <c r="K73" s="711">
        <f t="shared" si="3"/>
        <v>4.2001199999999992</v>
      </c>
      <c r="L73" s="711">
        <f t="shared" si="4"/>
        <v>4.9305000000000003</v>
      </c>
      <c r="M73" s="711">
        <f t="shared" si="5"/>
        <v>4.7820800000000006</v>
      </c>
      <c r="N73" s="711">
        <f t="shared" si="6"/>
        <v>4.2001199999999992</v>
      </c>
      <c r="O73" s="713">
        <f t="shared" si="7"/>
        <v>0.99331211167244549</v>
      </c>
      <c r="P73" s="711">
        <f>IF($O$11,Weather_Site!H71,IF(0.191*(Weather_Site!K71+104)*(Weather_Site!J71+1)^1.5/(3.52*(Weather_Site!J71+1)^1.5+Weather_Site!I71-1)&gt;10, 10,0.191*(Weather_Site!K71+104)*(Weather_Site!J71+1)^1.5/(3.52*(Weather_Site!J71+1)^1.5+Weather_Site!I71-1)))</f>
        <v>8.9000009999999996</v>
      </c>
      <c r="Q73" s="713">
        <f t="shared" si="8"/>
        <v>0.98194519810002745</v>
      </c>
      <c r="R73" s="713">
        <f t="shared" si="9"/>
        <v>0.97537805827135604</v>
      </c>
      <c r="S73" s="711">
        <f t="shared" si="10"/>
        <v>1</v>
      </c>
      <c r="T73" s="716">
        <f t="shared" si="11"/>
        <v>151.12042121724784</v>
      </c>
      <c r="U73" s="716">
        <f t="shared" si="12"/>
        <v>354.88735705116517</v>
      </c>
      <c r="V73" s="716">
        <f t="shared" si="13"/>
        <v>699.61592139370282</v>
      </c>
      <c r="W73" s="713">
        <f t="shared" si="14"/>
        <v>1</v>
      </c>
      <c r="X73" s="713">
        <f t="shared" si="15"/>
        <v>3.1075249404712187E-2</v>
      </c>
      <c r="Y73" s="716">
        <f t="shared" si="16"/>
        <v>365.59988316503791</v>
      </c>
      <c r="Z73" s="711">
        <f t="shared" si="17"/>
        <v>2.4567062705069076</v>
      </c>
      <c r="AA73" s="716">
        <f t="shared" si="18"/>
        <v>122.53649388826851</v>
      </c>
      <c r="AB73" s="716">
        <f t="shared" si="19"/>
        <v>4344.5452782778666</v>
      </c>
    </row>
    <row r="74" spans="1:28" x14ac:dyDescent="0.25">
      <c r="A74" s="23" t="str">
        <f>Weather_Site!A72</f>
        <v>Tue</v>
      </c>
      <c r="B74" s="24">
        <f>Weather_Site!B72</f>
        <v>44551</v>
      </c>
      <c r="C74" s="25">
        <f>Weather_Site!C72</f>
        <v>0.66666666666666663</v>
      </c>
      <c r="D74" s="27">
        <f>Weather_Site!D72</f>
        <v>33.299999999999997</v>
      </c>
      <c r="E74" s="27">
        <f>Weather_Site!E72</f>
        <v>15.6</v>
      </c>
      <c r="F74" s="28">
        <f>Weather_Site!F72</f>
        <v>216</v>
      </c>
      <c r="G74" s="27">
        <f>Weather_Site!G72</f>
        <v>11</v>
      </c>
      <c r="H74" s="548">
        <f>C$4</f>
        <v>0</v>
      </c>
      <c r="I74" s="27">
        <f t="shared" si="2"/>
        <v>3.6666666666666665</v>
      </c>
      <c r="J74" s="738">
        <f>IF(Weather_Site!M72&lt;180,Weather_Site!M72+180,Weather_Site!M72-180)</f>
        <v>36</v>
      </c>
      <c r="K74" s="635">
        <f t="shared" si="3"/>
        <v>4.0716900000000003</v>
      </c>
      <c r="L74" s="635">
        <f t="shared" si="4"/>
        <v>4.7378999999999998</v>
      </c>
      <c r="M74" s="635">
        <f t="shared" si="5"/>
        <v>4.5604100000000001</v>
      </c>
      <c r="N74" s="635">
        <f t="shared" si="6"/>
        <v>4.0716900000000003</v>
      </c>
      <c r="O74" s="636">
        <f t="shared" si="7"/>
        <v>1</v>
      </c>
      <c r="P74" s="635">
        <f>IF($O$11,Weather_Site!H72,IF(0.191*(Weather_Site!K72+104)*(Weather_Site!J72+1)^1.5/(3.52*(Weather_Site!J72+1)^1.5+Weather_Site!I72-1)&gt;10, 10,0.191*(Weather_Site!K72+104)*(Weather_Site!J72+1)^1.5/(3.52*(Weather_Site!J72+1)^1.5+Weather_Site!I72-1)))</f>
        <v>8.9000009999999996</v>
      </c>
      <c r="Q74" s="636">
        <f t="shared" si="8"/>
        <v>0.98194519810002745</v>
      </c>
      <c r="R74" s="636">
        <f t="shared" si="9"/>
        <v>0.98194519810002745</v>
      </c>
      <c r="S74" s="635">
        <f t="shared" si="10"/>
        <v>1</v>
      </c>
      <c r="T74" s="707">
        <f t="shared" si="11"/>
        <v>189.59857384266886</v>
      </c>
      <c r="U74" s="707">
        <f t="shared" si="12"/>
        <v>453.07016264352131</v>
      </c>
      <c r="V74" s="707">
        <f t="shared" si="13"/>
        <v>894.52856751825345</v>
      </c>
      <c r="W74" s="636">
        <f t="shared" si="14"/>
        <v>1</v>
      </c>
      <c r="X74" s="636">
        <f t="shared" si="15"/>
        <v>6.4579815605411289E-2</v>
      </c>
      <c r="Y74" s="707">
        <f t="shared" si="16"/>
        <v>481.57946502779055</v>
      </c>
      <c r="Z74" s="635">
        <f t="shared" si="17"/>
        <v>2.9982565869583597</v>
      </c>
      <c r="AA74" s="707">
        <f t="shared" si="18"/>
        <v>140.63177929791803</v>
      </c>
      <c r="AB74" s="707">
        <f t="shared" si="19"/>
        <v>5722.7693094135784</v>
      </c>
    </row>
    <row r="75" spans="1:28" x14ac:dyDescent="0.25">
      <c r="A75" s="23" t="str">
        <f>Weather_Site!A73</f>
        <v>Tue</v>
      </c>
      <c r="B75" s="24">
        <f>Weather_Site!B73</f>
        <v>44551</v>
      </c>
      <c r="C75" s="25">
        <f>Weather_Site!C73</f>
        <v>0.70833333333333337</v>
      </c>
      <c r="D75" s="27">
        <f>Weather_Site!D73</f>
        <v>34</v>
      </c>
      <c r="E75" s="27">
        <f>Weather_Site!E73</f>
        <v>14.5</v>
      </c>
      <c r="F75" s="28">
        <f>Weather_Site!F73</f>
        <v>218</v>
      </c>
      <c r="G75" s="27">
        <f>Weather_Site!G73</f>
        <v>10</v>
      </c>
      <c r="H75" s="548">
        <f>C$4</f>
        <v>0</v>
      </c>
      <c r="I75" s="27">
        <f t="shared" si="2"/>
        <v>3.3333333333333335</v>
      </c>
      <c r="J75" s="738">
        <f>IF(Weather_Site!M73&lt;180,Weather_Site!M73+180,Weather_Site!M73-180)</f>
        <v>38</v>
      </c>
      <c r="K75" s="635">
        <f t="shared" si="3"/>
        <v>3.9221999999999997</v>
      </c>
      <c r="L75" s="635">
        <f t="shared" si="4"/>
        <v>4.5205000000000002</v>
      </c>
      <c r="M75" s="635">
        <f t="shared" si="5"/>
        <v>4.3088000000000006</v>
      </c>
      <c r="N75" s="635">
        <f t="shared" si="6"/>
        <v>3.9221999999999997</v>
      </c>
      <c r="O75" s="636">
        <f t="shared" si="7"/>
        <v>1</v>
      </c>
      <c r="P75" s="635">
        <f>IF($O$11,Weather_Site!H73,IF(0.191*(Weather_Site!K73+104)*(Weather_Site!J73+1)^1.5/(3.52*(Weather_Site!J73+1)^1.5+Weather_Site!I73-1)&gt;10, 10,0.191*(Weather_Site!K73+104)*(Weather_Site!J73+1)^1.5/(3.52*(Weather_Site!J73+1)^1.5+Weather_Site!I73-1)))</f>
        <v>8.9000009999999996</v>
      </c>
      <c r="Q75" s="636">
        <f t="shared" si="8"/>
        <v>0.98194519810002745</v>
      </c>
      <c r="R75" s="636">
        <f t="shared" si="9"/>
        <v>0.98194519810002745</v>
      </c>
      <c r="S75" s="635">
        <f t="shared" si="10"/>
        <v>1</v>
      </c>
      <c r="T75" s="707">
        <f t="shared" si="11"/>
        <v>170.96721665077055</v>
      </c>
      <c r="U75" s="707">
        <f t="shared" si="12"/>
        <v>405.77201494552844</v>
      </c>
      <c r="V75" s="707">
        <f t="shared" si="13"/>
        <v>798.51657754556936</v>
      </c>
      <c r="W75" s="636">
        <f t="shared" si="14"/>
        <v>1</v>
      </c>
      <c r="X75" s="636">
        <f t="shared" si="15"/>
        <v>4.8883626838535435E-2</v>
      </c>
      <c r="Y75" s="707">
        <f t="shared" si="16"/>
        <v>424.97079358653264</v>
      </c>
      <c r="Z75" s="635">
        <f t="shared" si="17"/>
        <v>2.7390721935502595</v>
      </c>
      <c r="AA75" s="707">
        <f t="shared" si="18"/>
        <v>132.63757602575924</v>
      </c>
      <c r="AB75" s="707">
        <f t="shared" si="19"/>
        <v>5050.069597119963</v>
      </c>
    </row>
    <row r="76" spans="1:28" x14ac:dyDescent="0.25">
      <c r="A76" s="23" t="str">
        <f>Weather_Site!A74</f>
        <v>Tue</v>
      </c>
      <c r="B76" s="24">
        <f>Weather_Site!B74</f>
        <v>44551</v>
      </c>
      <c r="C76" s="25">
        <f>Weather_Site!C74</f>
        <v>0.75</v>
      </c>
      <c r="D76" s="27">
        <f>Weather_Site!D74</f>
        <v>33.5</v>
      </c>
      <c r="E76" s="27">
        <f>Weather_Site!E74</f>
        <v>15.3</v>
      </c>
      <c r="F76" s="28">
        <f>Weather_Site!F74</f>
        <v>205</v>
      </c>
      <c r="G76" s="27">
        <f>Weather_Site!G74</f>
        <v>12</v>
      </c>
      <c r="H76" s="548">
        <f>C$4</f>
        <v>0</v>
      </c>
      <c r="I76" s="27">
        <f t="shared" si="2"/>
        <v>4</v>
      </c>
      <c r="J76" s="738">
        <f>IF(Weather_Site!M74&lt;180,Weather_Site!M74+180,Weather_Site!M74-180)</f>
        <v>25</v>
      </c>
      <c r="K76" s="635">
        <f t="shared" si="3"/>
        <v>4.0307499999999994</v>
      </c>
      <c r="L76" s="635">
        <f t="shared" si="4"/>
        <v>4.6782000000000004</v>
      </c>
      <c r="M76" s="635">
        <f t="shared" si="5"/>
        <v>4.4913500000000006</v>
      </c>
      <c r="N76" s="635">
        <f t="shared" si="6"/>
        <v>4.6782000000000004</v>
      </c>
      <c r="O76" s="636">
        <f t="shared" si="7"/>
        <v>0.96573883672672778</v>
      </c>
      <c r="P76" s="635">
        <f>IF($O$11,Weather_Site!H74,IF(0.191*(Weather_Site!K74+104)*(Weather_Site!J74+1)^1.5/(3.52*(Weather_Site!J74+1)^1.5+Weather_Site!I74-1)&gt;10, 10,0.191*(Weather_Site!K74+104)*(Weather_Site!J74+1)^1.5/(3.52*(Weather_Site!J74+1)^1.5+Weather_Site!I74-1)))</f>
        <v>8.9000009999999996</v>
      </c>
      <c r="Q76" s="636">
        <f t="shared" si="8"/>
        <v>0.98194519810002745</v>
      </c>
      <c r="R76" s="636">
        <f t="shared" si="9"/>
        <v>0.94830261334251675</v>
      </c>
      <c r="S76" s="635">
        <f t="shared" si="10"/>
        <v>1</v>
      </c>
      <c r="T76" s="707">
        <f t="shared" si="11"/>
        <v>200.93024078062908</v>
      </c>
      <c r="U76" s="707">
        <f t="shared" si="12"/>
        <v>482.23783981455955</v>
      </c>
      <c r="V76" s="707">
        <f t="shared" si="13"/>
        <v>958.23199612484814</v>
      </c>
      <c r="W76" s="636">
        <f t="shared" si="14"/>
        <v>1</v>
      </c>
      <c r="X76" s="636">
        <f t="shared" si="15"/>
        <v>3.6190934509254716E-2</v>
      </c>
      <c r="Y76" s="707">
        <f t="shared" si="16"/>
        <v>499.46451315237317</v>
      </c>
      <c r="Z76" s="635">
        <f t="shared" si="17"/>
        <v>3.0783550869629814</v>
      </c>
      <c r="AA76" s="707">
        <f t="shared" si="18"/>
        <v>137.03482033372836</v>
      </c>
      <c r="AB76" s="707">
        <f t="shared" si="19"/>
        <v>5935.3032979607024</v>
      </c>
    </row>
    <row r="77" spans="1:28" x14ac:dyDescent="0.25">
      <c r="A77" s="23" t="str">
        <f>Weather_Site!A75</f>
        <v>Tue</v>
      </c>
      <c r="B77" s="24">
        <f>Weather_Site!B75</f>
        <v>44551</v>
      </c>
      <c r="C77" s="25">
        <f>Weather_Site!C75</f>
        <v>0.79166666666666663</v>
      </c>
      <c r="D77" s="27">
        <f>Weather_Site!D75</f>
        <v>33.299999999999997</v>
      </c>
      <c r="E77" s="27">
        <f>Weather_Site!E75</f>
        <v>15.4</v>
      </c>
      <c r="F77" s="28">
        <f>Weather_Site!F75</f>
        <v>202</v>
      </c>
      <c r="G77" s="27">
        <f>Weather_Site!G75</f>
        <v>11</v>
      </c>
      <c r="H77" s="548">
        <f>C$4</f>
        <v>0</v>
      </c>
      <c r="I77" s="27">
        <f t="shared" si="2"/>
        <v>3.6666666666666665</v>
      </c>
      <c r="J77" s="738">
        <f>IF(Weather_Site!M75&lt;180,Weather_Site!M75+180,Weather_Site!M75-180)</f>
        <v>22</v>
      </c>
      <c r="K77" s="635">
        <f t="shared" si="3"/>
        <v>4.0468900000000003</v>
      </c>
      <c r="L77" s="635">
        <f t="shared" si="4"/>
        <v>4.7041000000000004</v>
      </c>
      <c r="M77" s="635">
        <f t="shared" si="5"/>
        <v>4.5208100000000009</v>
      </c>
      <c r="N77" s="635">
        <f t="shared" si="6"/>
        <v>4.7041000000000004</v>
      </c>
      <c r="O77" s="636">
        <f t="shared" si="7"/>
        <v>0.96411245305149762</v>
      </c>
      <c r="P77" s="635">
        <f>IF($O$11,Weather_Site!H75,IF(0.191*(Weather_Site!K75+104)*(Weather_Site!J75+1)^1.5/(3.52*(Weather_Site!J75+1)^1.5+Weather_Site!I75-1)&gt;10, 10,0.191*(Weather_Site!K75+104)*(Weather_Site!J75+1)^1.5/(3.52*(Weather_Site!J75+1)^1.5+Weather_Site!I75-1)))</f>
        <v>8.9000009999999996</v>
      </c>
      <c r="Q77" s="636">
        <f t="shared" si="8"/>
        <v>0.98194519810002745</v>
      </c>
      <c r="R77" s="636">
        <f t="shared" si="9"/>
        <v>0.9467055937023563</v>
      </c>
      <c r="S77" s="635">
        <f t="shared" si="10"/>
        <v>1</v>
      </c>
      <c r="T77" s="707">
        <f t="shared" si="11"/>
        <v>182.79434612252101</v>
      </c>
      <c r="U77" s="707">
        <f t="shared" si="12"/>
        <v>436.81058591068637</v>
      </c>
      <c r="V77" s="707">
        <f t="shared" si="13"/>
        <v>862.42613155466563</v>
      </c>
      <c r="W77" s="636">
        <f t="shared" si="14"/>
        <v>1</v>
      </c>
      <c r="X77" s="636">
        <f t="shared" si="15"/>
        <v>2.608148668049496E-2</v>
      </c>
      <c r="Y77" s="707">
        <f t="shared" si="16"/>
        <v>447.91127209541145</v>
      </c>
      <c r="Z77" s="635">
        <f t="shared" si="17"/>
        <v>2.845192607614965</v>
      </c>
      <c r="AA77" s="707">
        <f t="shared" si="18"/>
        <v>130.79992760641613</v>
      </c>
      <c r="AB77" s="707">
        <f t="shared" si="19"/>
        <v>5322.6789500671393</v>
      </c>
    </row>
    <row r="78" spans="1:28" x14ac:dyDescent="0.25">
      <c r="A78" s="23" t="str">
        <f>Weather_Site!A76</f>
        <v>Tue</v>
      </c>
      <c r="B78" s="24">
        <f>Weather_Site!B76</f>
        <v>44551</v>
      </c>
      <c r="C78" s="25">
        <f>Weather_Site!C76</f>
        <v>0.83333333333333337</v>
      </c>
      <c r="D78" s="27">
        <f>Weather_Site!D76</f>
        <v>32.200000000000003</v>
      </c>
      <c r="E78" s="27">
        <f>Weather_Site!E76</f>
        <v>17.600000000000001</v>
      </c>
      <c r="F78" s="28">
        <f>Weather_Site!F76</f>
        <v>206</v>
      </c>
      <c r="G78" s="27">
        <f>Weather_Site!G76</f>
        <v>11</v>
      </c>
      <c r="H78" s="548">
        <f>C$4</f>
        <v>0</v>
      </c>
      <c r="I78" s="27">
        <f t="shared" si="2"/>
        <v>3.6666666666666665</v>
      </c>
      <c r="J78" s="738">
        <f>IF(Weather_Site!M76&lt;180,Weather_Site!M76+180,Weather_Site!M76-180)</f>
        <v>26</v>
      </c>
      <c r="K78" s="635">
        <f t="shared" si="3"/>
        <v>4.3402599999999998</v>
      </c>
      <c r="L78" s="635">
        <f t="shared" si="4"/>
        <v>5.1254000000000008</v>
      </c>
      <c r="M78" s="635">
        <f t="shared" si="5"/>
        <v>5.0095399999999994</v>
      </c>
      <c r="N78" s="635">
        <f t="shared" si="6"/>
        <v>5.0095399999999994</v>
      </c>
      <c r="O78" s="636">
        <f t="shared" si="7"/>
        <v>0.94400332614783655</v>
      </c>
      <c r="P78" s="635">
        <f>IF($O$11,Weather_Site!H76,IF(0.191*(Weather_Site!K76+104)*(Weather_Site!J76+1)^1.5/(3.52*(Weather_Site!J76+1)^1.5+Weather_Site!I76-1)&gt;10, 10,0.191*(Weather_Site!K76+104)*(Weather_Site!J76+1)^1.5/(3.52*(Weather_Site!J76+1)^1.5+Weather_Site!I76-1)))</f>
        <v>8.9000009999999996</v>
      </c>
      <c r="Q78" s="636">
        <f t="shared" si="8"/>
        <v>0.98194519810002745</v>
      </c>
      <c r="R78" s="636">
        <f t="shared" si="9"/>
        <v>0.92695953310132218</v>
      </c>
      <c r="S78" s="635">
        <f t="shared" si="10"/>
        <v>1</v>
      </c>
      <c r="T78" s="707">
        <f t="shared" si="11"/>
        <v>178.9816843403656</v>
      </c>
      <c r="U78" s="707">
        <f t="shared" si="12"/>
        <v>427.69974051382542</v>
      </c>
      <c r="V78" s="707">
        <f t="shared" si="13"/>
        <v>844.43794307149085</v>
      </c>
      <c r="W78" s="636">
        <f t="shared" si="14"/>
        <v>1</v>
      </c>
      <c r="X78" s="636">
        <f t="shared" si="15"/>
        <v>1.5508367479778594E-2</v>
      </c>
      <c r="Y78" s="707">
        <f t="shared" si="16"/>
        <v>434.1626697019521</v>
      </c>
      <c r="Z78" s="635">
        <f t="shared" si="17"/>
        <v>2.7817788690398371</v>
      </c>
      <c r="AA78" s="707">
        <f t="shared" si="18"/>
        <v>126.78503378751083</v>
      </c>
      <c r="AB78" s="707">
        <f t="shared" si="19"/>
        <v>5159.2997249581986</v>
      </c>
    </row>
    <row r="79" spans="1:28" x14ac:dyDescent="0.25">
      <c r="A79" s="675" t="str">
        <f>Weather_Site!A77</f>
        <v>Tue</v>
      </c>
      <c r="B79" s="672">
        <f>Weather_Site!B77</f>
        <v>44551</v>
      </c>
      <c r="C79" s="673">
        <f>Weather_Site!C77</f>
        <v>0.875</v>
      </c>
      <c r="D79" s="413">
        <f>Weather_Site!D77</f>
        <v>29.1</v>
      </c>
      <c r="E79" s="413">
        <f>Weather_Site!E77</f>
        <v>23.4</v>
      </c>
      <c r="F79" s="674">
        <f>Weather_Site!F77</f>
        <v>199</v>
      </c>
      <c r="G79" s="413">
        <f>Weather_Site!G77</f>
        <v>9</v>
      </c>
      <c r="H79" s="548">
        <f>C$4</f>
        <v>0</v>
      </c>
      <c r="I79" s="413">
        <f t="shared" ref="I79:I142" si="20">G79/$O$10</f>
        <v>3</v>
      </c>
      <c r="J79" s="413">
        <f>IF(Weather_Site!M77&lt;180,Weather_Site!M77+180,Weather_Site!M77-180)</f>
        <v>19</v>
      </c>
      <c r="K79" s="711">
        <f t="shared" ref="K79:K142" si="21">2.76+0.124*E79-0.0187*D79</f>
        <v>5.1174299999999997</v>
      </c>
      <c r="L79" s="711">
        <f t="shared" ref="L79:L142" si="22">3.6+0.169*E79-0.045*D79</f>
        <v>6.2451000000000008</v>
      </c>
      <c r="M79" s="711">
        <f t="shared" ref="M79:M142" si="23">3.08+0.198*E79-0.0483*D79</f>
        <v>6.3076699999999999</v>
      </c>
      <c r="N79" s="711">
        <f t="shared" ref="N79:N142" si="24">IF(AND(OR(MONTH(B79)&gt;10,MONTH(B79)&lt;3),AND(HOUR(C79)&gt;=13,HOUR(C79)&lt;=17)),K79,IF(OR(HOUR(C79)&lt;8,HOUR(C79)&gt;=20),M79,L79))</f>
        <v>6.3076699999999999</v>
      </c>
      <c r="O79" s="713">
        <f t="shared" ref="O79:O142" si="25">IF(N79&lt;=4.1,1,IF(N79&gt;=24,0,(0.9082+0.1206*N79-0.03106*N79^2+0.001853*N79^3-0.00003467*N79^4)))</f>
        <v>0.84327953916030596</v>
      </c>
      <c r="P79" s="711">
        <f>IF($O$11,Weather_Site!H77,IF(0.191*(Weather_Site!K77+104)*(Weather_Site!J77+1)^1.5/(3.52*(Weather_Site!J77+1)^1.5+Weather_Site!I77-1)&gt;10, 10,0.191*(Weather_Site!K77+104)*(Weather_Site!J77+1)^1.5/(3.52*(Weather_Site!J77+1)^1.5+Weather_Site!I77-1)))</f>
        <v>8.9000009999999996</v>
      </c>
      <c r="Q79" s="713">
        <f t="shared" ref="Q79:Q142" si="26">1.008/(1+104.9*EXP(-0.9306*P79))</f>
        <v>0.98194519810002745</v>
      </c>
      <c r="R79" s="713">
        <f t="shared" ref="R79:R142" si="27">O79*Q79</f>
        <v>0.82805429413446652</v>
      </c>
      <c r="S79" s="711">
        <f t="shared" ref="S79:S142" si="28">MIN(IF(H79&gt;0,2^(H79/10),(2^(-H79/10))/(2*(2^(-H79/10))-1)),4)</f>
        <v>1</v>
      </c>
      <c r="T79" s="716">
        <f t="shared" ref="T79:T142" si="29">IF(I79&gt;2,(0.03+0.05024*(I79-1)^0.92628*(($E$6+$E$7)/10)^0.79928)*1000*R79*S79,0.03*R79*S79*1000)</f>
        <v>128.29478032561795</v>
      </c>
      <c r="U79" s="716">
        <f t="shared" ref="U79:U142" si="30">IF(I79&gt;2,(0.19591*(I79-1)^0.82569*(($E$6+$E$7)/10)^0.46722)*$C$10^0.495*1000*R79*S79,0.03*1000*R79*S79)</f>
        <v>301.28420200579671</v>
      </c>
      <c r="V79" s="716">
        <f t="shared" ref="V79:V142" si="31">(0.05235*(G79)^1.19128)*1000*R79*S79</f>
        <v>593.94402308128065</v>
      </c>
      <c r="W79" s="713">
        <f t="shared" ref="W79:W142" si="32">IF((E$6+E$7)&lt;1,0,1/(1+EXP(-(-23.9315+1.7033*I79+12.0822*R79+9.5236*($E$6+$E$7)))))</f>
        <v>1</v>
      </c>
      <c r="X79" s="713">
        <f t="shared" ref="X79:X142" si="33">IF(U79&lt;300,0,1/(1+EXP(-(-32.3074+0.2951*G79+26.8734*R79))))</f>
        <v>6.1157222945640451E-4</v>
      </c>
      <c r="Y79" s="716">
        <f t="shared" ref="Y79:Y142" si="34">IF(W79&lt;0.5,(T79*(1-W79)+U79*W79),(T79*(1-W79)+U79*W79*(1-X79)+V79*X79))</f>
        <v>301.46318462504416</v>
      </c>
      <c r="Z79" s="711">
        <f t="shared" ref="Z79:Z142" si="35">0.0193*Y79^0.723*EXP(0.64*$C$10)*1.07</f>
        <v>2.1369100806255905</v>
      </c>
      <c r="AA79" s="716">
        <f t="shared" ref="AA79:AA142" si="36">(1/(0.2204*G79+1))*Y79</f>
        <v>101.04008064923052</v>
      </c>
      <c r="AB79" s="716">
        <f t="shared" ref="AB79:AB142" si="37">18600*Y79/3600*$F$11/10</f>
        <v>3582.3875106276078</v>
      </c>
    </row>
    <row r="80" spans="1:28" x14ac:dyDescent="0.25">
      <c r="A80" s="675" t="str">
        <f>Weather_Site!A78</f>
        <v>Tue</v>
      </c>
      <c r="B80" s="672">
        <f>Weather_Site!B78</f>
        <v>44551</v>
      </c>
      <c r="C80" s="673">
        <f>Weather_Site!C78</f>
        <v>0.91666666666666663</v>
      </c>
      <c r="D80" s="413">
        <f>Weather_Site!D78</f>
        <v>26.6</v>
      </c>
      <c r="E80" s="413">
        <f>Weather_Site!E78</f>
        <v>28</v>
      </c>
      <c r="F80" s="674">
        <f>Weather_Site!F78</f>
        <v>192</v>
      </c>
      <c r="G80" s="413">
        <f>Weather_Site!G78</f>
        <v>8</v>
      </c>
      <c r="H80" s="548">
        <f>C$4</f>
        <v>0</v>
      </c>
      <c r="I80" s="413">
        <f t="shared" si="20"/>
        <v>2.6666666666666665</v>
      </c>
      <c r="J80" s="413">
        <f>IF(Weather_Site!M78&lt;180,Weather_Site!M78+180,Weather_Site!M78-180)</f>
        <v>12</v>
      </c>
      <c r="K80" s="711">
        <f t="shared" si="21"/>
        <v>5.7345799999999993</v>
      </c>
      <c r="L80" s="711">
        <f t="shared" si="22"/>
        <v>7.1350000000000007</v>
      </c>
      <c r="M80" s="711">
        <f t="shared" si="23"/>
        <v>7.339220000000001</v>
      </c>
      <c r="N80" s="711">
        <f t="shared" si="24"/>
        <v>7.339220000000001</v>
      </c>
      <c r="O80" s="713">
        <f t="shared" si="25"/>
        <v>0.75222926946876079</v>
      </c>
      <c r="P80" s="711">
        <f>IF($O$11,Weather_Site!H78,IF(0.191*(Weather_Site!K78+104)*(Weather_Site!J78+1)^1.5/(3.52*(Weather_Site!J78+1)^1.5+Weather_Site!I78-1)&gt;10, 10,0.191*(Weather_Site!K78+104)*(Weather_Site!J78+1)^1.5/(3.52*(Weather_Site!J78+1)^1.5+Weather_Site!I78-1)))</f>
        <v>8.9000009999999996</v>
      </c>
      <c r="Q80" s="713">
        <f t="shared" si="26"/>
        <v>0.98194519810002745</v>
      </c>
      <c r="R80" s="713">
        <f t="shared" si="27"/>
        <v>0.73864791902514126</v>
      </c>
      <c r="S80" s="711">
        <f t="shared" si="28"/>
        <v>1</v>
      </c>
      <c r="T80" s="716">
        <f t="shared" si="29"/>
        <v>100.1026651198594</v>
      </c>
      <c r="U80" s="716">
        <f t="shared" si="30"/>
        <v>231.19362881607529</v>
      </c>
      <c r="V80" s="716">
        <f t="shared" si="31"/>
        <v>460.45501176548055</v>
      </c>
      <c r="W80" s="713">
        <f t="shared" si="32"/>
        <v>1</v>
      </c>
      <c r="X80" s="713">
        <f t="shared" si="33"/>
        <v>0</v>
      </c>
      <c r="Y80" s="716">
        <f t="shared" si="34"/>
        <v>231.19362881607529</v>
      </c>
      <c r="Z80" s="711">
        <f t="shared" si="35"/>
        <v>1.7638205957180935</v>
      </c>
      <c r="AA80" s="716">
        <f t="shared" si="36"/>
        <v>83.668800237433146</v>
      </c>
      <c r="AB80" s="716">
        <f t="shared" si="37"/>
        <v>2747.350955764362</v>
      </c>
    </row>
    <row r="81" spans="1:28" x14ac:dyDescent="0.25">
      <c r="A81" s="675" t="str">
        <f>Weather_Site!A79</f>
        <v>Tue</v>
      </c>
      <c r="B81" s="672">
        <f>Weather_Site!B79</f>
        <v>44551</v>
      </c>
      <c r="C81" s="673">
        <f>Weather_Site!C79</f>
        <v>0.95833333333333337</v>
      </c>
      <c r="D81" s="413">
        <f>Weather_Site!D79</f>
        <v>24.5</v>
      </c>
      <c r="E81" s="413">
        <f>Weather_Site!E79</f>
        <v>31.5</v>
      </c>
      <c r="F81" s="674">
        <f>Weather_Site!F79</f>
        <v>185</v>
      </c>
      <c r="G81" s="413">
        <f>Weather_Site!G79</f>
        <v>7</v>
      </c>
      <c r="H81" s="548">
        <f>C$4</f>
        <v>0</v>
      </c>
      <c r="I81" s="413">
        <f t="shared" si="20"/>
        <v>2.3333333333333335</v>
      </c>
      <c r="J81" s="413">
        <f>IF(Weather_Site!M79&lt;180,Weather_Site!M79+180,Weather_Site!M79-180)</f>
        <v>5</v>
      </c>
      <c r="K81" s="711">
        <f t="shared" si="21"/>
        <v>6.2078500000000005</v>
      </c>
      <c r="L81" s="711">
        <f t="shared" si="22"/>
        <v>7.8210000000000006</v>
      </c>
      <c r="M81" s="711">
        <f t="shared" si="23"/>
        <v>8.1336499999999994</v>
      </c>
      <c r="N81" s="711">
        <f t="shared" si="24"/>
        <v>8.1336499999999994</v>
      </c>
      <c r="O81" s="713">
        <f t="shared" si="25"/>
        <v>0.67965044982292178</v>
      </c>
      <c r="P81" s="711">
        <f>IF($O$11,Weather_Site!H79,IF(0.191*(Weather_Site!K79+104)*(Weather_Site!J79+1)^1.5/(3.52*(Weather_Site!J79+1)^1.5+Weather_Site!I79-1)&gt;10, 10,0.191*(Weather_Site!K79+104)*(Weather_Site!J79+1)^1.5/(3.52*(Weather_Site!J79+1)^1.5+Weather_Site!I79-1)))</f>
        <v>8.9000009999999996</v>
      </c>
      <c r="Q81" s="713">
        <f t="shared" si="26"/>
        <v>0.98194519810002745</v>
      </c>
      <c r="R81" s="713">
        <f t="shared" si="27"/>
        <v>0.66737949559014165</v>
      </c>
      <c r="S81" s="711">
        <f t="shared" si="28"/>
        <v>1</v>
      </c>
      <c r="T81" s="716">
        <f t="shared" si="29"/>
        <v>77.294124681640696</v>
      </c>
      <c r="U81" s="716">
        <f t="shared" si="30"/>
        <v>173.73751835170194</v>
      </c>
      <c r="V81" s="716">
        <f t="shared" si="31"/>
        <v>354.84438587585817</v>
      </c>
      <c r="W81" s="713">
        <f t="shared" si="32"/>
        <v>1</v>
      </c>
      <c r="X81" s="713">
        <f t="shared" si="33"/>
        <v>0</v>
      </c>
      <c r="Y81" s="716">
        <f t="shared" si="34"/>
        <v>173.73751835170194</v>
      </c>
      <c r="Z81" s="711">
        <f t="shared" si="35"/>
        <v>1.4346400288480921</v>
      </c>
      <c r="AA81" s="716">
        <f t="shared" si="36"/>
        <v>68.325278571536074</v>
      </c>
      <c r="AB81" s="716">
        <f t="shared" si="37"/>
        <v>2064.5808430793913</v>
      </c>
    </row>
    <row r="82" spans="1:28" x14ac:dyDescent="0.25">
      <c r="A82" s="675" t="str">
        <f>Weather_Site!A80</f>
        <v>Wed</v>
      </c>
      <c r="B82" s="672">
        <f>Weather_Site!B80</f>
        <v>44552</v>
      </c>
      <c r="C82" s="673">
        <f>Weather_Site!C80</f>
        <v>0</v>
      </c>
      <c r="D82" s="413">
        <f>Weather_Site!D80</f>
        <v>23.6</v>
      </c>
      <c r="E82" s="413">
        <f>Weather_Site!E80</f>
        <v>34</v>
      </c>
      <c r="F82" s="674">
        <f>Weather_Site!F80</f>
        <v>182</v>
      </c>
      <c r="G82" s="413">
        <f>Weather_Site!G80</f>
        <v>7</v>
      </c>
      <c r="H82" s="548">
        <f>C$4</f>
        <v>0</v>
      </c>
      <c r="I82" s="413">
        <f t="shared" si="20"/>
        <v>2.3333333333333335</v>
      </c>
      <c r="J82" s="413">
        <f>IF(Weather_Site!M80&lt;180,Weather_Site!M80+180,Weather_Site!M80-180)</f>
        <v>2</v>
      </c>
      <c r="K82" s="711">
        <f t="shared" si="21"/>
        <v>6.5346799999999998</v>
      </c>
      <c r="L82" s="711">
        <f t="shared" si="22"/>
        <v>8.2840000000000007</v>
      </c>
      <c r="M82" s="711">
        <f t="shared" si="23"/>
        <v>8.6721200000000014</v>
      </c>
      <c r="N82" s="711">
        <f t="shared" si="24"/>
        <v>8.6721200000000014</v>
      </c>
      <c r="O82" s="713">
        <f t="shared" si="25"/>
        <v>0.63059273188450493</v>
      </c>
      <c r="P82" s="711">
        <f>IF($O$11,Weather_Site!H80,IF(0.191*(Weather_Site!K80+104)*(Weather_Site!J80+1)^1.5/(3.52*(Weather_Site!J80+1)^1.5+Weather_Site!I80-1)&gt;10, 10,0.191*(Weather_Site!K80+104)*(Weather_Site!J80+1)^1.5/(3.52*(Weather_Site!J80+1)^1.5+Weather_Site!I80-1)))</f>
        <v>8.9000009999999996</v>
      </c>
      <c r="Q82" s="713">
        <f t="shared" si="26"/>
        <v>0.98194519810002745</v>
      </c>
      <c r="R82" s="713">
        <f t="shared" si="27"/>
        <v>0.61920750503076771</v>
      </c>
      <c r="S82" s="711">
        <f t="shared" si="28"/>
        <v>1</v>
      </c>
      <c r="T82" s="716">
        <f t="shared" si="29"/>
        <v>71.714972386638607</v>
      </c>
      <c r="U82" s="716">
        <f t="shared" si="30"/>
        <v>161.1970040728709</v>
      </c>
      <c r="V82" s="716">
        <f t="shared" si="31"/>
        <v>329.23143174794717</v>
      </c>
      <c r="W82" s="713">
        <f t="shared" si="32"/>
        <v>1</v>
      </c>
      <c r="X82" s="713">
        <f t="shared" si="33"/>
        <v>0</v>
      </c>
      <c r="Y82" s="716">
        <f t="shared" si="34"/>
        <v>161.1970040728709</v>
      </c>
      <c r="Z82" s="711">
        <f t="shared" si="35"/>
        <v>1.3589984075021402</v>
      </c>
      <c r="AA82" s="716">
        <f t="shared" si="36"/>
        <v>63.393504826518367</v>
      </c>
      <c r="AB82" s="716">
        <f t="shared" si="37"/>
        <v>1915.5577317326163</v>
      </c>
    </row>
    <row r="83" spans="1:28" x14ac:dyDescent="0.25">
      <c r="A83" s="675" t="str">
        <f>Weather_Site!A81</f>
        <v>Wed</v>
      </c>
      <c r="B83" s="672">
        <f>Weather_Site!B81</f>
        <v>44552</v>
      </c>
      <c r="C83" s="673">
        <f>Weather_Site!C81</f>
        <v>4.1666666666666664E-2</v>
      </c>
      <c r="D83" s="413">
        <f>Weather_Site!D81</f>
        <v>22.5</v>
      </c>
      <c r="E83" s="413">
        <f>Weather_Site!E81</f>
        <v>35.6</v>
      </c>
      <c r="F83" s="674">
        <f>Weather_Site!F81</f>
        <v>196</v>
      </c>
      <c r="G83" s="413">
        <f>Weather_Site!G81</f>
        <v>9</v>
      </c>
      <c r="H83" s="548">
        <f>C$4</f>
        <v>0</v>
      </c>
      <c r="I83" s="413">
        <f t="shared" si="20"/>
        <v>3</v>
      </c>
      <c r="J83" s="413">
        <f>IF(Weather_Site!M81&lt;180,Weather_Site!M81+180,Weather_Site!M81-180)</f>
        <v>16</v>
      </c>
      <c r="K83" s="711">
        <f t="shared" si="21"/>
        <v>6.7536500000000004</v>
      </c>
      <c r="L83" s="711">
        <f t="shared" si="22"/>
        <v>8.6039000000000012</v>
      </c>
      <c r="M83" s="711">
        <f t="shared" si="23"/>
        <v>9.0420500000000015</v>
      </c>
      <c r="N83" s="711">
        <f t="shared" si="24"/>
        <v>9.0420500000000015</v>
      </c>
      <c r="O83" s="713">
        <f t="shared" si="25"/>
        <v>0.59735591471961325</v>
      </c>
      <c r="P83" s="711">
        <f>IF($O$11,Weather_Site!H81,IF(0.191*(Weather_Site!K81+104)*(Weather_Site!J81+1)^1.5/(3.52*(Weather_Site!J81+1)^1.5+Weather_Site!I81-1)&gt;10, 10,0.191*(Weather_Site!K81+104)*(Weather_Site!J81+1)^1.5/(3.52*(Weather_Site!J81+1)^1.5+Weather_Site!I81-1)))</f>
        <v>8.9000009999999996</v>
      </c>
      <c r="Q83" s="713">
        <f t="shared" si="26"/>
        <v>0.98194519810002745</v>
      </c>
      <c r="R83" s="713">
        <f t="shared" si="27"/>
        <v>0.58657077201557373</v>
      </c>
      <c r="S83" s="711">
        <f t="shared" si="28"/>
        <v>1</v>
      </c>
      <c r="T83" s="716">
        <f t="shared" si="29"/>
        <v>90.880475923171502</v>
      </c>
      <c r="U83" s="716">
        <f t="shared" si="30"/>
        <v>213.42140028554479</v>
      </c>
      <c r="V83" s="716">
        <f t="shared" si="31"/>
        <v>420.73352752428087</v>
      </c>
      <c r="W83" s="713">
        <f t="shared" si="32"/>
        <v>1</v>
      </c>
      <c r="X83" s="713">
        <f t="shared" si="33"/>
        <v>0</v>
      </c>
      <c r="Y83" s="716">
        <f t="shared" si="34"/>
        <v>213.42140028554479</v>
      </c>
      <c r="Z83" s="711">
        <f t="shared" si="35"/>
        <v>1.6647112334309111</v>
      </c>
      <c r="AA83" s="716">
        <f t="shared" si="36"/>
        <v>71.531505659453273</v>
      </c>
      <c r="AB83" s="716">
        <f t="shared" si="37"/>
        <v>2536.1576400598906</v>
      </c>
    </row>
    <row r="84" spans="1:28" x14ac:dyDescent="0.25">
      <c r="A84" s="23" t="str">
        <f>Weather_Site!A82</f>
        <v>Wed</v>
      </c>
      <c r="B84" s="24">
        <f>Weather_Site!B82</f>
        <v>44552</v>
      </c>
      <c r="C84" s="25">
        <f>Weather_Site!C82</f>
        <v>8.3333333333333329E-2</v>
      </c>
      <c r="D84" s="27">
        <f>Weather_Site!D82</f>
        <v>21.6</v>
      </c>
      <c r="E84" s="27">
        <f>Weather_Site!E82</f>
        <v>37.299999999999997</v>
      </c>
      <c r="F84" s="28">
        <f>Weather_Site!F82</f>
        <v>179</v>
      </c>
      <c r="G84" s="27">
        <f>Weather_Site!G82</f>
        <v>11</v>
      </c>
      <c r="H84" s="548">
        <f>C$4</f>
        <v>0</v>
      </c>
      <c r="I84" s="27">
        <f t="shared" si="20"/>
        <v>3.6666666666666665</v>
      </c>
      <c r="J84" s="738">
        <f>IF(Weather_Site!M82&lt;180,Weather_Site!M82+180,Weather_Site!M82-180)</f>
        <v>359</v>
      </c>
      <c r="K84" s="635">
        <f t="shared" si="21"/>
        <v>6.981279999999999</v>
      </c>
      <c r="L84" s="635">
        <f t="shared" si="22"/>
        <v>8.9317000000000011</v>
      </c>
      <c r="M84" s="635">
        <f t="shared" si="23"/>
        <v>9.4221199999999996</v>
      </c>
      <c r="N84" s="635">
        <f t="shared" si="24"/>
        <v>9.4221199999999996</v>
      </c>
      <c r="O84" s="636">
        <f t="shared" si="25"/>
        <v>0.56383474865886041</v>
      </c>
      <c r="P84" s="635">
        <f>IF($O$11,Weather_Site!H82,IF(0.191*(Weather_Site!K82+104)*(Weather_Site!J82+1)^1.5/(3.52*(Weather_Site!J82+1)^1.5+Weather_Site!I82-1)&gt;10, 10,0.191*(Weather_Site!K82+104)*(Weather_Site!J82+1)^1.5/(3.52*(Weather_Site!J82+1)^1.5+Weather_Site!I82-1)))</f>
        <v>8.9000009999999996</v>
      </c>
      <c r="Q84" s="636">
        <f t="shared" si="26"/>
        <v>0.98194519810002745</v>
      </c>
      <c r="R84" s="636">
        <f t="shared" si="27"/>
        <v>0.55365482396750387</v>
      </c>
      <c r="S84" s="635">
        <f t="shared" si="28"/>
        <v>1</v>
      </c>
      <c r="T84" s="707">
        <f t="shared" si="29"/>
        <v>106.90226422865959</v>
      </c>
      <c r="U84" s="707">
        <f t="shared" si="30"/>
        <v>255.45670127893885</v>
      </c>
      <c r="V84" s="707">
        <f t="shared" si="31"/>
        <v>504.36629003482489</v>
      </c>
      <c r="W84" s="636">
        <f t="shared" si="32"/>
        <v>1</v>
      </c>
      <c r="X84" s="636">
        <f t="shared" si="33"/>
        <v>0</v>
      </c>
      <c r="Y84" s="707">
        <f t="shared" si="34"/>
        <v>255.45670127893885</v>
      </c>
      <c r="Z84" s="635">
        <f t="shared" si="35"/>
        <v>1.8957901793829603</v>
      </c>
      <c r="AA84" s="707">
        <f t="shared" si="36"/>
        <v>74.598966615739641</v>
      </c>
      <c r="AB84" s="707">
        <f t="shared" si="37"/>
        <v>3035.6771335313902</v>
      </c>
    </row>
    <row r="85" spans="1:28" x14ac:dyDescent="0.25">
      <c r="A85" s="23" t="str">
        <f>Weather_Site!A83</f>
        <v>Wed</v>
      </c>
      <c r="B85" s="24">
        <f>Weather_Site!B83</f>
        <v>44552</v>
      </c>
      <c r="C85" s="25">
        <f>Weather_Site!C83</f>
        <v>0.125</v>
      </c>
      <c r="D85" s="27">
        <f>Weather_Site!D83</f>
        <v>20.6</v>
      </c>
      <c r="E85" s="27">
        <f>Weather_Site!E83</f>
        <v>41.6</v>
      </c>
      <c r="F85" s="28">
        <f>Weather_Site!F83</f>
        <v>177</v>
      </c>
      <c r="G85" s="27">
        <f>Weather_Site!G83</f>
        <v>11</v>
      </c>
      <c r="H85" s="548">
        <f>C$4</f>
        <v>0</v>
      </c>
      <c r="I85" s="27">
        <f t="shared" si="20"/>
        <v>3.6666666666666665</v>
      </c>
      <c r="J85" s="738">
        <f>IF(Weather_Site!M83&lt;180,Weather_Site!M83+180,Weather_Site!M83-180)</f>
        <v>357</v>
      </c>
      <c r="K85" s="635">
        <f t="shared" si="21"/>
        <v>7.5331799999999998</v>
      </c>
      <c r="L85" s="635">
        <f t="shared" si="22"/>
        <v>9.703400000000002</v>
      </c>
      <c r="M85" s="635">
        <f t="shared" si="23"/>
        <v>10.321820000000001</v>
      </c>
      <c r="N85" s="635">
        <f t="shared" si="24"/>
        <v>10.321820000000001</v>
      </c>
      <c r="O85" s="636">
        <f t="shared" si="25"/>
        <v>0.48806791702150337</v>
      </c>
      <c r="P85" s="635">
        <f>IF($O$11,Weather_Site!H83,IF(0.191*(Weather_Site!K83+104)*(Weather_Site!J83+1)^1.5/(3.52*(Weather_Site!J83+1)^1.5+Weather_Site!I83-1)&gt;10, 10,0.191*(Weather_Site!K83+104)*(Weather_Site!J83+1)^1.5/(3.52*(Weather_Site!J83+1)^1.5+Weather_Site!I83-1)))</f>
        <v>8.9000009999999996</v>
      </c>
      <c r="Q85" s="636">
        <f t="shared" si="26"/>
        <v>0.98194519810002745</v>
      </c>
      <c r="R85" s="636">
        <f t="shared" si="27"/>
        <v>0.47925594746594791</v>
      </c>
      <c r="S85" s="635">
        <f t="shared" si="28"/>
        <v>1</v>
      </c>
      <c r="T85" s="707">
        <f t="shared" si="29"/>
        <v>92.536981005639092</v>
      </c>
      <c r="U85" s="707">
        <f t="shared" si="30"/>
        <v>221.12901054601721</v>
      </c>
      <c r="V85" s="707">
        <f t="shared" si="31"/>
        <v>436.59069466486324</v>
      </c>
      <c r="W85" s="636">
        <f t="shared" si="32"/>
        <v>1</v>
      </c>
      <c r="X85" s="636">
        <f t="shared" si="33"/>
        <v>0</v>
      </c>
      <c r="Y85" s="707">
        <f t="shared" si="34"/>
        <v>221.12901054601721</v>
      </c>
      <c r="Z85" s="635">
        <f t="shared" si="35"/>
        <v>1.707964025146212</v>
      </c>
      <c r="AA85" s="707">
        <f t="shared" si="36"/>
        <v>64.574527083873733</v>
      </c>
      <c r="AB85" s="707">
        <f t="shared" si="37"/>
        <v>2627.7497419885044</v>
      </c>
    </row>
    <row r="86" spans="1:28" x14ac:dyDescent="0.25">
      <c r="A86" s="23" t="str">
        <f>Weather_Site!A84</f>
        <v>Wed</v>
      </c>
      <c r="B86" s="24">
        <f>Weather_Site!B84</f>
        <v>44552</v>
      </c>
      <c r="C86" s="25">
        <f>Weather_Site!C84</f>
        <v>0.16666666666666666</v>
      </c>
      <c r="D86" s="27">
        <f>Weather_Site!D84</f>
        <v>20</v>
      </c>
      <c r="E86" s="27">
        <f>Weather_Site!E84</f>
        <v>45</v>
      </c>
      <c r="F86" s="28">
        <f>Weather_Site!F84</f>
        <v>181</v>
      </c>
      <c r="G86" s="27">
        <f>Weather_Site!G84</f>
        <v>12</v>
      </c>
      <c r="H86" s="548">
        <f>C$4</f>
        <v>0</v>
      </c>
      <c r="I86" s="27">
        <f t="shared" si="20"/>
        <v>4</v>
      </c>
      <c r="J86" s="738">
        <f>IF(Weather_Site!M84&lt;180,Weather_Site!M84+180,Weather_Site!M84-180)</f>
        <v>1</v>
      </c>
      <c r="K86" s="635">
        <f t="shared" si="21"/>
        <v>7.9660000000000002</v>
      </c>
      <c r="L86" s="635">
        <f t="shared" si="22"/>
        <v>10.305</v>
      </c>
      <c r="M86" s="635">
        <f t="shared" si="23"/>
        <v>11.024000000000001</v>
      </c>
      <c r="N86" s="635">
        <f t="shared" si="24"/>
        <v>11.024000000000001</v>
      </c>
      <c r="O86" s="636">
        <f t="shared" si="25"/>
        <v>0.43349042969821372</v>
      </c>
      <c r="P86" s="635">
        <f>IF($O$11,Weather_Site!H84,IF(0.191*(Weather_Site!K84+104)*(Weather_Site!J84+1)^1.5/(3.52*(Weather_Site!J84+1)^1.5+Weather_Site!I84-1)&gt;10, 10,0.191*(Weather_Site!K84+104)*(Weather_Site!J84+1)^1.5/(3.52*(Weather_Site!J84+1)^1.5+Weather_Site!I84-1)))</f>
        <v>8.9000009999999996</v>
      </c>
      <c r="Q86" s="636">
        <f t="shared" si="26"/>
        <v>0.98194519810002745</v>
      </c>
      <c r="R86" s="636">
        <f t="shared" si="27"/>
        <v>0.42566384586447847</v>
      </c>
      <c r="S86" s="635">
        <f t="shared" si="28"/>
        <v>1</v>
      </c>
      <c r="T86" s="707">
        <f t="shared" si="29"/>
        <v>90.191398650365386</v>
      </c>
      <c r="U86" s="707">
        <f t="shared" si="30"/>
        <v>216.46171868420444</v>
      </c>
      <c r="V86" s="707">
        <f t="shared" si="31"/>
        <v>430.12084007995378</v>
      </c>
      <c r="W86" s="636">
        <f t="shared" si="32"/>
        <v>1</v>
      </c>
      <c r="X86" s="636">
        <f t="shared" si="33"/>
        <v>0</v>
      </c>
      <c r="Y86" s="707">
        <f t="shared" si="34"/>
        <v>216.46171868420444</v>
      </c>
      <c r="Z86" s="635">
        <f t="shared" si="35"/>
        <v>1.6818234298883514</v>
      </c>
      <c r="AA86" s="707">
        <f t="shared" si="36"/>
        <v>59.389189718010435</v>
      </c>
      <c r="AB86" s="707">
        <f t="shared" si="37"/>
        <v>2572.2867570306289</v>
      </c>
    </row>
    <row r="87" spans="1:28" x14ac:dyDescent="0.25">
      <c r="A87" s="23" t="str">
        <f>Weather_Site!A85</f>
        <v>Wed</v>
      </c>
      <c r="B87" s="24">
        <f>Weather_Site!B85</f>
        <v>44552</v>
      </c>
      <c r="C87" s="25">
        <f>Weather_Site!C85</f>
        <v>0.20833333333333334</v>
      </c>
      <c r="D87" s="27">
        <f>Weather_Site!D85</f>
        <v>19.2</v>
      </c>
      <c r="E87" s="27">
        <f>Weather_Site!E85</f>
        <v>49.3</v>
      </c>
      <c r="F87" s="28">
        <f>Weather_Site!F85</f>
        <v>184</v>
      </c>
      <c r="G87" s="27">
        <f>Weather_Site!G85</f>
        <v>16</v>
      </c>
      <c r="H87" s="548">
        <f>C$4</f>
        <v>0</v>
      </c>
      <c r="I87" s="27">
        <f t="shared" si="20"/>
        <v>5.333333333333333</v>
      </c>
      <c r="J87" s="738">
        <f>IF(Weather_Site!M85&lt;180,Weather_Site!M85+180,Weather_Site!M85-180)</f>
        <v>4</v>
      </c>
      <c r="K87" s="635">
        <f t="shared" si="21"/>
        <v>8.5141600000000004</v>
      </c>
      <c r="L87" s="635">
        <f t="shared" si="22"/>
        <v>11.067699999999999</v>
      </c>
      <c r="M87" s="635">
        <f t="shared" si="23"/>
        <v>11.91404</v>
      </c>
      <c r="N87" s="635">
        <f t="shared" si="24"/>
        <v>11.91404</v>
      </c>
      <c r="O87" s="636">
        <f t="shared" si="25"/>
        <v>0.37136880743611833</v>
      </c>
      <c r="P87" s="635">
        <f>IF($O$11,Weather_Site!H85,IF(0.191*(Weather_Site!K85+104)*(Weather_Site!J85+1)^1.5/(3.52*(Weather_Site!J85+1)^1.5+Weather_Site!I85-1)&gt;10, 10,0.191*(Weather_Site!K85+104)*(Weather_Site!J85+1)^1.5/(3.52*(Weather_Site!J85+1)^1.5+Weather_Site!I85-1)))</f>
        <v>8.9000009999999996</v>
      </c>
      <c r="Q87" s="636">
        <f t="shared" si="26"/>
        <v>0.98194519810002745</v>
      </c>
      <c r="R87" s="636">
        <f t="shared" si="27"/>
        <v>0.36466381718603014</v>
      </c>
      <c r="S87" s="635">
        <f t="shared" si="28"/>
        <v>1</v>
      </c>
      <c r="T87" s="707">
        <f t="shared" si="29"/>
        <v>104.1826687474293</v>
      </c>
      <c r="U87" s="707">
        <f t="shared" si="30"/>
        <v>251.22936491137588</v>
      </c>
      <c r="V87" s="707">
        <f t="shared" si="31"/>
        <v>519.10284928648855</v>
      </c>
      <c r="W87" s="636">
        <f t="shared" si="32"/>
        <v>1</v>
      </c>
      <c r="X87" s="636">
        <f t="shared" si="33"/>
        <v>0</v>
      </c>
      <c r="Y87" s="707">
        <f t="shared" si="34"/>
        <v>251.22936491137588</v>
      </c>
      <c r="Z87" s="635">
        <f t="shared" si="35"/>
        <v>1.8730559957668427</v>
      </c>
      <c r="AA87" s="707">
        <f t="shared" si="36"/>
        <v>55.503129398943052</v>
      </c>
      <c r="AB87" s="707">
        <f t="shared" si="37"/>
        <v>2985.4422863635164</v>
      </c>
    </row>
    <row r="88" spans="1:28" x14ac:dyDescent="0.25">
      <c r="A88" s="23" t="str">
        <f>Weather_Site!A86</f>
        <v>Wed</v>
      </c>
      <c r="B88" s="24">
        <f>Weather_Site!B86</f>
        <v>44552</v>
      </c>
      <c r="C88" s="25">
        <f>Weather_Site!C86</f>
        <v>0.25</v>
      </c>
      <c r="D88" s="27">
        <f>Weather_Site!D86</f>
        <v>18.3</v>
      </c>
      <c r="E88" s="27">
        <f>Weather_Site!E86</f>
        <v>51.8</v>
      </c>
      <c r="F88" s="28">
        <f>Weather_Site!F86</f>
        <v>182</v>
      </c>
      <c r="G88" s="27">
        <f>Weather_Site!G86</f>
        <v>17</v>
      </c>
      <c r="H88" s="548">
        <f>C$4</f>
        <v>0</v>
      </c>
      <c r="I88" s="27">
        <f t="shared" si="20"/>
        <v>5.666666666666667</v>
      </c>
      <c r="J88" s="738">
        <f>IF(Weather_Site!M86&lt;180,Weather_Site!M86+180,Weather_Site!M86-180)</f>
        <v>2</v>
      </c>
      <c r="K88" s="635">
        <f t="shared" si="21"/>
        <v>8.8409899999999997</v>
      </c>
      <c r="L88" s="635">
        <f t="shared" si="22"/>
        <v>11.530700000000001</v>
      </c>
      <c r="M88" s="635">
        <f t="shared" si="23"/>
        <v>12.45251</v>
      </c>
      <c r="N88" s="635">
        <f t="shared" si="24"/>
        <v>12.45251</v>
      </c>
      <c r="O88" s="636">
        <f t="shared" si="25"/>
        <v>0.33805571192448292</v>
      </c>
      <c r="P88" s="635">
        <f>IF($O$11,Weather_Site!H86,IF(0.191*(Weather_Site!K86+104)*(Weather_Site!J86+1)^1.5/(3.52*(Weather_Site!J86+1)^1.5+Weather_Site!I86-1)&gt;10, 10,0.191*(Weather_Site!K86+104)*(Weather_Site!J86+1)^1.5/(3.52*(Weather_Site!J86+1)^1.5+Weather_Site!I86-1)))</f>
        <v>8.9000009999999996</v>
      </c>
      <c r="Q88" s="636">
        <f t="shared" si="26"/>
        <v>0.98194519810002745</v>
      </c>
      <c r="R88" s="636">
        <f t="shared" si="27"/>
        <v>0.33195218301453217</v>
      </c>
      <c r="S88" s="635">
        <f t="shared" si="28"/>
        <v>1</v>
      </c>
      <c r="T88" s="707">
        <f t="shared" si="29"/>
        <v>100.86821370015333</v>
      </c>
      <c r="U88" s="707">
        <f t="shared" si="30"/>
        <v>243.12399700867658</v>
      </c>
      <c r="V88" s="707">
        <f t="shared" si="31"/>
        <v>507.92712487666068</v>
      </c>
      <c r="W88" s="636">
        <f t="shared" si="32"/>
        <v>1</v>
      </c>
      <c r="X88" s="636">
        <f t="shared" si="33"/>
        <v>0</v>
      </c>
      <c r="Y88" s="707">
        <f t="shared" si="34"/>
        <v>243.12399700867658</v>
      </c>
      <c r="Z88" s="635">
        <f t="shared" si="35"/>
        <v>1.8291670955700836</v>
      </c>
      <c r="AA88" s="707">
        <f t="shared" si="36"/>
        <v>51.218504467994556</v>
      </c>
      <c r="AB88" s="707">
        <f t="shared" si="37"/>
        <v>2889.1234977864397</v>
      </c>
    </row>
    <row r="89" spans="1:28" x14ac:dyDescent="0.25">
      <c r="A89" s="675" t="str">
        <f>Weather_Site!A87</f>
        <v>Wed</v>
      </c>
      <c r="B89" s="672">
        <f>Weather_Site!B87</f>
        <v>44552</v>
      </c>
      <c r="C89" s="673">
        <f>Weather_Site!C87</f>
        <v>0.29166666666666669</v>
      </c>
      <c r="D89" s="413">
        <f>Weather_Site!D87</f>
        <v>19</v>
      </c>
      <c r="E89" s="413">
        <f>Weather_Site!E87</f>
        <v>48.9</v>
      </c>
      <c r="F89" s="674">
        <f>Weather_Site!F87</f>
        <v>176</v>
      </c>
      <c r="G89" s="413">
        <f>Weather_Site!G87</f>
        <v>18</v>
      </c>
      <c r="H89" s="548">
        <f>C$4</f>
        <v>0</v>
      </c>
      <c r="I89" s="413">
        <f t="shared" si="20"/>
        <v>6</v>
      </c>
      <c r="J89" s="413">
        <f>IF(Weather_Site!M87&lt;180,Weather_Site!M87+180,Weather_Site!M87-180)</f>
        <v>356</v>
      </c>
      <c r="K89" s="711">
        <f t="shared" si="21"/>
        <v>8.4682999999999993</v>
      </c>
      <c r="L89" s="711">
        <f t="shared" si="22"/>
        <v>11.0091</v>
      </c>
      <c r="M89" s="711">
        <f t="shared" si="23"/>
        <v>11.8445</v>
      </c>
      <c r="N89" s="711">
        <f t="shared" si="24"/>
        <v>11.8445</v>
      </c>
      <c r="O89" s="713">
        <f t="shared" si="25"/>
        <v>0.37591317347001574</v>
      </c>
      <c r="P89" s="711">
        <f>IF($O$11,Weather_Site!H87,IF(0.191*(Weather_Site!K87+104)*(Weather_Site!J87+1)^1.5/(3.52*(Weather_Site!J87+1)^1.5+Weather_Site!I87-1)&gt;10, 10,0.191*(Weather_Site!K87+104)*(Weather_Site!J87+1)^1.5/(3.52*(Weather_Site!J87+1)^1.5+Weather_Site!I87-1)))</f>
        <v>8.9000009999999996</v>
      </c>
      <c r="Q89" s="713">
        <f t="shared" si="26"/>
        <v>0.98194519810002745</v>
      </c>
      <c r="R89" s="713">
        <f t="shared" si="27"/>
        <v>0.3691261355914246</v>
      </c>
      <c r="S89" s="711">
        <f t="shared" si="28"/>
        <v>1</v>
      </c>
      <c r="T89" s="716">
        <f t="shared" si="29"/>
        <v>118.83527185486835</v>
      </c>
      <c r="U89" s="716">
        <f t="shared" si="30"/>
        <v>286.19854922941215</v>
      </c>
      <c r="V89" s="716">
        <f t="shared" si="31"/>
        <v>604.60608244947991</v>
      </c>
      <c r="W89" s="713">
        <f t="shared" si="32"/>
        <v>1</v>
      </c>
      <c r="X89" s="713">
        <f t="shared" si="33"/>
        <v>0</v>
      </c>
      <c r="Y89" s="716">
        <f t="shared" si="34"/>
        <v>286.19854922941215</v>
      </c>
      <c r="Z89" s="711">
        <f t="shared" si="35"/>
        <v>2.0581186676317231</v>
      </c>
      <c r="AA89" s="716">
        <f t="shared" si="36"/>
        <v>57.617681838744595</v>
      </c>
      <c r="AB89" s="716">
        <f t="shared" si="37"/>
        <v>3400.9927600095143</v>
      </c>
    </row>
    <row r="90" spans="1:28" x14ac:dyDescent="0.25">
      <c r="A90" s="675" t="str">
        <f>Weather_Site!A88</f>
        <v>Wed</v>
      </c>
      <c r="B90" s="672">
        <f>Weather_Site!B88</f>
        <v>44552</v>
      </c>
      <c r="C90" s="673">
        <f>Weather_Site!C88</f>
        <v>0.33333333333333331</v>
      </c>
      <c r="D90" s="413">
        <f>Weather_Site!D88</f>
        <v>21.4</v>
      </c>
      <c r="E90" s="413">
        <f>Weather_Site!E88</f>
        <v>43</v>
      </c>
      <c r="F90" s="674">
        <f>Weather_Site!F88</f>
        <v>179</v>
      </c>
      <c r="G90" s="413">
        <f>Weather_Site!G88</f>
        <v>22</v>
      </c>
      <c r="H90" s="548">
        <f>C$4</f>
        <v>0</v>
      </c>
      <c r="I90" s="413">
        <f t="shared" si="20"/>
        <v>7.333333333333333</v>
      </c>
      <c r="J90" s="413">
        <f>IF(Weather_Site!M88&lt;180,Weather_Site!M88+180,Weather_Site!M88-180)</f>
        <v>359</v>
      </c>
      <c r="K90" s="711">
        <f t="shared" si="21"/>
        <v>7.691819999999999</v>
      </c>
      <c r="L90" s="711">
        <f t="shared" si="22"/>
        <v>9.9040000000000017</v>
      </c>
      <c r="M90" s="711">
        <f t="shared" si="23"/>
        <v>10.560380000000002</v>
      </c>
      <c r="N90" s="711">
        <f t="shared" si="24"/>
        <v>9.9040000000000017</v>
      </c>
      <c r="O90" s="713">
        <f t="shared" si="25"/>
        <v>0.52253842183939181</v>
      </c>
      <c r="P90" s="711">
        <f>IF($O$11,Weather_Site!H88,IF(0.191*(Weather_Site!K88+104)*(Weather_Site!J88+1)^1.5/(3.52*(Weather_Site!J88+1)^1.5+Weather_Site!I88-1)&gt;10, 10,0.191*(Weather_Site!K88+104)*(Weather_Site!J88+1)^1.5/(3.52*(Weather_Site!J88+1)^1.5+Weather_Site!I88-1)))</f>
        <v>8.9000009999999996</v>
      </c>
      <c r="Q90" s="713">
        <f t="shared" si="26"/>
        <v>0.98194519810002745</v>
      </c>
      <c r="R90" s="713">
        <f t="shared" si="27"/>
        <v>0.51310409414795732</v>
      </c>
      <c r="S90" s="711">
        <f t="shared" si="28"/>
        <v>1</v>
      </c>
      <c r="T90" s="716">
        <f t="shared" si="29"/>
        <v>201.85426352057846</v>
      </c>
      <c r="U90" s="716">
        <f t="shared" si="30"/>
        <v>483.57671527101218</v>
      </c>
      <c r="V90" s="716">
        <f t="shared" si="31"/>
        <v>1067.3908048445728</v>
      </c>
      <c r="W90" s="713">
        <f t="shared" si="32"/>
        <v>1</v>
      </c>
      <c r="X90" s="713">
        <f t="shared" si="33"/>
        <v>5.9844003223426603E-6</v>
      </c>
      <c r="Y90" s="716">
        <f t="shared" si="34"/>
        <v>483.58020904823809</v>
      </c>
      <c r="Z90" s="711">
        <f t="shared" si="35"/>
        <v>3.0072573874539645</v>
      </c>
      <c r="AA90" s="716">
        <f t="shared" si="36"/>
        <v>82.680243647968481</v>
      </c>
      <c r="AB90" s="716">
        <f t="shared" si="37"/>
        <v>5746.5448175232286</v>
      </c>
    </row>
    <row r="91" spans="1:28" x14ac:dyDescent="0.25">
      <c r="A91" s="675" t="str">
        <f>Weather_Site!A89</f>
        <v>Wed</v>
      </c>
      <c r="B91" s="672">
        <f>Weather_Site!B89</f>
        <v>44552</v>
      </c>
      <c r="C91" s="673">
        <f>Weather_Site!C89</f>
        <v>0.375</v>
      </c>
      <c r="D91" s="413">
        <f>Weather_Site!D89</f>
        <v>23.5</v>
      </c>
      <c r="E91" s="413">
        <f>Weather_Site!E89</f>
        <v>40</v>
      </c>
      <c r="F91" s="674">
        <f>Weather_Site!F89</f>
        <v>167</v>
      </c>
      <c r="G91" s="413">
        <f>Weather_Site!G89</f>
        <v>15</v>
      </c>
      <c r="H91" s="548">
        <f>C$4</f>
        <v>0</v>
      </c>
      <c r="I91" s="413">
        <f t="shared" si="20"/>
        <v>5</v>
      </c>
      <c r="J91" s="413">
        <f>IF(Weather_Site!M89&lt;180,Weather_Site!M89+180,Weather_Site!M89-180)</f>
        <v>347</v>
      </c>
      <c r="K91" s="711">
        <f t="shared" si="21"/>
        <v>7.2805499999999999</v>
      </c>
      <c r="L91" s="711">
        <f t="shared" si="22"/>
        <v>9.302500000000002</v>
      </c>
      <c r="M91" s="711">
        <f t="shared" si="23"/>
        <v>9.8649500000000003</v>
      </c>
      <c r="N91" s="711">
        <f t="shared" si="24"/>
        <v>9.302500000000002</v>
      </c>
      <c r="O91" s="713">
        <f t="shared" si="25"/>
        <v>0.57430483988896341</v>
      </c>
      <c r="P91" s="711">
        <f>IF($O$11,Weather_Site!H89,IF(0.191*(Weather_Site!K89+104)*(Weather_Site!J89+1)^1.5/(3.52*(Weather_Site!J89+1)^1.5+Weather_Site!I89-1)&gt;10, 10,0.191*(Weather_Site!K89+104)*(Weather_Site!J89+1)^1.5/(3.52*(Weather_Site!J89+1)^1.5+Weather_Site!I89-1)))</f>
        <v>8.9000009999999996</v>
      </c>
      <c r="Q91" s="713">
        <f t="shared" si="26"/>
        <v>0.98194519810002745</v>
      </c>
      <c r="R91" s="713">
        <f t="shared" si="27"/>
        <v>0.56393587977457271</v>
      </c>
      <c r="S91" s="711">
        <f t="shared" si="28"/>
        <v>1</v>
      </c>
      <c r="T91" s="716">
        <f t="shared" si="29"/>
        <v>150.80948260248488</v>
      </c>
      <c r="U91" s="716">
        <f t="shared" si="30"/>
        <v>363.66770027122465</v>
      </c>
      <c r="V91" s="716">
        <f t="shared" si="31"/>
        <v>743.36208811120684</v>
      </c>
      <c r="W91" s="713">
        <f t="shared" si="32"/>
        <v>1</v>
      </c>
      <c r="X91" s="713">
        <f t="shared" si="33"/>
        <v>2.9727339662911965E-6</v>
      </c>
      <c r="Y91" s="716">
        <f t="shared" si="34"/>
        <v>363.66882900162813</v>
      </c>
      <c r="Z91" s="711">
        <f t="shared" si="35"/>
        <v>2.4473177265860016</v>
      </c>
      <c r="AA91" s="716">
        <f t="shared" si="36"/>
        <v>84.456300279059008</v>
      </c>
      <c r="AB91" s="716">
        <f t="shared" si="37"/>
        <v>4321.5979179693477</v>
      </c>
    </row>
    <row r="92" spans="1:28" x14ac:dyDescent="0.25">
      <c r="A92" s="675" t="str">
        <f>Weather_Site!A90</f>
        <v>Wed</v>
      </c>
      <c r="B92" s="672">
        <f>Weather_Site!B90</f>
        <v>44552</v>
      </c>
      <c r="C92" s="673">
        <f>Weather_Site!C90</f>
        <v>0.41666666666666669</v>
      </c>
      <c r="D92" s="413">
        <f>Weather_Site!D90</f>
        <v>25.9</v>
      </c>
      <c r="E92" s="413">
        <f>Weather_Site!E90</f>
        <v>34.200000000000003</v>
      </c>
      <c r="F92" s="674">
        <f>Weather_Site!F90</f>
        <v>164</v>
      </c>
      <c r="G92" s="413">
        <f>Weather_Site!G90</f>
        <v>20</v>
      </c>
      <c r="H92" s="548">
        <f>C$4</f>
        <v>0</v>
      </c>
      <c r="I92" s="413">
        <f t="shared" si="20"/>
        <v>6.666666666666667</v>
      </c>
      <c r="J92" s="413">
        <f>IF(Weather_Site!M90&lt;180,Weather_Site!M90+180,Weather_Site!M90-180)</f>
        <v>344</v>
      </c>
      <c r="K92" s="711">
        <f t="shared" si="21"/>
        <v>6.51647</v>
      </c>
      <c r="L92" s="711">
        <f t="shared" si="22"/>
        <v>8.2143000000000015</v>
      </c>
      <c r="M92" s="711">
        <f t="shared" si="23"/>
        <v>8.6006300000000007</v>
      </c>
      <c r="N92" s="711">
        <f t="shared" si="24"/>
        <v>8.2143000000000015</v>
      </c>
      <c r="O92" s="713">
        <f t="shared" si="25"/>
        <v>0.67227211569021872</v>
      </c>
      <c r="P92" s="711">
        <f>IF($O$11,Weather_Site!H90,IF(0.191*(Weather_Site!K90+104)*(Weather_Site!J90+1)^1.5/(3.52*(Weather_Site!J90+1)^1.5+Weather_Site!I90-1)&gt;10, 10,0.191*(Weather_Site!K90+104)*(Weather_Site!J90+1)^1.5/(3.52*(Weather_Site!J90+1)^1.5+Weather_Site!I90-1)))</f>
        <v>8.9000009999999996</v>
      </c>
      <c r="Q92" s="713">
        <f t="shared" si="26"/>
        <v>0.98194519810002745</v>
      </c>
      <c r="R92" s="713">
        <f t="shared" si="27"/>
        <v>0.66013437581855638</v>
      </c>
      <c r="S92" s="711">
        <f t="shared" si="28"/>
        <v>1</v>
      </c>
      <c r="T92" s="716">
        <f t="shared" si="29"/>
        <v>236.21115205511799</v>
      </c>
      <c r="U92" s="716">
        <f t="shared" si="30"/>
        <v>567.55448358066235</v>
      </c>
      <c r="V92" s="716">
        <f t="shared" si="31"/>
        <v>1225.8576680683252</v>
      </c>
      <c r="W92" s="713">
        <f t="shared" si="32"/>
        <v>1</v>
      </c>
      <c r="X92" s="713">
        <f t="shared" si="33"/>
        <v>1.7243032604487843E-4</v>
      </c>
      <c r="Y92" s="716">
        <f t="shared" si="34"/>
        <v>567.66799501339995</v>
      </c>
      <c r="Z92" s="711">
        <f t="shared" si="35"/>
        <v>3.3768371691657086</v>
      </c>
      <c r="AA92" s="716">
        <f t="shared" si="36"/>
        <v>104.96819434419378</v>
      </c>
      <c r="AB92" s="716">
        <f t="shared" si="37"/>
        <v>6745.7880074092363</v>
      </c>
    </row>
    <row r="93" spans="1:28" x14ac:dyDescent="0.25">
      <c r="A93" s="675" t="str">
        <f>Weather_Site!A91</f>
        <v>Wed</v>
      </c>
      <c r="B93" s="672">
        <f>Weather_Site!B91</f>
        <v>44552</v>
      </c>
      <c r="C93" s="673">
        <f>Weather_Site!C91</f>
        <v>0.45833333333333331</v>
      </c>
      <c r="D93" s="413">
        <f>Weather_Site!D91</f>
        <v>28.1</v>
      </c>
      <c r="E93" s="413">
        <f>Weather_Site!E91</f>
        <v>30</v>
      </c>
      <c r="F93" s="674">
        <f>Weather_Site!F91</f>
        <v>165</v>
      </c>
      <c r="G93" s="413">
        <f>Weather_Site!G91</f>
        <v>18</v>
      </c>
      <c r="H93" s="548">
        <f>C$4</f>
        <v>0</v>
      </c>
      <c r="I93" s="413">
        <f t="shared" si="20"/>
        <v>6</v>
      </c>
      <c r="J93" s="413">
        <f>IF(Weather_Site!M91&lt;180,Weather_Site!M91+180,Weather_Site!M91-180)</f>
        <v>345</v>
      </c>
      <c r="K93" s="711">
        <f t="shared" si="21"/>
        <v>5.9545299999999992</v>
      </c>
      <c r="L93" s="711">
        <f t="shared" si="22"/>
        <v>7.4055</v>
      </c>
      <c r="M93" s="711">
        <f t="shared" si="23"/>
        <v>7.6627699999999992</v>
      </c>
      <c r="N93" s="711">
        <f t="shared" si="24"/>
        <v>7.4055</v>
      </c>
      <c r="O93" s="713">
        <f t="shared" si="25"/>
        <v>0.74621116844586166</v>
      </c>
      <c r="P93" s="711">
        <f>IF($O$11,Weather_Site!H91,IF(0.191*(Weather_Site!K91+104)*(Weather_Site!J91+1)^1.5/(3.52*(Weather_Site!J91+1)^1.5+Weather_Site!I91-1)&gt;10, 10,0.191*(Weather_Site!K91+104)*(Weather_Site!J91+1)^1.5/(3.52*(Weather_Site!J91+1)^1.5+Weather_Site!I91-1)))</f>
        <v>8.9000009999999996</v>
      </c>
      <c r="Q93" s="713">
        <f t="shared" si="26"/>
        <v>0.98194519810002745</v>
      </c>
      <c r="R93" s="713">
        <f t="shared" si="27"/>
        <v>0.73273847362402456</v>
      </c>
      <c r="S93" s="711">
        <f t="shared" si="28"/>
        <v>1</v>
      </c>
      <c r="T93" s="716">
        <f t="shared" si="29"/>
        <v>235.8954495923673</v>
      </c>
      <c r="U93" s="716">
        <f t="shared" si="30"/>
        <v>568.12202630888862</v>
      </c>
      <c r="V93" s="716">
        <f t="shared" si="31"/>
        <v>1200.1809010028958</v>
      </c>
      <c r="W93" s="713">
        <f t="shared" si="32"/>
        <v>1</v>
      </c>
      <c r="X93" s="713">
        <f t="shared" si="33"/>
        <v>6.7210348594136415E-4</v>
      </c>
      <c r="Y93" s="716">
        <f t="shared" si="34"/>
        <v>568.54683528189059</v>
      </c>
      <c r="Z93" s="711">
        <f t="shared" si="35"/>
        <v>3.38061611689966</v>
      </c>
      <c r="AA93" s="716">
        <f t="shared" si="36"/>
        <v>114.46022613985556</v>
      </c>
      <c r="AB93" s="716">
        <f t="shared" si="37"/>
        <v>6756.2315592664654</v>
      </c>
    </row>
    <row r="94" spans="1:28" x14ac:dyDescent="0.25">
      <c r="A94" s="23" t="str">
        <f>Weather_Site!A92</f>
        <v>Wed</v>
      </c>
      <c r="B94" s="24">
        <f>Weather_Site!B92</f>
        <v>44552</v>
      </c>
      <c r="C94" s="25">
        <f>Weather_Site!C92</f>
        <v>0.5</v>
      </c>
      <c r="D94" s="27">
        <f>Weather_Site!D92</f>
        <v>29.8</v>
      </c>
      <c r="E94" s="27">
        <f>Weather_Site!E92</f>
        <v>26.2</v>
      </c>
      <c r="F94" s="28">
        <f>Weather_Site!F92</f>
        <v>170</v>
      </c>
      <c r="G94" s="27">
        <f>Weather_Site!G92</f>
        <v>17</v>
      </c>
      <c r="H94" s="548">
        <f>C$4</f>
        <v>0</v>
      </c>
      <c r="I94" s="27">
        <f t="shared" si="20"/>
        <v>5.666666666666667</v>
      </c>
      <c r="J94" s="738">
        <f>IF(Weather_Site!M92&lt;180,Weather_Site!M92+180,Weather_Site!M92-180)</f>
        <v>350</v>
      </c>
      <c r="K94" s="635">
        <f t="shared" si="21"/>
        <v>5.4515399999999987</v>
      </c>
      <c r="L94" s="635">
        <f t="shared" si="22"/>
        <v>6.6868000000000007</v>
      </c>
      <c r="M94" s="635">
        <f t="shared" si="23"/>
        <v>6.8282600000000002</v>
      </c>
      <c r="N94" s="635">
        <f t="shared" si="24"/>
        <v>6.6868000000000007</v>
      </c>
      <c r="O94" s="636">
        <f t="shared" si="25"/>
        <v>0.8105445190350743</v>
      </c>
      <c r="P94" s="635">
        <f>IF($O$11,Weather_Site!H92,IF(0.191*(Weather_Site!K92+104)*(Weather_Site!J92+1)^1.5/(3.52*(Weather_Site!J92+1)^1.5+Weather_Site!I92-1)&gt;10, 10,0.191*(Weather_Site!K92+104)*(Weather_Site!J92+1)^1.5/(3.52*(Weather_Site!J92+1)^1.5+Weather_Site!I92-1)))</f>
        <v>8.9000009999999996</v>
      </c>
      <c r="Q94" s="636">
        <f t="shared" si="26"/>
        <v>0.98194519810002745</v>
      </c>
      <c r="R94" s="636">
        <f t="shared" si="27"/>
        <v>0.79591029831278748</v>
      </c>
      <c r="S94" s="635">
        <f t="shared" si="28"/>
        <v>1</v>
      </c>
      <c r="T94" s="707">
        <f t="shared" si="29"/>
        <v>241.84823647583138</v>
      </c>
      <c r="U94" s="707">
        <f t="shared" si="30"/>
        <v>582.93002091117978</v>
      </c>
      <c r="V94" s="707">
        <f t="shared" si="31"/>
        <v>1217.8393460483483</v>
      </c>
      <c r="W94" s="636">
        <f t="shared" si="32"/>
        <v>1</v>
      </c>
      <c r="X94" s="636">
        <f t="shared" si="33"/>
        <v>2.7268321013712558E-3</v>
      </c>
      <c r="Y94" s="707">
        <f t="shared" si="34"/>
        <v>584.66131204042381</v>
      </c>
      <c r="Z94" s="635">
        <f t="shared" si="35"/>
        <v>3.4496236086629799</v>
      </c>
      <c r="AA94" s="707">
        <f t="shared" si="36"/>
        <v>123.16956940263414</v>
      </c>
      <c r="AB94" s="707">
        <f t="shared" si="37"/>
        <v>6947.7252580803706</v>
      </c>
    </row>
    <row r="95" spans="1:28" x14ac:dyDescent="0.25">
      <c r="A95" s="23" t="str">
        <f>Weather_Site!A93</f>
        <v>Wed</v>
      </c>
      <c r="B95" s="24">
        <f>Weather_Site!B93</f>
        <v>44552</v>
      </c>
      <c r="C95" s="25">
        <f>Weather_Site!C93</f>
        <v>0.54166666666666663</v>
      </c>
      <c r="D95" s="27">
        <f>Weather_Site!D93</f>
        <v>31.4</v>
      </c>
      <c r="E95" s="27">
        <f>Weather_Site!E93</f>
        <v>22.5</v>
      </c>
      <c r="F95" s="28">
        <f>Weather_Site!F93</f>
        <v>194</v>
      </c>
      <c r="G95" s="27">
        <f>Weather_Site!G93</f>
        <v>18</v>
      </c>
      <c r="H95" s="548">
        <f>C$4</f>
        <v>0</v>
      </c>
      <c r="I95" s="27">
        <f t="shared" si="20"/>
        <v>6</v>
      </c>
      <c r="J95" s="738">
        <f>IF(Weather_Site!M93&lt;180,Weather_Site!M93+180,Weather_Site!M93-180)</f>
        <v>14</v>
      </c>
      <c r="K95" s="635">
        <f t="shared" si="21"/>
        <v>4.9628199999999998</v>
      </c>
      <c r="L95" s="635">
        <f t="shared" si="22"/>
        <v>5.9894999999999996</v>
      </c>
      <c r="M95" s="635">
        <f t="shared" si="23"/>
        <v>6.0183800000000005</v>
      </c>
      <c r="N95" s="635">
        <f t="shared" si="24"/>
        <v>4.9628199999999998</v>
      </c>
      <c r="O95" s="636">
        <f t="shared" si="25"/>
        <v>0.94718611283086507</v>
      </c>
      <c r="P95" s="635">
        <f>IF($O$11,Weather_Site!H93,IF(0.191*(Weather_Site!K93+104)*(Weather_Site!J93+1)^1.5/(3.52*(Weather_Site!J93+1)^1.5+Weather_Site!I93-1)&gt;10, 10,0.191*(Weather_Site!K93+104)*(Weather_Site!J93+1)^1.5/(3.52*(Weather_Site!J93+1)^1.5+Weather_Site!I93-1)))</f>
        <v>9</v>
      </c>
      <c r="Q95" s="636">
        <f t="shared" si="26"/>
        <v>0.98420578412222115</v>
      </c>
      <c r="R95" s="636">
        <f t="shared" si="27"/>
        <v>0.93222605088838018</v>
      </c>
      <c r="S95" s="635">
        <f t="shared" si="28"/>
        <v>1</v>
      </c>
      <c r="T95" s="707">
        <f t="shared" si="29"/>
        <v>300.11783373185949</v>
      </c>
      <c r="U95" s="707">
        <f t="shared" si="30"/>
        <v>722.79288187123643</v>
      </c>
      <c r="V95" s="707">
        <f t="shared" si="31"/>
        <v>1526.929377899263</v>
      </c>
      <c r="W95" s="636">
        <f t="shared" si="32"/>
        <v>1</v>
      </c>
      <c r="X95" s="636">
        <f t="shared" si="33"/>
        <v>0.12526204658248424</v>
      </c>
      <c r="Y95" s="707">
        <f t="shared" si="34"/>
        <v>823.52066509537474</v>
      </c>
      <c r="Z95" s="635">
        <f t="shared" si="35"/>
        <v>4.4190867393054525</v>
      </c>
      <c r="AA95" s="707">
        <f t="shared" si="36"/>
        <v>165.79172674653219</v>
      </c>
      <c r="AB95" s="707">
        <f t="shared" si="37"/>
        <v>9786.1705702167019</v>
      </c>
    </row>
    <row r="96" spans="1:28" x14ac:dyDescent="0.25">
      <c r="A96" s="23" t="str">
        <f>Weather_Site!A94</f>
        <v>Wed</v>
      </c>
      <c r="B96" s="24">
        <f>Weather_Site!B94</f>
        <v>44552</v>
      </c>
      <c r="C96" s="25">
        <f>Weather_Site!C94</f>
        <v>0.58333333333333337</v>
      </c>
      <c r="D96" s="27">
        <f>Weather_Site!D94</f>
        <v>33.1</v>
      </c>
      <c r="E96" s="27">
        <f>Weather_Site!E94</f>
        <v>18.8</v>
      </c>
      <c r="F96" s="28">
        <f>Weather_Site!F94</f>
        <v>198</v>
      </c>
      <c r="G96" s="27">
        <f>Weather_Site!G94</f>
        <v>18</v>
      </c>
      <c r="H96" s="548">
        <f>C$4</f>
        <v>0</v>
      </c>
      <c r="I96" s="27">
        <f t="shared" si="20"/>
        <v>6</v>
      </c>
      <c r="J96" s="738">
        <f>IF(Weather_Site!M94&lt;180,Weather_Site!M94+180,Weather_Site!M94-180)</f>
        <v>18</v>
      </c>
      <c r="K96" s="635">
        <f t="shared" si="21"/>
        <v>4.4722299999999997</v>
      </c>
      <c r="L96" s="635">
        <f t="shared" si="22"/>
        <v>5.287700000000001</v>
      </c>
      <c r="M96" s="635">
        <f t="shared" si="23"/>
        <v>5.2036700000000007</v>
      </c>
      <c r="N96" s="635">
        <f t="shared" si="24"/>
        <v>4.4722299999999997</v>
      </c>
      <c r="O96" s="636">
        <f t="shared" si="25"/>
        <v>0.9782034592419282</v>
      </c>
      <c r="P96" s="635">
        <f>IF($O$11,Weather_Site!H94,IF(0.191*(Weather_Site!K94+104)*(Weather_Site!J94+1)^1.5/(3.52*(Weather_Site!J94+1)^1.5+Weather_Site!I94-1)&gt;10, 10,0.191*(Weather_Site!K94+104)*(Weather_Site!J94+1)^1.5/(3.52*(Weather_Site!J94+1)^1.5+Weather_Site!I94-1)))</f>
        <v>9</v>
      </c>
      <c r="Q96" s="636">
        <f t="shared" si="26"/>
        <v>0.98420578412222115</v>
      </c>
      <c r="R96" s="636">
        <f t="shared" si="27"/>
        <v>0.96275350263427117</v>
      </c>
      <c r="S96" s="635">
        <f t="shared" si="28"/>
        <v>1</v>
      </c>
      <c r="T96" s="707">
        <f t="shared" si="29"/>
        <v>309.94574261576139</v>
      </c>
      <c r="U96" s="707">
        <f t="shared" si="30"/>
        <v>746.46206039566232</v>
      </c>
      <c r="V96" s="707">
        <f t="shared" si="31"/>
        <v>1576.931480778476</v>
      </c>
      <c r="W96" s="636">
        <f t="shared" si="32"/>
        <v>1</v>
      </c>
      <c r="X96" s="636">
        <f t="shared" si="33"/>
        <v>0.24542930627754594</v>
      </c>
      <c r="Y96" s="707">
        <f t="shared" si="34"/>
        <v>950.28359412493205</v>
      </c>
      <c r="Z96" s="635">
        <f t="shared" si="35"/>
        <v>4.9010343668326843</v>
      </c>
      <c r="AA96" s="707">
        <f t="shared" si="36"/>
        <v>191.31172373267273</v>
      </c>
      <c r="AB96" s="707">
        <f t="shared" si="37"/>
        <v>11292.53671018461</v>
      </c>
    </row>
    <row r="97" spans="1:28" x14ac:dyDescent="0.25">
      <c r="A97" s="23" t="str">
        <f>Weather_Site!A95</f>
        <v>Wed</v>
      </c>
      <c r="B97" s="24">
        <f>Weather_Site!B95</f>
        <v>44552</v>
      </c>
      <c r="C97" s="25">
        <f>Weather_Site!C95</f>
        <v>0.625</v>
      </c>
      <c r="D97" s="27">
        <f>Weather_Site!D95</f>
        <v>34</v>
      </c>
      <c r="E97" s="27">
        <f>Weather_Site!E95</f>
        <v>16.100000000000001</v>
      </c>
      <c r="F97" s="28">
        <f>Weather_Site!F95</f>
        <v>200</v>
      </c>
      <c r="G97" s="27">
        <f>Weather_Site!G95</f>
        <v>17</v>
      </c>
      <c r="H97" s="548">
        <f>C$4</f>
        <v>0</v>
      </c>
      <c r="I97" s="27">
        <f t="shared" si="20"/>
        <v>5.666666666666667</v>
      </c>
      <c r="J97" s="738">
        <f>IF(Weather_Site!M95&lt;180,Weather_Site!M95+180,Weather_Site!M95-180)</f>
        <v>20</v>
      </c>
      <c r="K97" s="635">
        <f t="shared" si="21"/>
        <v>4.1206000000000005</v>
      </c>
      <c r="L97" s="635">
        <f t="shared" si="22"/>
        <v>4.7908999999999997</v>
      </c>
      <c r="M97" s="635">
        <f t="shared" si="23"/>
        <v>4.6256000000000013</v>
      </c>
      <c r="N97" s="635">
        <f t="shared" si="24"/>
        <v>4.1206000000000005</v>
      </c>
      <c r="O97" s="636">
        <f t="shared" si="25"/>
        <v>0.99741593288484331</v>
      </c>
      <c r="P97" s="635">
        <f>IF($O$11,Weather_Site!H95,IF(0.191*(Weather_Site!K95+104)*(Weather_Site!J95+1)^1.5/(3.52*(Weather_Site!J95+1)^1.5+Weather_Site!I95-1)&gt;10, 10,0.191*(Weather_Site!K95+104)*(Weather_Site!J95+1)^1.5/(3.52*(Weather_Site!J95+1)^1.5+Weather_Site!I95-1)))</f>
        <v>9</v>
      </c>
      <c r="Q97" s="636">
        <f t="shared" si="26"/>
        <v>0.98420578412222115</v>
      </c>
      <c r="R97" s="636">
        <f t="shared" si="27"/>
        <v>0.98166253032092388</v>
      </c>
      <c r="S97" s="635">
        <f t="shared" si="28"/>
        <v>1</v>
      </c>
      <c r="T97" s="707">
        <f t="shared" si="29"/>
        <v>298.29159426106071</v>
      </c>
      <c r="U97" s="707">
        <f t="shared" si="30"/>
        <v>718.97619686635983</v>
      </c>
      <c r="V97" s="707">
        <f t="shared" si="31"/>
        <v>1502.0628034346332</v>
      </c>
      <c r="W97" s="636">
        <f t="shared" si="32"/>
        <v>1</v>
      </c>
      <c r="X97" s="636">
        <f t="shared" si="33"/>
        <v>0.28698138855333899</v>
      </c>
      <c r="Y97" s="707">
        <f t="shared" si="34"/>
        <v>943.70747857684523</v>
      </c>
      <c r="Z97" s="635">
        <f t="shared" si="35"/>
        <v>4.8764895652443112</v>
      </c>
      <c r="AA97" s="707">
        <f t="shared" si="36"/>
        <v>198.80919326216508</v>
      </c>
      <c r="AB97" s="707">
        <f t="shared" si="37"/>
        <v>11214.390537088178</v>
      </c>
    </row>
    <row r="98" spans="1:28" x14ac:dyDescent="0.25">
      <c r="A98" s="23" t="str">
        <f>Weather_Site!A96</f>
        <v>Wed</v>
      </c>
      <c r="B98" s="24">
        <f>Weather_Site!B96</f>
        <v>44552</v>
      </c>
      <c r="C98" s="25">
        <f>Weather_Site!C96</f>
        <v>0.66666666666666663</v>
      </c>
      <c r="D98" s="27">
        <f>Weather_Site!D96</f>
        <v>34.5</v>
      </c>
      <c r="E98" s="27">
        <f>Weather_Site!E96</f>
        <v>14.9</v>
      </c>
      <c r="F98" s="28">
        <f>Weather_Site!F96</f>
        <v>202</v>
      </c>
      <c r="G98" s="27">
        <f>Weather_Site!G96</f>
        <v>19</v>
      </c>
      <c r="H98" s="548">
        <f>C$4</f>
        <v>0</v>
      </c>
      <c r="I98" s="27">
        <f t="shared" si="20"/>
        <v>6.333333333333333</v>
      </c>
      <c r="J98" s="738">
        <f>IF(Weather_Site!M96&lt;180,Weather_Site!M96+180,Weather_Site!M96-180)</f>
        <v>22</v>
      </c>
      <c r="K98" s="635">
        <f t="shared" si="21"/>
        <v>3.9624499999999996</v>
      </c>
      <c r="L98" s="635">
        <f t="shared" si="22"/>
        <v>4.5655999999999999</v>
      </c>
      <c r="M98" s="635">
        <f t="shared" si="23"/>
        <v>4.3638500000000011</v>
      </c>
      <c r="N98" s="635">
        <f t="shared" si="24"/>
        <v>3.9624499999999996</v>
      </c>
      <c r="O98" s="636">
        <f t="shared" si="25"/>
        <v>1</v>
      </c>
      <c r="P98" s="635">
        <f>IF($O$11,Weather_Site!H96,IF(0.191*(Weather_Site!K96+104)*(Weather_Site!J96+1)^1.5/(3.52*(Weather_Site!J96+1)^1.5+Weather_Site!I96-1)&gt;10, 10,0.191*(Weather_Site!K96+104)*(Weather_Site!J96+1)^1.5/(3.52*(Weather_Site!J96+1)^1.5+Weather_Site!I96-1)))</f>
        <v>9</v>
      </c>
      <c r="Q98" s="636">
        <f t="shared" si="26"/>
        <v>0.98420578412222115</v>
      </c>
      <c r="R98" s="636">
        <f t="shared" si="27"/>
        <v>0.98420578412222115</v>
      </c>
      <c r="S98" s="635">
        <f t="shared" si="28"/>
        <v>1</v>
      </c>
      <c r="T98" s="707">
        <f t="shared" si="29"/>
        <v>334.55237175111222</v>
      </c>
      <c r="U98" s="707">
        <f t="shared" si="30"/>
        <v>804.86229320221605</v>
      </c>
      <c r="V98" s="707">
        <f t="shared" si="31"/>
        <v>1719.3179162362478</v>
      </c>
      <c r="W98" s="636">
        <f t="shared" si="32"/>
        <v>1</v>
      </c>
      <c r="X98" s="636">
        <f t="shared" si="33"/>
        <v>0.43744343550266018</v>
      </c>
      <c r="Y98" s="707">
        <f t="shared" si="34"/>
        <v>1204.8849025569484</v>
      </c>
      <c r="Z98" s="635">
        <f t="shared" si="35"/>
        <v>5.8186669972795695</v>
      </c>
      <c r="AA98" s="707">
        <f t="shared" si="36"/>
        <v>232.26249181836459</v>
      </c>
      <c r="AB98" s="707">
        <f t="shared" si="37"/>
        <v>14318.048925385072</v>
      </c>
    </row>
    <row r="99" spans="1:28" x14ac:dyDescent="0.25">
      <c r="A99" s="675" t="str">
        <f>Weather_Site!A97</f>
        <v>Wed</v>
      </c>
      <c r="B99" s="672">
        <f>Weather_Site!B97</f>
        <v>44552</v>
      </c>
      <c r="C99" s="673">
        <f>Weather_Site!C97</f>
        <v>0.70833333333333337</v>
      </c>
      <c r="D99" s="413">
        <f>Weather_Site!D97</f>
        <v>34.700000000000003</v>
      </c>
      <c r="E99" s="413">
        <f>Weather_Site!E97</f>
        <v>13.7</v>
      </c>
      <c r="F99" s="674">
        <f>Weather_Site!F97</f>
        <v>203</v>
      </c>
      <c r="G99" s="413">
        <f>Weather_Site!G97</f>
        <v>19</v>
      </c>
      <c r="H99" s="548">
        <f>C$4</f>
        <v>0</v>
      </c>
      <c r="I99" s="413">
        <f t="shared" si="20"/>
        <v>6.333333333333333</v>
      </c>
      <c r="J99" s="413">
        <f>IF(Weather_Site!M97&lt;180,Weather_Site!M97+180,Weather_Site!M97-180)</f>
        <v>23</v>
      </c>
      <c r="K99" s="711">
        <f t="shared" si="21"/>
        <v>3.8099099999999999</v>
      </c>
      <c r="L99" s="711">
        <f t="shared" si="22"/>
        <v>4.3537999999999997</v>
      </c>
      <c r="M99" s="711">
        <f t="shared" si="23"/>
        <v>4.1165900000000004</v>
      </c>
      <c r="N99" s="711">
        <f t="shared" si="24"/>
        <v>3.8099099999999999</v>
      </c>
      <c r="O99" s="713">
        <f t="shared" si="25"/>
        <v>1</v>
      </c>
      <c r="P99" s="711">
        <f>IF($O$11,Weather_Site!H97,IF(0.191*(Weather_Site!K97+104)*(Weather_Site!J97+1)^1.5/(3.52*(Weather_Site!J97+1)^1.5+Weather_Site!I97-1)&gt;10, 10,0.191*(Weather_Site!K97+104)*(Weather_Site!J97+1)^1.5/(3.52*(Weather_Site!J97+1)^1.5+Weather_Site!I97-1)))</f>
        <v>9</v>
      </c>
      <c r="Q99" s="713">
        <f t="shared" si="26"/>
        <v>0.98420578412222115</v>
      </c>
      <c r="R99" s="713">
        <f t="shared" si="27"/>
        <v>0.98420578412222115</v>
      </c>
      <c r="S99" s="711">
        <f t="shared" si="28"/>
        <v>1</v>
      </c>
      <c r="T99" s="716">
        <f t="shared" si="29"/>
        <v>334.55237175111222</v>
      </c>
      <c r="U99" s="716">
        <f t="shared" si="30"/>
        <v>804.86229320221605</v>
      </c>
      <c r="V99" s="716">
        <f t="shared" si="31"/>
        <v>1719.3179162362478</v>
      </c>
      <c r="W99" s="713">
        <f t="shared" si="32"/>
        <v>1</v>
      </c>
      <c r="X99" s="713">
        <f t="shared" si="33"/>
        <v>0.43744343550266018</v>
      </c>
      <c r="Y99" s="716">
        <f t="shared" si="34"/>
        <v>1204.8849025569484</v>
      </c>
      <c r="Z99" s="711">
        <f t="shared" si="35"/>
        <v>5.8186669972795695</v>
      </c>
      <c r="AA99" s="716">
        <f t="shared" si="36"/>
        <v>232.26249181836459</v>
      </c>
      <c r="AB99" s="716">
        <f t="shared" si="37"/>
        <v>14318.048925385072</v>
      </c>
    </row>
    <row r="100" spans="1:28" x14ac:dyDescent="0.25">
      <c r="A100" s="675" t="str">
        <f>Weather_Site!A98</f>
        <v>Wed</v>
      </c>
      <c r="B100" s="672">
        <f>Weather_Site!B98</f>
        <v>44552</v>
      </c>
      <c r="C100" s="673">
        <f>Weather_Site!C98</f>
        <v>0.75</v>
      </c>
      <c r="D100" s="413">
        <f>Weather_Site!D98</f>
        <v>34</v>
      </c>
      <c r="E100" s="413">
        <f>Weather_Site!E98</f>
        <v>14.3</v>
      </c>
      <c r="F100" s="674">
        <f>Weather_Site!F98</f>
        <v>204</v>
      </c>
      <c r="G100" s="413">
        <f>Weather_Site!G98</f>
        <v>21</v>
      </c>
      <c r="H100" s="548">
        <f>C$4</f>
        <v>0</v>
      </c>
      <c r="I100" s="413">
        <f t="shared" si="20"/>
        <v>7</v>
      </c>
      <c r="J100" s="413">
        <f>IF(Weather_Site!M98&lt;180,Weather_Site!M98+180,Weather_Site!M98-180)</f>
        <v>24</v>
      </c>
      <c r="K100" s="711">
        <f t="shared" si="21"/>
        <v>3.8973999999999998</v>
      </c>
      <c r="L100" s="711">
        <f t="shared" si="22"/>
        <v>4.4866999999999999</v>
      </c>
      <c r="M100" s="711">
        <f t="shared" si="23"/>
        <v>4.2692000000000005</v>
      </c>
      <c r="N100" s="711">
        <f t="shared" si="24"/>
        <v>4.4866999999999999</v>
      </c>
      <c r="O100" s="713">
        <f t="shared" si="25"/>
        <v>0.97735574017324001</v>
      </c>
      <c r="P100" s="711">
        <f>IF($O$11,Weather_Site!H98,IF(0.191*(Weather_Site!K98+104)*(Weather_Site!J98+1)^1.5/(3.52*(Weather_Site!J98+1)^1.5+Weather_Site!I98-1)&gt;10, 10,0.191*(Weather_Site!K98+104)*(Weather_Site!J98+1)^1.5/(3.52*(Weather_Site!J98+1)^1.5+Weather_Site!I98-1)))</f>
        <v>9</v>
      </c>
      <c r="Q100" s="713">
        <f t="shared" si="26"/>
        <v>0.98420578412222115</v>
      </c>
      <c r="R100" s="713">
        <f t="shared" si="27"/>
        <v>0.96191917262355753</v>
      </c>
      <c r="S100" s="711">
        <f t="shared" si="28"/>
        <v>1</v>
      </c>
      <c r="T100" s="716">
        <f t="shared" si="29"/>
        <v>361.34204796384938</v>
      </c>
      <c r="U100" s="716">
        <f t="shared" si="30"/>
        <v>866.98258905636476</v>
      </c>
      <c r="V100" s="716">
        <f t="shared" si="31"/>
        <v>1893.1658789886858</v>
      </c>
      <c r="W100" s="713">
        <f t="shared" si="32"/>
        <v>1</v>
      </c>
      <c r="X100" s="713">
        <f t="shared" si="33"/>
        <v>0.43529947437679078</v>
      </c>
      <c r="Y100" s="716">
        <f t="shared" si="34"/>
        <v>1313.67963577815</v>
      </c>
      <c r="Z100" s="711">
        <f t="shared" si="35"/>
        <v>6.1939507319072744</v>
      </c>
      <c r="AA100" s="716">
        <f t="shared" si="36"/>
        <v>233.40196783777805</v>
      </c>
      <c r="AB100" s="716">
        <f t="shared" si="37"/>
        <v>15610.893005163682</v>
      </c>
    </row>
    <row r="101" spans="1:28" x14ac:dyDescent="0.25">
      <c r="A101" s="675" t="str">
        <f>Weather_Site!A99</f>
        <v>Wed</v>
      </c>
      <c r="B101" s="672">
        <f>Weather_Site!B99</f>
        <v>44552</v>
      </c>
      <c r="C101" s="673">
        <f>Weather_Site!C99</f>
        <v>0.79166666666666663</v>
      </c>
      <c r="D101" s="413">
        <f>Weather_Site!D99</f>
        <v>33.4</v>
      </c>
      <c r="E101" s="413">
        <f>Weather_Site!E99</f>
        <v>14.5</v>
      </c>
      <c r="F101" s="674">
        <f>Weather_Site!F99</f>
        <v>204</v>
      </c>
      <c r="G101" s="413">
        <f>Weather_Site!G99</f>
        <v>19</v>
      </c>
      <c r="H101" s="548">
        <f>C$4</f>
        <v>0</v>
      </c>
      <c r="I101" s="413">
        <f t="shared" si="20"/>
        <v>6.333333333333333</v>
      </c>
      <c r="J101" s="413">
        <f>IF(Weather_Site!M99&lt;180,Weather_Site!M99+180,Weather_Site!M99-180)</f>
        <v>24</v>
      </c>
      <c r="K101" s="711">
        <f t="shared" si="21"/>
        <v>3.9334199999999999</v>
      </c>
      <c r="L101" s="711">
        <f t="shared" si="22"/>
        <v>4.5475000000000003</v>
      </c>
      <c r="M101" s="711">
        <f t="shared" si="23"/>
        <v>4.3377800000000004</v>
      </c>
      <c r="N101" s="711">
        <f t="shared" si="24"/>
        <v>4.5475000000000003</v>
      </c>
      <c r="O101" s="713">
        <f t="shared" si="25"/>
        <v>0.97374689292690431</v>
      </c>
      <c r="P101" s="711">
        <f>IF($O$11,Weather_Site!H99,IF(0.191*(Weather_Site!K99+104)*(Weather_Site!J99+1)^1.5/(3.52*(Weather_Site!J99+1)^1.5+Weather_Site!I99-1)&gt;10, 10,0.191*(Weather_Site!K99+104)*(Weather_Site!J99+1)^1.5/(3.52*(Weather_Site!J99+1)^1.5+Weather_Site!I99-1)))</f>
        <v>9</v>
      </c>
      <c r="Q101" s="713">
        <f t="shared" si="26"/>
        <v>0.98420578412222115</v>
      </c>
      <c r="R101" s="713">
        <f t="shared" si="27"/>
        <v>0.9583673242897004</v>
      </c>
      <c r="S101" s="711">
        <f t="shared" si="28"/>
        <v>1</v>
      </c>
      <c r="T101" s="716">
        <f t="shared" si="29"/>
        <v>325.76933251397213</v>
      </c>
      <c r="U101" s="716">
        <f t="shared" si="30"/>
        <v>783.73215723968099</v>
      </c>
      <c r="V101" s="716">
        <f t="shared" si="31"/>
        <v>1674.1804788886059</v>
      </c>
      <c r="W101" s="713">
        <f t="shared" si="32"/>
        <v>1</v>
      </c>
      <c r="X101" s="713">
        <f t="shared" si="33"/>
        <v>0.27970778564341547</v>
      </c>
      <c r="Y101" s="716">
        <f t="shared" si="34"/>
        <v>1032.7974855179975</v>
      </c>
      <c r="Z101" s="711">
        <f t="shared" si="35"/>
        <v>5.2051449825087177</v>
      </c>
      <c r="AA101" s="716">
        <f t="shared" si="36"/>
        <v>199.08965331135735</v>
      </c>
      <c r="AB101" s="716">
        <f t="shared" si="37"/>
        <v>12273.076786238869</v>
      </c>
    </row>
    <row r="102" spans="1:28" x14ac:dyDescent="0.25">
      <c r="A102" s="675" t="str">
        <f>Weather_Site!A100</f>
        <v>Wed</v>
      </c>
      <c r="B102" s="672">
        <f>Weather_Site!B100</f>
        <v>44552</v>
      </c>
      <c r="C102" s="673">
        <f>Weather_Site!C100</f>
        <v>0.83333333333333337</v>
      </c>
      <c r="D102" s="413">
        <f>Weather_Site!D100</f>
        <v>31.9</v>
      </c>
      <c r="E102" s="413">
        <f>Weather_Site!E100</f>
        <v>16</v>
      </c>
      <c r="F102" s="674">
        <f>Weather_Site!F100</f>
        <v>204</v>
      </c>
      <c r="G102" s="413">
        <f>Weather_Site!G100</f>
        <v>17</v>
      </c>
      <c r="H102" s="548">
        <f>C$4</f>
        <v>0</v>
      </c>
      <c r="I102" s="413">
        <f t="shared" si="20"/>
        <v>5.666666666666667</v>
      </c>
      <c r="J102" s="413">
        <f>IF(Weather_Site!M100&lt;180,Weather_Site!M100+180,Weather_Site!M100-180)</f>
        <v>24</v>
      </c>
      <c r="K102" s="711">
        <f t="shared" si="21"/>
        <v>4.1474700000000002</v>
      </c>
      <c r="L102" s="711">
        <f t="shared" si="22"/>
        <v>4.8685000000000009</v>
      </c>
      <c r="M102" s="711">
        <f t="shared" si="23"/>
        <v>4.70723</v>
      </c>
      <c r="N102" s="711">
        <f t="shared" si="24"/>
        <v>4.70723</v>
      </c>
      <c r="O102" s="713">
        <f t="shared" si="25"/>
        <v>0.96391503864379569</v>
      </c>
      <c r="P102" s="711">
        <f>IF($O$11,Weather_Site!H100,IF(0.191*(Weather_Site!K100+104)*(Weather_Site!J100+1)^1.5/(3.52*(Weather_Site!J100+1)^1.5+Weather_Site!I100-1)&gt;10, 10,0.191*(Weather_Site!K100+104)*(Weather_Site!J100+1)^1.5/(3.52*(Weather_Site!J100+1)^1.5+Weather_Site!I100-1)))</f>
        <v>9</v>
      </c>
      <c r="Q102" s="713">
        <f t="shared" si="26"/>
        <v>0.98420578412222115</v>
      </c>
      <c r="R102" s="713">
        <f t="shared" si="27"/>
        <v>0.94869075643561807</v>
      </c>
      <c r="S102" s="711">
        <f t="shared" si="28"/>
        <v>1</v>
      </c>
      <c r="T102" s="716">
        <f t="shared" si="29"/>
        <v>288.27266953481313</v>
      </c>
      <c r="U102" s="716">
        <f t="shared" si="30"/>
        <v>694.82744934897744</v>
      </c>
      <c r="V102" s="716">
        <f t="shared" si="31"/>
        <v>1451.6119880203132</v>
      </c>
      <c r="W102" s="713">
        <f t="shared" si="32"/>
        <v>1</v>
      </c>
      <c r="X102" s="713">
        <f t="shared" si="33"/>
        <v>0.14231990237088163</v>
      </c>
      <c r="Y102" s="716">
        <f t="shared" si="34"/>
        <v>802.53295100847458</v>
      </c>
      <c r="Z102" s="711">
        <f t="shared" si="35"/>
        <v>4.3373704728677405</v>
      </c>
      <c r="AA102" s="716">
        <f t="shared" si="36"/>
        <v>169.06820405504223</v>
      </c>
      <c r="AB102" s="716">
        <f t="shared" si="37"/>
        <v>9536.7665678173744</v>
      </c>
    </row>
    <row r="103" spans="1:28" x14ac:dyDescent="0.25">
      <c r="A103" s="675" t="str">
        <f>Weather_Site!A101</f>
        <v>Wed</v>
      </c>
      <c r="B103" s="672">
        <f>Weather_Site!B101</f>
        <v>44552</v>
      </c>
      <c r="C103" s="673">
        <f>Weather_Site!C101</f>
        <v>0.875</v>
      </c>
      <c r="D103" s="413">
        <f>Weather_Site!D101</f>
        <v>29.2</v>
      </c>
      <c r="E103" s="413">
        <f>Weather_Site!E101</f>
        <v>19.3</v>
      </c>
      <c r="F103" s="674">
        <f>Weather_Site!F101</f>
        <v>198</v>
      </c>
      <c r="G103" s="413">
        <f>Weather_Site!G101</f>
        <v>15</v>
      </c>
      <c r="H103" s="548">
        <f>C$4</f>
        <v>0</v>
      </c>
      <c r="I103" s="413">
        <f t="shared" si="20"/>
        <v>5</v>
      </c>
      <c r="J103" s="413">
        <f>IF(Weather_Site!M101&lt;180,Weather_Site!M101+180,Weather_Site!M101-180)</f>
        <v>18</v>
      </c>
      <c r="K103" s="711">
        <f t="shared" si="21"/>
        <v>4.6071600000000004</v>
      </c>
      <c r="L103" s="711">
        <f t="shared" si="22"/>
        <v>5.5477000000000007</v>
      </c>
      <c r="M103" s="711">
        <f t="shared" si="23"/>
        <v>5.4910400000000008</v>
      </c>
      <c r="N103" s="711">
        <f t="shared" si="24"/>
        <v>5.4910400000000008</v>
      </c>
      <c r="O103" s="713">
        <f t="shared" si="25"/>
        <v>0.9091828324730129</v>
      </c>
      <c r="P103" s="711">
        <f>IF($O$11,Weather_Site!H101,IF(0.191*(Weather_Site!K101+104)*(Weather_Site!J101+1)^1.5/(3.52*(Weather_Site!J101+1)^1.5+Weather_Site!I101-1)&gt;10, 10,0.191*(Weather_Site!K101+104)*(Weather_Site!J101+1)^1.5/(3.52*(Weather_Site!J101+1)^1.5+Weather_Site!I101-1)))</f>
        <v>9</v>
      </c>
      <c r="Q103" s="713">
        <f t="shared" si="26"/>
        <v>0.98420578412222115</v>
      </c>
      <c r="R103" s="713">
        <f t="shared" si="27"/>
        <v>0.89482300254456371</v>
      </c>
      <c r="S103" s="711">
        <f t="shared" si="28"/>
        <v>1</v>
      </c>
      <c r="T103" s="716">
        <f t="shared" si="29"/>
        <v>239.2963435639023</v>
      </c>
      <c r="U103" s="716">
        <f t="shared" si="30"/>
        <v>577.04826941540955</v>
      </c>
      <c r="V103" s="716">
        <f t="shared" si="31"/>
        <v>1179.5268212537997</v>
      </c>
      <c r="W103" s="713">
        <f t="shared" si="32"/>
        <v>1</v>
      </c>
      <c r="X103" s="713">
        <f t="shared" si="33"/>
        <v>2.1166050205713154E-2</v>
      </c>
      <c r="Y103" s="716">
        <f t="shared" si="34"/>
        <v>589.80036069148628</v>
      </c>
      <c r="Z103" s="711">
        <f t="shared" si="35"/>
        <v>3.471519434290991</v>
      </c>
      <c r="AA103" s="716">
        <f t="shared" si="36"/>
        <v>136.97175120564009</v>
      </c>
      <c r="AB103" s="716">
        <f t="shared" si="37"/>
        <v>7008.7942862171622</v>
      </c>
    </row>
    <row r="104" spans="1:28" x14ac:dyDescent="0.25">
      <c r="A104" s="23" t="str">
        <f>Weather_Site!A102</f>
        <v>Wed</v>
      </c>
      <c r="B104" s="24">
        <f>Weather_Site!B102</f>
        <v>44552</v>
      </c>
      <c r="C104" s="25">
        <f>Weather_Site!C102</f>
        <v>0.91666666666666663</v>
      </c>
      <c r="D104" s="27">
        <f>Weather_Site!D102</f>
        <v>26.8</v>
      </c>
      <c r="E104" s="27">
        <f>Weather_Site!E102</f>
        <v>23.5</v>
      </c>
      <c r="F104" s="28">
        <f>Weather_Site!F102</f>
        <v>191</v>
      </c>
      <c r="G104" s="27">
        <f>Weather_Site!G102</f>
        <v>14</v>
      </c>
      <c r="H104" s="548">
        <f>C$4</f>
        <v>0</v>
      </c>
      <c r="I104" s="27">
        <f t="shared" si="20"/>
        <v>4.666666666666667</v>
      </c>
      <c r="J104" s="738">
        <f>IF(Weather_Site!M102&lt;180,Weather_Site!M102+180,Weather_Site!M102-180)</f>
        <v>11</v>
      </c>
      <c r="K104" s="635">
        <f t="shared" si="21"/>
        <v>5.172839999999999</v>
      </c>
      <c r="L104" s="635">
        <f t="shared" si="22"/>
        <v>6.3655000000000008</v>
      </c>
      <c r="M104" s="635">
        <f t="shared" si="23"/>
        <v>6.4385600000000007</v>
      </c>
      <c r="N104" s="635">
        <f t="shared" si="24"/>
        <v>6.4385600000000007</v>
      </c>
      <c r="O104" s="636">
        <f t="shared" si="25"/>
        <v>0.83210100870773951</v>
      </c>
      <c r="P104" s="635">
        <f>IF($O$11,Weather_Site!H102,IF(0.191*(Weather_Site!K102+104)*(Weather_Site!J102+1)^1.5/(3.52*(Weather_Site!J102+1)^1.5+Weather_Site!I102-1)&gt;10, 10,0.191*(Weather_Site!K102+104)*(Weather_Site!J102+1)^1.5/(3.52*(Weather_Site!J102+1)^1.5+Weather_Site!I102-1)))</f>
        <v>9</v>
      </c>
      <c r="Q104" s="636">
        <f t="shared" si="26"/>
        <v>0.98420578412222115</v>
      </c>
      <c r="R104" s="636">
        <f t="shared" si="27"/>
        <v>0.81895862574409195</v>
      </c>
      <c r="S104" s="635">
        <f t="shared" si="28"/>
        <v>1</v>
      </c>
      <c r="T104" s="707">
        <f t="shared" si="29"/>
        <v>203.95211659550083</v>
      </c>
      <c r="U104" s="707">
        <f t="shared" si="30"/>
        <v>491.51336099508728</v>
      </c>
      <c r="V104" s="707">
        <f t="shared" si="31"/>
        <v>994.34719709335263</v>
      </c>
      <c r="W104" s="636">
        <f t="shared" si="32"/>
        <v>1</v>
      </c>
      <c r="X104" s="636">
        <f t="shared" si="33"/>
        <v>2.0914641224353638E-3</v>
      </c>
      <c r="Y104" s="707">
        <f t="shared" si="34"/>
        <v>492.56501992283336</v>
      </c>
      <c r="Z104" s="635">
        <f t="shared" si="35"/>
        <v>3.0475512664470932</v>
      </c>
      <c r="AA104" s="707">
        <f t="shared" si="36"/>
        <v>120.56124435158442</v>
      </c>
      <c r="AB104" s="707">
        <f t="shared" si="37"/>
        <v>5853.3143200830036</v>
      </c>
    </row>
    <row r="105" spans="1:28" x14ac:dyDescent="0.25">
      <c r="A105" s="23" t="str">
        <f>Weather_Site!A103</f>
        <v>Wed</v>
      </c>
      <c r="B105" s="24">
        <f>Weather_Site!B103</f>
        <v>44552</v>
      </c>
      <c r="C105" s="25">
        <f>Weather_Site!C103</f>
        <v>0.95833333333333337</v>
      </c>
      <c r="D105" s="27">
        <f>Weather_Site!D103</f>
        <v>24.9</v>
      </c>
      <c r="E105" s="27">
        <f>Weather_Site!E103</f>
        <v>26.8</v>
      </c>
      <c r="F105" s="28">
        <f>Weather_Site!F103</f>
        <v>185</v>
      </c>
      <c r="G105" s="27">
        <f>Weather_Site!G103</f>
        <v>12</v>
      </c>
      <c r="H105" s="548">
        <f>C$4</f>
        <v>0</v>
      </c>
      <c r="I105" s="27">
        <f t="shared" si="20"/>
        <v>4</v>
      </c>
      <c r="J105" s="738">
        <f>IF(Weather_Site!M103&lt;180,Weather_Site!M103+180,Weather_Site!M103-180)</f>
        <v>5</v>
      </c>
      <c r="K105" s="635">
        <f t="shared" si="21"/>
        <v>5.6175699999999997</v>
      </c>
      <c r="L105" s="635">
        <f t="shared" si="22"/>
        <v>7.008700000000001</v>
      </c>
      <c r="M105" s="635">
        <f t="shared" si="23"/>
        <v>7.1837300000000006</v>
      </c>
      <c r="N105" s="635">
        <f t="shared" si="24"/>
        <v>7.1837300000000006</v>
      </c>
      <c r="O105" s="636">
        <f t="shared" si="25"/>
        <v>0.76629432644384865</v>
      </c>
      <c r="P105" s="635">
        <f>IF($O$11,Weather_Site!H103,IF(0.191*(Weather_Site!K103+104)*(Weather_Site!J103+1)^1.5/(3.52*(Weather_Site!J103+1)^1.5+Weather_Site!I103-1)&gt;10, 10,0.191*(Weather_Site!K103+104)*(Weather_Site!J103+1)^1.5/(3.52*(Weather_Site!J103+1)^1.5+Weather_Site!I103-1)))</f>
        <v>9</v>
      </c>
      <c r="Q105" s="636">
        <f t="shared" si="26"/>
        <v>0.98420578412222115</v>
      </c>
      <c r="R105" s="636">
        <f t="shared" si="27"/>
        <v>0.7541913084260774</v>
      </c>
      <c r="S105" s="635">
        <f t="shared" si="28"/>
        <v>1</v>
      </c>
      <c r="T105" s="707">
        <f t="shared" si="29"/>
        <v>159.80114265695357</v>
      </c>
      <c r="U105" s="707">
        <f t="shared" si="30"/>
        <v>383.52692723303022</v>
      </c>
      <c r="V105" s="707">
        <f t="shared" si="31"/>
        <v>762.08821189033586</v>
      </c>
      <c r="W105" s="636">
        <f t="shared" si="32"/>
        <v>1</v>
      </c>
      <c r="X105" s="636">
        <f t="shared" si="33"/>
        <v>2.0372917043386286E-4</v>
      </c>
      <c r="Y105" s="707">
        <f t="shared" si="34"/>
        <v>383.60405120951185</v>
      </c>
      <c r="Z105" s="635">
        <f t="shared" si="35"/>
        <v>2.5435917296722201</v>
      </c>
      <c r="AA105" s="707">
        <f t="shared" si="36"/>
        <v>105.24694117908028</v>
      </c>
      <c r="AB105" s="707">
        <f t="shared" si="37"/>
        <v>4558.4948085396991</v>
      </c>
    </row>
    <row r="106" spans="1:28" x14ac:dyDescent="0.25">
      <c r="A106" s="23" t="str">
        <f>Weather_Site!A104</f>
        <v>Thu</v>
      </c>
      <c r="B106" s="24">
        <f>Weather_Site!B104</f>
        <v>44553</v>
      </c>
      <c r="C106" s="25">
        <f>Weather_Site!C104</f>
        <v>0</v>
      </c>
      <c r="D106" s="27">
        <f>Weather_Site!D104</f>
        <v>24.1</v>
      </c>
      <c r="E106" s="27">
        <f>Weather_Site!E104</f>
        <v>27.3</v>
      </c>
      <c r="F106" s="28">
        <f>Weather_Site!F104</f>
        <v>175</v>
      </c>
      <c r="G106" s="27">
        <f>Weather_Site!G104</f>
        <v>12</v>
      </c>
      <c r="H106" s="548">
        <f>C$4</f>
        <v>0</v>
      </c>
      <c r="I106" s="27">
        <f t="shared" si="20"/>
        <v>4</v>
      </c>
      <c r="J106" s="738">
        <f>IF(Weather_Site!M104&lt;180,Weather_Site!M104+180,Weather_Site!M104-180)</f>
        <v>355</v>
      </c>
      <c r="K106" s="635">
        <f t="shared" si="21"/>
        <v>5.6945300000000003</v>
      </c>
      <c r="L106" s="635">
        <f t="shared" si="22"/>
        <v>7.1292000000000009</v>
      </c>
      <c r="M106" s="635">
        <f t="shared" si="23"/>
        <v>7.3213699999999999</v>
      </c>
      <c r="N106" s="635">
        <f t="shared" si="24"/>
        <v>7.3213699999999999</v>
      </c>
      <c r="O106" s="636">
        <f t="shared" si="25"/>
        <v>0.75384787524107388</v>
      </c>
      <c r="P106" s="635">
        <f>IF($O$11,Weather_Site!H104,IF(0.191*(Weather_Site!K104+104)*(Weather_Site!J104+1)^1.5/(3.52*(Weather_Site!J104+1)^1.5+Weather_Site!I104-1)&gt;10, 10,0.191*(Weather_Site!K104+104)*(Weather_Site!J104+1)^1.5/(3.52*(Weather_Site!J104+1)^1.5+Weather_Site!I104-1)))</f>
        <v>9</v>
      </c>
      <c r="Q106" s="636">
        <f t="shared" si="26"/>
        <v>0.98420578412222115</v>
      </c>
      <c r="R106" s="636">
        <f t="shared" si="27"/>
        <v>0.74194143916051147</v>
      </c>
      <c r="S106" s="635">
        <f t="shared" si="28"/>
        <v>1</v>
      </c>
      <c r="T106" s="707">
        <f t="shared" si="29"/>
        <v>157.20559019676821</v>
      </c>
      <c r="U106" s="707">
        <f t="shared" si="30"/>
        <v>377.29753335651708</v>
      </c>
      <c r="V106" s="707">
        <f t="shared" si="31"/>
        <v>749.71007803996338</v>
      </c>
      <c r="W106" s="636">
        <f t="shared" si="32"/>
        <v>1</v>
      </c>
      <c r="X106" s="636">
        <f t="shared" si="33"/>
        <v>1.4659197195379016E-4</v>
      </c>
      <c r="Y106" s="707">
        <f t="shared" si="34"/>
        <v>377.35212604582256</v>
      </c>
      <c r="Z106" s="635">
        <f t="shared" si="35"/>
        <v>2.5135515625486127</v>
      </c>
      <c r="AA106" s="707">
        <f t="shared" si="36"/>
        <v>103.53164125488985</v>
      </c>
      <c r="AB106" s="707">
        <f t="shared" si="37"/>
        <v>4484.2010978445242</v>
      </c>
    </row>
    <row r="107" spans="1:28" x14ac:dyDescent="0.25">
      <c r="A107" s="23" t="str">
        <f>Weather_Site!A105</f>
        <v>Thu</v>
      </c>
      <c r="B107" s="24">
        <f>Weather_Site!B105</f>
        <v>44553</v>
      </c>
      <c r="C107" s="25">
        <f>Weather_Site!C105</f>
        <v>4.1666666666666664E-2</v>
      </c>
      <c r="D107" s="27">
        <f>Weather_Site!D105</f>
        <v>23</v>
      </c>
      <c r="E107" s="27">
        <f>Weather_Site!E105</f>
        <v>28.2</v>
      </c>
      <c r="F107" s="28">
        <f>Weather_Site!F105</f>
        <v>177</v>
      </c>
      <c r="G107" s="27">
        <f>Weather_Site!G105</f>
        <v>14</v>
      </c>
      <c r="H107" s="548">
        <f>C$4</f>
        <v>0</v>
      </c>
      <c r="I107" s="27">
        <f t="shared" si="20"/>
        <v>4.666666666666667</v>
      </c>
      <c r="J107" s="738">
        <f>IF(Weather_Site!M105&lt;180,Weather_Site!M105+180,Weather_Site!M105-180)</f>
        <v>357</v>
      </c>
      <c r="K107" s="635">
        <f t="shared" si="21"/>
        <v>5.8266999999999998</v>
      </c>
      <c r="L107" s="635">
        <f t="shared" si="22"/>
        <v>7.3308</v>
      </c>
      <c r="M107" s="635">
        <f t="shared" si="23"/>
        <v>7.5527000000000006</v>
      </c>
      <c r="N107" s="635">
        <f t="shared" si="24"/>
        <v>7.5527000000000006</v>
      </c>
      <c r="O107" s="636">
        <f t="shared" si="25"/>
        <v>0.73280688314218367</v>
      </c>
      <c r="P107" s="635">
        <f>IF($O$11,Weather_Site!H105,IF(0.191*(Weather_Site!K105+104)*(Weather_Site!J105+1)^1.5/(3.52*(Weather_Site!J105+1)^1.5+Weather_Site!I105-1)&gt;10, 10,0.191*(Weather_Site!K105+104)*(Weather_Site!J105+1)^1.5/(3.52*(Weather_Site!J105+1)^1.5+Weather_Site!I105-1)))</f>
        <v>9</v>
      </c>
      <c r="Q107" s="636">
        <f t="shared" si="26"/>
        <v>0.98420578412222115</v>
      </c>
      <c r="R107" s="636">
        <f t="shared" si="27"/>
        <v>0.72123277303311373</v>
      </c>
      <c r="S107" s="635">
        <f t="shared" si="28"/>
        <v>1</v>
      </c>
      <c r="T107" s="707">
        <f t="shared" si="29"/>
        <v>179.61463008524538</v>
      </c>
      <c r="U107" s="707">
        <f t="shared" si="30"/>
        <v>432.86135976799073</v>
      </c>
      <c r="V107" s="707">
        <f t="shared" si="31"/>
        <v>875.69232898151256</v>
      </c>
      <c r="W107" s="636">
        <f t="shared" si="32"/>
        <v>1</v>
      </c>
      <c r="X107" s="636">
        <f t="shared" si="33"/>
        <v>1.516136843982069E-4</v>
      </c>
      <c r="Y107" s="707">
        <f t="shared" si="34"/>
        <v>432.92849900279884</v>
      </c>
      <c r="Z107" s="635">
        <f t="shared" si="35"/>
        <v>2.776059411877942</v>
      </c>
      <c r="AA107" s="707">
        <f t="shared" si="36"/>
        <v>105.96448477648298</v>
      </c>
      <c r="AB107" s="707">
        <f t="shared" si="37"/>
        <v>5144.6336631499262</v>
      </c>
    </row>
    <row r="108" spans="1:28" x14ac:dyDescent="0.25">
      <c r="A108" s="23" t="str">
        <f>Weather_Site!A106</f>
        <v>Thu</v>
      </c>
      <c r="B108" s="24">
        <f>Weather_Site!B106</f>
        <v>44553</v>
      </c>
      <c r="C108" s="25">
        <f>Weather_Site!C106</f>
        <v>8.3333333333333329E-2</v>
      </c>
      <c r="D108" s="27">
        <f>Weather_Site!D106</f>
        <v>21.8</v>
      </c>
      <c r="E108" s="27">
        <f>Weather_Site!E106</f>
        <v>30.1</v>
      </c>
      <c r="F108" s="28">
        <f>Weather_Site!F106</f>
        <v>180</v>
      </c>
      <c r="G108" s="27">
        <f>Weather_Site!G106</f>
        <v>14</v>
      </c>
      <c r="H108" s="548">
        <f>C$4</f>
        <v>0</v>
      </c>
      <c r="I108" s="27">
        <f t="shared" si="20"/>
        <v>4.666666666666667</v>
      </c>
      <c r="J108" s="738">
        <f>IF(Weather_Site!M106&lt;180,Weather_Site!M106+180,Weather_Site!M106-180)</f>
        <v>0</v>
      </c>
      <c r="K108" s="635">
        <f t="shared" si="21"/>
        <v>6.08474</v>
      </c>
      <c r="L108" s="635">
        <f t="shared" si="22"/>
        <v>7.7059000000000015</v>
      </c>
      <c r="M108" s="635">
        <f t="shared" si="23"/>
        <v>7.9868600000000001</v>
      </c>
      <c r="N108" s="635">
        <f t="shared" si="24"/>
        <v>7.9868600000000001</v>
      </c>
      <c r="O108" s="636">
        <f t="shared" si="25"/>
        <v>0.69309116377937263</v>
      </c>
      <c r="P108" s="635">
        <f>IF($O$11,Weather_Site!H106,IF(0.191*(Weather_Site!K106+104)*(Weather_Site!J106+1)^1.5/(3.52*(Weather_Site!J106+1)^1.5+Weather_Site!I106-1)&gt;10, 10,0.191*(Weather_Site!K106+104)*(Weather_Site!J106+1)^1.5/(3.52*(Weather_Site!J106+1)^1.5+Weather_Site!I106-1)))</f>
        <v>9</v>
      </c>
      <c r="Q108" s="636">
        <f t="shared" si="26"/>
        <v>0.98420578412222115</v>
      </c>
      <c r="R108" s="636">
        <f t="shared" si="27"/>
        <v>0.6821443323156603</v>
      </c>
      <c r="S108" s="635">
        <f t="shared" si="28"/>
        <v>1</v>
      </c>
      <c r="T108" s="707">
        <f t="shared" si="29"/>
        <v>169.880108745417</v>
      </c>
      <c r="U108" s="707">
        <f t="shared" si="30"/>
        <v>409.40169981796993</v>
      </c>
      <c r="V108" s="707">
        <f t="shared" si="31"/>
        <v>828.23268908720763</v>
      </c>
      <c r="W108" s="636">
        <f t="shared" si="32"/>
        <v>1</v>
      </c>
      <c r="X108" s="636">
        <f t="shared" si="33"/>
        <v>5.3037277709868713E-5</v>
      </c>
      <c r="Y108" s="707">
        <f t="shared" si="34"/>
        <v>409.42391347346131</v>
      </c>
      <c r="Z108" s="635">
        <f t="shared" si="35"/>
        <v>2.6662513525350704</v>
      </c>
      <c r="AA108" s="707">
        <f t="shared" si="36"/>
        <v>100.21145326842111</v>
      </c>
      <c r="AB108" s="707">
        <f t="shared" si="37"/>
        <v>4865.3208384429654</v>
      </c>
    </row>
    <row r="109" spans="1:28" x14ac:dyDescent="0.25">
      <c r="A109" s="23" t="str">
        <f>Weather_Site!A107</f>
        <v>Thu</v>
      </c>
      <c r="B109" s="24">
        <f>Weather_Site!B107</f>
        <v>44553</v>
      </c>
      <c r="C109" s="25">
        <f>Weather_Site!C107</f>
        <v>0.125</v>
      </c>
      <c r="D109" s="27">
        <f>Weather_Site!D107</f>
        <v>20.399999999999999</v>
      </c>
      <c r="E109" s="27">
        <f>Weather_Site!E107</f>
        <v>36.200000000000003</v>
      </c>
      <c r="F109" s="28">
        <f>Weather_Site!F107</f>
        <v>173</v>
      </c>
      <c r="G109" s="27">
        <f>Weather_Site!G107</f>
        <v>14</v>
      </c>
      <c r="H109" s="548">
        <f>C$4</f>
        <v>0</v>
      </c>
      <c r="I109" s="27">
        <f t="shared" si="20"/>
        <v>4.666666666666667</v>
      </c>
      <c r="J109" s="738">
        <f>IF(Weather_Site!M107&lt;180,Weather_Site!M107+180,Weather_Site!M107-180)</f>
        <v>353</v>
      </c>
      <c r="K109" s="635">
        <f t="shared" si="21"/>
        <v>6.8673200000000003</v>
      </c>
      <c r="L109" s="635">
        <f t="shared" si="22"/>
        <v>8.7998000000000012</v>
      </c>
      <c r="M109" s="635">
        <f t="shared" si="23"/>
        <v>9.2622800000000023</v>
      </c>
      <c r="N109" s="635">
        <f t="shared" si="24"/>
        <v>9.2622800000000023</v>
      </c>
      <c r="O109" s="636">
        <f t="shared" si="25"/>
        <v>0.5778425425953605</v>
      </c>
      <c r="P109" s="635">
        <f>IF($O$11,Weather_Site!H107,IF(0.191*(Weather_Site!K107+104)*(Weather_Site!J107+1)^1.5/(3.52*(Weather_Site!J107+1)^1.5+Weather_Site!I107-1)&gt;10, 10,0.191*(Weather_Site!K107+104)*(Weather_Site!J107+1)^1.5/(3.52*(Weather_Site!J107+1)^1.5+Weather_Site!I107-1)))</f>
        <v>9</v>
      </c>
      <c r="Q109" s="636">
        <f t="shared" si="26"/>
        <v>0.98420578412222115</v>
      </c>
      <c r="R109" s="636">
        <f t="shared" si="27"/>
        <v>0.56871597273424479</v>
      </c>
      <c r="S109" s="635">
        <f t="shared" si="28"/>
        <v>1</v>
      </c>
      <c r="T109" s="707">
        <f t="shared" si="29"/>
        <v>141.63209560853096</v>
      </c>
      <c r="U109" s="707">
        <f t="shared" si="30"/>
        <v>341.32554493363017</v>
      </c>
      <c r="V109" s="707">
        <f t="shared" si="31"/>
        <v>690.51245771629931</v>
      </c>
      <c r="W109" s="636">
        <f t="shared" si="32"/>
        <v>1</v>
      </c>
      <c r="X109" s="636">
        <f t="shared" si="33"/>
        <v>2.5164265594770723E-6</v>
      </c>
      <c r="Y109" s="707">
        <f t="shared" si="34"/>
        <v>341.3264236368517</v>
      </c>
      <c r="Z109" s="635">
        <f t="shared" si="35"/>
        <v>2.3376619428041825</v>
      </c>
      <c r="AA109" s="707">
        <f t="shared" si="36"/>
        <v>83.54376924732027</v>
      </c>
      <c r="AB109" s="739">
        <f t="shared" si="37"/>
        <v>4056.0956675512543</v>
      </c>
    </row>
    <row r="110" spans="1:28" x14ac:dyDescent="0.25">
      <c r="A110" s="23" t="str">
        <f>Weather_Site!A108</f>
        <v>Thu</v>
      </c>
      <c r="B110" s="24">
        <f>Weather_Site!B108</f>
        <v>44553</v>
      </c>
      <c r="C110" s="25">
        <f>Weather_Site!C108</f>
        <v>0.16666666666666666</v>
      </c>
      <c r="D110" s="27">
        <f>Weather_Site!D108</f>
        <v>19.3</v>
      </c>
      <c r="E110" s="27">
        <f>Weather_Site!E108</f>
        <v>43.6</v>
      </c>
      <c r="F110" s="28">
        <f>Weather_Site!F108</f>
        <v>171</v>
      </c>
      <c r="G110" s="27">
        <f>Weather_Site!G108</f>
        <v>14</v>
      </c>
      <c r="H110" s="548">
        <f>C$4</f>
        <v>0</v>
      </c>
      <c r="I110" s="27">
        <f t="shared" si="20"/>
        <v>4.666666666666667</v>
      </c>
      <c r="J110" s="738">
        <f>IF(Weather_Site!M108&lt;180,Weather_Site!M108+180,Weather_Site!M108-180)</f>
        <v>351</v>
      </c>
      <c r="K110" s="635">
        <f t="shared" si="21"/>
        <v>7.8054899999999989</v>
      </c>
      <c r="L110" s="635">
        <f t="shared" si="22"/>
        <v>10.099900000000002</v>
      </c>
      <c r="M110" s="635">
        <f t="shared" si="23"/>
        <v>10.780610000000001</v>
      </c>
      <c r="N110" s="635">
        <f t="shared" si="24"/>
        <v>10.780610000000001</v>
      </c>
      <c r="O110" s="636">
        <f t="shared" si="25"/>
        <v>0.45189328464278344</v>
      </c>
      <c r="P110" s="635">
        <f>IF($O$11,Weather_Site!H108,IF(0.191*(Weather_Site!K108+104)*(Weather_Site!J108+1)^1.5/(3.52*(Weather_Site!J108+1)^1.5+Weather_Site!I108-1)&gt;10, 10,0.191*(Weather_Site!K108+104)*(Weather_Site!J108+1)^1.5/(3.52*(Weather_Site!J108+1)^1.5+Weather_Site!I108-1)))</f>
        <v>9</v>
      </c>
      <c r="Q110" s="636">
        <f t="shared" si="26"/>
        <v>0.98420578412222115</v>
      </c>
      <c r="R110" s="636">
        <f t="shared" si="27"/>
        <v>0.44475598455141674</v>
      </c>
      <c r="S110" s="635">
        <f t="shared" si="28"/>
        <v>1</v>
      </c>
      <c r="T110" s="707">
        <f t="shared" si="29"/>
        <v>110.76130291119496</v>
      </c>
      <c r="U110" s="707">
        <f t="shared" si="30"/>
        <v>266.92863585254565</v>
      </c>
      <c r="V110" s="707">
        <f t="shared" si="31"/>
        <v>540.00513912089536</v>
      </c>
      <c r="W110" s="636">
        <f t="shared" si="32"/>
        <v>1</v>
      </c>
      <c r="X110" s="636">
        <f t="shared" si="33"/>
        <v>0</v>
      </c>
      <c r="Y110" s="707">
        <f t="shared" si="34"/>
        <v>266.92863585254565</v>
      </c>
      <c r="Z110" s="635">
        <f t="shared" si="35"/>
        <v>1.9569672923312309</v>
      </c>
      <c r="AA110" s="707">
        <f t="shared" si="36"/>
        <v>65.33401112506013</v>
      </c>
      <c r="AB110" s="739">
        <f t="shared" si="37"/>
        <v>3172.0019560477508</v>
      </c>
    </row>
    <row r="111" spans="1:28" x14ac:dyDescent="0.25">
      <c r="A111" s="23" t="str">
        <f>Weather_Site!A109</f>
        <v>Thu</v>
      </c>
      <c r="B111" s="24">
        <f>Weather_Site!B109</f>
        <v>44553</v>
      </c>
      <c r="C111" s="25">
        <f>Weather_Site!C109</f>
        <v>0.20833333333333334</v>
      </c>
      <c r="D111" s="27">
        <f>Weather_Site!D109</f>
        <v>18.5</v>
      </c>
      <c r="E111" s="27">
        <f>Weather_Site!E109</f>
        <v>49.4</v>
      </c>
      <c r="F111" s="28">
        <f>Weather_Site!F109</f>
        <v>168</v>
      </c>
      <c r="G111" s="27">
        <f>Weather_Site!G109</f>
        <v>16</v>
      </c>
      <c r="H111" s="548">
        <f>C$4</f>
        <v>0</v>
      </c>
      <c r="I111" s="27">
        <f t="shared" si="20"/>
        <v>5.333333333333333</v>
      </c>
      <c r="J111" s="738">
        <f>IF(Weather_Site!M109&lt;180,Weather_Site!M109+180,Weather_Site!M109-180)</f>
        <v>348</v>
      </c>
      <c r="K111" s="635">
        <f t="shared" si="21"/>
        <v>8.53965</v>
      </c>
      <c r="L111" s="635">
        <f t="shared" si="22"/>
        <v>11.116100000000001</v>
      </c>
      <c r="M111" s="635">
        <f t="shared" si="23"/>
        <v>11.967650000000001</v>
      </c>
      <c r="N111" s="635">
        <f t="shared" si="24"/>
        <v>11.967650000000001</v>
      </c>
      <c r="O111" s="636">
        <f t="shared" si="25"/>
        <v>0.36790268289102512</v>
      </c>
      <c r="P111" s="635">
        <f>IF($O$11,Weather_Site!H109,IF(0.191*(Weather_Site!K109+104)*(Weather_Site!J109+1)^1.5/(3.52*(Weather_Site!J109+1)^1.5+Weather_Site!I109-1)&gt;10, 10,0.191*(Weather_Site!K109+104)*(Weather_Site!J109+1)^1.5/(3.52*(Weather_Site!J109+1)^1.5+Weather_Site!I109-1)))</f>
        <v>9</v>
      </c>
      <c r="Q111" s="636">
        <f t="shared" si="26"/>
        <v>0.98420578412222115</v>
      </c>
      <c r="R111" s="636">
        <f t="shared" si="27"/>
        <v>0.36209194849543025</v>
      </c>
      <c r="S111" s="635">
        <f t="shared" si="28"/>
        <v>1</v>
      </c>
      <c r="T111" s="707">
        <f t="shared" si="29"/>
        <v>103.44789844331117</v>
      </c>
      <c r="U111" s="707">
        <f t="shared" si="30"/>
        <v>249.4575166848071</v>
      </c>
      <c r="V111" s="707">
        <f t="shared" si="31"/>
        <v>515.44176666089857</v>
      </c>
      <c r="W111" s="636">
        <f t="shared" si="32"/>
        <v>1</v>
      </c>
      <c r="X111" s="636">
        <f t="shared" si="33"/>
        <v>0</v>
      </c>
      <c r="Y111" s="707">
        <f t="shared" si="34"/>
        <v>249.4575166848071</v>
      </c>
      <c r="Z111" s="635">
        <f t="shared" si="35"/>
        <v>1.8634957189922623</v>
      </c>
      <c r="AA111" s="707">
        <f t="shared" si="36"/>
        <v>55.11168184093475</v>
      </c>
      <c r="AB111" s="739">
        <f t="shared" si="37"/>
        <v>2964.3868232711243</v>
      </c>
    </row>
    <row r="112" spans="1:28" x14ac:dyDescent="0.25">
      <c r="A112" s="23" t="str">
        <f>Weather_Site!A110</f>
        <v>Thu</v>
      </c>
      <c r="B112" s="24">
        <f>Weather_Site!B110</f>
        <v>44553</v>
      </c>
      <c r="C112" s="25">
        <f>Weather_Site!C110</f>
        <v>0.25</v>
      </c>
      <c r="D112" s="27">
        <f>Weather_Site!D110</f>
        <v>17.3</v>
      </c>
      <c r="E112" s="27">
        <f>Weather_Site!E110</f>
        <v>51.8</v>
      </c>
      <c r="F112" s="28">
        <f>Weather_Site!F110</f>
        <v>174</v>
      </c>
      <c r="G112" s="27">
        <f>Weather_Site!G110</f>
        <v>17</v>
      </c>
      <c r="H112" s="548">
        <f>C$4</f>
        <v>0</v>
      </c>
      <c r="I112" s="27">
        <f t="shared" si="20"/>
        <v>5.666666666666667</v>
      </c>
      <c r="J112" s="738">
        <f>IF(Weather_Site!M110&lt;180,Weather_Site!M110+180,Weather_Site!M110-180)</f>
        <v>354</v>
      </c>
      <c r="K112" s="635">
        <f t="shared" si="21"/>
        <v>8.8596899999999987</v>
      </c>
      <c r="L112" s="635">
        <f t="shared" si="22"/>
        <v>11.575700000000001</v>
      </c>
      <c r="M112" s="635">
        <f t="shared" si="23"/>
        <v>12.50081</v>
      </c>
      <c r="N112" s="635">
        <f t="shared" si="24"/>
        <v>12.50081</v>
      </c>
      <c r="O112" s="636">
        <f t="shared" si="25"/>
        <v>0.33523296785579548</v>
      </c>
      <c r="P112" s="635">
        <f>IF($O$11,Weather_Site!H110,IF(0.191*(Weather_Site!K110+104)*(Weather_Site!J110+1)^1.5/(3.52*(Weather_Site!J110+1)^1.5+Weather_Site!I110-1)&gt;10, 10,0.191*(Weather_Site!K110+104)*(Weather_Site!J110+1)^1.5/(3.52*(Weather_Site!J110+1)^1.5+Weather_Site!I110-1)))</f>
        <v>9</v>
      </c>
      <c r="Q112" s="636">
        <f t="shared" si="26"/>
        <v>0.98420578412222115</v>
      </c>
      <c r="R112" s="636">
        <f t="shared" si="27"/>
        <v>0.32993822599213257</v>
      </c>
      <c r="S112" s="635">
        <f t="shared" si="28"/>
        <v>1</v>
      </c>
      <c r="T112" s="707">
        <f t="shared" si="29"/>
        <v>100.25624529713357</v>
      </c>
      <c r="U112" s="707">
        <f t="shared" si="30"/>
        <v>241.6489614278199</v>
      </c>
      <c r="V112" s="707">
        <f t="shared" si="31"/>
        <v>504.84552622373724</v>
      </c>
      <c r="W112" s="636">
        <f t="shared" si="32"/>
        <v>1</v>
      </c>
      <c r="X112" s="636">
        <f t="shared" si="33"/>
        <v>0</v>
      </c>
      <c r="Y112" s="707">
        <f t="shared" si="34"/>
        <v>241.6489614278199</v>
      </c>
      <c r="Z112" s="635">
        <f t="shared" si="35"/>
        <v>1.8211367900606343</v>
      </c>
      <c r="AA112" s="707">
        <f t="shared" si="36"/>
        <v>50.907761318745237</v>
      </c>
      <c r="AB112" s="739">
        <f t="shared" si="37"/>
        <v>2871.5951583005926</v>
      </c>
    </row>
    <row r="113" spans="1:28" x14ac:dyDescent="0.25">
      <c r="A113" s="23" t="str">
        <f>Weather_Site!A111</f>
        <v>Thu</v>
      </c>
      <c r="B113" s="24">
        <f>Weather_Site!B111</f>
        <v>44553</v>
      </c>
      <c r="C113" s="25">
        <f>Weather_Site!C111</f>
        <v>0.29166666666666669</v>
      </c>
      <c r="D113" s="27">
        <f>Weather_Site!D111</f>
        <v>17.7</v>
      </c>
      <c r="E113" s="27">
        <f>Weather_Site!E111</f>
        <v>48.5</v>
      </c>
      <c r="F113" s="28">
        <f>Weather_Site!F111</f>
        <v>156</v>
      </c>
      <c r="G113" s="27">
        <f>Weather_Site!G111</f>
        <v>19</v>
      </c>
      <c r="H113" s="548">
        <f>C$4</f>
        <v>0</v>
      </c>
      <c r="I113" s="27">
        <f t="shared" si="20"/>
        <v>6.333333333333333</v>
      </c>
      <c r="J113" s="738">
        <f>IF(Weather_Site!M111&lt;180,Weather_Site!M111+180,Weather_Site!M111-180)</f>
        <v>336</v>
      </c>
      <c r="K113" s="635">
        <f t="shared" si="21"/>
        <v>8.443010000000001</v>
      </c>
      <c r="L113" s="635">
        <f t="shared" si="22"/>
        <v>11</v>
      </c>
      <c r="M113" s="635">
        <f t="shared" si="23"/>
        <v>11.82809</v>
      </c>
      <c r="N113" s="635">
        <f t="shared" si="24"/>
        <v>11.82809</v>
      </c>
      <c r="O113" s="636">
        <f t="shared" si="25"/>
        <v>0.37699346378050669</v>
      </c>
      <c r="P113" s="635">
        <f>IF($O$11,Weather_Site!H111,IF(0.191*(Weather_Site!K111+104)*(Weather_Site!J111+1)^1.5/(3.52*(Weather_Site!J111+1)^1.5+Weather_Site!I111-1)&gt;10, 10,0.191*(Weather_Site!K111+104)*(Weather_Site!J111+1)^1.5/(3.52*(Weather_Site!J111+1)^1.5+Weather_Site!I111-1)))</f>
        <v>9</v>
      </c>
      <c r="Q113" s="636">
        <f t="shared" si="26"/>
        <v>0.98420578412222115</v>
      </c>
      <c r="R113" s="636">
        <f t="shared" si="27"/>
        <v>0.37103914762904577</v>
      </c>
      <c r="S113" s="635">
        <f t="shared" si="28"/>
        <v>1</v>
      </c>
      <c r="T113" s="707">
        <f t="shared" si="29"/>
        <v>126.12405744243553</v>
      </c>
      <c r="U113" s="707">
        <f t="shared" si="30"/>
        <v>303.4278237806252</v>
      </c>
      <c r="V113" s="707">
        <f t="shared" si="31"/>
        <v>648.17161658178611</v>
      </c>
      <c r="W113" s="636">
        <f t="shared" si="32"/>
        <v>1</v>
      </c>
      <c r="X113" s="636">
        <f t="shared" si="33"/>
        <v>5.4263359088081599E-8</v>
      </c>
      <c r="Y113" s="707">
        <f t="shared" si="34"/>
        <v>303.42784248758142</v>
      </c>
      <c r="Z113" s="635">
        <f t="shared" si="35"/>
        <v>2.1469698054202335</v>
      </c>
      <c r="AA113" s="707">
        <f t="shared" si="36"/>
        <v>58.490986677380938</v>
      </c>
      <c r="AB113" s="739">
        <f t="shared" si="37"/>
        <v>3605.734194894093</v>
      </c>
    </row>
    <row r="114" spans="1:28" x14ac:dyDescent="0.25">
      <c r="A114" s="23" t="str">
        <f>Weather_Site!A112</f>
        <v>Thu</v>
      </c>
      <c r="B114" s="24">
        <f>Weather_Site!B112</f>
        <v>44553</v>
      </c>
      <c r="C114" s="25">
        <f>Weather_Site!C112</f>
        <v>0.33333333333333331</v>
      </c>
      <c r="D114" s="27">
        <f>Weather_Site!D112</f>
        <v>20</v>
      </c>
      <c r="E114" s="27">
        <f>Weather_Site!E112</f>
        <v>41.5</v>
      </c>
      <c r="F114" s="28">
        <f>Weather_Site!F112</f>
        <v>157</v>
      </c>
      <c r="G114" s="27">
        <f>Weather_Site!G112</f>
        <v>24</v>
      </c>
      <c r="H114" s="548">
        <f>C$4</f>
        <v>0</v>
      </c>
      <c r="I114" s="27">
        <f t="shared" si="20"/>
        <v>8</v>
      </c>
      <c r="J114" s="738">
        <f>IF(Weather_Site!M112&lt;180,Weather_Site!M112+180,Weather_Site!M112-180)</f>
        <v>337</v>
      </c>
      <c r="K114" s="635">
        <f t="shared" si="21"/>
        <v>7.532</v>
      </c>
      <c r="L114" s="635">
        <f t="shared" si="22"/>
        <v>9.7134999999999998</v>
      </c>
      <c r="M114" s="635">
        <f t="shared" si="23"/>
        <v>10.331000000000001</v>
      </c>
      <c r="N114" s="635">
        <f t="shared" si="24"/>
        <v>9.7134999999999998</v>
      </c>
      <c r="O114" s="636">
        <f t="shared" si="25"/>
        <v>0.53868317561659373</v>
      </c>
      <c r="P114" s="635">
        <f>IF($O$11,Weather_Site!H112,IF(0.191*(Weather_Site!K112+104)*(Weather_Site!J112+1)^1.5/(3.52*(Weather_Site!J112+1)^1.5+Weather_Site!I112-1)&gt;10, 10,0.191*(Weather_Site!K112+104)*(Weather_Site!J112+1)^1.5/(3.52*(Weather_Site!J112+1)^1.5+Weather_Site!I112-1)))</f>
        <v>9</v>
      </c>
      <c r="Q114" s="636">
        <f t="shared" si="26"/>
        <v>0.98420578412222115</v>
      </c>
      <c r="R114" s="636">
        <f t="shared" si="27"/>
        <v>0.53017509725117784</v>
      </c>
      <c r="S114" s="635">
        <f t="shared" si="28"/>
        <v>1</v>
      </c>
      <c r="T114" s="707">
        <f t="shared" si="29"/>
        <v>227.28510239547526</v>
      </c>
      <c r="U114" s="707">
        <f t="shared" si="30"/>
        <v>542.71073779090273</v>
      </c>
      <c r="V114" s="707">
        <f t="shared" si="31"/>
        <v>1223.3593870975194</v>
      </c>
      <c r="W114" s="636">
        <f t="shared" si="32"/>
        <v>1</v>
      </c>
      <c r="X114" s="636">
        <f t="shared" si="33"/>
        <v>1.7083292395657131E-5</v>
      </c>
      <c r="Y114" s="707">
        <f t="shared" si="34"/>
        <v>542.72236551079754</v>
      </c>
      <c r="Z114" s="635">
        <f t="shared" si="35"/>
        <v>3.2688843232963278</v>
      </c>
      <c r="AA114" s="707">
        <f t="shared" si="36"/>
        <v>86.288852313469462</v>
      </c>
      <c r="AB114" s="707">
        <f t="shared" si="37"/>
        <v>6449.3507768199779</v>
      </c>
    </row>
    <row r="115" spans="1:28" x14ac:dyDescent="0.25">
      <c r="A115" s="23" t="str">
        <f>Weather_Site!A113</f>
        <v>Thu</v>
      </c>
      <c r="B115" s="24">
        <f>Weather_Site!B113</f>
        <v>44553</v>
      </c>
      <c r="C115" s="25">
        <f>Weather_Site!C113</f>
        <v>0.375</v>
      </c>
      <c r="D115" s="27">
        <f>Weather_Site!D113</f>
        <v>22.1</v>
      </c>
      <c r="E115" s="27">
        <f>Weather_Site!E113</f>
        <v>37.5</v>
      </c>
      <c r="F115" s="28">
        <f>Weather_Site!F113</f>
        <v>161</v>
      </c>
      <c r="G115" s="27">
        <f>Weather_Site!G113</f>
        <v>17</v>
      </c>
      <c r="H115" s="548">
        <f>C$4</f>
        <v>0</v>
      </c>
      <c r="I115" s="27">
        <f t="shared" si="20"/>
        <v>5.666666666666667</v>
      </c>
      <c r="J115" s="738">
        <f>IF(Weather_Site!M113&lt;180,Weather_Site!M113+180,Weather_Site!M113-180)</f>
        <v>341</v>
      </c>
      <c r="K115" s="635">
        <f t="shared" si="21"/>
        <v>6.9967300000000003</v>
      </c>
      <c r="L115" s="635">
        <f t="shared" si="22"/>
        <v>8.9429999999999996</v>
      </c>
      <c r="M115" s="635">
        <f t="shared" si="23"/>
        <v>9.4375700000000009</v>
      </c>
      <c r="N115" s="635">
        <f t="shared" si="24"/>
        <v>8.9429999999999996</v>
      </c>
      <c r="O115" s="636">
        <f t="shared" si="25"/>
        <v>0.60620393701810182</v>
      </c>
      <c r="P115" s="635">
        <f>IF($O$11,Weather_Site!H113,IF(0.191*(Weather_Site!K113+104)*(Weather_Site!J113+1)^1.5/(3.52*(Weather_Site!J113+1)^1.5+Weather_Site!I113-1)&gt;10, 10,0.191*(Weather_Site!K113+104)*(Weather_Site!J113+1)^1.5/(3.52*(Weather_Site!J113+1)^1.5+Weather_Site!I113-1)))</f>
        <v>9</v>
      </c>
      <c r="Q115" s="636">
        <f t="shared" si="26"/>
        <v>0.98420578412222115</v>
      </c>
      <c r="R115" s="636">
        <f t="shared" si="27"/>
        <v>0.59662942117087847</v>
      </c>
      <c r="S115" s="635">
        <f t="shared" si="28"/>
        <v>1</v>
      </c>
      <c r="T115" s="707">
        <f t="shared" si="29"/>
        <v>181.29401472207931</v>
      </c>
      <c r="U115" s="707">
        <f t="shared" si="30"/>
        <v>436.97537485899556</v>
      </c>
      <c r="V115" s="707">
        <f t="shared" si="31"/>
        <v>912.91541980576142</v>
      </c>
      <c r="W115" s="636">
        <f t="shared" si="32"/>
        <v>1</v>
      </c>
      <c r="X115" s="636">
        <f t="shared" si="33"/>
        <v>1.2913312183266474E-5</v>
      </c>
      <c r="Y115" s="707">
        <f t="shared" si="34"/>
        <v>436.98152082137648</v>
      </c>
      <c r="Z115" s="635">
        <f t="shared" si="35"/>
        <v>2.7948252763154953</v>
      </c>
      <c r="AA115" s="707">
        <f t="shared" si="36"/>
        <v>92.058127753723866</v>
      </c>
      <c r="AB115" s="707">
        <f t="shared" si="37"/>
        <v>5192.7970724273564</v>
      </c>
    </row>
    <row r="116" spans="1:28" x14ac:dyDescent="0.25">
      <c r="A116" s="23" t="str">
        <f>Weather_Site!A114</f>
        <v>Thu</v>
      </c>
      <c r="B116" s="24">
        <f>Weather_Site!B114</f>
        <v>44553</v>
      </c>
      <c r="C116" s="25">
        <f>Weather_Site!C114</f>
        <v>0.41666666666666669</v>
      </c>
      <c r="D116" s="27">
        <f>Weather_Site!D114</f>
        <v>24.6</v>
      </c>
      <c r="E116" s="27">
        <f>Weather_Site!E114</f>
        <v>31.3</v>
      </c>
      <c r="F116" s="28">
        <f>Weather_Site!F114</f>
        <v>163</v>
      </c>
      <c r="G116" s="27">
        <f>Weather_Site!G114</f>
        <v>22</v>
      </c>
      <c r="H116" s="548">
        <f>C$4</f>
        <v>0</v>
      </c>
      <c r="I116" s="27">
        <f t="shared" si="20"/>
        <v>7.333333333333333</v>
      </c>
      <c r="J116" s="738">
        <f>IF(Weather_Site!M114&lt;180,Weather_Site!M114+180,Weather_Site!M114-180)</f>
        <v>343</v>
      </c>
      <c r="K116" s="635">
        <f t="shared" si="21"/>
        <v>6.1811799999999995</v>
      </c>
      <c r="L116" s="635">
        <f t="shared" si="22"/>
        <v>7.7827000000000011</v>
      </c>
      <c r="M116" s="635">
        <f t="shared" si="23"/>
        <v>8.0892199999999992</v>
      </c>
      <c r="N116" s="635">
        <f t="shared" si="24"/>
        <v>7.7827000000000011</v>
      </c>
      <c r="O116" s="636">
        <f t="shared" si="25"/>
        <v>0.71178674186940305</v>
      </c>
      <c r="P116" s="635">
        <f>IF($O$11,Weather_Site!H114,IF(0.191*(Weather_Site!K114+104)*(Weather_Site!J114+1)^1.5/(3.52*(Weather_Site!J114+1)^1.5+Weather_Site!I114-1)&gt;10, 10,0.191*(Weather_Site!K114+104)*(Weather_Site!J114+1)^1.5/(3.52*(Weather_Site!J114+1)^1.5+Weather_Site!I114-1)))</f>
        <v>9</v>
      </c>
      <c r="Q116" s="636">
        <f t="shared" si="26"/>
        <v>0.98420578412222115</v>
      </c>
      <c r="R116" s="636">
        <f t="shared" si="27"/>
        <v>0.70054462840937681</v>
      </c>
      <c r="S116" s="635">
        <f t="shared" si="28"/>
        <v>1</v>
      </c>
      <c r="T116" s="707">
        <f t="shared" si="29"/>
        <v>275.59304562885842</v>
      </c>
      <c r="U116" s="707">
        <f t="shared" si="30"/>
        <v>660.23069036216327</v>
      </c>
      <c r="V116" s="707">
        <f t="shared" si="31"/>
        <v>1457.316172830627</v>
      </c>
      <c r="W116" s="636">
        <f t="shared" si="32"/>
        <v>1</v>
      </c>
      <c r="X116" s="636">
        <f t="shared" si="33"/>
        <v>9.2094949832445473E-4</v>
      </c>
      <c r="Y116" s="707">
        <f t="shared" si="34"/>
        <v>660.96476583736433</v>
      </c>
      <c r="Z116" s="635">
        <f t="shared" si="35"/>
        <v>3.7695436694857776</v>
      </c>
      <c r="AA116" s="707">
        <f t="shared" si="36"/>
        <v>113.00861131127142</v>
      </c>
      <c r="AB116" s="707">
        <f t="shared" si="37"/>
        <v>7854.4646340340114</v>
      </c>
    </row>
    <row r="117" spans="1:28" x14ac:dyDescent="0.25">
      <c r="A117" s="23" t="str">
        <f>Weather_Site!A115</f>
        <v>Thu</v>
      </c>
      <c r="B117" s="24">
        <f>Weather_Site!B115</f>
        <v>44553</v>
      </c>
      <c r="C117" s="25">
        <f>Weather_Site!C115</f>
        <v>0.45833333333333331</v>
      </c>
      <c r="D117" s="27">
        <f>Weather_Site!D115</f>
        <v>26.7</v>
      </c>
      <c r="E117" s="27">
        <f>Weather_Site!E115</f>
        <v>28.1</v>
      </c>
      <c r="F117" s="28">
        <f>Weather_Site!F115</f>
        <v>159</v>
      </c>
      <c r="G117" s="27">
        <f>Weather_Site!G115</f>
        <v>20</v>
      </c>
      <c r="H117" s="548">
        <f>C$4</f>
        <v>0</v>
      </c>
      <c r="I117" s="27">
        <f t="shared" si="20"/>
        <v>6.666666666666667</v>
      </c>
      <c r="J117" s="738">
        <f>IF(Weather_Site!M115&lt;180,Weather_Site!M115+180,Weather_Site!M115-180)</f>
        <v>339</v>
      </c>
      <c r="K117" s="635">
        <f t="shared" si="21"/>
        <v>5.7451099999999995</v>
      </c>
      <c r="L117" s="635">
        <f t="shared" si="22"/>
        <v>7.1474000000000002</v>
      </c>
      <c r="M117" s="635">
        <f t="shared" si="23"/>
        <v>7.3541900000000009</v>
      </c>
      <c r="N117" s="635">
        <f t="shared" si="24"/>
        <v>7.1474000000000002</v>
      </c>
      <c r="O117" s="636">
        <f t="shared" si="25"/>
        <v>0.76956834506923688</v>
      </c>
      <c r="P117" s="635">
        <f>IF($O$11,Weather_Site!H115,IF(0.191*(Weather_Site!K115+104)*(Weather_Site!J115+1)^1.5/(3.52*(Weather_Site!J115+1)^1.5+Weather_Site!I115-1)&gt;10, 10,0.191*(Weather_Site!K115+104)*(Weather_Site!J115+1)^1.5/(3.52*(Weather_Site!J115+1)^1.5+Weather_Site!I115-1)))</f>
        <v>9</v>
      </c>
      <c r="Q117" s="636">
        <f t="shared" si="26"/>
        <v>0.98420578412222115</v>
      </c>
      <c r="R117" s="636">
        <f t="shared" si="27"/>
        <v>0.75741361649450833</v>
      </c>
      <c r="S117" s="635">
        <f t="shared" si="28"/>
        <v>1</v>
      </c>
      <c r="T117" s="707">
        <f t="shared" si="29"/>
        <v>271.01988547794696</v>
      </c>
      <c r="U117" s="707">
        <f t="shared" si="30"/>
        <v>651.19089341994356</v>
      </c>
      <c r="V117" s="707">
        <f t="shared" si="31"/>
        <v>1406.5034691275582</v>
      </c>
      <c r="W117" s="636">
        <f t="shared" si="32"/>
        <v>1</v>
      </c>
      <c r="X117" s="636">
        <f t="shared" si="33"/>
        <v>2.349686486260522E-3</v>
      </c>
      <c r="Y117" s="707">
        <f t="shared" si="34"/>
        <v>652.96564117198625</v>
      </c>
      <c r="Z117" s="635">
        <f t="shared" si="35"/>
        <v>3.7365050161429658</v>
      </c>
      <c r="AA117" s="707">
        <f t="shared" si="36"/>
        <v>120.74068808653593</v>
      </c>
      <c r="AB117" s="707">
        <f t="shared" si="37"/>
        <v>7759.4083692604372</v>
      </c>
    </row>
    <row r="118" spans="1:28" x14ac:dyDescent="0.25">
      <c r="A118" s="23" t="str">
        <f>Weather_Site!A116</f>
        <v>Thu</v>
      </c>
      <c r="B118" s="24">
        <f>Weather_Site!B116</f>
        <v>44553</v>
      </c>
      <c r="C118" s="25">
        <f>Weather_Site!C116</f>
        <v>0.5</v>
      </c>
      <c r="D118" s="27">
        <f>Weather_Site!D116</f>
        <v>28.6</v>
      </c>
      <c r="E118" s="27">
        <f>Weather_Site!E116</f>
        <v>23.8</v>
      </c>
      <c r="F118" s="28">
        <f>Weather_Site!F116</f>
        <v>164</v>
      </c>
      <c r="G118" s="27">
        <f>Weather_Site!G116</f>
        <v>20</v>
      </c>
      <c r="H118" s="548">
        <f>C$4</f>
        <v>0</v>
      </c>
      <c r="I118" s="27">
        <f t="shared" si="20"/>
        <v>6.666666666666667</v>
      </c>
      <c r="J118" s="738">
        <f>IF(Weather_Site!M116&lt;180,Weather_Site!M116+180,Weather_Site!M116-180)</f>
        <v>344</v>
      </c>
      <c r="K118" s="635">
        <f t="shared" si="21"/>
        <v>5.17638</v>
      </c>
      <c r="L118" s="635">
        <f t="shared" si="22"/>
        <v>6.3352000000000013</v>
      </c>
      <c r="M118" s="635">
        <f t="shared" si="23"/>
        <v>6.4110200000000006</v>
      </c>
      <c r="N118" s="635">
        <f t="shared" si="24"/>
        <v>6.3352000000000013</v>
      </c>
      <c r="O118" s="636">
        <f t="shared" si="25"/>
        <v>0.84094008423339095</v>
      </c>
      <c r="P118" s="635">
        <f>IF($O$11,Weather_Site!H116,IF(0.191*(Weather_Site!K116+104)*(Weather_Site!J116+1)^1.5/(3.52*(Weather_Site!J116+1)^1.5+Weather_Site!I116-1)&gt;10, 10,0.191*(Weather_Site!K116+104)*(Weather_Site!J116+1)^1.5/(3.52*(Weather_Site!J116+1)^1.5+Weather_Site!I116-1)))</f>
        <v>9</v>
      </c>
      <c r="Q118" s="636">
        <f t="shared" si="26"/>
        <v>0.98420578412222115</v>
      </c>
      <c r="R118" s="636">
        <f t="shared" si="27"/>
        <v>0.82765809500273124</v>
      </c>
      <c r="S118" s="635">
        <f t="shared" si="28"/>
        <v>1</v>
      </c>
      <c r="T118" s="707">
        <f t="shared" si="29"/>
        <v>296.15496373131595</v>
      </c>
      <c r="U118" s="707">
        <f t="shared" si="30"/>
        <v>711.58400455688786</v>
      </c>
      <c r="V118" s="707">
        <f t="shared" si="31"/>
        <v>1536.9462028694436</v>
      </c>
      <c r="W118" s="636">
        <f t="shared" si="32"/>
        <v>1</v>
      </c>
      <c r="X118" s="636">
        <f t="shared" si="33"/>
        <v>1.5316147710384146E-2</v>
      </c>
      <c r="Y118" s="707">
        <f t="shared" si="34"/>
        <v>724.22537390081038</v>
      </c>
      <c r="Z118" s="635">
        <f t="shared" si="35"/>
        <v>4.0270643834512079</v>
      </c>
      <c r="AA118" s="707">
        <f t="shared" si="36"/>
        <v>133.91741381301966</v>
      </c>
      <c r="AB118" s="707">
        <f t="shared" si="37"/>
        <v>8606.2115265212979</v>
      </c>
    </row>
    <row r="119" spans="1:28" x14ac:dyDescent="0.25">
      <c r="A119" s="23" t="str">
        <f>Weather_Site!A117</f>
        <v>Thu</v>
      </c>
      <c r="B119" s="24">
        <f>Weather_Site!B117</f>
        <v>44553</v>
      </c>
      <c r="C119" s="25">
        <f>Weather_Site!C117</f>
        <v>0.54166666666666663</v>
      </c>
      <c r="D119" s="27">
        <f>Weather_Site!D117</f>
        <v>30.2</v>
      </c>
      <c r="E119" s="27">
        <f>Weather_Site!E117</f>
        <v>19.899999999999999</v>
      </c>
      <c r="F119" s="28">
        <f>Weather_Site!F117</f>
        <v>178</v>
      </c>
      <c r="G119" s="27">
        <f>Weather_Site!G117</f>
        <v>20</v>
      </c>
      <c r="H119" s="548">
        <f>C$4</f>
        <v>0</v>
      </c>
      <c r="I119" s="27">
        <f t="shared" si="20"/>
        <v>6.666666666666667</v>
      </c>
      <c r="J119" s="738">
        <f>IF(Weather_Site!M117&lt;180,Weather_Site!M117+180,Weather_Site!M117-180)</f>
        <v>358</v>
      </c>
      <c r="K119" s="635">
        <f t="shared" si="21"/>
        <v>4.6628600000000002</v>
      </c>
      <c r="L119" s="635">
        <f t="shared" si="22"/>
        <v>5.6041000000000007</v>
      </c>
      <c r="M119" s="635">
        <f t="shared" si="23"/>
        <v>5.5615399999999999</v>
      </c>
      <c r="N119" s="635">
        <f t="shared" si="24"/>
        <v>4.6628600000000002</v>
      </c>
      <c r="O119" s="636">
        <f t="shared" si="25"/>
        <v>0.96669603872655374</v>
      </c>
      <c r="P119" s="635">
        <f>IF($O$11,Weather_Site!H117,IF(0.191*(Weather_Site!K117+104)*(Weather_Site!J117+1)^1.5/(3.52*(Weather_Site!J117+1)^1.5+Weather_Site!I117-1)&gt;10, 10,0.191*(Weather_Site!K117+104)*(Weather_Site!J117+1)^1.5/(3.52*(Weather_Site!J117+1)^1.5+Weather_Site!I117-1)))</f>
        <v>9</v>
      </c>
      <c r="Q119" s="636">
        <f t="shared" si="26"/>
        <v>0.98420578412222115</v>
      </c>
      <c r="R119" s="636">
        <f t="shared" si="27"/>
        <v>0.95142783280271293</v>
      </c>
      <c r="S119" s="635">
        <f t="shared" si="28"/>
        <v>1</v>
      </c>
      <c r="T119" s="707">
        <f t="shared" si="29"/>
        <v>340.44260186414556</v>
      </c>
      <c r="U119" s="707">
        <f t="shared" si="30"/>
        <v>817.99577796723111</v>
      </c>
      <c r="V119" s="707">
        <f t="shared" si="31"/>
        <v>1766.7843808446144</v>
      </c>
      <c r="W119" s="636">
        <f t="shared" si="32"/>
        <v>1</v>
      </c>
      <c r="X119" s="636">
        <f t="shared" si="33"/>
        <v>0.30210389196982462</v>
      </c>
      <c r="Y119" s="707">
        <f t="shared" si="34"/>
        <v>1104.6285075531009</v>
      </c>
      <c r="Z119" s="635">
        <f t="shared" si="35"/>
        <v>5.4644342913323865</v>
      </c>
      <c r="AA119" s="707">
        <f t="shared" si="36"/>
        <v>204.25822994694914</v>
      </c>
      <c r="AB119" s="707">
        <f t="shared" si="37"/>
        <v>13126.668764756014</v>
      </c>
    </row>
    <row r="120" spans="1:28" x14ac:dyDescent="0.25">
      <c r="A120" s="23" t="str">
        <f>Weather_Site!A118</f>
        <v>Thu</v>
      </c>
      <c r="B120" s="24">
        <f>Weather_Site!B118</f>
        <v>44553</v>
      </c>
      <c r="C120" s="25">
        <f>Weather_Site!C118</f>
        <v>0.58333333333333337</v>
      </c>
      <c r="D120" s="27">
        <f>Weather_Site!D118</f>
        <v>32.1</v>
      </c>
      <c r="E120" s="27">
        <f>Weather_Site!E118</f>
        <v>16.100000000000001</v>
      </c>
      <c r="F120" s="28">
        <f>Weather_Site!F118</f>
        <v>176</v>
      </c>
      <c r="G120" s="27">
        <f>Weather_Site!G118</f>
        <v>20</v>
      </c>
      <c r="H120" s="548">
        <f>C$4</f>
        <v>0</v>
      </c>
      <c r="I120" s="27">
        <f t="shared" si="20"/>
        <v>6.666666666666667</v>
      </c>
      <c r="J120" s="738">
        <f>IF(Weather_Site!M118&lt;180,Weather_Site!M118+180,Weather_Site!M118-180)</f>
        <v>356</v>
      </c>
      <c r="K120" s="635">
        <f t="shared" si="21"/>
        <v>4.1561300000000001</v>
      </c>
      <c r="L120" s="635">
        <f t="shared" si="22"/>
        <v>4.8764000000000003</v>
      </c>
      <c r="M120" s="635">
        <f t="shared" si="23"/>
        <v>4.7173700000000007</v>
      </c>
      <c r="N120" s="635">
        <f t="shared" si="24"/>
        <v>4.1561300000000001</v>
      </c>
      <c r="O120" s="636">
        <f t="shared" si="25"/>
        <v>0.99560035596114915</v>
      </c>
      <c r="P120" s="635">
        <f>IF($O$11,Weather_Site!H118,IF(0.191*(Weather_Site!K118+104)*(Weather_Site!J118+1)^1.5/(3.52*(Weather_Site!J118+1)^1.5+Weather_Site!I118-1)&gt;10, 10,0.191*(Weather_Site!K118+104)*(Weather_Site!J118+1)^1.5/(3.52*(Weather_Site!J118+1)^1.5+Weather_Site!I118-1)))</f>
        <v>9</v>
      </c>
      <c r="Q120" s="636">
        <f t="shared" si="26"/>
        <v>0.98420578412222115</v>
      </c>
      <c r="R120" s="636">
        <f t="shared" si="27"/>
        <v>0.97987562901110525</v>
      </c>
      <c r="S120" s="635">
        <f t="shared" si="28"/>
        <v>1</v>
      </c>
      <c r="T120" s="707">
        <f t="shared" si="29"/>
        <v>350.62187287617434</v>
      </c>
      <c r="U120" s="707">
        <f t="shared" si="30"/>
        <v>842.45394114960084</v>
      </c>
      <c r="V120" s="707">
        <f t="shared" si="31"/>
        <v>1819.6114269720954</v>
      </c>
      <c r="W120" s="636">
        <f t="shared" si="32"/>
        <v>1</v>
      </c>
      <c r="X120" s="636">
        <f t="shared" si="33"/>
        <v>0.48180546939940178</v>
      </c>
      <c r="Y120" s="707">
        <f t="shared" si="34"/>
        <v>1313.253762283447</v>
      </c>
      <c r="Z120" s="635">
        <f t="shared" si="35"/>
        <v>6.1924988988207561</v>
      </c>
      <c r="AA120" s="707">
        <f t="shared" si="36"/>
        <v>242.83538503761963</v>
      </c>
      <c r="AB120" s="707">
        <f t="shared" si="37"/>
        <v>15605.832208468293</v>
      </c>
    </row>
    <row r="121" spans="1:28" x14ac:dyDescent="0.25">
      <c r="A121" s="23" t="str">
        <f>Weather_Site!A119</f>
        <v>Thu</v>
      </c>
      <c r="B121" s="24">
        <f>Weather_Site!B119</f>
        <v>44553</v>
      </c>
      <c r="C121" s="25">
        <f>Weather_Site!C119</f>
        <v>0.625</v>
      </c>
      <c r="D121" s="27">
        <f>Weather_Site!D119</f>
        <v>33</v>
      </c>
      <c r="E121" s="27">
        <f>Weather_Site!E119</f>
        <v>14.1</v>
      </c>
      <c r="F121" s="28">
        <f>Weather_Site!F119</f>
        <v>176</v>
      </c>
      <c r="G121" s="27">
        <f>Weather_Site!G119</f>
        <v>18</v>
      </c>
      <c r="H121" s="548">
        <f>C$4</f>
        <v>0</v>
      </c>
      <c r="I121" s="27">
        <f t="shared" si="20"/>
        <v>6</v>
      </c>
      <c r="J121" s="738">
        <f>IF(Weather_Site!M119&lt;180,Weather_Site!M119+180,Weather_Site!M119-180)</f>
        <v>356</v>
      </c>
      <c r="K121" s="635">
        <f t="shared" si="21"/>
        <v>3.8912999999999998</v>
      </c>
      <c r="L121" s="635">
        <f t="shared" si="22"/>
        <v>4.4979000000000013</v>
      </c>
      <c r="M121" s="635">
        <f t="shared" si="23"/>
        <v>4.2779000000000007</v>
      </c>
      <c r="N121" s="635">
        <f t="shared" si="24"/>
        <v>3.8912999999999998</v>
      </c>
      <c r="O121" s="636">
        <f t="shared" si="25"/>
        <v>1</v>
      </c>
      <c r="P121" s="635">
        <f>IF($O$11,Weather_Site!H119,IF(0.191*(Weather_Site!K119+104)*(Weather_Site!J119+1)^1.5/(3.52*(Weather_Site!J119+1)^1.5+Weather_Site!I119-1)&gt;10, 10,0.191*(Weather_Site!K119+104)*(Weather_Site!J119+1)^1.5/(3.52*(Weather_Site!J119+1)^1.5+Weather_Site!I119-1)))</f>
        <v>9</v>
      </c>
      <c r="Q121" s="636">
        <f t="shared" si="26"/>
        <v>0.98420578412222115</v>
      </c>
      <c r="R121" s="636">
        <f t="shared" si="27"/>
        <v>0.98420578412222115</v>
      </c>
      <c r="S121" s="635">
        <f t="shared" si="28"/>
        <v>1</v>
      </c>
      <c r="T121" s="707">
        <f t="shared" si="29"/>
        <v>316.85202059698088</v>
      </c>
      <c r="U121" s="707">
        <f t="shared" si="30"/>
        <v>763.09488925150913</v>
      </c>
      <c r="V121" s="707">
        <f t="shared" si="31"/>
        <v>1612.0690086299021</v>
      </c>
      <c r="W121" s="636">
        <f t="shared" si="32"/>
        <v>1</v>
      </c>
      <c r="X121" s="636">
        <f t="shared" si="33"/>
        <v>0.36664331132234329</v>
      </c>
      <c r="Y121" s="707">
        <f t="shared" si="34"/>
        <v>1074.3655716073736</v>
      </c>
      <c r="Z121" s="635">
        <f t="shared" si="35"/>
        <v>5.3557810868746207</v>
      </c>
      <c r="AA121" s="707">
        <f t="shared" si="36"/>
        <v>216.29198977439475</v>
      </c>
      <c r="AB121" s="707">
        <f t="shared" si="37"/>
        <v>12767.044209267622</v>
      </c>
    </row>
    <row r="122" spans="1:28" x14ac:dyDescent="0.25">
      <c r="A122" s="23" t="str">
        <f>Weather_Site!A120</f>
        <v>Thu</v>
      </c>
      <c r="B122" s="24">
        <f>Weather_Site!B120</f>
        <v>44553</v>
      </c>
      <c r="C122" s="25">
        <f>Weather_Site!C120</f>
        <v>0.66666666666666663</v>
      </c>
      <c r="D122" s="27">
        <f>Weather_Site!D120</f>
        <v>33.6</v>
      </c>
      <c r="E122" s="27">
        <f>Weather_Site!E120</f>
        <v>12.8</v>
      </c>
      <c r="F122" s="28">
        <f>Weather_Site!F120</f>
        <v>179</v>
      </c>
      <c r="G122" s="27">
        <f>Weather_Site!G120</f>
        <v>19</v>
      </c>
      <c r="H122" s="548">
        <f>C$4</f>
        <v>0</v>
      </c>
      <c r="I122" s="27">
        <f t="shared" si="20"/>
        <v>6.333333333333333</v>
      </c>
      <c r="J122" s="738">
        <f>IF(Weather_Site!M120&lt;180,Weather_Site!M120+180,Weather_Site!M120-180)</f>
        <v>359</v>
      </c>
      <c r="K122" s="635">
        <f t="shared" si="21"/>
        <v>3.71888</v>
      </c>
      <c r="L122" s="635">
        <f t="shared" si="22"/>
        <v>4.2512000000000008</v>
      </c>
      <c r="M122" s="635">
        <f t="shared" si="23"/>
        <v>3.9915199999999995</v>
      </c>
      <c r="N122" s="635">
        <f t="shared" si="24"/>
        <v>3.71888</v>
      </c>
      <c r="O122" s="636">
        <f t="shared" si="25"/>
        <v>1</v>
      </c>
      <c r="P122" s="635">
        <f>IF($O$11,Weather_Site!H120,IF(0.191*(Weather_Site!K120+104)*(Weather_Site!J120+1)^1.5/(3.52*(Weather_Site!J120+1)^1.5+Weather_Site!I120-1)&gt;10, 10,0.191*(Weather_Site!K120+104)*(Weather_Site!J120+1)^1.5/(3.52*(Weather_Site!J120+1)^1.5+Weather_Site!I120-1)))</f>
        <v>9</v>
      </c>
      <c r="Q122" s="636">
        <f t="shared" si="26"/>
        <v>0.98420578412222115</v>
      </c>
      <c r="R122" s="636">
        <f t="shared" si="27"/>
        <v>0.98420578412222115</v>
      </c>
      <c r="S122" s="635">
        <f t="shared" si="28"/>
        <v>1</v>
      </c>
      <c r="T122" s="707">
        <f t="shared" si="29"/>
        <v>334.55237175111222</v>
      </c>
      <c r="U122" s="707">
        <f t="shared" si="30"/>
        <v>804.86229320221605</v>
      </c>
      <c r="V122" s="707">
        <f t="shared" si="31"/>
        <v>1719.3179162362478</v>
      </c>
      <c r="W122" s="636">
        <f t="shared" si="32"/>
        <v>1</v>
      </c>
      <c r="X122" s="636">
        <f t="shared" si="33"/>
        <v>0.43744343550266018</v>
      </c>
      <c r="Y122" s="707">
        <f t="shared" si="34"/>
        <v>1204.8849025569484</v>
      </c>
      <c r="Z122" s="635">
        <f t="shared" si="35"/>
        <v>5.8186669972795695</v>
      </c>
      <c r="AA122" s="707">
        <f t="shared" si="36"/>
        <v>232.26249181836459</v>
      </c>
      <c r="AB122" s="707">
        <f t="shared" si="37"/>
        <v>14318.048925385072</v>
      </c>
    </row>
    <row r="123" spans="1:28" x14ac:dyDescent="0.25">
      <c r="A123" s="23" t="str">
        <f>Weather_Site!A121</f>
        <v>Thu</v>
      </c>
      <c r="B123" s="24">
        <f>Weather_Site!B121</f>
        <v>44553</v>
      </c>
      <c r="C123" s="25">
        <f>Weather_Site!C121</f>
        <v>0.70833333333333337</v>
      </c>
      <c r="D123" s="27">
        <f>Weather_Site!D121</f>
        <v>33.799999999999997</v>
      </c>
      <c r="E123" s="27">
        <f>Weather_Site!E121</f>
        <v>11.6</v>
      </c>
      <c r="F123" s="28">
        <f>Weather_Site!F121</f>
        <v>177</v>
      </c>
      <c r="G123" s="27">
        <f>Weather_Site!G121</f>
        <v>19</v>
      </c>
      <c r="H123" s="548">
        <f>C$4</f>
        <v>0</v>
      </c>
      <c r="I123" s="27">
        <f t="shared" si="20"/>
        <v>6.333333333333333</v>
      </c>
      <c r="J123" s="738">
        <f>IF(Weather_Site!M121&lt;180,Weather_Site!M121+180,Weather_Site!M121-180)</f>
        <v>357</v>
      </c>
      <c r="K123" s="635">
        <f t="shared" si="21"/>
        <v>3.5663399999999994</v>
      </c>
      <c r="L123" s="635">
        <f t="shared" si="22"/>
        <v>4.0394000000000005</v>
      </c>
      <c r="M123" s="635">
        <f t="shared" si="23"/>
        <v>3.7442600000000006</v>
      </c>
      <c r="N123" s="635">
        <f t="shared" si="24"/>
        <v>3.5663399999999994</v>
      </c>
      <c r="O123" s="636">
        <f t="shared" si="25"/>
        <v>1</v>
      </c>
      <c r="P123" s="635">
        <f>IF($O$11,Weather_Site!H121,IF(0.191*(Weather_Site!K121+104)*(Weather_Site!J121+1)^1.5/(3.52*(Weather_Site!J121+1)^1.5+Weather_Site!I121-1)&gt;10, 10,0.191*(Weather_Site!K121+104)*(Weather_Site!J121+1)^1.5/(3.52*(Weather_Site!J121+1)^1.5+Weather_Site!I121-1)))</f>
        <v>9</v>
      </c>
      <c r="Q123" s="636">
        <f t="shared" si="26"/>
        <v>0.98420578412222115</v>
      </c>
      <c r="R123" s="636">
        <f t="shared" si="27"/>
        <v>0.98420578412222115</v>
      </c>
      <c r="S123" s="635">
        <f t="shared" si="28"/>
        <v>1</v>
      </c>
      <c r="T123" s="707">
        <f t="shared" si="29"/>
        <v>334.55237175111222</v>
      </c>
      <c r="U123" s="707">
        <f t="shared" si="30"/>
        <v>804.86229320221605</v>
      </c>
      <c r="V123" s="707">
        <f t="shared" si="31"/>
        <v>1719.3179162362478</v>
      </c>
      <c r="W123" s="636">
        <f t="shared" si="32"/>
        <v>1</v>
      </c>
      <c r="X123" s="636">
        <f t="shared" si="33"/>
        <v>0.43744343550266018</v>
      </c>
      <c r="Y123" s="707">
        <f t="shared" si="34"/>
        <v>1204.8849025569484</v>
      </c>
      <c r="Z123" s="635">
        <f t="shared" si="35"/>
        <v>5.8186669972795695</v>
      </c>
      <c r="AA123" s="707">
        <f t="shared" si="36"/>
        <v>232.26249181836459</v>
      </c>
      <c r="AB123" s="707">
        <f t="shared" si="37"/>
        <v>14318.048925385072</v>
      </c>
    </row>
    <row r="124" spans="1:28" x14ac:dyDescent="0.25">
      <c r="A124" s="23" t="str">
        <f>Weather_Site!A122</f>
        <v>Thu</v>
      </c>
      <c r="B124" s="24">
        <f>Weather_Site!B122</f>
        <v>44553</v>
      </c>
      <c r="C124" s="25">
        <f>Weather_Site!C122</f>
        <v>0.75</v>
      </c>
      <c r="D124" s="27">
        <f>Weather_Site!D122</f>
        <v>33.200000000000003</v>
      </c>
      <c r="E124" s="27">
        <f>Weather_Site!E122</f>
        <v>11.8</v>
      </c>
      <c r="F124" s="28">
        <f>Weather_Site!F122</f>
        <v>173</v>
      </c>
      <c r="G124" s="27">
        <f>Weather_Site!G122</f>
        <v>21</v>
      </c>
      <c r="H124" s="548">
        <f>C$4</f>
        <v>0</v>
      </c>
      <c r="I124" s="27">
        <f t="shared" si="20"/>
        <v>7</v>
      </c>
      <c r="J124" s="738">
        <f>IF(Weather_Site!M122&lt;180,Weather_Site!M122+180,Weather_Site!M122-180)</f>
        <v>353</v>
      </c>
      <c r="K124" s="635">
        <f t="shared" si="21"/>
        <v>3.60236</v>
      </c>
      <c r="L124" s="635">
        <f t="shared" si="22"/>
        <v>4.100200000000001</v>
      </c>
      <c r="M124" s="635">
        <f t="shared" si="23"/>
        <v>3.81284</v>
      </c>
      <c r="N124" s="635">
        <f t="shared" si="24"/>
        <v>4.100200000000001</v>
      </c>
      <c r="O124" s="636">
        <f t="shared" si="25"/>
        <v>0.99844505850755771</v>
      </c>
      <c r="P124" s="635">
        <f>IF($O$11,Weather_Site!H122,IF(0.191*(Weather_Site!K122+104)*(Weather_Site!J122+1)^1.5/(3.52*(Weather_Site!J122+1)^1.5+Weather_Site!I122-1)&gt;10, 10,0.191*(Weather_Site!K122+104)*(Weather_Site!J122+1)^1.5/(3.52*(Weather_Site!J122+1)^1.5+Weather_Site!I122-1)))</f>
        <v>9</v>
      </c>
      <c r="Q124" s="636">
        <f t="shared" si="26"/>
        <v>0.98420578412222115</v>
      </c>
      <c r="R124" s="636">
        <f t="shared" si="27"/>
        <v>0.98267540171138779</v>
      </c>
      <c r="S124" s="635">
        <f t="shared" si="28"/>
        <v>1</v>
      </c>
      <c r="T124" s="707">
        <f t="shared" si="29"/>
        <v>369.13906307702928</v>
      </c>
      <c r="U124" s="707">
        <f t="shared" si="30"/>
        <v>885.69028274390541</v>
      </c>
      <c r="V124" s="707">
        <f t="shared" si="31"/>
        <v>1934.0164886905163</v>
      </c>
      <c r="W124" s="636">
        <f t="shared" si="32"/>
        <v>1</v>
      </c>
      <c r="X124" s="636">
        <f t="shared" si="33"/>
        <v>0.57383838381833563</v>
      </c>
      <c r="Y124" s="707">
        <f t="shared" si="34"/>
        <v>1487.2600984787161</v>
      </c>
      <c r="Z124" s="635">
        <f t="shared" si="35"/>
        <v>6.7754104443181822</v>
      </c>
      <c r="AA124" s="707">
        <f t="shared" si="36"/>
        <v>264.24207563050174</v>
      </c>
      <c r="AB124" s="707">
        <f t="shared" si="37"/>
        <v>17673.607503588744</v>
      </c>
    </row>
    <row r="125" spans="1:28" x14ac:dyDescent="0.25">
      <c r="A125" s="23" t="str">
        <f>Weather_Site!A123</f>
        <v>Thu</v>
      </c>
      <c r="B125" s="24">
        <f>Weather_Site!B123</f>
        <v>44553</v>
      </c>
      <c r="C125" s="25">
        <f>Weather_Site!C123</f>
        <v>0.79166666666666663</v>
      </c>
      <c r="D125" s="27">
        <f>Weather_Site!D123</f>
        <v>32.700000000000003</v>
      </c>
      <c r="E125" s="27">
        <f>Weather_Site!E123</f>
        <v>12</v>
      </c>
      <c r="F125" s="28">
        <f>Weather_Site!F123</f>
        <v>176</v>
      </c>
      <c r="G125" s="27">
        <f>Weather_Site!G123</f>
        <v>19</v>
      </c>
      <c r="H125" s="548">
        <f>C$4</f>
        <v>0</v>
      </c>
      <c r="I125" s="27">
        <f t="shared" si="20"/>
        <v>6.333333333333333</v>
      </c>
      <c r="J125" s="738">
        <f>IF(Weather_Site!M123&lt;180,Weather_Site!M123+180,Weather_Site!M123-180)</f>
        <v>356</v>
      </c>
      <c r="K125" s="635">
        <f t="shared" si="21"/>
        <v>3.6365099999999995</v>
      </c>
      <c r="L125" s="635">
        <f t="shared" si="22"/>
        <v>4.1565000000000003</v>
      </c>
      <c r="M125" s="635">
        <f t="shared" si="23"/>
        <v>3.8765900000000002</v>
      </c>
      <c r="N125" s="635">
        <f t="shared" si="24"/>
        <v>4.1565000000000003</v>
      </c>
      <c r="O125" s="636">
        <f t="shared" si="25"/>
        <v>0.99558129501841497</v>
      </c>
      <c r="P125" s="635">
        <f>IF($O$11,Weather_Site!H123,IF(0.191*(Weather_Site!K123+104)*(Weather_Site!J123+1)^1.5/(3.52*(Weather_Site!J123+1)^1.5+Weather_Site!I123-1)&gt;10, 10,0.191*(Weather_Site!K123+104)*(Weather_Site!J123+1)^1.5/(3.52*(Weather_Site!J123+1)^1.5+Weather_Site!I123-1)))</f>
        <v>9</v>
      </c>
      <c r="Q125" s="636">
        <f t="shared" si="26"/>
        <v>0.98420578412222115</v>
      </c>
      <c r="R125" s="636">
        <f t="shared" si="27"/>
        <v>0.97985686912101544</v>
      </c>
      <c r="S125" s="635">
        <f t="shared" si="28"/>
        <v>1</v>
      </c>
      <c r="T125" s="707">
        <f t="shared" si="29"/>
        <v>333.07408351945446</v>
      </c>
      <c r="U125" s="707">
        <f t="shared" si="30"/>
        <v>801.30584417775344</v>
      </c>
      <c r="V125" s="707">
        <f t="shared" si="31"/>
        <v>1711.7207575948462</v>
      </c>
      <c r="W125" s="636">
        <f t="shared" si="32"/>
        <v>1</v>
      </c>
      <c r="X125" s="636">
        <f t="shared" si="33"/>
        <v>0.40892421068724516</v>
      </c>
      <c r="Y125" s="707">
        <f t="shared" si="34"/>
        <v>1173.5965440447349</v>
      </c>
      <c r="Z125" s="635">
        <f t="shared" si="35"/>
        <v>5.7090253272483666</v>
      </c>
      <c r="AA125" s="707">
        <f t="shared" si="36"/>
        <v>226.23111728829028</v>
      </c>
      <c r="AB125" s="707">
        <f t="shared" si="37"/>
        <v>13946.238931731597</v>
      </c>
    </row>
    <row r="126" spans="1:28" x14ac:dyDescent="0.25">
      <c r="A126" s="23" t="str">
        <f>Weather_Site!A124</f>
        <v>Thu</v>
      </c>
      <c r="B126" s="24">
        <f>Weather_Site!B124</f>
        <v>44553</v>
      </c>
      <c r="C126" s="25">
        <f>Weather_Site!C124</f>
        <v>0.83333333333333337</v>
      </c>
      <c r="D126" s="27">
        <f>Weather_Site!D124</f>
        <v>31.1</v>
      </c>
      <c r="E126" s="27">
        <f>Weather_Site!E124</f>
        <v>14.3</v>
      </c>
      <c r="F126" s="28">
        <f>Weather_Site!F124</f>
        <v>170</v>
      </c>
      <c r="G126" s="27">
        <f>Weather_Site!G124</f>
        <v>17</v>
      </c>
      <c r="H126" s="548">
        <f>C$4</f>
        <v>0</v>
      </c>
      <c r="I126" s="27">
        <f t="shared" si="20"/>
        <v>5.666666666666667</v>
      </c>
      <c r="J126" s="738">
        <f>IF(Weather_Site!M124&lt;180,Weather_Site!M124+180,Weather_Site!M124-180)</f>
        <v>350</v>
      </c>
      <c r="K126" s="635">
        <f t="shared" si="21"/>
        <v>3.9516299999999998</v>
      </c>
      <c r="L126" s="635">
        <f t="shared" si="22"/>
        <v>4.6172000000000004</v>
      </c>
      <c r="M126" s="635">
        <f t="shared" si="23"/>
        <v>4.4092700000000002</v>
      </c>
      <c r="N126" s="635">
        <f t="shared" si="24"/>
        <v>4.4092700000000002</v>
      </c>
      <c r="O126" s="636">
        <f t="shared" si="25"/>
        <v>0.98184115104659719</v>
      </c>
      <c r="P126" s="635">
        <f>IF($O$11,Weather_Site!H124,IF(0.191*(Weather_Site!K124+104)*(Weather_Site!J124+1)^1.5/(3.52*(Weather_Site!J124+1)^1.5+Weather_Site!I124-1)&gt;10, 10,0.191*(Weather_Site!K124+104)*(Weather_Site!J124+1)^1.5/(3.52*(Weather_Site!J124+1)^1.5+Weather_Site!I124-1)))</f>
        <v>9</v>
      </c>
      <c r="Q126" s="636">
        <f t="shared" si="26"/>
        <v>0.98420578412222115</v>
      </c>
      <c r="R126" s="636">
        <f t="shared" si="27"/>
        <v>0.9663337399492804</v>
      </c>
      <c r="S126" s="635">
        <f t="shared" si="28"/>
        <v>1</v>
      </c>
      <c r="T126" s="707">
        <f t="shared" si="29"/>
        <v>293.63373152634239</v>
      </c>
      <c r="U126" s="707">
        <f t="shared" si="30"/>
        <v>707.74928836821948</v>
      </c>
      <c r="V126" s="707">
        <f t="shared" si="31"/>
        <v>1478.607893903386</v>
      </c>
      <c r="W126" s="636">
        <f t="shared" si="32"/>
        <v>1</v>
      </c>
      <c r="X126" s="636">
        <f t="shared" si="33"/>
        <v>0.2104812723101987</v>
      </c>
      <c r="Y126" s="707">
        <f t="shared" si="34"/>
        <v>870.00058843252691</v>
      </c>
      <c r="Z126" s="635">
        <f t="shared" si="35"/>
        <v>4.5980373363301998</v>
      </c>
      <c r="AA126" s="707">
        <f t="shared" si="36"/>
        <v>183.28149246492939</v>
      </c>
      <c r="AB126" s="707">
        <f t="shared" si="37"/>
        <v>10338.50699253986</v>
      </c>
    </row>
    <row r="127" spans="1:28" x14ac:dyDescent="0.25">
      <c r="A127" s="23" t="str">
        <f>Weather_Site!A125</f>
        <v>Thu</v>
      </c>
      <c r="B127" s="24">
        <f>Weather_Site!B125</f>
        <v>44553</v>
      </c>
      <c r="C127" s="25">
        <f>Weather_Site!C125</f>
        <v>0.875</v>
      </c>
      <c r="D127" s="27">
        <f>Weather_Site!D125</f>
        <v>28.5</v>
      </c>
      <c r="E127" s="27">
        <f>Weather_Site!E125</f>
        <v>17.7</v>
      </c>
      <c r="F127" s="28">
        <f>Weather_Site!F125</f>
        <v>169</v>
      </c>
      <c r="G127" s="27">
        <f>Weather_Site!G125</f>
        <v>14</v>
      </c>
      <c r="H127" s="548">
        <f>C$4</f>
        <v>0</v>
      </c>
      <c r="I127" s="27">
        <f t="shared" si="20"/>
        <v>4.666666666666667</v>
      </c>
      <c r="J127" s="738">
        <f>IF(Weather_Site!M125&lt;180,Weather_Site!M125+180,Weather_Site!M125-180)</f>
        <v>349</v>
      </c>
      <c r="K127" s="635">
        <f t="shared" si="21"/>
        <v>4.4218499999999992</v>
      </c>
      <c r="L127" s="635">
        <f t="shared" si="22"/>
        <v>5.3088000000000006</v>
      </c>
      <c r="M127" s="635">
        <f t="shared" si="23"/>
        <v>5.2080500000000001</v>
      </c>
      <c r="N127" s="635">
        <f t="shared" si="24"/>
        <v>5.2080500000000001</v>
      </c>
      <c r="O127" s="636">
        <f t="shared" si="25"/>
        <v>0.93007790221312558</v>
      </c>
      <c r="P127" s="635">
        <f>IF($O$11,Weather_Site!H125,IF(0.191*(Weather_Site!K125+104)*(Weather_Site!J125+1)^1.5/(3.52*(Weather_Site!J125+1)^1.5+Weather_Site!I125-1)&gt;10, 10,0.191*(Weather_Site!K125+104)*(Weather_Site!J125+1)^1.5/(3.52*(Weather_Site!J125+1)^1.5+Weather_Site!I125-1)))</f>
        <v>9</v>
      </c>
      <c r="Q127" s="636">
        <f t="shared" si="26"/>
        <v>0.98420578412222115</v>
      </c>
      <c r="R127" s="636">
        <f t="shared" si="27"/>
        <v>0.91538805104241983</v>
      </c>
      <c r="S127" s="635">
        <f t="shared" si="28"/>
        <v>1</v>
      </c>
      <c r="T127" s="707">
        <f t="shared" si="29"/>
        <v>227.96674294345902</v>
      </c>
      <c r="U127" s="707">
        <f t="shared" si="30"/>
        <v>549.38728702418587</v>
      </c>
      <c r="V127" s="707">
        <f t="shared" si="31"/>
        <v>1111.4279942772107</v>
      </c>
      <c r="W127" s="636">
        <f t="shared" si="32"/>
        <v>1</v>
      </c>
      <c r="X127" s="636">
        <f t="shared" si="33"/>
        <v>2.7214577755464955E-2</v>
      </c>
      <c r="Y127" s="707">
        <f t="shared" si="34"/>
        <v>564.68298755345984</v>
      </c>
      <c r="Z127" s="635">
        <f t="shared" si="35"/>
        <v>3.3639897376210612</v>
      </c>
      <c r="AA127" s="707">
        <f t="shared" si="36"/>
        <v>138.2129889253622</v>
      </c>
      <c r="AB127" s="707">
        <f t="shared" si="37"/>
        <v>6710.3161687602815</v>
      </c>
    </row>
    <row r="128" spans="1:28" x14ac:dyDescent="0.25">
      <c r="A128" s="23" t="str">
        <f>Weather_Site!A126</f>
        <v>Thu</v>
      </c>
      <c r="B128" s="24">
        <f>Weather_Site!B126</f>
        <v>44553</v>
      </c>
      <c r="C128" s="25">
        <f>Weather_Site!C126</f>
        <v>0.91666666666666663</v>
      </c>
      <c r="D128" s="27">
        <f>Weather_Site!D126</f>
        <v>26.2</v>
      </c>
      <c r="E128" s="27">
        <f>Weather_Site!E126</f>
        <v>22</v>
      </c>
      <c r="F128" s="28">
        <f>Weather_Site!F126</f>
        <v>172</v>
      </c>
      <c r="G128" s="27">
        <f>Weather_Site!G126</f>
        <v>12</v>
      </c>
      <c r="H128" s="548">
        <f>C$4</f>
        <v>0</v>
      </c>
      <c r="I128" s="27">
        <f t="shared" si="20"/>
        <v>4</v>
      </c>
      <c r="J128" s="738">
        <f>IF(Weather_Site!M126&lt;180,Weather_Site!M126+180,Weather_Site!M126-180)</f>
        <v>352</v>
      </c>
      <c r="K128" s="635">
        <f t="shared" si="21"/>
        <v>4.9980599999999997</v>
      </c>
      <c r="L128" s="635">
        <f t="shared" si="22"/>
        <v>6.1390000000000011</v>
      </c>
      <c r="M128" s="635">
        <f t="shared" si="23"/>
        <v>6.1705399999999999</v>
      </c>
      <c r="N128" s="635">
        <f t="shared" si="24"/>
        <v>6.1705399999999999</v>
      </c>
      <c r="O128" s="636">
        <f t="shared" si="25"/>
        <v>0.85483372865439988</v>
      </c>
      <c r="P128" s="635">
        <f>IF($O$11,Weather_Site!H126,IF(0.191*(Weather_Site!K126+104)*(Weather_Site!J126+1)^1.5/(3.52*(Weather_Site!J126+1)^1.5+Weather_Site!I126-1)&gt;10, 10,0.191*(Weather_Site!K126+104)*(Weather_Site!J126+1)^1.5/(3.52*(Weather_Site!J126+1)^1.5+Weather_Site!I126-1)))</f>
        <v>9</v>
      </c>
      <c r="Q128" s="636">
        <f t="shared" si="26"/>
        <v>0.98420578412222115</v>
      </c>
      <c r="R128" s="636">
        <f t="shared" si="27"/>
        <v>0.84133230020442562</v>
      </c>
      <c r="S128" s="635">
        <f t="shared" si="28"/>
        <v>1</v>
      </c>
      <c r="T128" s="707">
        <f t="shared" si="29"/>
        <v>178.26493281584683</v>
      </c>
      <c r="U128" s="707">
        <f t="shared" si="30"/>
        <v>427.84050714226413</v>
      </c>
      <c r="V128" s="707">
        <f t="shared" si="31"/>
        <v>850.14162998832626</v>
      </c>
      <c r="W128" s="636">
        <f t="shared" si="32"/>
        <v>1</v>
      </c>
      <c r="X128" s="636">
        <f t="shared" si="33"/>
        <v>2.1146679621155684E-3</v>
      </c>
      <c r="Y128" s="707">
        <f t="shared" si="34"/>
        <v>428.73353379711216</v>
      </c>
      <c r="Z128" s="635">
        <f t="shared" si="35"/>
        <v>2.7565850112419699</v>
      </c>
      <c r="AA128" s="707">
        <f t="shared" si="36"/>
        <v>117.62882292501979</v>
      </c>
      <c r="AB128" s="707">
        <f t="shared" si="37"/>
        <v>5094.7834932890164</v>
      </c>
    </row>
    <row r="129" spans="1:28" x14ac:dyDescent="0.25">
      <c r="A129" s="23" t="str">
        <f>Weather_Site!A127</f>
        <v>Thu</v>
      </c>
      <c r="B129" s="24">
        <f>Weather_Site!B127</f>
        <v>44553</v>
      </c>
      <c r="C129" s="25">
        <f>Weather_Site!C127</f>
        <v>0.95833333333333337</v>
      </c>
      <c r="D129" s="27">
        <f>Weather_Site!D127</f>
        <v>24.3</v>
      </c>
      <c r="E129" s="27">
        <f>Weather_Site!E127</f>
        <v>25.5</v>
      </c>
      <c r="F129" s="28">
        <f>Weather_Site!F127</f>
        <v>169</v>
      </c>
      <c r="G129" s="27">
        <f>Weather_Site!G127</f>
        <v>11</v>
      </c>
      <c r="H129" s="548">
        <f>C$4</f>
        <v>0</v>
      </c>
      <c r="I129" s="27">
        <f t="shared" si="20"/>
        <v>3.6666666666666665</v>
      </c>
      <c r="J129" s="738">
        <f>IF(Weather_Site!M127&lt;180,Weather_Site!M127+180,Weather_Site!M127-180)</f>
        <v>349</v>
      </c>
      <c r="K129" s="635">
        <f t="shared" si="21"/>
        <v>5.4675899999999995</v>
      </c>
      <c r="L129" s="635">
        <f t="shared" si="22"/>
        <v>6.8159999999999998</v>
      </c>
      <c r="M129" s="635">
        <f t="shared" si="23"/>
        <v>6.9553100000000008</v>
      </c>
      <c r="N129" s="635">
        <f t="shared" si="24"/>
        <v>6.9553100000000008</v>
      </c>
      <c r="O129" s="636">
        <f t="shared" si="25"/>
        <v>0.78678758948431748</v>
      </c>
      <c r="P129" s="635">
        <f>IF($O$11,Weather_Site!H127,IF(0.191*(Weather_Site!K127+104)*(Weather_Site!J127+1)^1.5/(3.52*(Weather_Site!J127+1)^1.5+Weather_Site!I127-1)&gt;10, 10,0.191*(Weather_Site!K127+104)*(Weather_Site!J127+1)^1.5/(3.52*(Weather_Site!J127+1)^1.5+Weather_Site!I127-1)))</f>
        <v>9</v>
      </c>
      <c r="Q129" s="636">
        <f t="shared" si="26"/>
        <v>0.98420578412222115</v>
      </c>
      <c r="R129" s="636">
        <f t="shared" si="27"/>
        <v>0.77436089644604489</v>
      </c>
      <c r="S129" s="635">
        <f t="shared" si="28"/>
        <v>1</v>
      </c>
      <c r="T129" s="707">
        <f t="shared" si="29"/>
        <v>149.51722549260316</v>
      </c>
      <c r="U129" s="707">
        <f t="shared" si="30"/>
        <v>357.29062882168466</v>
      </c>
      <c r="V129" s="707">
        <f t="shared" si="31"/>
        <v>705.42423831830718</v>
      </c>
      <c r="W129" s="636">
        <f t="shared" si="32"/>
        <v>1</v>
      </c>
      <c r="X129" s="636">
        <f t="shared" si="33"/>
        <v>2.6077549454799688E-4</v>
      </c>
      <c r="Y129" s="707">
        <f t="shared" si="34"/>
        <v>357.38141353586991</v>
      </c>
      <c r="Z129" s="635">
        <f t="shared" si="35"/>
        <v>2.416652856979371</v>
      </c>
      <c r="AA129" s="707">
        <f t="shared" si="36"/>
        <v>104.36322086668318</v>
      </c>
      <c r="AB129" s="707">
        <f t="shared" si="37"/>
        <v>4246.8824641845877</v>
      </c>
    </row>
    <row r="130" spans="1:28" x14ac:dyDescent="0.25">
      <c r="A130" s="23" t="str">
        <f>Weather_Site!A128</f>
        <v>Fri</v>
      </c>
      <c r="B130" s="24">
        <f>Weather_Site!B128</f>
        <v>44554</v>
      </c>
      <c r="C130" s="25">
        <f>Weather_Site!C128</f>
        <v>0</v>
      </c>
      <c r="D130" s="27">
        <f>Weather_Site!D128</f>
        <v>24.1</v>
      </c>
      <c r="E130" s="27">
        <f>Weather_Site!E128</f>
        <v>26</v>
      </c>
      <c r="F130" s="28">
        <f>Weather_Site!F128</f>
        <v>153</v>
      </c>
      <c r="G130" s="27">
        <f>Weather_Site!G128</f>
        <v>10</v>
      </c>
      <c r="H130" s="548">
        <f>C$4</f>
        <v>0</v>
      </c>
      <c r="I130" s="27">
        <f t="shared" si="20"/>
        <v>3.3333333333333335</v>
      </c>
      <c r="J130" s="738">
        <f>IF(Weather_Site!M128&lt;180,Weather_Site!M128+180,Weather_Site!M128-180)</f>
        <v>333</v>
      </c>
      <c r="K130" s="635">
        <f t="shared" si="21"/>
        <v>5.5333300000000003</v>
      </c>
      <c r="L130" s="635">
        <f t="shared" si="22"/>
        <v>6.9094999999999995</v>
      </c>
      <c r="M130" s="635">
        <f t="shared" si="23"/>
        <v>7.0639700000000012</v>
      </c>
      <c r="N130" s="635">
        <f t="shared" si="24"/>
        <v>7.0639700000000012</v>
      </c>
      <c r="O130" s="636">
        <f t="shared" si="25"/>
        <v>0.77706702792080673</v>
      </c>
      <c r="P130" s="635">
        <f>IF($O$11,Weather_Site!H128,IF(0.191*(Weather_Site!K128+104)*(Weather_Site!J128+1)^1.5/(3.52*(Weather_Site!J128+1)^1.5+Weather_Site!I128-1)&gt;10, 10,0.191*(Weather_Site!K128+104)*(Weather_Site!J128+1)^1.5/(3.52*(Weather_Site!J128+1)^1.5+Weather_Site!I128-1)))</f>
        <v>9</v>
      </c>
      <c r="Q130" s="636">
        <f t="shared" si="26"/>
        <v>0.98420578412222115</v>
      </c>
      <c r="R130" s="636">
        <f t="shared" si="27"/>
        <v>0.76479386353032153</v>
      </c>
      <c r="S130" s="635">
        <f t="shared" si="28"/>
        <v>1</v>
      </c>
      <c r="T130" s="707">
        <f t="shared" si="29"/>
        <v>133.15883453818651</v>
      </c>
      <c r="U130" s="707">
        <f t="shared" si="30"/>
        <v>316.03794959549424</v>
      </c>
      <c r="V130" s="707">
        <f t="shared" si="31"/>
        <v>621.92939037304154</v>
      </c>
      <c r="W130" s="636">
        <f t="shared" si="32"/>
        <v>1</v>
      </c>
      <c r="X130" s="636">
        <f t="shared" si="33"/>
        <v>1.5014054443842994E-4</v>
      </c>
      <c r="Y130" s="707">
        <f t="shared" si="34"/>
        <v>316.08387630295164</v>
      </c>
      <c r="Z130" s="635">
        <f t="shared" si="35"/>
        <v>2.211347298748521</v>
      </c>
      <c r="AA130" s="707">
        <f t="shared" si="36"/>
        <v>98.652895225640336</v>
      </c>
      <c r="AB130" s="707">
        <f t="shared" si="37"/>
        <v>3756.1300634000754</v>
      </c>
    </row>
    <row r="131" spans="1:28" x14ac:dyDescent="0.25">
      <c r="A131" s="23" t="str">
        <f>Weather_Site!A129</f>
        <v>Fri</v>
      </c>
      <c r="B131" s="24">
        <f>Weather_Site!B129</f>
        <v>44554</v>
      </c>
      <c r="C131" s="25">
        <f>Weather_Site!C129</f>
        <v>4.1666666666666664E-2</v>
      </c>
      <c r="D131" s="27">
        <f>Weather_Site!D129</f>
        <v>22.8</v>
      </c>
      <c r="E131" s="27">
        <f>Weather_Site!E129</f>
        <v>27.7</v>
      </c>
      <c r="F131" s="28">
        <f>Weather_Site!F129</f>
        <v>152</v>
      </c>
      <c r="G131" s="27">
        <f>Weather_Site!G129</f>
        <v>12</v>
      </c>
      <c r="H131" s="548">
        <f>C$4</f>
        <v>0</v>
      </c>
      <c r="I131" s="27">
        <f t="shared" si="20"/>
        <v>4</v>
      </c>
      <c r="J131" s="738">
        <f>IF(Weather_Site!M129&lt;180,Weather_Site!M129+180,Weather_Site!M129-180)</f>
        <v>332</v>
      </c>
      <c r="K131" s="635">
        <f t="shared" si="21"/>
        <v>5.76844</v>
      </c>
      <c r="L131" s="635">
        <f t="shared" si="22"/>
        <v>7.2553000000000001</v>
      </c>
      <c r="M131" s="635">
        <f t="shared" si="23"/>
        <v>7.4633600000000007</v>
      </c>
      <c r="N131" s="635">
        <f t="shared" si="24"/>
        <v>7.4633600000000007</v>
      </c>
      <c r="O131" s="636">
        <f t="shared" si="25"/>
        <v>0.74094819255897526</v>
      </c>
      <c r="P131" s="635">
        <f>IF($O$11,Weather_Site!H129,IF(0.191*(Weather_Site!K129+104)*(Weather_Site!J129+1)^1.5/(3.52*(Weather_Site!J129+1)^1.5+Weather_Site!I129-1)&gt;10, 10,0.191*(Weather_Site!K129+104)*(Weather_Site!J129+1)^1.5/(3.52*(Weather_Site!J129+1)^1.5+Weather_Site!I129-1)))</f>
        <v>9</v>
      </c>
      <c r="Q131" s="636">
        <f t="shared" si="26"/>
        <v>0.98420578412222115</v>
      </c>
      <c r="R131" s="636">
        <f t="shared" si="27"/>
        <v>0.72924549685144879</v>
      </c>
      <c r="S131" s="635">
        <f t="shared" si="28"/>
        <v>1</v>
      </c>
      <c r="T131" s="707">
        <f t="shared" si="29"/>
        <v>154.51552195356751</v>
      </c>
      <c r="U131" s="707">
        <f t="shared" si="30"/>
        <v>370.84129912559729</v>
      </c>
      <c r="V131" s="707">
        <f t="shared" si="31"/>
        <v>736.88120045349524</v>
      </c>
      <c r="W131" s="636">
        <f t="shared" si="32"/>
        <v>1</v>
      </c>
      <c r="X131" s="636">
        <f t="shared" si="33"/>
        <v>1.0422085640876853E-4</v>
      </c>
      <c r="Y131" s="707">
        <f t="shared" si="34"/>
        <v>370.87944811759343</v>
      </c>
      <c r="Z131" s="635">
        <f t="shared" si="35"/>
        <v>2.4823050609128989</v>
      </c>
      <c r="AA131" s="707">
        <f t="shared" si="36"/>
        <v>101.75577483472163</v>
      </c>
      <c r="AB131" s="707">
        <f t="shared" si="37"/>
        <v>4407.2841084640686</v>
      </c>
    </row>
    <row r="132" spans="1:28" x14ac:dyDescent="0.25">
      <c r="A132" s="23" t="str">
        <f>Weather_Site!A130</f>
        <v>Fri</v>
      </c>
      <c r="B132" s="24">
        <f>Weather_Site!B130</f>
        <v>44554</v>
      </c>
      <c r="C132" s="25">
        <f>Weather_Site!C130</f>
        <v>8.3333333333333329E-2</v>
      </c>
      <c r="D132" s="27">
        <f>Weather_Site!D130</f>
        <v>21.6</v>
      </c>
      <c r="E132" s="27">
        <f>Weather_Site!E130</f>
        <v>29.6</v>
      </c>
      <c r="F132" s="28">
        <f>Weather_Site!F130</f>
        <v>151</v>
      </c>
      <c r="G132" s="27">
        <f>Weather_Site!G130</f>
        <v>13</v>
      </c>
      <c r="H132" s="548">
        <f>C$4</f>
        <v>0</v>
      </c>
      <c r="I132" s="27">
        <f t="shared" si="20"/>
        <v>4.333333333333333</v>
      </c>
      <c r="J132" s="738">
        <f>IF(Weather_Site!M130&lt;180,Weather_Site!M130+180,Weather_Site!M130-180)</f>
        <v>331</v>
      </c>
      <c r="K132" s="635">
        <f t="shared" si="21"/>
        <v>6.0264800000000003</v>
      </c>
      <c r="L132" s="635">
        <f t="shared" si="22"/>
        <v>7.6304000000000016</v>
      </c>
      <c r="M132" s="635">
        <f t="shared" si="23"/>
        <v>7.8975199999999992</v>
      </c>
      <c r="N132" s="635">
        <f t="shared" si="24"/>
        <v>7.8975199999999992</v>
      </c>
      <c r="O132" s="636">
        <f t="shared" si="25"/>
        <v>0.70127386732099151</v>
      </c>
      <c r="P132" s="635">
        <f>IF($O$11,Weather_Site!H130,IF(0.191*(Weather_Site!K130+104)*(Weather_Site!J130+1)^1.5/(3.52*(Weather_Site!J130+1)^1.5+Weather_Site!I130-1)&gt;10, 10,0.191*(Weather_Site!K130+104)*(Weather_Site!J130+1)^1.5/(3.52*(Weather_Site!J130+1)^1.5+Weather_Site!I130-1)))</f>
        <v>9</v>
      </c>
      <c r="Q132" s="636">
        <f t="shared" si="26"/>
        <v>0.98420578412222115</v>
      </c>
      <c r="R132" s="636">
        <f t="shared" si="27"/>
        <v>0.69019779647107893</v>
      </c>
      <c r="S132" s="635">
        <f t="shared" si="28"/>
        <v>1</v>
      </c>
      <c r="T132" s="707">
        <f t="shared" si="29"/>
        <v>159.11117610597719</v>
      </c>
      <c r="U132" s="707">
        <f t="shared" si="30"/>
        <v>382.88593097937951</v>
      </c>
      <c r="V132" s="707">
        <f t="shared" si="31"/>
        <v>767.20017138174353</v>
      </c>
      <c r="W132" s="636">
        <f t="shared" si="32"/>
        <v>1</v>
      </c>
      <c r="X132" s="636">
        <f t="shared" si="33"/>
        <v>4.9024638379580863E-5</v>
      </c>
      <c r="Y132" s="707">
        <f t="shared" si="34"/>
        <v>382.90477184603935</v>
      </c>
      <c r="Z132" s="635">
        <f t="shared" si="35"/>
        <v>2.5402385027225298</v>
      </c>
      <c r="AA132" s="707">
        <f t="shared" si="36"/>
        <v>99.064672422135814</v>
      </c>
      <c r="AB132" s="707">
        <f t="shared" si="37"/>
        <v>4550.1850387704344</v>
      </c>
    </row>
    <row r="133" spans="1:28" x14ac:dyDescent="0.25">
      <c r="A133" s="23" t="str">
        <f>Weather_Site!A131</f>
        <v>Fri</v>
      </c>
      <c r="B133" s="24">
        <f>Weather_Site!B131</f>
        <v>44554</v>
      </c>
      <c r="C133" s="25">
        <f>Weather_Site!C131</f>
        <v>0.125</v>
      </c>
      <c r="D133" s="27">
        <f>Weather_Site!D131</f>
        <v>20.3</v>
      </c>
      <c r="E133" s="27">
        <f>Weather_Site!E131</f>
        <v>32.1</v>
      </c>
      <c r="F133" s="28">
        <f>Weather_Site!F131</f>
        <v>151</v>
      </c>
      <c r="G133" s="27">
        <f>Weather_Site!G131</f>
        <v>11</v>
      </c>
      <c r="H133" s="548">
        <f>C$4</f>
        <v>0</v>
      </c>
      <c r="I133" s="27">
        <f t="shared" si="20"/>
        <v>3.6666666666666665</v>
      </c>
      <c r="J133" s="738">
        <f>IF(Weather_Site!M131&lt;180,Weather_Site!M131+180,Weather_Site!M131-180)</f>
        <v>331</v>
      </c>
      <c r="K133" s="635">
        <f t="shared" si="21"/>
        <v>6.3607899999999988</v>
      </c>
      <c r="L133" s="635">
        <f t="shared" si="22"/>
        <v>8.1113999999999997</v>
      </c>
      <c r="M133" s="635">
        <f t="shared" si="23"/>
        <v>8.4553100000000008</v>
      </c>
      <c r="N133" s="635">
        <f t="shared" si="24"/>
        <v>8.4553100000000008</v>
      </c>
      <c r="O133" s="636">
        <f t="shared" si="25"/>
        <v>0.65027583416357315</v>
      </c>
      <c r="P133" s="635">
        <f>IF($O$11,Weather_Site!H131,IF(0.191*(Weather_Site!K131+104)*(Weather_Site!J131+1)^1.5/(3.52*(Weather_Site!J131+1)^1.5+Weather_Site!I131-1)&gt;10, 10,0.191*(Weather_Site!K131+104)*(Weather_Site!J131+1)^1.5/(3.52*(Weather_Site!J131+1)^1.5+Weather_Site!I131-1)))</f>
        <v>9</v>
      </c>
      <c r="Q133" s="636">
        <f t="shared" si="26"/>
        <v>0.98420578412222115</v>
      </c>
      <c r="R133" s="636">
        <f t="shared" si="27"/>
        <v>0.64000523725869096</v>
      </c>
      <c r="S133" s="635">
        <f t="shared" si="28"/>
        <v>1</v>
      </c>
      <c r="T133" s="707">
        <f t="shared" si="29"/>
        <v>123.57520610200673</v>
      </c>
      <c r="U133" s="707">
        <f t="shared" si="30"/>
        <v>295.29883897651342</v>
      </c>
      <c r="V133" s="707">
        <f t="shared" si="31"/>
        <v>583.02944929812452</v>
      </c>
      <c r="W133" s="636">
        <f t="shared" si="32"/>
        <v>1</v>
      </c>
      <c r="X133" s="636">
        <f t="shared" si="33"/>
        <v>0</v>
      </c>
      <c r="Y133" s="707">
        <f t="shared" si="34"/>
        <v>295.29883897651342</v>
      </c>
      <c r="Z133" s="635">
        <f t="shared" si="35"/>
        <v>2.105227813170206</v>
      </c>
      <c r="AA133" s="707">
        <f t="shared" si="36"/>
        <v>86.233745758822977</v>
      </c>
      <c r="AB133" s="707">
        <f t="shared" si="37"/>
        <v>3509.1345365042348</v>
      </c>
    </row>
    <row r="134" spans="1:28" x14ac:dyDescent="0.25">
      <c r="A134" s="23" t="str">
        <f>Weather_Site!A132</f>
        <v>Fri</v>
      </c>
      <c r="B134" s="24">
        <f>Weather_Site!B132</f>
        <v>44554</v>
      </c>
      <c r="C134" s="25">
        <f>Weather_Site!C132</f>
        <v>0.16666666666666666</v>
      </c>
      <c r="D134" s="27">
        <f>Weather_Site!D132</f>
        <v>19.5</v>
      </c>
      <c r="E134" s="27">
        <f>Weather_Site!E132</f>
        <v>34</v>
      </c>
      <c r="F134" s="28">
        <f>Weather_Site!F132</f>
        <v>149</v>
      </c>
      <c r="G134" s="27">
        <f>Weather_Site!G132</f>
        <v>10</v>
      </c>
      <c r="H134" s="548">
        <f>C$4</f>
        <v>0</v>
      </c>
      <c r="I134" s="27">
        <f t="shared" si="20"/>
        <v>3.3333333333333335</v>
      </c>
      <c r="J134" s="738">
        <f>IF(Weather_Site!M132&lt;180,Weather_Site!M132+180,Weather_Site!M132-180)</f>
        <v>329</v>
      </c>
      <c r="K134" s="635">
        <f t="shared" si="21"/>
        <v>6.6113499999999998</v>
      </c>
      <c r="L134" s="635">
        <f t="shared" si="22"/>
        <v>8.4685000000000006</v>
      </c>
      <c r="M134" s="635">
        <f t="shared" si="23"/>
        <v>8.8701500000000006</v>
      </c>
      <c r="N134" s="635">
        <f t="shared" si="24"/>
        <v>8.8701500000000006</v>
      </c>
      <c r="O134" s="636">
        <f t="shared" si="25"/>
        <v>0.61273700324488178</v>
      </c>
      <c r="P134" s="635">
        <f>IF($O$11,Weather_Site!H132,IF(0.191*(Weather_Site!K132+104)*(Weather_Site!J132+1)^1.5/(3.52*(Weather_Site!J132+1)^1.5+Weather_Site!I132-1)&gt;10, 10,0.191*(Weather_Site!K132+104)*(Weather_Site!J132+1)^1.5/(3.52*(Weather_Site!J132+1)^1.5+Weather_Site!I132-1)))</f>
        <v>9</v>
      </c>
      <c r="Q134" s="636">
        <f t="shared" si="26"/>
        <v>0.98420578412222115</v>
      </c>
      <c r="R134" s="636">
        <f t="shared" si="27"/>
        <v>0.60305930273932884</v>
      </c>
      <c r="S134" s="635">
        <f t="shared" si="28"/>
        <v>1</v>
      </c>
      <c r="T134" s="707">
        <f t="shared" si="29"/>
        <v>104.99910856959522</v>
      </c>
      <c r="U134" s="707">
        <f t="shared" si="30"/>
        <v>249.20391573548451</v>
      </c>
      <c r="V134" s="707">
        <f t="shared" si="31"/>
        <v>490.40705266667243</v>
      </c>
      <c r="W134" s="636">
        <f t="shared" si="32"/>
        <v>1</v>
      </c>
      <c r="X134" s="636">
        <f t="shared" si="33"/>
        <v>0</v>
      </c>
      <c r="Y134" s="707">
        <f t="shared" si="34"/>
        <v>249.20391573548451</v>
      </c>
      <c r="Z134" s="635">
        <f t="shared" si="35"/>
        <v>1.8621258401818532</v>
      </c>
      <c r="AA134" s="707">
        <f t="shared" si="36"/>
        <v>77.778999917442107</v>
      </c>
      <c r="AB134" s="707">
        <f t="shared" si="37"/>
        <v>2961.3731986566745</v>
      </c>
    </row>
    <row r="135" spans="1:28" x14ac:dyDescent="0.25">
      <c r="A135" s="23" t="str">
        <f>Weather_Site!A133</f>
        <v>Fri</v>
      </c>
      <c r="B135" s="24">
        <f>Weather_Site!B133</f>
        <v>44554</v>
      </c>
      <c r="C135" s="25">
        <f>Weather_Site!C133</f>
        <v>0.20833333333333334</v>
      </c>
      <c r="D135" s="27">
        <f>Weather_Site!D133</f>
        <v>18.8</v>
      </c>
      <c r="E135" s="27">
        <f>Weather_Site!E133</f>
        <v>34.5</v>
      </c>
      <c r="F135" s="28">
        <f>Weather_Site!F133</f>
        <v>145</v>
      </c>
      <c r="G135" s="27">
        <f>Weather_Site!G133</f>
        <v>11</v>
      </c>
      <c r="H135" s="548">
        <f>C$4</f>
        <v>0</v>
      </c>
      <c r="I135" s="27">
        <f t="shared" si="20"/>
        <v>3.6666666666666665</v>
      </c>
      <c r="J135" s="738">
        <f>IF(Weather_Site!M133&lt;180,Weather_Site!M133+180,Weather_Site!M133-180)</f>
        <v>325</v>
      </c>
      <c r="K135" s="635">
        <f t="shared" si="21"/>
        <v>6.6864399999999993</v>
      </c>
      <c r="L135" s="635">
        <f t="shared" si="22"/>
        <v>8.5845000000000002</v>
      </c>
      <c r="M135" s="635">
        <f t="shared" si="23"/>
        <v>9.0029600000000016</v>
      </c>
      <c r="N135" s="635">
        <f t="shared" si="24"/>
        <v>9.0029600000000016</v>
      </c>
      <c r="O135" s="636">
        <f t="shared" si="25"/>
        <v>0.60084282439116743</v>
      </c>
      <c r="P135" s="635">
        <f>IF($O$11,Weather_Site!H133,IF(0.191*(Weather_Site!K133+104)*(Weather_Site!J133+1)^1.5/(3.52*(Weather_Site!J133+1)^1.5+Weather_Site!I133-1)&gt;10, 10,0.191*(Weather_Site!K133+104)*(Weather_Site!J133+1)^1.5/(3.52*(Weather_Site!J133+1)^1.5+Weather_Site!I133-1)))</f>
        <v>9</v>
      </c>
      <c r="Q135" s="636">
        <f t="shared" si="26"/>
        <v>0.98420578412222115</v>
      </c>
      <c r="R135" s="636">
        <f t="shared" si="27"/>
        <v>0.59135298311411899</v>
      </c>
      <c r="S135" s="635">
        <f t="shared" si="28"/>
        <v>1</v>
      </c>
      <c r="T135" s="707">
        <f t="shared" si="29"/>
        <v>114.18120120449282</v>
      </c>
      <c r="U135" s="707">
        <f t="shared" si="30"/>
        <v>272.85065679597415</v>
      </c>
      <c r="V135" s="707">
        <f t="shared" si="31"/>
        <v>538.7084105164422</v>
      </c>
      <c r="W135" s="636">
        <f t="shared" si="32"/>
        <v>1</v>
      </c>
      <c r="X135" s="636">
        <f t="shared" si="33"/>
        <v>0</v>
      </c>
      <c r="Y135" s="707">
        <f t="shared" si="34"/>
        <v>272.85065679597415</v>
      </c>
      <c r="Z135" s="635">
        <f t="shared" si="35"/>
        <v>1.9882621222468535</v>
      </c>
      <c r="AA135" s="707">
        <f t="shared" si="36"/>
        <v>79.678383598871079</v>
      </c>
      <c r="AB135" s="707">
        <f t="shared" si="37"/>
        <v>3242.3753049254924</v>
      </c>
    </row>
    <row r="136" spans="1:28" x14ac:dyDescent="0.25">
      <c r="A136" s="23" t="str">
        <f>Weather_Site!A134</f>
        <v>Fri</v>
      </c>
      <c r="B136" s="24">
        <f>Weather_Site!B134</f>
        <v>44554</v>
      </c>
      <c r="C136" s="25">
        <f>Weather_Site!C134</f>
        <v>0.25</v>
      </c>
      <c r="D136" s="27">
        <f>Weather_Site!D134</f>
        <v>18.100000000000001</v>
      </c>
      <c r="E136" s="27">
        <f>Weather_Site!E134</f>
        <v>37.299999999999997</v>
      </c>
      <c r="F136" s="28">
        <f>Weather_Site!F134</f>
        <v>142</v>
      </c>
      <c r="G136" s="27">
        <f>Weather_Site!G134</f>
        <v>12</v>
      </c>
      <c r="H136" s="548">
        <f>C$4</f>
        <v>0</v>
      </c>
      <c r="I136" s="27">
        <f t="shared" si="20"/>
        <v>4</v>
      </c>
      <c r="J136" s="738">
        <f>IF(Weather_Site!M134&lt;180,Weather_Site!M134+180,Weather_Site!M134-180)</f>
        <v>322</v>
      </c>
      <c r="K136" s="635">
        <f t="shared" si="21"/>
        <v>7.0467299999999993</v>
      </c>
      <c r="L136" s="635">
        <f t="shared" si="22"/>
        <v>9.0891999999999999</v>
      </c>
      <c r="M136" s="635">
        <f t="shared" si="23"/>
        <v>9.5911699999999982</v>
      </c>
      <c r="N136" s="635">
        <f t="shared" si="24"/>
        <v>9.5911699999999982</v>
      </c>
      <c r="O136" s="636">
        <f t="shared" si="25"/>
        <v>0.54917852542179812</v>
      </c>
      <c r="P136" s="635">
        <f>IF($O$11,Weather_Site!H134,IF(0.191*(Weather_Site!K134+104)*(Weather_Site!J134+1)^1.5/(3.52*(Weather_Site!J134+1)^1.5+Weather_Site!I134-1)&gt;10, 10,0.191*(Weather_Site!K134+104)*(Weather_Site!J134+1)^1.5/(3.52*(Weather_Site!J134+1)^1.5+Weather_Site!I134-1)))</f>
        <v>9</v>
      </c>
      <c r="Q136" s="636">
        <f t="shared" si="26"/>
        <v>0.98420578412222115</v>
      </c>
      <c r="R136" s="636">
        <f t="shared" si="27"/>
        <v>0.54050468123584594</v>
      </c>
      <c r="S136" s="635">
        <f t="shared" si="28"/>
        <v>1</v>
      </c>
      <c r="T136" s="707">
        <f t="shared" si="29"/>
        <v>114.52434509378409</v>
      </c>
      <c r="U136" s="707">
        <f t="shared" si="30"/>
        <v>274.86142737717716</v>
      </c>
      <c r="V136" s="707">
        <f t="shared" si="31"/>
        <v>546.16413824895687</v>
      </c>
      <c r="W136" s="636">
        <f t="shared" si="32"/>
        <v>1</v>
      </c>
      <c r="X136" s="636">
        <f t="shared" si="33"/>
        <v>0</v>
      </c>
      <c r="Y136" s="707">
        <f t="shared" si="34"/>
        <v>274.86142737717716</v>
      </c>
      <c r="Z136" s="635">
        <f t="shared" si="35"/>
        <v>1.9988450868070127</v>
      </c>
      <c r="AA136" s="707">
        <f t="shared" si="36"/>
        <v>75.411936835265891</v>
      </c>
      <c r="AB136" s="707">
        <f t="shared" si="37"/>
        <v>3266.2699619987889</v>
      </c>
    </row>
    <row r="137" spans="1:28" x14ac:dyDescent="0.25">
      <c r="A137" s="23" t="str">
        <f>Weather_Site!A135</f>
        <v>Fri</v>
      </c>
      <c r="B137" s="24">
        <f>Weather_Site!B135</f>
        <v>44554</v>
      </c>
      <c r="C137" s="25">
        <f>Weather_Site!C135</f>
        <v>0.29166666666666669</v>
      </c>
      <c r="D137" s="27">
        <f>Weather_Site!D135</f>
        <v>19.2</v>
      </c>
      <c r="E137" s="27">
        <f>Weather_Site!E135</f>
        <v>35.799999999999997</v>
      </c>
      <c r="F137" s="28">
        <f>Weather_Site!F135</f>
        <v>141</v>
      </c>
      <c r="G137" s="27">
        <f>Weather_Site!G135</f>
        <v>14</v>
      </c>
      <c r="H137" s="548">
        <f>C$4</f>
        <v>0</v>
      </c>
      <c r="I137" s="27">
        <f t="shared" si="20"/>
        <v>4.666666666666667</v>
      </c>
      <c r="J137" s="738">
        <f>IF(Weather_Site!M135&lt;180,Weather_Site!M135+180,Weather_Site!M135-180)</f>
        <v>321</v>
      </c>
      <c r="K137" s="635">
        <f t="shared" si="21"/>
        <v>6.8401599999999991</v>
      </c>
      <c r="L137" s="635">
        <f t="shared" si="22"/>
        <v>8.7861999999999991</v>
      </c>
      <c r="M137" s="635">
        <f t="shared" si="23"/>
        <v>9.2410399999999999</v>
      </c>
      <c r="N137" s="635">
        <f t="shared" si="24"/>
        <v>9.2410399999999999</v>
      </c>
      <c r="O137" s="636">
        <f t="shared" si="25"/>
        <v>0.57971417331009423</v>
      </c>
      <c r="P137" s="635">
        <f>IF($O$11,Weather_Site!H135,IF(0.191*(Weather_Site!K135+104)*(Weather_Site!J135+1)^1.5/(3.52*(Weather_Site!J135+1)^1.5+Weather_Site!I135-1)&gt;10, 10,0.191*(Weather_Site!K135+104)*(Weather_Site!J135+1)^1.5/(3.52*(Weather_Site!J135+1)^1.5+Weather_Site!I135-1)))</f>
        <v>9</v>
      </c>
      <c r="Q137" s="636">
        <f t="shared" si="26"/>
        <v>0.98420578412222115</v>
      </c>
      <c r="R137" s="636">
        <f t="shared" si="27"/>
        <v>0.57055804250942654</v>
      </c>
      <c r="S137" s="635">
        <f t="shared" si="28"/>
        <v>1</v>
      </c>
      <c r="T137" s="707">
        <f t="shared" si="29"/>
        <v>142.09084165229302</v>
      </c>
      <c r="U137" s="707">
        <f t="shared" si="30"/>
        <v>342.43109761715482</v>
      </c>
      <c r="V137" s="707">
        <f t="shared" si="31"/>
        <v>692.7490260363877</v>
      </c>
      <c r="W137" s="636">
        <f t="shared" si="32"/>
        <v>1</v>
      </c>
      <c r="X137" s="636">
        <f t="shared" si="33"/>
        <v>2.6441308585349311E-6</v>
      </c>
      <c r="Y137" s="707">
        <f t="shared" si="34"/>
        <v>342.43202390359966</v>
      </c>
      <c r="Z137" s="635">
        <f t="shared" si="35"/>
        <v>2.3431340376975514</v>
      </c>
      <c r="AA137" s="707">
        <f t="shared" si="36"/>
        <v>83.814378280693077</v>
      </c>
      <c r="AB137" s="707">
        <f t="shared" si="37"/>
        <v>4069.2338840544426</v>
      </c>
    </row>
    <row r="138" spans="1:28" x14ac:dyDescent="0.25">
      <c r="A138" s="23" t="str">
        <f>Weather_Site!A136</f>
        <v>Fri</v>
      </c>
      <c r="B138" s="24">
        <f>Weather_Site!B136</f>
        <v>44554</v>
      </c>
      <c r="C138" s="25">
        <f>Weather_Site!C136</f>
        <v>0.33333333333333331</v>
      </c>
      <c r="D138" s="27">
        <f>Weather_Site!D136</f>
        <v>22</v>
      </c>
      <c r="E138" s="27">
        <f>Weather_Site!E136</f>
        <v>31.5</v>
      </c>
      <c r="F138" s="28">
        <f>Weather_Site!F136</f>
        <v>138</v>
      </c>
      <c r="G138" s="27">
        <f>Weather_Site!G136</f>
        <v>19</v>
      </c>
      <c r="H138" s="548">
        <f>C$4</f>
        <v>0</v>
      </c>
      <c r="I138" s="27">
        <f t="shared" si="20"/>
        <v>6.333333333333333</v>
      </c>
      <c r="J138" s="738">
        <f>IF(Weather_Site!M136&lt;180,Weather_Site!M136+180,Weather_Site!M136-180)</f>
        <v>318</v>
      </c>
      <c r="K138" s="635">
        <f t="shared" si="21"/>
        <v>6.2545999999999999</v>
      </c>
      <c r="L138" s="635">
        <f t="shared" si="22"/>
        <v>7.9335000000000004</v>
      </c>
      <c r="M138" s="635">
        <f t="shared" si="23"/>
        <v>8.2544000000000004</v>
      </c>
      <c r="N138" s="635">
        <f t="shared" si="24"/>
        <v>7.9335000000000004</v>
      </c>
      <c r="O138" s="636">
        <f t="shared" si="25"/>
        <v>0.69797850986065724</v>
      </c>
      <c r="P138" s="635">
        <f>IF($O$11,Weather_Site!H136,IF(0.191*(Weather_Site!K136+104)*(Weather_Site!J136+1)^1.5/(3.52*(Weather_Site!J136+1)^1.5+Weather_Site!I136-1)&gt;10, 10,0.191*(Weather_Site!K136+104)*(Weather_Site!J136+1)^1.5/(3.52*(Weather_Site!J136+1)^1.5+Weather_Site!I136-1)))</f>
        <v>9</v>
      </c>
      <c r="Q138" s="636">
        <f t="shared" si="26"/>
        <v>0.98420578412222115</v>
      </c>
      <c r="R138" s="636">
        <f t="shared" si="27"/>
        <v>0.68695448659786762</v>
      </c>
      <c r="S138" s="635">
        <f t="shared" si="28"/>
        <v>1</v>
      </c>
      <c r="T138" s="707">
        <f t="shared" si="29"/>
        <v>233.51036590518993</v>
      </c>
      <c r="U138" s="707">
        <f t="shared" si="30"/>
        <v>561.77658405231421</v>
      </c>
      <c r="V138" s="707">
        <f t="shared" si="31"/>
        <v>1200.0469571513065</v>
      </c>
      <c r="W138" s="636">
        <f t="shared" si="32"/>
        <v>1</v>
      </c>
      <c r="X138" s="636">
        <f t="shared" si="33"/>
        <v>2.6389448066500745E-4</v>
      </c>
      <c r="Y138" s="707">
        <f t="shared" si="34"/>
        <v>561.94502008094707</v>
      </c>
      <c r="Z138" s="635">
        <f t="shared" si="35"/>
        <v>3.3521890125475391</v>
      </c>
      <c r="AA138" s="707">
        <f t="shared" si="36"/>
        <v>108.32466267270934</v>
      </c>
      <c r="AB138" s="707">
        <f t="shared" si="37"/>
        <v>6677.7799886285866</v>
      </c>
    </row>
    <row r="139" spans="1:28" x14ac:dyDescent="0.25">
      <c r="A139" s="23" t="str">
        <f>Weather_Site!A137</f>
        <v>Fri</v>
      </c>
      <c r="B139" s="24">
        <f>Weather_Site!B137</f>
        <v>44554</v>
      </c>
      <c r="C139" s="25">
        <f>Weather_Site!C137</f>
        <v>0.375</v>
      </c>
      <c r="D139" s="27">
        <f>Weather_Site!D137</f>
        <v>24.3</v>
      </c>
      <c r="E139" s="27">
        <f>Weather_Site!E137</f>
        <v>28</v>
      </c>
      <c r="F139" s="28">
        <f>Weather_Site!F137</f>
        <v>136</v>
      </c>
      <c r="G139" s="27">
        <f>Weather_Site!G137</f>
        <v>12</v>
      </c>
      <c r="H139" s="548">
        <f>C$4</f>
        <v>0</v>
      </c>
      <c r="I139" s="27">
        <f t="shared" si="20"/>
        <v>4</v>
      </c>
      <c r="J139" s="738">
        <f>IF(Weather_Site!M137&lt;180,Weather_Site!M137+180,Weather_Site!M137-180)</f>
        <v>316</v>
      </c>
      <c r="K139" s="635">
        <f t="shared" si="21"/>
        <v>5.7775899999999991</v>
      </c>
      <c r="L139" s="635">
        <f t="shared" si="22"/>
        <v>7.238500000000001</v>
      </c>
      <c r="M139" s="635">
        <f t="shared" si="23"/>
        <v>7.45031</v>
      </c>
      <c r="N139" s="635">
        <f t="shared" si="24"/>
        <v>7.238500000000001</v>
      </c>
      <c r="O139" s="636">
        <f t="shared" si="25"/>
        <v>0.76134931009013018</v>
      </c>
      <c r="P139" s="635">
        <f>IF($O$11,Weather_Site!H137,IF(0.191*(Weather_Site!K137+104)*(Weather_Site!J137+1)^1.5/(3.52*(Weather_Site!J137+1)^1.5+Weather_Site!I137-1)&gt;10, 10,0.191*(Weather_Site!K137+104)*(Weather_Site!J137+1)^1.5/(3.52*(Weather_Site!J137+1)^1.5+Weather_Site!I137-1)))</f>
        <v>9</v>
      </c>
      <c r="Q139" s="636">
        <f t="shared" si="26"/>
        <v>0.98420578412222115</v>
      </c>
      <c r="R139" s="636">
        <f t="shared" si="27"/>
        <v>0.7493243947281687</v>
      </c>
      <c r="S139" s="635">
        <f t="shared" si="28"/>
        <v>1</v>
      </c>
      <c r="T139" s="707">
        <f t="shared" si="29"/>
        <v>158.76992105382791</v>
      </c>
      <c r="U139" s="707">
        <f t="shared" si="30"/>
        <v>381.0519683800004</v>
      </c>
      <c r="V139" s="707">
        <f t="shared" si="31"/>
        <v>757.17033824736825</v>
      </c>
      <c r="W139" s="636">
        <f t="shared" si="32"/>
        <v>1</v>
      </c>
      <c r="X139" s="636">
        <f t="shared" si="33"/>
        <v>1.7875675561632761E-4</v>
      </c>
      <c r="Y139" s="707">
        <f t="shared" si="34"/>
        <v>381.11920207952562</v>
      </c>
      <c r="Z139" s="635">
        <f t="shared" si="35"/>
        <v>2.5316685229681402</v>
      </c>
      <c r="AA139" s="707">
        <f t="shared" si="36"/>
        <v>104.56518933261786</v>
      </c>
      <c r="AB139" s="707">
        <f t="shared" si="37"/>
        <v>4528.9665180450293</v>
      </c>
    </row>
    <row r="140" spans="1:28" x14ac:dyDescent="0.25">
      <c r="A140" s="23" t="str">
        <f>Weather_Site!A138</f>
        <v>Fri</v>
      </c>
      <c r="B140" s="24">
        <f>Weather_Site!B138</f>
        <v>44554</v>
      </c>
      <c r="C140" s="25">
        <f>Weather_Site!C138</f>
        <v>0.41666666666666669</v>
      </c>
      <c r="D140" s="27">
        <f>Weather_Site!D138</f>
        <v>26.9</v>
      </c>
      <c r="E140" s="27">
        <f>Weather_Site!E138</f>
        <v>23.2</v>
      </c>
      <c r="F140" s="28">
        <f>Weather_Site!F138</f>
        <v>138</v>
      </c>
      <c r="G140" s="27">
        <f>Weather_Site!G138</f>
        <v>16</v>
      </c>
      <c r="H140" s="548">
        <f>C$4</f>
        <v>0</v>
      </c>
      <c r="I140" s="27">
        <f t="shared" si="20"/>
        <v>5.333333333333333</v>
      </c>
      <c r="J140" s="738">
        <f>IF(Weather_Site!M138&lt;180,Weather_Site!M138+180,Weather_Site!M138-180)</f>
        <v>318</v>
      </c>
      <c r="K140" s="635">
        <f t="shared" si="21"/>
        <v>5.1337699999999993</v>
      </c>
      <c r="L140" s="635">
        <f t="shared" si="22"/>
        <v>6.3103000000000007</v>
      </c>
      <c r="M140" s="635">
        <f t="shared" si="23"/>
        <v>6.3743300000000005</v>
      </c>
      <c r="N140" s="635">
        <f t="shared" si="24"/>
        <v>6.3103000000000007</v>
      </c>
      <c r="O140" s="636">
        <f t="shared" si="25"/>
        <v>0.84305632384516871</v>
      </c>
      <c r="P140" s="635">
        <f>IF($O$11,Weather_Site!H138,IF(0.191*(Weather_Site!K138+104)*(Weather_Site!J138+1)^1.5/(3.52*(Weather_Site!J138+1)^1.5+Weather_Site!I138-1)&gt;10, 10,0.191*(Weather_Site!K138+104)*(Weather_Site!J138+1)^1.5/(3.52*(Weather_Site!J138+1)^1.5+Weather_Site!I138-1)))</f>
        <v>9</v>
      </c>
      <c r="Q140" s="636">
        <f t="shared" si="26"/>
        <v>0.98420578412222115</v>
      </c>
      <c r="R140" s="636">
        <f t="shared" si="27"/>
        <v>0.82974091026923147</v>
      </c>
      <c r="S140" s="635">
        <f t="shared" si="28"/>
        <v>1</v>
      </c>
      <c r="T140" s="707">
        <f t="shared" si="29"/>
        <v>237.05291922798804</v>
      </c>
      <c r="U140" s="707">
        <f t="shared" si="30"/>
        <v>571.63686689975123</v>
      </c>
      <c r="V140" s="707">
        <f t="shared" si="31"/>
        <v>1181.1450722312659</v>
      </c>
      <c r="W140" s="636">
        <f t="shared" si="32"/>
        <v>1</v>
      </c>
      <c r="X140" s="636">
        <f t="shared" si="33"/>
        <v>5.0272580679649303E-3</v>
      </c>
      <c r="Y140" s="707">
        <f t="shared" si="34"/>
        <v>574.70102194249489</v>
      </c>
      <c r="Z140" s="635">
        <f t="shared" si="35"/>
        <v>3.4070335115576178</v>
      </c>
      <c r="AA140" s="707">
        <f t="shared" si="36"/>
        <v>126.96646826230443</v>
      </c>
      <c r="AB140" s="707">
        <f t="shared" si="37"/>
        <v>6829.363810749981</v>
      </c>
    </row>
    <row r="141" spans="1:28" x14ac:dyDescent="0.25">
      <c r="A141" s="23" t="str">
        <f>Weather_Site!A139</f>
        <v>Fri</v>
      </c>
      <c r="B141" s="24">
        <f>Weather_Site!B139</f>
        <v>44554</v>
      </c>
      <c r="C141" s="25">
        <f>Weather_Site!C139</f>
        <v>0.45833333333333331</v>
      </c>
      <c r="D141" s="27">
        <f>Weather_Site!D139</f>
        <v>28.8</v>
      </c>
      <c r="E141" s="27">
        <f>Weather_Site!E139</f>
        <v>20.399999999999999</v>
      </c>
      <c r="F141" s="28">
        <f>Weather_Site!F139</f>
        <v>136</v>
      </c>
      <c r="G141" s="27">
        <f>Weather_Site!G139</f>
        <v>13</v>
      </c>
      <c r="H141" s="548">
        <f>C$4</f>
        <v>0</v>
      </c>
      <c r="I141" s="27">
        <f t="shared" si="20"/>
        <v>4.333333333333333</v>
      </c>
      <c r="J141" s="738">
        <f>IF(Weather_Site!M139&lt;180,Weather_Site!M139+180,Weather_Site!M139-180)</f>
        <v>316</v>
      </c>
      <c r="K141" s="635">
        <f t="shared" si="21"/>
        <v>4.7510399999999997</v>
      </c>
      <c r="L141" s="635">
        <f t="shared" si="22"/>
        <v>5.7515999999999998</v>
      </c>
      <c r="M141" s="635">
        <f t="shared" si="23"/>
        <v>5.7281599999999999</v>
      </c>
      <c r="N141" s="635">
        <f t="shared" si="24"/>
        <v>5.7515999999999998</v>
      </c>
      <c r="O141" s="636">
        <f t="shared" si="25"/>
        <v>0.888975971518703</v>
      </c>
      <c r="P141" s="635">
        <f>IF($O$11,Weather_Site!H139,IF(0.191*(Weather_Site!K139+104)*(Weather_Site!J139+1)^1.5/(3.52*(Weather_Site!J139+1)^1.5+Weather_Site!I139-1)&gt;10, 10,0.191*(Weather_Site!K139+104)*(Weather_Site!J139+1)^1.5/(3.52*(Weather_Site!J139+1)^1.5+Weather_Site!I139-1)))</f>
        <v>9</v>
      </c>
      <c r="Q141" s="636">
        <f t="shared" si="26"/>
        <v>0.98420578412222115</v>
      </c>
      <c r="R141" s="636">
        <f t="shared" si="27"/>
        <v>0.87493529311437845</v>
      </c>
      <c r="S141" s="635">
        <f t="shared" si="28"/>
        <v>1</v>
      </c>
      <c r="T141" s="707">
        <f t="shared" si="29"/>
        <v>201.69867857567115</v>
      </c>
      <c r="U141" s="707">
        <f t="shared" si="30"/>
        <v>485.36871019241579</v>
      </c>
      <c r="V141" s="707">
        <f t="shared" si="31"/>
        <v>972.54802935815258</v>
      </c>
      <c r="W141" s="636">
        <f t="shared" si="32"/>
        <v>1</v>
      </c>
      <c r="X141" s="636">
        <f t="shared" si="33"/>
        <v>6.9736814731416637E-3</v>
      </c>
      <c r="Y141" s="707">
        <f t="shared" si="34"/>
        <v>488.76614358457959</v>
      </c>
      <c r="Z141" s="635">
        <f t="shared" si="35"/>
        <v>3.0305396301472407</v>
      </c>
      <c r="AA141" s="707">
        <f t="shared" si="36"/>
        <v>126.45300206576104</v>
      </c>
      <c r="AB141" s="707">
        <f t="shared" si="37"/>
        <v>5808.1710062634211</v>
      </c>
    </row>
    <row r="142" spans="1:28" x14ac:dyDescent="0.25">
      <c r="A142" s="23" t="str">
        <f>Weather_Site!A140</f>
        <v>Fri</v>
      </c>
      <c r="B142" s="24">
        <f>Weather_Site!B140</f>
        <v>44554</v>
      </c>
      <c r="C142" s="25">
        <f>Weather_Site!C140</f>
        <v>0.5</v>
      </c>
      <c r="D142" s="27">
        <f>Weather_Site!D140</f>
        <v>30.8</v>
      </c>
      <c r="E142" s="27">
        <f>Weather_Site!E140</f>
        <v>17.600000000000001</v>
      </c>
      <c r="F142" s="28">
        <f>Weather_Site!F140</f>
        <v>141</v>
      </c>
      <c r="G142" s="27">
        <f>Weather_Site!G140</f>
        <v>13</v>
      </c>
      <c r="H142" s="548">
        <f>C$4</f>
        <v>0</v>
      </c>
      <c r="I142" s="27">
        <f t="shared" si="20"/>
        <v>4.333333333333333</v>
      </c>
      <c r="J142" s="738">
        <f>IF(Weather_Site!M140&lt;180,Weather_Site!M140+180,Weather_Site!M140-180)</f>
        <v>321</v>
      </c>
      <c r="K142" s="635">
        <f t="shared" si="21"/>
        <v>4.3664399999999999</v>
      </c>
      <c r="L142" s="635">
        <f t="shared" si="22"/>
        <v>5.1884000000000006</v>
      </c>
      <c r="M142" s="635">
        <f t="shared" si="23"/>
        <v>5.0771600000000001</v>
      </c>
      <c r="N142" s="635">
        <f t="shared" si="24"/>
        <v>5.1884000000000006</v>
      </c>
      <c r="O142" s="636">
        <f t="shared" si="25"/>
        <v>0.93148445757109299</v>
      </c>
      <c r="P142" s="635">
        <f>IF($O$11,Weather_Site!H140,IF(0.191*(Weather_Site!K140+104)*(Weather_Site!J140+1)^1.5/(3.52*(Weather_Site!J140+1)^1.5+Weather_Site!I140-1)&gt;10, 10,0.191*(Weather_Site!K140+104)*(Weather_Site!J140+1)^1.5/(3.52*(Weather_Site!J140+1)^1.5+Weather_Site!I140-1)))</f>
        <v>9</v>
      </c>
      <c r="Q142" s="636">
        <f t="shared" si="26"/>
        <v>0.98420578412222115</v>
      </c>
      <c r="R142" s="636">
        <f t="shared" si="27"/>
        <v>0.91677239096141938</v>
      </c>
      <c r="S142" s="635">
        <f t="shared" si="28"/>
        <v>1</v>
      </c>
      <c r="T142" s="707">
        <f t="shared" si="29"/>
        <v>211.34337735236809</v>
      </c>
      <c r="U142" s="707">
        <f t="shared" si="30"/>
        <v>508.5777616274429</v>
      </c>
      <c r="V142" s="707">
        <f t="shared" si="31"/>
        <v>1019.0527107733584</v>
      </c>
      <c r="W142" s="636">
        <f t="shared" si="32"/>
        <v>1</v>
      </c>
      <c r="X142" s="636">
        <f t="shared" si="33"/>
        <v>2.1158897336123882E-2</v>
      </c>
      <c r="Y142" s="707">
        <f t="shared" si="34"/>
        <v>519.37884866908439</v>
      </c>
      <c r="Z142" s="635">
        <f t="shared" si="35"/>
        <v>3.1666129311635487</v>
      </c>
      <c r="AA142" s="707">
        <f t="shared" si="36"/>
        <v>134.37308513636665</v>
      </c>
      <c r="AB142" s="707">
        <f t="shared" si="37"/>
        <v>6171.9519850176202</v>
      </c>
    </row>
    <row r="143" spans="1:28" x14ac:dyDescent="0.25">
      <c r="A143" s="23" t="str">
        <f>Weather_Site!A141</f>
        <v>Fri</v>
      </c>
      <c r="B143" s="24">
        <f>Weather_Site!B141</f>
        <v>44554</v>
      </c>
      <c r="C143" s="25">
        <f>Weather_Site!C141</f>
        <v>0.54166666666666663</v>
      </c>
      <c r="D143" s="27">
        <f>Weather_Site!D141</f>
        <v>32.6</v>
      </c>
      <c r="E143" s="27">
        <f>Weather_Site!E141</f>
        <v>15.3</v>
      </c>
      <c r="F143" s="28">
        <f>Weather_Site!F141</f>
        <v>145</v>
      </c>
      <c r="G143" s="27">
        <f>Weather_Site!G141</f>
        <v>13</v>
      </c>
      <c r="H143" s="548">
        <f>C$4</f>
        <v>0</v>
      </c>
      <c r="I143" s="27">
        <f t="shared" ref="I143:I179" si="38">G143/$O$10</f>
        <v>4.333333333333333</v>
      </c>
      <c r="J143" s="738">
        <f>IF(Weather_Site!M141&lt;180,Weather_Site!M141+180,Weather_Site!M141-180)</f>
        <v>325</v>
      </c>
      <c r="K143" s="635">
        <f t="shared" ref="K143:K179" si="39">2.76+0.124*E143-0.0187*D143</f>
        <v>4.04758</v>
      </c>
      <c r="L143" s="635">
        <f t="shared" ref="L143:L179" si="40">3.6+0.169*E143-0.045*D143</f>
        <v>4.7187000000000001</v>
      </c>
      <c r="M143" s="635">
        <f t="shared" ref="M143:M179" si="41">3.08+0.198*E143-0.0483*D143</f>
        <v>4.5348200000000007</v>
      </c>
      <c r="N143" s="635">
        <f t="shared" ref="N143:N179" si="42">IF(AND(OR(MONTH(B143)&gt;10,MONTH(B143)&lt;3),AND(HOUR(C143)&gt;=13,HOUR(C143)&lt;=17)),K143,IF(OR(HOUR(C143)&lt;8,HOUR(C143)&gt;=20),M143,L143))</f>
        <v>4.04758</v>
      </c>
      <c r="O143" s="636">
        <f t="shared" ref="O143:O179" si="43">IF(N143&lt;=4.1,1,IF(N143&gt;=24,0,(0.9082+0.1206*N143-0.03106*N143^2+0.001853*N143^3-0.00003467*N143^4)))</f>
        <v>1</v>
      </c>
      <c r="P143" s="635">
        <f>IF($O$11,Weather_Site!H141,IF(0.191*(Weather_Site!K141+104)*(Weather_Site!J141+1)^1.5/(3.52*(Weather_Site!J141+1)^1.5+Weather_Site!I141-1)&gt;10, 10,0.191*(Weather_Site!K141+104)*(Weather_Site!J141+1)^1.5/(3.52*(Weather_Site!J141+1)^1.5+Weather_Site!I141-1)))</f>
        <v>9.1</v>
      </c>
      <c r="Q143" s="636">
        <f t="shared" ref="Q143:Q179" si="44">1.008/(1+104.9*EXP(-0.9306*P143))</f>
        <v>0.98627459474380041</v>
      </c>
      <c r="R143" s="636">
        <f t="shared" ref="R143:R179" si="45">O143*Q143</f>
        <v>0.98627459474380041</v>
      </c>
      <c r="S143" s="635">
        <f t="shared" ref="S143:S179" si="46">MIN(IF(H143&gt;0,2^(H143/10),(2^(-H143/10))/(2*(2^(-H143/10))-1)),4)</f>
        <v>1</v>
      </c>
      <c r="T143" s="707">
        <f t="shared" ref="T143:T179" si="47">IF(I143&gt;2,(0.03+0.05024*(I143-1)^0.92628*(($E$6+$E$7)/10)^0.79928)*1000*R143*S143,0.03*R143*S143*1000)</f>
        <v>227.36570811365635</v>
      </c>
      <c r="U143" s="707">
        <f t="shared" ref="U143:U179" si="48">IF(I143&gt;2,(0.19591*(I143-1)^0.82569*(($E$6+$E$7)/10)^0.46722)*$C$10^0.495*1000*R143*S143,0.03*1000*R143*S143)</f>
        <v>547.13397860813654</v>
      </c>
      <c r="V143" s="707">
        <f t="shared" ref="V143:V179" si="49">(0.05235*(G143)^1.19128)*1000*R143*S143</f>
        <v>1096.3089740154071</v>
      </c>
      <c r="W143" s="636">
        <f t="shared" ref="W143:W179" si="50">IF((E$6+E$7)&lt;1,0,1/(1+EXP(-(-23.9315+1.7033*I143+12.0822*R143+9.5236*($E$6+$E$7)))))</f>
        <v>1</v>
      </c>
      <c r="X143" s="636">
        <f t="shared" ref="X143:X179" si="51">IF(U143&lt;300,0,1/(1+EXP(-(-32.3074+0.2951*G143+26.8734*R143))))</f>
        <v>0.12276011628108578</v>
      </c>
      <c r="Y143" s="707">
        <f t="shared" ref="Y143:Y179" si="52">IF(W143&lt;0.5,(T143*(1-W143)+U143*W143),(T143*(1-W143)+U143*W143*(1-X143)+V143*X143))</f>
        <v>614.5507649029978</v>
      </c>
      <c r="Z143" s="635">
        <f t="shared" ref="Z143:Z179" si="53">0.0193*Y143^0.723*EXP(0.64*$C$10)*1.07</f>
        <v>3.5762438542180472</v>
      </c>
      <c r="AA143" s="707">
        <f t="shared" ref="AA143:AA179" si="54">(1/(0.2204*G143+1))*Y143</f>
        <v>158.99585141855474</v>
      </c>
      <c r="AB143" s="707">
        <f t="shared" ref="AB143:AB179" si="55">18600*Y143/3600*$F$11/10</f>
        <v>7302.9115895972909</v>
      </c>
    </row>
    <row r="144" spans="1:28" x14ac:dyDescent="0.25">
      <c r="A144" s="23" t="str">
        <f>Weather_Site!A142</f>
        <v>Fri</v>
      </c>
      <c r="B144" s="24">
        <f>Weather_Site!B142</f>
        <v>44554</v>
      </c>
      <c r="C144" s="25">
        <f>Weather_Site!C142</f>
        <v>0.58333333333333337</v>
      </c>
      <c r="D144" s="27">
        <f>Weather_Site!D142</f>
        <v>34.299999999999997</v>
      </c>
      <c r="E144" s="27">
        <f>Weather_Site!E142</f>
        <v>13.4</v>
      </c>
      <c r="F144" s="28">
        <f>Weather_Site!F142</f>
        <v>150</v>
      </c>
      <c r="G144" s="27">
        <f>Weather_Site!G142</f>
        <v>13</v>
      </c>
      <c r="H144" s="548">
        <f>C$4</f>
        <v>0</v>
      </c>
      <c r="I144" s="27">
        <f t="shared" si="38"/>
        <v>4.333333333333333</v>
      </c>
      <c r="J144" s="738">
        <f>IF(Weather_Site!M142&lt;180,Weather_Site!M142+180,Weather_Site!M142-180)</f>
        <v>330</v>
      </c>
      <c r="K144" s="635">
        <f t="shared" si="39"/>
        <v>3.7801899999999997</v>
      </c>
      <c r="L144" s="635">
        <f t="shared" si="40"/>
        <v>4.3211000000000004</v>
      </c>
      <c r="M144" s="635">
        <f t="shared" si="41"/>
        <v>4.0765099999999999</v>
      </c>
      <c r="N144" s="635">
        <f t="shared" si="42"/>
        <v>3.7801899999999997</v>
      </c>
      <c r="O144" s="636">
        <f t="shared" si="43"/>
        <v>1</v>
      </c>
      <c r="P144" s="635">
        <f>IF($O$11,Weather_Site!H142,IF(0.191*(Weather_Site!K142+104)*(Weather_Site!J142+1)^1.5/(3.52*(Weather_Site!J142+1)^1.5+Weather_Site!I142-1)&gt;10, 10,0.191*(Weather_Site!K142+104)*(Weather_Site!J142+1)^1.5/(3.52*(Weather_Site!J142+1)^1.5+Weather_Site!I142-1)))</f>
        <v>9.1</v>
      </c>
      <c r="Q144" s="636">
        <f t="shared" si="44"/>
        <v>0.98627459474380041</v>
      </c>
      <c r="R144" s="636">
        <f t="shared" si="45"/>
        <v>0.98627459474380041</v>
      </c>
      <c r="S144" s="635">
        <f t="shared" si="46"/>
        <v>1</v>
      </c>
      <c r="T144" s="707">
        <f t="shared" si="47"/>
        <v>227.36570811365635</v>
      </c>
      <c r="U144" s="707">
        <f t="shared" si="48"/>
        <v>547.13397860813654</v>
      </c>
      <c r="V144" s="707">
        <f t="shared" si="49"/>
        <v>1096.3089740154071</v>
      </c>
      <c r="W144" s="636">
        <f t="shared" si="50"/>
        <v>1</v>
      </c>
      <c r="X144" s="636">
        <f t="shared" si="51"/>
        <v>0.12276011628108578</v>
      </c>
      <c r="Y144" s="707">
        <f t="shared" si="52"/>
        <v>614.5507649029978</v>
      </c>
      <c r="Z144" s="635">
        <f t="shared" si="53"/>
        <v>3.5762438542180472</v>
      </c>
      <c r="AA144" s="707">
        <f t="shared" si="54"/>
        <v>158.99585141855474</v>
      </c>
      <c r="AB144" s="707">
        <f t="shared" si="55"/>
        <v>7302.9115895972909</v>
      </c>
    </row>
    <row r="145" spans="1:28" x14ac:dyDescent="0.25">
      <c r="A145" s="23" t="str">
        <f>Weather_Site!A143</f>
        <v>Fri</v>
      </c>
      <c r="B145" s="24">
        <f>Weather_Site!B143</f>
        <v>44554</v>
      </c>
      <c r="C145" s="25">
        <f>Weather_Site!C143</f>
        <v>0.625</v>
      </c>
      <c r="D145" s="27">
        <f>Weather_Site!D143</f>
        <v>35.4</v>
      </c>
      <c r="E145" s="27">
        <f>Weather_Site!E143</f>
        <v>12.1</v>
      </c>
      <c r="F145" s="28">
        <f>Weather_Site!F143</f>
        <v>154</v>
      </c>
      <c r="G145" s="27">
        <f>Weather_Site!G143</f>
        <v>11</v>
      </c>
      <c r="H145" s="548">
        <f>C$4</f>
        <v>0</v>
      </c>
      <c r="I145" s="27">
        <f t="shared" si="38"/>
        <v>3.6666666666666665</v>
      </c>
      <c r="J145" s="738">
        <f>IF(Weather_Site!M143&lt;180,Weather_Site!M143+180,Weather_Site!M143-180)</f>
        <v>334</v>
      </c>
      <c r="K145" s="635">
        <f t="shared" si="39"/>
        <v>3.59842</v>
      </c>
      <c r="L145" s="635">
        <f t="shared" si="40"/>
        <v>4.0518999999999998</v>
      </c>
      <c r="M145" s="635">
        <f t="shared" si="41"/>
        <v>3.7659799999999994</v>
      </c>
      <c r="N145" s="635">
        <f t="shared" si="42"/>
        <v>3.59842</v>
      </c>
      <c r="O145" s="636">
        <f t="shared" si="43"/>
        <v>1</v>
      </c>
      <c r="P145" s="635">
        <f>IF($O$11,Weather_Site!H143,IF(0.191*(Weather_Site!K143+104)*(Weather_Site!J143+1)^1.5/(3.52*(Weather_Site!J143+1)^1.5+Weather_Site!I143-1)&gt;10, 10,0.191*(Weather_Site!K143+104)*(Weather_Site!J143+1)^1.5/(3.52*(Weather_Site!J143+1)^1.5+Weather_Site!I143-1)))</f>
        <v>9.1</v>
      </c>
      <c r="Q145" s="636">
        <f t="shared" si="44"/>
        <v>0.98627459474380041</v>
      </c>
      <c r="R145" s="636">
        <f t="shared" si="45"/>
        <v>0.98627459474380041</v>
      </c>
      <c r="S145" s="635">
        <f t="shared" si="46"/>
        <v>1</v>
      </c>
      <c r="T145" s="707">
        <f t="shared" si="47"/>
        <v>190.43451400597618</v>
      </c>
      <c r="U145" s="707">
        <f t="shared" si="48"/>
        <v>455.06774911304927</v>
      </c>
      <c r="V145" s="707">
        <f t="shared" si="49"/>
        <v>898.47254421416892</v>
      </c>
      <c r="W145" s="636">
        <f t="shared" si="50"/>
        <v>1</v>
      </c>
      <c r="X145" s="636">
        <f t="shared" si="51"/>
        <v>7.1974434249677616E-2</v>
      </c>
      <c r="Y145" s="707">
        <f t="shared" si="52"/>
        <v>486.98155838404659</v>
      </c>
      <c r="Z145" s="635">
        <f t="shared" si="53"/>
        <v>3.0225354962989881</v>
      </c>
      <c r="AA145" s="707">
        <f t="shared" si="54"/>
        <v>142.20930918819255</v>
      </c>
      <c r="AB145" s="707">
        <f t="shared" si="55"/>
        <v>5786.9641854637539</v>
      </c>
    </row>
    <row r="146" spans="1:28" x14ac:dyDescent="0.25">
      <c r="A146" s="23" t="str">
        <f>Weather_Site!A144</f>
        <v>Fri</v>
      </c>
      <c r="B146" s="24">
        <f>Weather_Site!B144</f>
        <v>44554</v>
      </c>
      <c r="C146" s="25">
        <f>Weather_Site!C144</f>
        <v>0.66666666666666663</v>
      </c>
      <c r="D146" s="27">
        <f>Weather_Site!D144</f>
        <v>36.1</v>
      </c>
      <c r="E146" s="27">
        <f>Weather_Site!E144</f>
        <v>11.4</v>
      </c>
      <c r="F146" s="28">
        <f>Weather_Site!F144</f>
        <v>159</v>
      </c>
      <c r="G146" s="27">
        <f>Weather_Site!G144</f>
        <v>12</v>
      </c>
      <c r="H146" s="548">
        <f>C$4</f>
        <v>0</v>
      </c>
      <c r="I146" s="27">
        <f t="shared" si="38"/>
        <v>4</v>
      </c>
      <c r="J146" s="738">
        <f>IF(Weather_Site!M144&lt;180,Weather_Site!M144+180,Weather_Site!M144-180)</f>
        <v>339</v>
      </c>
      <c r="K146" s="635">
        <f t="shared" si="39"/>
        <v>3.4985299999999997</v>
      </c>
      <c r="L146" s="635">
        <f t="shared" si="40"/>
        <v>3.9020999999999999</v>
      </c>
      <c r="M146" s="635">
        <f t="shared" si="41"/>
        <v>3.5935699999999997</v>
      </c>
      <c r="N146" s="635">
        <f t="shared" si="42"/>
        <v>3.4985299999999997</v>
      </c>
      <c r="O146" s="636">
        <f t="shared" si="43"/>
        <v>1</v>
      </c>
      <c r="P146" s="635">
        <f>IF($O$11,Weather_Site!H144,IF(0.191*(Weather_Site!K144+104)*(Weather_Site!J144+1)^1.5/(3.52*(Weather_Site!J144+1)^1.5+Weather_Site!I144-1)&gt;10, 10,0.191*(Weather_Site!K144+104)*(Weather_Site!J144+1)^1.5/(3.52*(Weather_Site!J144+1)^1.5+Weather_Site!I144-1)))</f>
        <v>9.1</v>
      </c>
      <c r="Q146" s="636">
        <f t="shared" si="44"/>
        <v>0.98627459474380041</v>
      </c>
      <c r="R146" s="636">
        <f t="shared" si="45"/>
        <v>0.98627459474380041</v>
      </c>
      <c r="S146" s="635">
        <f t="shared" si="46"/>
        <v>1</v>
      </c>
      <c r="T146" s="707">
        <f t="shared" si="47"/>
        <v>208.97589968584367</v>
      </c>
      <c r="U146" s="707">
        <f t="shared" si="48"/>
        <v>501.54763188598537</v>
      </c>
      <c r="V146" s="707">
        <f t="shared" si="49"/>
        <v>996.60157037574754</v>
      </c>
      <c r="W146" s="636">
        <f t="shared" si="50"/>
        <v>1</v>
      </c>
      <c r="X146" s="636">
        <f t="shared" si="51"/>
        <v>9.4349430961125524E-2</v>
      </c>
      <c r="Y146" s="707">
        <f t="shared" si="52"/>
        <v>548.25568927755853</v>
      </c>
      <c r="Z146" s="635">
        <f t="shared" si="53"/>
        <v>3.2929465144481043</v>
      </c>
      <c r="AA146" s="707">
        <f t="shared" si="54"/>
        <v>150.42133704937405</v>
      </c>
      <c r="AB146" s="707">
        <f t="shared" si="55"/>
        <v>6515.105107581654</v>
      </c>
    </row>
    <row r="147" spans="1:28" x14ac:dyDescent="0.25">
      <c r="A147" s="23" t="str">
        <f>Weather_Site!A145</f>
        <v>Fri</v>
      </c>
      <c r="B147" s="24">
        <f>Weather_Site!B145</f>
        <v>44554</v>
      </c>
      <c r="C147" s="25">
        <f>Weather_Site!C145</f>
        <v>0.70833333333333337</v>
      </c>
      <c r="D147" s="27">
        <f>Weather_Site!D145</f>
        <v>36.6</v>
      </c>
      <c r="E147" s="27">
        <f>Weather_Site!E145</f>
        <v>10.8</v>
      </c>
      <c r="F147" s="28">
        <f>Weather_Site!F145</f>
        <v>164</v>
      </c>
      <c r="G147" s="27">
        <f>Weather_Site!G145</f>
        <v>11</v>
      </c>
      <c r="H147" s="548">
        <f>C$4</f>
        <v>0</v>
      </c>
      <c r="I147" s="27">
        <f t="shared" si="38"/>
        <v>3.6666666666666665</v>
      </c>
      <c r="J147" s="738">
        <f>IF(Weather_Site!M145&lt;180,Weather_Site!M145+180,Weather_Site!M145-180)</f>
        <v>344</v>
      </c>
      <c r="K147" s="635">
        <f t="shared" si="39"/>
        <v>3.4147799999999995</v>
      </c>
      <c r="L147" s="635">
        <f t="shared" si="40"/>
        <v>3.7782</v>
      </c>
      <c r="M147" s="635">
        <f t="shared" si="41"/>
        <v>3.4506200000000007</v>
      </c>
      <c r="N147" s="635">
        <f t="shared" si="42"/>
        <v>3.4147799999999995</v>
      </c>
      <c r="O147" s="636">
        <f t="shared" si="43"/>
        <v>1</v>
      </c>
      <c r="P147" s="635">
        <f>IF($O$11,Weather_Site!H145,IF(0.191*(Weather_Site!K145+104)*(Weather_Site!J145+1)^1.5/(3.52*(Weather_Site!J145+1)^1.5+Weather_Site!I145-1)&gt;10, 10,0.191*(Weather_Site!K145+104)*(Weather_Site!J145+1)^1.5/(3.52*(Weather_Site!J145+1)^1.5+Weather_Site!I145-1)))</f>
        <v>9.1</v>
      </c>
      <c r="Q147" s="636">
        <f t="shared" si="44"/>
        <v>0.98627459474380041</v>
      </c>
      <c r="R147" s="636">
        <f t="shared" si="45"/>
        <v>0.98627459474380041</v>
      </c>
      <c r="S147" s="635">
        <f t="shared" si="46"/>
        <v>1</v>
      </c>
      <c r="T147" s="707">
        <f t="shared" si="47"/>
        <v>190.43451400597618</v>
      </c>
      <c r="U147" s="707">
        <f t="shared" si="48"/>
        <v>455.06774911304927</v>
      </c>
      <c r="V147" s="707">
        <f t="shared" si="49"/>
        <v>898.47254421416892</v>
      </c>
      <c r="W147" s="636">
        <f t="shared" si="50"/>
        <v>1</v>
      </c>
      <c r="X147" s="636">
        <f t="shared" si="51"/>
        <v>7.1974434249677616E-2</v>
      </c>
      <c r="Y147" s="707">
        <f t="shared" si="52"/>
        <v>486.98155838404659</v>
      </c>
      <c r="Z147" s="635">
        <f t="shared" si="53"/>
        <v>3.0225354962989881</v>
      </c>
      <c r="AA147" s="707">
        <f t="shared" si="54"/>
        <v>142.20930918819255</v>
      </c>
      <c r="AB147" s="707">
        <f t="shared" si="55"/>
        <v>5786.9641854637539</v>
      </c>
    </row>
    <row r="148" spans="1:28" x14ac:dyDescent="0.25">
      <c r="A148" s="23" t="str">
        <f>Weather_Site!A146</f>
        <v>Fri</v>
      </c>
      <c r="B148" s="24">
        <f>Weather_Site!B146</f>
        <v>44554</v>
      </c>
      <c r="C148" s="25">
        <f>Weather_Site!C146</f>
        <v>0.75</v>
      </c>
      <c r="D148" s="27">
        <f>Weather_Site!D146</f>
        <v>36</v>
      </c>
      <c r="E148" s="27">
        <f>Weather_Site!E146</f>
        <v>11.3</v>
      </c>
      <c r="F148" s="28">
        <f>Weather_Site!F146</f>
        <v>157</v>
      </c>
      <c r="G148" s="27">
        <f>Weather_Site!G146</f>
        <v>12</v>
      </c>
      <c r="H148" s="548">
        <f>C$4</f>
        <v>0</v>
      </c>
      <c r="I148" s="27">
        <f t="shared" si="38"/>
        <v>4</v>
      </c>
      <c r="J148" s="738">
        <f>IF(Weather_Site!M146&lt;180,Weather_Site!M146+180,Weather_Site!M146-180)</f>
        <v>337</v>
      </c>
      <c r="K148" s="635">
        <f t="shared" si="39"/>
        <v>3.488</v>
      </c>
      <c r="L148" s="635">
        <f t="shared" si="40"/>
        <v>3.8897000000000004</v>
      </c>
      <c r="M148" s="635">
        <f t="shared" si="41"/>
        <v>3.5785999999999998</v>
      </c>
      <c r="N148" s="635">
        <f t="shared" si="42"/>
        <v>3.8897000000000004</v>
      </c>
      <c r="O148" s="636">
        <f t="shared" si="43"/>
        <v>1</v>
      </c>
      <c r="P148" s="635">
        <f>IF($O$11,Weather_Site!H146,IF(0.191*(Weather_Site!K146+104)*(Weather_Site!J146+1)^1.5/(3.52*(Weather_Site!J146+1)^1.5+Weather_Site!I146-1)&gt;10, 10,0.191*(Weather_Site!K146+104)*(Weather_Site!J146+1)^1.5/(3.52*(Weather_Site!J146+1)^1.5+Weather_Site!I146-1)))</f>
        <v>9.1</v>
      </c>
      <c r="Q148" s="636">
        <f t="shared" si="44"/>
        <v>0.98627459474380041</v>
      </c>
      <c r="R148" s="636">
        <f t="shared" si="45"/>
        <v>0.98627459474380041</v>
      </c>
      <c r="S148" s="635">
        <f t="shared" si="46"/>
        <v>1</v>
      </c>
      <c r="T148" s="707">
        <f t="shared" si="47"/>
        <v>208.97589968584367</v>
      </c>
      <c r="U148" s="707">
        <f t="shared" si="48"/>
        <v>501.54763188598537</v>
      </c>
      <c r="V148" s="707">
        <f t="shared" si="49"/>
        <v>996.60157037574754</v>
      </c>
      <c r="W148" s="636">
        <f t="shared" si="50"/>
        <v>1</v>
      </c>
      <c r="X148" s="636">
        <f t="shared" si="51"/>
        <v>9.4349430961125524E-2</v>
      </c>
      <c r="Y148" s="707">
        <f t="shared" si="52"/>
        <v>548.25568927755853</v>
      </c>
      <c r="Z148" s="635">
        <f t="shared" si="53"/>
        <v>3.2929465144481043</v>
      </c>
      <c r="AA148" s="707">
        <f t="shared" si="54"/>
        <v>150.42133704937405</v>
      </c>
      <c r="AB148" s="707">
        <f t="shared" si="55"/>
        <v>6515.105107581654</v>
      </c>
    </row>
    <row r="149" spans="1:28" x14ac:dyDescent="0.25">
      <c r="A149" s="23" t="str">
        <f>Weather_Site!A147</f>
        <v>Fri</v>
      </c>
      <c r="B149" s="24">
        <f>Weather_Site!B147</f>
        <v>44554</v>
      </c>
      <c r="C149" s="25">
        <f>Weather_Site!C147</f>
        <v>0.79166666666666663</v>
      </c>
      <c r="D149" s="27">
        <f>Weather_Site!D147</f>
        <v>35.5</v>
      </c>
      <c r="E149" s="27">
        <f>Weather_Site!E147</f>
        <v>11.5</v>
      </c>
      <c r="F149" s="28">
        <f>Weather_Site!F147</f>
        <v>154</v>
      </c>
      <c r="G149" s="27">
        <f>Weather_Site!G147</f>
        <v>11</v>
      </c>
      <c r="H149" s="548">
        <f>C$4</f>
        <v>0</v>
      </c>
      <c r="I149" s="27">
        <f t="shared" si="38"/>
        <v>3.6666666666666665</v>
      </c>
      <c r="J149" s="738">
        <f>IF(Weather_Site!M147&lt;180,Weather_Site!M147+180,Weather_Site!M147-180)</f>
        <v>334</v>
      </c>
      <c r="K149" s="635">
        <f t="shared" si="39"/>
        <v>3.5221499999999999</v>
      </c>
      <c r="L149" s="635">
        <f t="shared" si="40"/>
        <v>3.9459999999999997</v>
      </c>
      <c r="M149" s="635">
        <f t="shared" si="41"/>
        <v>3.6423500000000004</v>
      </c>
      <c r="N149" s="635">
        <f t="shared" si="42"/>
        <v>3.9459999999999997</v>
      </c>
      <c r="O149" s="636">
        <f t="shared" si="43"/>
        <v>1</v>
      </c>
      <c r="P149" s="635">
        <f>IF($O$11,Weather_Site!H147,IF(0.191*(Weather_Site!K147+104)*(Weather_Site!J147+1)^1.5/(3.52*(Weather_Site!J147+1)^1.5+Weather_Site!I147-1)&gt;10, 10,0.191*(Weather_Site!K147+104)*(Weather_Site!J147+1)^1.5/(3.52*(Weather_Site!J147+1)^1.5+Weather_Site!I147-1)))</f>
        <v>9.1</v>
      </c>
      <c r="Q149" s="636">
        <f t="shared" si="44"/>
        <v>0.98627459474380041</v>
      </c>
      <c r="R149" s="636">
        <f t="shared" si="45"/>
        <v>0.98627459474380041</v>
      </c>
      <c r="S149" s="635">
        <f t="shared" si="46"/>
        <v>1</v>
      </c>
      <c r="T149" s="707">
        <f t="shared" si="47"/>
        <v>190.43451400597618</v>
      </c>
      <c r="U149" s="707">
        <f t="shared" si="48"/>
        <v>455.06774911304927</v>
      </c>
      <c r="V149" s="707">
        <f t="shared" si="49"/>
        <v>898.47254421416892</v>
      </c>
      <c r="W149" s="636">
        <f t="shared" si="50"/>
        <v>1</v>
      </c>
      <c r="X149" s="636">
        <f t="shared" si="51"/>
        <v>7.1974434249677616E-2</v>
      </c>
      <c r="Y149" s="707">
        <f t="shared" si="52"/>
        <v>486.98155838404659</v>
      </c>
      <c r="Z149" s="635">
        <f t="shared" si="53"/>
        <v>3.0225354962989881</v>
      </c>
      <c r="AA149" s="707">
        <f t="shared" si="54"/>
        <v>142.20930918819255</v>
      </c>
      <c r="AB149" s="707">
        <f t="shared" si="55"/>
        <v>5786.9641854637539</v>
      </c>
    </row>
    <row r="150" spans="1:28" x14ac:dyDescent="0.25">
      <c r="A150" s="23" t="str">
        <f>Weather_Site!A148</f>
        <v>Fri</v>
      </c>
      <c r="B150" s="24">
        <f>Weather_Site!B148</f>
        <v>44554</v>
      </c>
      <c r="C150" s="25">
        <f>Weather_Site!C148</f>
        <v>0.83333333333333337</v>
      </c>
      <c r="D150" s="27">
        <f>Weather_Site!D148</f>
        <v>34</v>
      </c>
      <c r="E150" s="27">
        <f>Weather_Site!E148</f>
        <v>12.6</v>
      </c>
      <c r="F150" s="28">
        <f>Weather_Site!F148</f>
        <v>152</v>
      </c>
      <c r="G150" s="27">
        <f>Weather_Site!G148</f>
        <v>9</v>
      </c>
      <c r="H150" s="548">
        <f>C$4</f>
        <v>0</v>
      </c>
      <c r="I150" s="27">
        <f t="shared" si="38"/>
        <v>3</v>
      </c>
      <c r="J150" s="738">
        <f>IF(Weather_Site!M148&lt;180,Weather_Site!M148+180,Weather_Site!M148-180)</f>
        <v>332</v>
      </c>
      <c r="K150" s="635">
        <f t="shared" si="39"/>
        <v>3.6865999999999999</v>
      </c>
      <c r="L150" s="635">
        <f t="shared" si="40"/>
        <v>4.1993999999999998</v>
      </c>
      <c r="M150" s="635">
        <f t="shared" si="41"/>
        <v>3.9325999999999999</v>
      </c>
      <c r="N150" s="635">
        <f t="shared" si="42"/>
        <v>3.9325999999999999</v>
      </c>
      <c r="O150" s="636">
        <f t="shared" si="43"/>
        <v>1</v>
      </c>
      <c r="P150" s="635">
        <f>IF($O$11,Weather_Site!H148,IF(0.191*(Weather_Site!K148+104)*(Weather_Site!J148+1)^1.5/(3.52*(Weather_Site!J148+1)^1.5+Weather_Site!I148-1)&gt;10, 10,0.191*(Weather_Site!K148+104)*(Weather_Site!J148+1)^1.5/(3.52*(Weather_Site!J148+1)^1.5+Weather_Site!I148-1)))</f>
        <v>9.1</v>
      </c>
      <c r="Q150" s="636">
        <f t="shared" si="44"/>
        <v>0.98627459474380041</v>
      </c>
      <c r="R150" s="636">
        <f t="shared" si="45"/>
        <v>0.98627459474380041</v>
      </c>
      <c r="S150" s="635">
        <f t="shared" si="46"/>
        <v>1</v>
      </c>
      <c r="T150" s="707">
        <f t="shared" si="47"/>
        <v>152.80867857300925</v>
      </c>
      <c r="U150" s="707">
        <f t="shared" si="48"/>
        <v>358.8520177249668</v>
      </c>
      <c r="V150" s="707">
        <f t="shared" si="49"/>
        <v>707.43175274188798</v>
      </c>
      <c r="W150" s="636">
        <f t="shared" si="50"/>
        <v>1</v>
      </c>
      <c r="X150" s="636">
        <f t="shared" si="51"/>
        <v>4.121169199844868E-2</v>
      </c>
      <c r="Y150" s="707">
        <f t="shared" si="52"/>
        <v>373.21757840138503</v>
      </c>
      <c r="Z150" s="635">
        <f t="shared" si="53"/>
        <v>2.4936095525440591</v>
      </c>
      <c r="AA150" s="707">
        <f t="shared" si="54"/>
        <v>125.08968306789953</v>
      </c>
      <c r="AB150" s="707">
        <f t="shared" si="55"/>
        <v>4435.0688900031255</v>
      </c>
    </row>
    <row r="151" spans="1:28" x14ac:dyDescent="0.25">
      <c r="A151" s="23" t="str">
        <f>Weather_Site!A149</f>
        <v>Fri</v>
      </c>
      <c r="B151" s="24">
        <f>Weather_Site!B149</f>
        <v>44554</v>
      </c>
      <c r="C151" s="25">
        <f>Weather_Site!C149</f>
        <v>0.875</v>
      </c>
      <c r="D151" s="27">
        <f>Weather_Site!D149</f>
        <v>30.8</v>
      </c>
      <c r="E151" s="27">
        <f>Weather_Site!E149</f>
        <v>16.3</v>
      </c>
      <c r="F151" s="28">
        <f>Weather_Site!F149</f>
        <v>150</v>
      </c>
      <c r="G151" s="27">
        <f>Weather_Site!G149</f>
        <v>8</v>
      </c>
      <c r="H151" s="548">
        <f>C$4</f>
        <v>0</v>
      </c>
      <c r="I151" s="27">
        <f t="shared" si="38"/>
        <v>2.6666666666666665</v>
      </c>
      <c r="J151" s="738">
        <f>IF(Weather_Site!M149&lt;180,Weather_Site!M149+180,Weather_Site!M149-180)</f>
        <v>330</v>
      </c>
      <c r="K151" s="635">
        <f t="shared" si="39"/>
        <v>4.2052399999999999</v>
      </c>
      <c r="L151" s="635">
        <f t="shared" si="40"/>
        <v>4.9687000000000001</v>
      </c>
      <c r="M151" s="635">
        <f t="shared" si="41"/>
        <v>4.8197600000000005</v>
      </c>
      <c r="N151" s="635">
        <f t="shared" si="42"/>
        <v>4.8197600000000005</v>
      </c>
      <c r="O151" s="636">
        <f t="shared" si="43"/>
        <v>0.95669561582907869</v>
      </c>
      <c r="P151" s="635">
        <f>IF($O$11,Weather_Site!H149,IF(0.191*(Weather_Site!K149+104)*(Weather_Site!J149+1)^1.5/(3.52*(Weather_Site!J149+1)^1.5+Weather_Site!I149-1)&gt;10, 10,0.191*(Weather_Site!K149+104)*(Weather_Site!J149+1)^1.5/(3.52*(Weather_Site!J149+1)^1.5+Weather_Site!I149-1)))</f>
        <v>9.1</v>
      </c>
      <c r="Q151" s="636">
        <f t="shared" si="44"/>
        <v>0.98627459474380041</v>
      </c>
      <c r="R151" s="636">
        <f t="shared" si="45"/>
        <v>0.94356458079499517</v>
      </c>
      <c r="S151" s="635">
        <f t="shared" si="46"/>
        <v>1</v>
      </c>
      <c r="T151" s="707">
        <f t="shared" si="47"/>
        <v>127.8732760459683</v>
      </c>
      <c r="U151" s="707">
        <f t="shared" si="48"/>
        <v>295.33166456925846</v>
      </c>
      <c r="V151" s="707">
        <f t="shared" si="49"/>
        <v>588.1950371224998</v>
      </c>
      <c r="W151" s="636">
        <f t="shared" si="50"/>
        <v>1</v>
      </c>
      <c r="X151" s="636">
        <f t="shared" si="51"/>
        <v>0</v>
      </c>
      <c r="Y151" s="707">
        <f t="shared" si="52"/>
        <v>295.33166456925846</v>
      </c>
      <c r="Z151" s="635">
        <f t="shared" si="53"/>
        <v>2.1053970058417386</v>
      </c>
      <c r="AA151" s="707">
        <f t="shared" si="54"/>
        <v>106.88030709657586</v>
      </c>
      <c r="AB151" s="707">
        <f t="shared" si="55"/>
        <v>3509.5246139646888</v>
      </c>
    </row>
    <row r="152" spans="1:28" x14ac:dyDescent="0.25">
      <c r="A152" s="23" t="str">
        <f>Weather_Site!A150</f>
        <v>Fri</v>
      </c>
      <c r="B152" s="24">
        <f>Weather_Site!B150</f>
        <v>44554</v>
      </c>
      <c r="C152" s="25">
        <f>Weather_Site!C150</f>
        <v>0.91666666666666663</v>
      </c>
      <c r="D152" s="27">
        <f>Weather_Site!D150</f>
        <v>28.5</v>
      </c>
      <c r="E152" s="27">
        <f>Weather_Site!E150</f>
        <v>19.399999999999999</v>
      </c>
      <c r="F152" s="28">
        <f>Weather_Site!F150</f>
        <v>148</v>
      </c>
      <c r="G152" s="27">
        <f>Weather_Site!G150</f>
        <v>9</v>
      </c>
      <c r="H152" s="548">
        <f>C$4</f>
        <v>0</v>
      </c>
      <c r="I152" s="27">
        <f t="shared" si="38"/>
        <v>3</v>
      </c>
      <c r="J152" s="738">
        <f>IF(Weather_Site!M150&lt;180,Weather_Site!M150+180,Weather_Site!M150-180)</f>
        <v>328</v>
      </c>
      <c r="K152" s="635">
        <f t="shared" si="39"/>
        <v>4.6326499999999999</v>
      </c>
      <c r="L152" s="635">
        <f t="shared" si="40"/>
        <v>5.5961000000000007</v>
      </c>
      <c r="M152" s="635">
        <f t="shared" si="41"/>
        <v>5.5446499999999999</v>
      </c>
      <c r="N152" s="635">
        <f t="shared" si="42"/>
        <v>5.5446499999999999</v>
      </c>
      <c r="O152" s="636">
        <f t="shared" si="43"/>
        <v>0.90509704157657822</v>
      </c>
      <c r="P152" s="635">
        <f>IF($O$11,Weather_Site!H150,IF(0.191*(Weather_Site!K150+104)*(Weather_Site!J150+1)^1.5/(3.52*(Weather_Site!J150+1)^1.5+Weather_Site!I150-1)&gt;10, 10,0.191*(Weather_Site!K150+104)*(Weather_Site!J150+1)^1.5/(3.52*(Weather_Site!J150+1)^1.5+Weather_Site!I150-1)))</f>
        <v>9.1</v>
      </c>
      <c r="Q152" s="636">
        <f t="shared" si="44"/>
        <v>0.98627459474380041</v>
      </c>
      <c r="R152" s="636">
        <f t="shared" si="45"/>
        <v>0.89267421788475232</v>
      </c>
      <c r="S152" s="635">
        <f t="shared" si="46"/>
        <v>1</v>
      </c>
      <c r="T152" s="707">
        <f t="shared" si="47"/>
        <v>138.30668290365691</v>
      </c>
      <c r="U152" s="707">
        <f t="shared" si="48"/>
        <v>324.79589960665322</v>
      </c>
      <c r="V152" s="707">
        <f t="shared" si="49"/>
        <v>640.2943865240162</v>
      </c>
      <c r="W152" s="636">
        <f t="shared" si="50"/>
        <v>1</v>
      </c>
      <c r="X152" s="636">
        <f t="shared" si="51"/>
        <v>3.4624559236110463E-3</v>
      </c>
      <c r="Y152" s="707">
        <f t="shared" si="52"/>
        <v>325.8882992115706</v>
      </c>
      <c r="Z152" s="635">
        <f t="shared" si="53"/>
        <v>2.2607293910795612</v>
      </c>
      <c r="AA152" s="707">
        <f t="shared" si="54"/>
        <v>109.22653814572014</v>
      </c>
      <c r="AB152" s="707">
        <f t="shared" si="55"/>
        <v>3872.6392889641638</v>
      </c>
    </row>
    <row r="153" spans="1:28" x14ac:dyDescent="0.25">
      <c r="A153" s="23" t="str">
        <f>Weather_Site!A151</f>
        <v>Fri</v>
      </c>
      <c r="B153" s="24">
        <f>Weather_Site!B151</f>
        <v>44554</v>
      </c>
      <c r="C153" s="25">
        <f>Weather_Site!C151</f>
        <v>0.95833333333333337</v>
      </c>
      <c r="D153" s="27">
        <f>Weather_Site!D151</f>
        <v>26.7</v>
      </c>
      <c r="E153" s="27">
        <f>Weather_Site!E151</f>
        <v>22</v>
      </c>
      <c r="F153" s="28">
        <f>Weather_Site!F151</f>
        <v>145</v>
      </c>
      <c r="G153" s="27">
        <f>Weather_Site!G151</f>
        <v>9</v>
      </c>
      <c r="H153" s="548">
        <f>C$4</f>
        <v>0</v>
      </c>
      <c r="I153" s="27">
        <f t="shared" si="38"/>
        <v>3</v>
      </c>
      <c r="J153" s="738">
        <f>IF(Weather_Site!M151&lt;180,Weather_Site!M151+180,Weather_Site!M151-180)</f>
        <v>325</v>
      </c>
      <c r="K153" s="635">
        <f t="shared" si="39"/>
        <v>4.9887099999999993</v>
      </c>
      <c r="L153" s="635">
        <f t="shared" si="40"/>
        <v>6.1165000000000003</v>
      </c>
      <c r="M153" s="635">
        <f t="shared" si="41"/>
        <v>6.1463900000000002</v>
      </c>
      <c r="N153" s="635">
        <f t="shared" si="42"/>
        <v>6.1463900000000002</v>
      </c>
      <c r="O153" s="636">
        <f t="shared" si="43"/>
        <v>0.8568507545097992</v>
      </c>
      <c r="P153" s="635">
        <f>IF($O$11,Weather_Site!H151,IF(0.191*(Weather_Site!K151+104)*(Weather_Site!J151+1)^1.5/(3.52*(Weather_Site!J151+1)^1.5+Weather_Site!I151-1)&gt;10, 10,0.191*(Weather_Site!K151+104)*(Weather_Site!J151+1)^1.5/(3.52*(Weather_Site!J151+1)^1.5+Weather_Site!I151-1)))</f>
        <v>9.1</v>
      </c>
      <c r="Q153" s="636">
        <f t="shared" si="44"/>
        <v>0.98627459474380041</v>
      </c>
      <c r="R153" s="636">
        <f t="shared" si="45"/>
        <v>0.84509013066007177</v>
      </c>
      <c r="S153" s="635">
        <f t="shared" si="46"/>
        <v>1</v>
      </c>
      <c r="T153" s="707">
        <f t="shared" si="47"/>
        <v>130.93423153092834</v>
      </c>
      <c r="U153" s="707">
        <f t="shared" si="48"/>
        <v>307.48262214500159</v>
      </c>
      <c r="V153" s="707">
        <f t="shared" si="49"/>
        <v>606.16343110107641</v>
      </c>
      <c r="W153" s="636">
        <f t="shared" si="50"/>
        <v>1</v>
      </c>
      <c r="X153" s="636">
        <f t="shared" si="51"/>
        <v>9.6631405879919676E-4</v>
      </c>
      <c r="Y153" s="707">
        <f t="shared" si="52"/>
        <v>307.77124160978934</v>
      </c>
      <c r="Z153" s="635">
        <f t="shared" si="53"/>
        <v>2.1691457380388672</v>
      </c>
      <c r="AA153" s="707">
        <f t="shared" si="54"/>
        <v>103.15432417542209</v>
      </c>
      <c r="AB153" s="707">
        <f t="shared" si="55"/>
        <v>3657.3482544629965</v>
      </c>
    </row>
    <row r="154" spans="1:28" x14ac:dyDescent="0.25">
      <c r="A154" s="23" t="str">
        <f>Weather_Site!A152</f>
        <v>Sat</v>
      </c>
      <c r="B154" s="24">
        <f>Weather_Site!B152</f>
        <v>44555</v>
      </c>
      <c r="C154" s="25">
        <f>Weather_Site!C152</f>
        <v>0</v>
      </c>
      <c r="D154" s="27">
        <f>Weather_Site!D152</f>
        <v>26</v>
      </c>
      <c r="E154" s="27">
        <f>Weather_Site!E152</f>
        <v>23.4</v>
      </c>
      <c r="F154" s="28">
        <f>Weather_Site!F152</f>
        <v>131</v>
      </c>
      <c r="G154" s="27">
        <f>Weather_Site!G152</f>
        <v>9</v>
      </c>
      <c r="H154" s="548">
        <f>C$4</f>
        <v>0</v>
      </c>
      <c r="I154" s="27">
        <f t="shared" si="38"/>
        <v>3</v>
      </c>
      <c r="J154" s="738">
        <f>IF(Weather_Site!M152&lt;180,Weather_Site!M152+180,Weather_Site!M152-180)</f>
        <v>311</v>
      </c>
      <c r="K154" s="635">
        <f t="shared" si="39"/>
        <v>5.1753999999999998</v>
      </c>
      <c r="L154" s="635">
        <f t="shared" si="40"/>
        <v>6.3846000000000007</v>
      </c>
      <c r="M154" s="635">
        <f t="shared" si="41"/>
        <v>6.4573999999999998</v>
      </c>
      <c r="N154" s="635">
        <f t="shared" si="42"/>
        <v>6.4573999999999998</v>
      </c>
      <c r="O154" s="636">
        <f t="shared" si="43"/>
        <v>0.83048071462284201</v>
      </c>
      <c r="P154" s="635">
        <f>IF($O$11,Weather_Site!H152,IF(0.191*(Weather_Site!K152+104)*(Weather_Site!J152+1)^1.5/(3.52*(Weather_Site!J152+1)^1.5+Weather_Site!I152-1)&gt;10, 10,0.191*(Weather_Site!K152+104)*(Weather_Site!J152+1)^1.5/(3.52*(Weather_Site!J152+1)^1.5+Weather_Site!I152-1)))</f>
        <v>9.1</v>
      </c>
      <c r="Q154" s="636">
        <f t="shared" si="44"/>
        <v>0.98627459474380041</v>
      </c>
      <c r="R154" s="636">
        <f t="shared" si="45"/>
        <v>0.81908203025718529</v>
      </c>
      <c r="S154" s="635">
        <f t="shared" si="46"/>
        <v>1</v>
      </c>
      <c r="T154" s="707">
        <f t="shared" si="47"/>
        <v>126.90466058188488</v>
      </c>
      <c r="U154" s="707">
        <f t="shared" si="48"/>
        <v>298.01968012407917</v>
      </c>
      <c r="V154" s="707">
        <f t="shared" si="49"/>
        <v>587.50842756397287</v>
      </c>
      <c r="W154" s="636">
        <f t="shared" si="50"/>
        <v>1</v>
      </c>
      <c r="X154" s="636">
        <f t="shared" si="51"/>
        <v>0</v>
      </c>
      <c r="Y154" s="707">
        <f t="shared" si="52"/>
        <v>298.01968012407917</v>
      </c>
      <c r="Z154" s="635">
        <f t="shared" si="53"/>
        <v>2.1192342105403088</v>
      </c>
      <c r="AA154" s="707">
        <f t="shared" si="54"/>
        <v>99.885936494194652</v>
      </c>
      <c r="AB154" s="707">
        <f t="shared" si="55"/>
        <v>3541.467198807808</v>
      </c>
    </row>
    <row r="155" spans="1:28" x14ac:dyDescent="0.25">
      <c r="A155" s="23" t="str">
        <f>Weather_Site!A153</f>
        <v>Sat</v>
      </c>
      <c r="B155" s="24">
        <f>Weather_Site!B153</f>
        <v>44555</v>
      </c>
      <c r="C155" s="25">
        <f>Weather_Site!C153</f>
        <v>4.1666666666666664E-2</v>
      </c>
      <c r="D155" s="27">
        <f>Weather_Site!D153</f>
        <v>24.8</v>
      </c>
      <c r="E155" s="27">
        <f>Weather_Site!E153</f>
        <v>25</v>
      </c>
      <c r="F155" s="28">
        <f>Weather_Site!F153</f>
        <v>122</v>
      </c>
      <c r="G155" s="27">
        <f>Weather_Site!G153</f>
        <v>10</v>
      </c>
      <c r="H155" s="548">
        <f>C$4</f>
        <v>0</v>
      </c>
      <c r="I155" s="27">
        <f t="shared" si="38"/>
        <v>3.3333333333333335</v>
      </c>
      <c r="J155" s="738">
        <f>IF(Weather_Site!M153&lt;180,Weather_Site!M153+180,Weather_Site!M153-180)</f>
        <v>302</v>
      </c>
      <c r="K155" s="635">
        <f t="shared" si="39"/>
        <v>5.3962399999999997</v>
      </c>
      <c r="L155" s="635">
        <f t="shared" si="40"/>
        <v>6.7090000000000014</v>
      </c>
      <c r="M155" s="635">
        <f t="shared" si="41"/>
        <v>6.8321600000000009</v>
      </c>
      <c r="N155" s="635">
        <f t="shared" si="42"/>
        <v>6.8321600000000009</v>
      </c>
      <c r="O155" s="636">
        <f t="shared" si="43"/>
        <v>0.79773383503401107</v>
      </c>
      <c r="P155" s="635">
        <f>IF($O$11,Weather_Site!H153,IF(0.191*(Weather_Site!K153+104)*(Weather_Site!J153+1)^1.5/(3.52*(Weather_Site!J153+1)^1.5+Weather_Site!I153-1)&gt;10, 10,0.191*(Weather_Site!K153+104)*(Weather_Site!J153+1)^1.5/(3.52*(Weather_Site!J153+1)^1.5+Weather_Site!I153-1)))</f>
        <v>9.1</v>
      </c>
      <c r="Q155" s="636">
        <f t="shared" si="44"/>
        <v>0.98627459474380041</v>
      </c>
      <c r="R155" s="636">
        <f t="shared" si="45"/>
        <v>0.78678461486158702</v>
      </c>
      <c r="S155" s="635">
        <f t="shared" si="46"/>
        <v>1</v>
      </c>
      <c r="T155" s="707">
        <f t="shared" si="47"/>
        <v>136.98766078474321</v>
      </c>
      <c r="U155" s="707">
        <f t="shared" si="48"/>
        <v>325.12525049081842</v>
      </c>
      <c r="V155" s="707">
        <f t="shared" si="49"/>
        <v>639.81224119269496</v>
      </c>
      <c r="W155" s="636">
        <f t="shared" si="50"/>
        <v>1</v>
      </c>
      <c r="X155" s="636">
        <f t="shared" si="51"/>
        <v>2.7108084824329476E-4</v>
      </c>
      <c r="Y155" s="707">
        <f t="shared" si="52"/>
        <v>325.21055610718901</v>
      </c>
      <c r="Z155" s="635">
        <f t="shared" si="53"/>
        <v>2.2573291602343803</v>
      </c>
      <c r="AA155" s="707">
        <f t="shared" si="54"/>
        <v>101.50142200598907</v>
      </c>
      <c r="AB155" s="707">
        <f t="shared" si="55"/>
        <v>3864.5854417404289</v>
      </c>
    </row>
    <row r="156" spans="1:28" x14ac:dyDescent="0.25">
      <c r="A156" s="23" t="str">
        <f>Weather_Site!A154</f>
        <v>Sat</v>
      </c>
      <c r="B156" s="24">
        <f>Weather_Site!B154</f>
        <v>44555</v>
      </c>
      <c r="C156" s="25">
        <f>Weather_Site!C154</f>
        <v>8.3333333333333329E-2</v>
      </c>
      <c r="D156" s="27">
        <f>Weather_Site!D154</f>
        <v>23.8</v>
      </c>
      <c r="E156" s="27">
        <f>Weather_Site!E154</f>
        <v>26.7</v>
      </c>
      <c r="F156" s="28">
        <f>Weather_Site!F154</f>
        <v>123</v>
      </c>
      <c r="G156" s="27">
        <f>Weather_Site!G154</f>
        <v>10</v>
      </c>
      <c r="H156" s="548">
        <f>C$4</f>
        <v>0</v>
      </c>
      <c r="I156" s="27">
        <f t="shared" si="38"/>
        <v>3.3333333333333335</v>
      </c>
      <c r="J156" s="738">
        <f>IF(Weather_Site!M154&lt;180,Weather_Site!M154+180,Weather_Site!M154-180)</f>
        <v>303</v>
      </c>
      <c r="K156" s="635">
        <f t="shared" si="39"/>
        <v>5.6257400000000004</v>
      </c>
      <c r="L156" s="635">
        <f t="shared" si="40"/>
        <v>7.0412999999999997</v>
      </c>
      <c r="M156" s="635">
        <f t="shared" si="41"/>
        <v>7.21706</v>
      </c>
      <c r="N156" s="635">
        <f t="shared" si="42"/>
        <v>7.21706</v>
      </c>
      <c r="O156" s="636">
        <f t="shared" si="43"/>
        <v>0.76328633820887604</v>
      </c>
      <c r="P156" s="635">
        <f>IF($O$11,Weather_Site!H154,IF(0.191*(Weather_Site!K154+104)*(Weather_Site!J154+1)^1.5/(3.52*(Weather_Site!J154+1)^1.5+Weather_Site!I154-1)&gt;10, 10,0.191*(Weather_Site!K154+104)*(Weather_Site!J154+1)^1.5/(3.52*(Weather_Site!J154+1)^1.5+Weather_Site!I154-1)))</f>
        <v>9.1</v>
      </c>
      <c r="Q156" s="636">
        <f t="shared" si="44"/>
        <v>0.98627459474380041</v>
      </c>
      <c r="R156" s="636">
        <f t="shared" si="45"/>
        <v>0.75280992389043855</v>
      </c>
      <c r="S156" s="635">
        <f t="shared" si="46"/>
        <v>1</v>
      </c>
      <c r="T156" s="707">
        <f t="shared" si="47"/>
        <v>131.072301798166</v>
      </c>
      <c r="U156" s="707">
        <f t="shared" si="48"/>
        <v>311.08579203713975</v>
      </c>
      <c r="V156" s="707">
        <f t="shared" si="49"/>
        <v>612.18406600538037</v>
      </c>
      <c r="W156" s="636">
        <f t="shared" si="50"/>
        <v>1</v>
      </c>
      <c r="X156" s="636">
        <f t="shared" si="51"/>
        <v>1.0880572526915976E-4</v>
      </c>
      <c r="Y156" s="707">
        <f t="shared" si="52"/>
        <v>311.11855325321613</v>
      </c>
      <c r="Z156" s="635">
        <f t="shared" si="53"/>
        <v>2.1861768684576721</v>
      </c>
      <c r="AA156" s="707">
        <f t="shared" si="54"/>
        <v>97.10316893046695</v>
      </c>
      <c r="AB156" s="707">
        <f t="shared" si="55"/>
        <v>3697.1254744923849</v>
      </c>
    </row>
    <row r="157" spans="1:28" x14ac:dyDescent="0.25">
      <c r="A157" s="23" t="str">
        <f>Weather_Site!A155</f>
        <v>Sat</v>
      </c>
      <c r="B157" s="24">
        <f>Weather_Site!B155</f>
        <v>44555</v>
      </c>
      <c r="C157" s="25">
        <f>Weather_Site!C155</f>
        <v>0.125</v>
      </c>
      <c r="D157" s="27">
        <f>Weather_Site!D155</f>
        <v>22.5</v>
      </c>
      <c r="E157" s="27">
        <f>Weather_Site!E155</f>
        <v>32.700000000000003</v>
      </c>
      <c r="F157" s="28">
        <f>Weather_Site!F155</f>
        <v>121</v>
      </c>
      <c r="G157" s="27">
        <f>Weather_Site!G155</f>
        <v>10</v>
      </c>
      <c r="H157" s="180">
        <f>C$4</f>
        <v>0</v>
      </c>
      <c r="I157" s="27">
        <f t="shared" si="38"/>
        <v>3.3333333333333335</v>
      </c>
      <c r="J157" s="738">
        <f>IF(Weather_Site!M155&lt;180,Weather_Site!M155+180,Weather_Site!M155-180)</f>
        <v>301</v>
      </c>
      <c r="K157" s="635">
        <f t="shared" si="39"/>
        <v>6.39405</v>
      </c>
      <c r="L157" s="635">
        <f t="shared" si="40"/>
        <v>8.1138000000000012</v>
      </c>
      <c r="M157" s="635">
        <f t="shared" si="41"/>
        <v>8.4678500000000003</v>
      </c>
      <c r="N157" s="635">
        <f t="shared" si="42"/>
        <v>8.4678500000000003</v>
      </c>
      <c r="O157" s="636">
        <f t="shared" si="43"/>
        <v>0.64913425053492335</v>
      </c>
      <c r="P157" s="635">
        <f>IF($O$11,Weather_Site!H155,IF(0.191*(Weather_Site!K155+104)*(Weather_Site!J155+1)^1.5/(3.52*(Weather_Site!J155+1)^1.5+Weather_Site!I155-1)&gt;10, 10,0.191*(Weather_Site!K155+104)*(Weather_Site!J155+1)^1.5/(3.52*(Weather_Site!J155+1)^1.5+Weather_Site!I155-1)))</f>
        <v>9.1</v>
      </c>
      <c r="Q157" s="636">
        <f t="shared" si="44"/>
        <v>0.98627459474380041</v>
      </c>
      <c r="R157" s="636">
        <f t="shared" si="45"/>
        <v>0.64022461988065216</v>
      </c>
      <c r="S157" s="635">
        <f t="shared" si="46"/>
        <v>1</v>
      </c>
      <c r="T157" s="707">
        <f t="shared" si="47"/>
        <v>111.46998987731963</v>
      </c>
      <c r="U157" s="707">
        <f t="shared" si="48"/>
        <v>264.56184574186778</v>
      </c>
      <c r="V157" s="707">
        <f t="shared" si="49"/>
        <v>520.62984096942864</v>
      </c>
      <c r="W157" s="636">
        <f t="shared" si="50"/>
        <v>1</v>
      </c>
      <c r="X157" s="636">
        <f t="shared" si="51"/>
        <v>0</v>
      </c>
      <c r="Y157" s="707">
        <f t="shared" si="52"/>
        <v>264.56184574186778</v>
      </c>
      <c r="Z157" s="635">
        <f t="shared" si="53"/>
        <v>1.9444063717370696</v>
      </c>
      <c r="AA157" s="707">
        <f t="shared" si="54"/>
        <v>82.572361342655356</v>
      </c>
      <c r="AB157" s="707">
        <f t="shared" si="55"/>
        <v>3143.8766002325287</v>
      </c>
    </row>
    <row r="158" spans="1:28" x14ac:dyDescent="0.25">
      <c r="A158" s="23" t="str">
        <f>Weather_Site!A156</f>
        <v>Sat</v>
      </c>
      <c r="B158" s="24">
        <f>Weather_Site!B156</f>
        <v>44555</v>
      </c>
      <c r="C158" s="25">
        <f>Weather_Site!C156</f>
        <v>0.16666666666666666</v>
      </c>
      <c r="D158" s="27">
        <f>Weather_Site!D156</f>
        <v>21.6</v>
      </c>
      <c r="E158" s="27">
        <f>Weather_Site!E156</f>
        <v>38.4</v>
      </c>
      <c r="F158" s="28">
        <f>Weather_Site!F156</f>
        <v>119</v>
      </c>
      <c r="G158" s="27">
        <f>Weather_Site!G156</f>
        <v>9</v>
      </c>
      <c r="H158" s="180">
        <f>C$4</f>
        <v>0</v>
      </c>
      <c r="I158" s="27">
        <f t="shared" si="38"/>
        <v>3</v>
      </c>
      <c r="J158" s="738">
        <f>IF(Weather_Site!M156&lt;180,Weather_Site!M156+180,Weather_Site!M156-180)</f>
        <v>299</v>
      </c>
      <c r="K158" s="635">
        <f t="shared" si="39"/>
        <v>7.1176799999999991</v>
      </c>
      <c r="L158" s="635">
        <f t="shared" si="40"/>
        <v>9.1176000000000013</v>
      </c>
      <c r="M158" s="635">
        <f t="shared" si="41"/>
        <v>9.63992</v>
      </c>
      <c r="N158" s="635">
        <f t="shared" si="42"/>
        <v>9.63992</v>
      </c>
      <c r="O158" s="636">
        <f t="shared" si="43"/>
        <v>0.54498448558489154</v>
      </c>
      <c r="P158" s="635">
        <f>IF($O$11,Weather_Site!H156,IF(0.191*(Weather_Site!K156+104)*(Weather_Site!J156+1)^1.5/(3.52*(Weather_Site!J156+1)^1.5+Weather_Site!I156-1)&gt;10, 10,0.191*(Weather_Site!K156+104)*(Weather_Site!J156+1)^1.5/(3.52*(Weather_Site!J156+1)^1.5+Weather_Site!I156-1)))</f>
        <v>9.1</v>
      </c>
      <c r="Q158" s="636">
        <f t="shared" si="44"/>
        <v>0.98627459474380041</v>
      </c>
      <c r="R158" s="636">
        <f t="shared" si="45"/>
        <v>0.53750435266189744</v>
      </c>
      <c r="S158" s="635">
        <f t="shared" si="46"/>
        <v>1</v>
      </c>
      <c r="T158" s="707">
        <f t="shared" si="47"/>
        <v>83.278359085018479</v>
      </c>
      <c r="U158" s="707">
        <f t="shared" si="48"/>
        <v>195.56878228094141</v>
      </c>
      <c r="V158" s="707">
        <f t="shared" si="49"/>
        <v>385.53932985445601</v>
      </c>
      <c r="W158" s="636">
        <f t="shared" si="50"/>
        <v>1</v>
      </c>
      <c r="X158" s="636">
        <f t="shared" si="51"/>
        <v>0</v>
      </c>
      <c r="Y158" s="707">
        <f t="shared" si="52"/>
        <v>195.56878228094141</v>
      </c>
      <c r="Z158" s="635">
        <f t="shared" si="53"/>
        <v>1.5628216638263557</v>
      </c>
      <c r="AA158" s="707">
        <f t="shared" si="54"/>
        <v>65.547922737947914</v>
      </c>
      <c r="AB158" s="707">
        <f t="shared" si="55"/>
        <v>2324.0090294385204</v>
      </c>
    </row>
    <row r="159" spans="1:28" x14ac:dyDescent="0.25">
      <c r="A159" s="23" t="str">
        <f>Weather_Site!A157</f>
        <v>Sat</v>
      </c>
      <c r="B159" s="24">
        <f>Weather_Site!B157</f>
        <v>44555</v>
      </c>
      <c r="C159" s="25">
        <f>Weather_Site!C157</f>
        <v>0.20833333333333334</v>
      </c>
      <c r="D159" s="27">
        <f>Weather_Site!D157</f>
        <v>20.7</v>
      </c>
      <c r="E159" s="27">
        <f>Weather_Site!E157</f>
        <v>44.9</v>
      </c>
      <c r="F159" s="28">
        <f>Weather_Site!F157</f>
        <v>117</v>
      </c>
      <c r="G159" s="27">
        <f>Weather_Site!G157</f>
        <v>9</v>
      </c>
      <c r="H159" s="180">
        <f>C$4</f>
        <v>0</v>
      </c>
      <c r="I159" s="27">
        <f t="shared" si="38"/>
        <v>3</v>
      </c>
      <c r="J159" s="738">
        <f>IF(Weather_Site!M157&lt;180,Weather_Site!M157+180,Weather_Site!M157-180)</f>
        <v>297</v>
      </c>
      <c r="K159" s="635">
        <f t="shared" si="39"/>
        <v>7.9405100000000006</v>
      </c>
      <c r="L159" s="635">
        <f t="shared" si="40"/>
        <v>10.256600000000001</v>
      </c>
      <c r="M159" s="635">
        <f t="shared" si="41"/>
        <v>10.97039</v>
      </c>
      <c r="N159" s="635">
        <f t="shared" si="42"/>
        <v>10.97039</v>
      </c>
      <c r="O159" s="636">
        <f t="shared" si="43"/>
        <v>0.43749463725486792</v>
      </c>
      <c r="P159" s="635">
        <f>IF($O$11,Weather_Site!H157,IF(0.191*(Weather_Site!K157+104)*(Weather_Site!J157+1)^1.5/(3.52*(Weather_Site!J157+1)^1.5+Weather_Site!I157-1)&gt;10, 10,0.191*(Weather_Site!K157+104)*(Weather_Site!J157+1)^1.5/(3.52*(Weather_Site!J157+1)^1.5+Weather_Site!I157-1)))</f>
        <v>9.1</v>
      </c>
      <c r="Q159" s="636">
        <f t="shared" si="44"/>
        <v>0.98627459474380041</v>
      </c>
      <c r="R159" s="636">
        <f t="shared" si="45"/>
        <v>0.43148984606113083</v>
      </c>
      <c r="S159" s="635">
        <f t="shared" si="46"/>
        <v>1</v>
      </c>
      <c r="T159" s="707">
        <f t="shared" si="47"/>
        <v>66.852977401694389</v>
      </c>
      <c r="U159" s="707">
        <f t="shared" si="48"/>
        <v>156.99583332276177</v>
      </c>
      <c r="V159" s="707">
        <f t="shared" si="49"/>
        <v>309.49759804838772</v>
      </c>
      <c r="W159" s="636">
        <f t="shared" si="50"/>
        <v>1</v>
      </c>
      <c r="X159" s="636">
        <f t="shared" si="51"/>
        <v>0</v>
      </c>
      <c r="Y159" s="707">
        <f t="shared" si="52"/>
        <v>156.99583332276177</v>
      </c>
      <c r="Z159" s="635">
        <f t="shared" si="53"/>
        <v>1.3332972298436994</v>
      </c>
      <c r="AA159" s="707">
        <f t="shared" si="54"/>
        <v>52.61959824465805</v>
      </c>
      <c r="AB159" s="707">
        <f t="shared" si="55"/>
        <v>1865.633819318819</v>
      </c>
    </row>
    <row r="160" spans="1:28" x14ac:dyDescent="0.25">
      <c r="A160" s="23" t="str">
        <f>Weather_Site!A158</f>
        <v>Sat</v>
      </c>
      <c r="B160" s="24">
        <f>Weather_Site!B158</f>
        <v>44555</v>
      </c>
      <c r="C160" s="25">
        <f>Weather_Site!C158</f>
        <v>0.25</v>
      </c>
      <c r="D160" s="27">
        <f>Weather_Site!D158</f>
        <v>20.6</v>
      </c>
      <c r="E160" s="27">
        <f>Weather_Site!E158</f>
        <v>46.4</v>
      </c>
      <c r="F160" s="28">
        <f>Weather_Site!F158</f>
        <v>113</v>
      </c>
      <c r="G160" s="27">
        <f>Weather_Site!G158</f>
        <v>9</v>
      </c>
      <c r="H160" s="180">
        <f>C$4</f>
        <v>0</v>
      </c>
      <c r="I160" s="27">
        <f t="shared" si="38"/>
        <v>3</v>
      </c>
      <c r="J160" s="738">
        <f>IF(Weather_Site!M158&lt;180,Weather_Site!M158+180,Weather_Site!M158-180)</f>
        <v>293</v>
      </c>
      <c r="K160" s="635">
        <f t="shared" si="39"/>
        <v>8.1283799999999999</v>
      </c>
      <c r="L160" s="635">
        <f t="shared" si="40"/>
        <v>10.514600000000002</v>
      </c>
      <c r="M160" s="635">
        <f t="shared" si="41"/>
        <v>11.272220000000001</v>
      </c>
      <c r="N160" s="635">
        <f t="shared" si="42"/>
        <v>11.272220000000001</v>
      </c>
      <c r="O160" s="636">
        <f t="shared" si="43"/>
        <v>0.41532537577604378</v>
      </c>
      <c r="P160" s="635">
        <f>IF($O$11,Weather_Site!H158,IF(0.191*(Weather_Site!K158+104)*(Weather_Site!J158+1)^1.5/(3.52*(Weather_Site!J158+1)^1.5+Weather_Site!I158-1)&gt;10, 10,0.191*(Weather_Site!K158+104)*(Weather_Site!J158+1)^1.5/(3.52*(Weather_Site!J158+1)^1.5+Weather_Site!I158-1)))</f>
        <v>9.1</v>
      </c>
      <c r="Q160" s="636">
        <f t="shared" si="44"/>
        <v>0.98627459474380041</v>
      </c>
      <c r="R160" s="636">
        <f t="shared" si="45"/>
        <v>0.40962486668033421</v>
      </c>
      <c r="S160" s="635">
        <f t="shared" si="46"/>
        <v>1</v>
      </c>
      <c r="T160" s="707">
        <f t="shared" si="47"/>
        <v>63.465321850175748</v>
      </c>
      <c r="U160" s="707">
        <f t="shared" si="48"/>
        <v>149.04034910961335</v>
      </c>
      <c r="V160" s="707">
        <f t="shared" si="49"/>
        <v>293.81435854342993</v>
      </c>
      <c r="W160" s="636">
        <f t="shared" si="50"/>
        <v>1</v>
      </c>
      <c r="X160" s="636">
        <f t="shared" si="51"/>
        <v>0</v>
      </c>
      <c r="Y160" s="707">
        <f t="shared" si="52"/>
        <v>149.04034910961335</v>
      </c>
      <c r="Z160" s="635">
        <f t="shared" si="53"/>
        <v>1.2840991296406024</v>
      </c>
      <c r="AA160" s="707">
        <f t="shared" si="54"/>
        <v>49.953193829472227</v>
      </c>
      <c r="AB160" s="707">
        <f t="shared" si="55"/>
        <v>1771.0961485859054</v>
      </c>
    </row>
    <row r="161" spans="1:28" x14ac:dyDescent="0.25">
      <c r="A161" s="23" t="str">
        <f>Weather_Site!A159</f>
        <v>Sat</v>
      </c>
      <c r="B161" s="24">
        <f>Weather_Site!B159</f>
        <v>44555</v>
      </c>
      <c r="C161" s="25">
        <f>Weather_Site!C159</f>
        <v>0.29166666666666669</v>
      </c>
      <c r="D161" s="27">
        <f>Weather_Site!D159</f>
        <v>22.2</v>
      </c>
      <c r="E161" s="27">
        <f>Weather_Site!E159</f>
        <v>42.7</v>
      </c>
      <c r="F161" s="28">
        <f>Weather_Site!F159</f>
        <v>111</v>
      </c>
      <c r="G161" s="27">
        <f>Weather_Site!G159</f>
        <v>10</v>
      </c>
      <c r="H161" s="180">
        <f>C$4</f>
        <v>0</v>
      </c>
      <c r="I161" s="27">
        <f t="shared" si="38"/>
        <v>3.3333333333333335</v>
      </c>
      <c r="J161" s="738">
        <f>IF(Weather_Site!M159&lt;180,Weather_Site!M159+180,Weather_Site!M159-180)</f>
        <v>291</v>
      </c>
      <c r="K161" s="635">
        <f t="shared" si="39"/>
        <v>7.6396600000000001</v>
      </c>
      <c r="L161" s="635">
        <f t="shared" si="40"/>
        <v>9.8173000000000012</v>
      </c>
      <c r="M161" s="635">
        <f t="shared" si="41"/>
        <v>10.462340000000001</v>
      </c>
      <c r="N161" s="635">
        <f t="shared" si="42"/>
        <v>10.462340000000001</v>
      </c>
      <c r="O161" s="636">
        <f t="shared" si="43"/>
        <v>0.47679147156931362</v>
      </c>
      <c r="P161" s="635">
        <f>IF($O$11,Weather_Site!H159,IF(0.191*(Weather_Site!K159+104)*(Weather_Site!J159+1)^1.5/(3.52*(Weather_Site!J159+1)^1.5+Weather_Site!I159-1)&gt;10, 10,0.191*(Weather_Site!K159+104)*(Weather_Site!J159+1)^1.5/(3.52*(Weather_Site!J159+1)^1.5+Weather_Site!I159-1)))</f>
        <v>9.1</v>
      </c>
      <c r="Q161" s="636">
        <f t="shared" si="44"/>
        <v>0.98627459474380041</v>
      </c>
      <c r="R161" s="636">
        <f t="shared" si="45"/>
        <v>0.47024731539932502</v>
      </c>
      <c r="S161" s="635">
        <f t="shared" si="46"/>
        <v>1</v>
      </c>
      <c r="T161" s="707">
        <f t="shared" si="47"/>
        <v>81.875113608050739</v>
      </c>
      <c r="U161" s="707">
        <f t="shared" si="48"/>
        <v>194.32163939649109</v>
      </c>
      <c r="V161" s="707">
        <f t="shared" si="49"/>
        <v>382.40451465032777</v>
      </c>
      <c r="W161" s="636">
        <f t="shared" si="50"/>
        <v>1</v>
      </c>
      <c r="X161" s="636">
        <f t="shared" si="51"/>
        <v>0</v>
      </c>
      <c r="Y161" s="707">
        <f t="shared" si="52"/>
        <v>194.32163939649109</v>
      </c>
      <c r="Z161" s="635">
        <f t="shared" si="53"/>
        <v>1.5556097778468734</v>
      </c>
      <c r="AA161" s="707">
        <f t="shared" si="54"/>
        <v>60.649700186170747</v>
      </c>
      <c r="AB161" s="707">
        <f t="shared" si="55"/>
        <v>2309.1888148283024</v>
      </c>
    </row>
    <row r="162" spans="1:28" x14ac:dyDescent="0.25">
      <c r="A162" s="23" t="str">
        <f>Weather_Site!A160</f>
        <v>Sat</v>
      </c>
      <c r="B162" s="24">
        <f>Weather_Site!B160</f>
        <v>44555</v>
      </c>
      <c r="C162" s="25">
        <f>Weather_Site!C160</f>
        <v>0.33333333333333331</v>
      </c>
      <c r="D162" s="27">
        <f>Weather_Site!D160</f>
        <v>25.5</v>
      </c>
      <c r="E162" s="27">
        <f>Weather_Site!E160</f>
        <v>35.700000000000003</v>
      </c>
      <c r="F162" s="28">
        <f>Weather_Site!F160</f>
        <v>98</v>
      </c>
      <c r="G162" s="27">
        <f>Weather_Site!G160</f>
        <v>14</v>
      </c>
      <c r="H162" s="180">
        <f>C$4</f>
        <v>0</v>
      </c>
      <c r="I162" s="27">
        <f t="shared" si="38"/>
        <v>4.666666666666667</v>
      </c>
      <c r="J162" s="738">
        <f>IF(Weather_Site!M160&lt;180,Weather_Site!M160+180,Weather_Site!M160-180)</f>
        <v>278</v>
      </c>
      <c r="K162" s="635">
        <f t="shared" si="39"/>
        <v>6.7099500000000001</v>
      </c>
      <c r="L162" s="635">
        <f t="shared" si="40"/>
        <v>8.4858000000000011</v>
      </c>
      <c r="M162" s="635">
        <f t="shared" si="41"/>
        <v>8.9169500000000017</v>
      </c>
      <c r="N162" s="635">
        <f t="shared" si="42"/>
        <v>8.4858000000000011</v>
      </c>
      <c r="O162" s="636">
        <f t="shared" si="43"/>
        <v>0.64750076780087429</v>
      </c>
      <c r="P162" s="635">
        <f>IF($O$11,Weather_Site!H160,IF(0.191*(Weather_Site!K160+104)*(Weather_Site!J160+1)^1.5/(3.52*(Weather_Site!J160+1)^1.5+Weather_Site!I160-1)&gt;10, 10,0.191*(Weather_Site!K160+104)*(Weather_Site!J160+1)^1.5/(3.52*(Weather_Site!J160+1)^1.5+Weather_Site!I160-1)))</f>
        <v>9.1</v>
      </c>
      <c r="Q162" s="636">
        <f t="shared" si="44"/>
        <v>0.98627459474380041</v>
      </c>
      <c r="R162" s="636">
        <f t="shared" si="45"/>
        <v>0.63861355735910685</v>
      </c>
      <c r="S162" s="635">
        <f t="shared" si="46"/>
        <v>1</v>
      </c>
      <c r="T162" s="707">
        <f t="shared" si="47"/>
        <v>159.0392757529506</v>
      </c>
      <c r="U162" s="707">
        <f t="shared" si="48"/>
        <v>383.27588975500566</v>
      </c>
      <c r="V162" s="707">
        <f t="shared" si="49"/>
        <v>775.37934252647915</v>
      </c>
      <c r="W162" s="636">
        <f t="shared" si="50"/>
        <v>1</v>
      </c>
      <c r="X162" s="636">
        <f t="shared" si="51"/>
        <v>1.6464584259888537E-5</v>
      </c>
      <c r="Y162" s="707">
        <f t="shared" si="52"/>
        <v>383.28234557534239</v>
      </c>
      <c r="Z162" s="635">
        <f t="shared" si="53"/>
        <v>2.5420492777271972</v>
      </c>
      <c r="AA162" s="707">
        <f t="shared" si="54"/>
        <v>93.812988441194037</v>
      </c>
      <c r="AB162" s="707">
        <f t="shared" si="55"/>
        <v>4554.6718732536519</v>
      </c>
    </row>
    <row r="163" spans="1:28" x14ac:dyDescent="0.25">
      <c r="A163" s="23" t="str">
        <f>Weather_Site!A161</f>
        <v>Sat</v>
      </c>
      <c r="B163" s="24">
        <f>Weather_Site!B161</f>
        <v>44555</v>
      </c>
      <c r="C163" s="25">
        <f>Weather_Site!C161</f>
        <v>0.375</v>
      </c>
      <c r="D163" s="27">
        <f>Weather_Site!D161</f>
        <v>28.4</v>
      </c>
      <c r="E163" s="27">
        <f>Weather_Site!E161</f>
        <v>31.8</v>
      </c>
      <c r="F163" s="28">
        <f>Weather_Site!F161</f>
        <v>79</v>
      </c>
      <c r="G163" s="27">
        <f>Weather_Site!G161</f>
        <v>10</v>
      </c>
      <c r="H163" s="180">
        <f>C$4</f>
        <v>0</v>
      </c>
      <c r="I163" s="27">
        <f t="shared" si="38"/>
        <v>3.3333333333333335</v>
      </c>
      <c r="J163" s="738">
        <f>IF(Weather_Site!M161&lt;180,Weather_Site!M161+180,Weather_Site!M161-180)</f>
        <v>259</v>
      </c>
      <c r="K163" s="635">
        <f t="shared" si="39"/>
        <v>6.1721199999999996</v>
      </c>
      <c r="L163" s="635">
        <f t="shared" si="40"/>
        <v>7.6962000000000002</v>
      </c>
      <c r="M163" s="635">
        <f t="shared" si="41"/>
        <v>8.0046800000000005</v>
      </c>
      <c r="N163" s="635">
        <f t="shared" si="42"/>
        <v>7.6962000000000002</v>
      </c>
      <c r="O163" s="636">
        <f t="shared" si="43"/>
        <v>0.71970013027024926</v>
      </c>
      <c r="P163" s="635">
        <f>IF($O$11,Weather_Site!H161,IF(0.191*(Weather_Site!K161+104)*(Weather_Site!J161+1)^1.5/(3.52*(Weather_Site!J161+1)^1.5+Weather_Site!I161-1)&gt;10, 10,0.191*(Weather_Site!K161+104)*(Weather_Site!J161+1)^1.5/(3.52*(Weather_Site!J161+1)^1.5+Weather_Site!I161-1)))</f>
        <v>9.1</v>
      </c>
      <c r="Q163" s="636">
        <f t="shared" si="44"/>
        <v>0.98627459474380041</v>
      </c>
      <c r="R163" s="636">
        <f t="shared" si="45"/>
        <v>0.70982195431935047</v>
      </c>
      <c r="S163" s="635">
        <f t="shared" si="46"/>
        <v>1</v>
      </c>
      <c r="T163" s="707">
        <f t="shared" si="47"/>
        <v>123.58763409852492</v>
      </c>
      <c r="U163" s="707">
        <f t="shared" si="48"/>
        <v>293.32175075965438</v>
      </c>
      <c r="V163" s="707">
        <f t="shared" si="49"/>
        <v>577.22630420364533</v>
      </c>
      <c r="W163" s="636">
        <f t="shared" si="50"/>
        <v>1</v>
      </c>
      <c r="X163" s="636">
        <f t="shared" si="51"/>
        <v>0</v>
      </c>
      <c r="Y163" s="707">
        <f t="shared" si="52"/>
        <v>293.32175075965438</v>
      </c>
      <c r="Z163" s="635">
        <f t="shared" si="53"/>
        <v>2.0950276907375009</v>
      </c>
      <c r="AA163" s="707">
        <f t="shared" si="54"/>
        <v>91.548611348206734</v>
      </c>
      <c r="AB163" s="707">
        <f t="shared" si="55"/>
        <v>3485.6401381938931</v>
      </c>
    </row>
    <row r="164" spans="1:28" x14ac:dyDescent="0.25">
      <c r="A164" s="23" t="str">
        <f>Weather_Site!A162</f>
        <v>Sat</v>
      </c>
      <c r="B164" s="24">
        <f>Weather_Site!B162</f>
        <v>44555</v>
      </c>
      <c r="C164" s="25">
        <f>Weather_Site!C162</f>
        <v>0.41666666666666669</v>
      </c>
      <c r="D164" s="27">
        <f>Weather_Site!D162</f>
        <v>31.4</v>
      </c>
      <c r="E164" s="27">
        <f>Weather_Site!E162</f>
        <v>24.7</v>
      </c>
      <c r="F164" s="28">
        <f>Weather_Site!F162</f>
        <v>61</v>
      </c>
      <c r="G164" s="27">
        <f>Weather_Site!G162</f>
        <v>16</v>
      </c>
      <c r="H164" s="180">
        <f>C$4</f>
        <v>0</v>
      </c>
      <c r="I164" s="27">
        <f t="shared" si="38"/>
        <v>5.333333333333333</v>
      </c>
      <c r="J164" s="738">
        <f>IF(Weather_Site!M162&lt;180,Weather_Site!M162+180,Weather_Site!M162-180)</f>
        <v>241</v>
      </c>
      <c r="K164" s="635">
        <f t="shared" si="39"/>
        <v>5.2356199999999991</v>
      </c>
      <c r="L164" s="635">
        <f t="shared" si="40"/>
        <v>6.3613</v>
      </c>
      <c r="M164" s="635">
        <f t="shared" si="41"/>
        <v>6.4539799999999996</v>
      </c>
      <c r="N164" s="635">
        <f t="shared" si="42"/>
        <v>6.3613</v>
      </c>
      <c r="O164" s="636">
        <f t="shared" si="43"/>
        <v>0.83871627945008553</v>
      </c>
      <c r="P164" s="635">
        <f>IF($O$11,Weather_Site!H162,IF(0.191*(Weather_Site!K162+104)*(Weather_Site!J162+1)^1.5/(3.52*(Weather_Site!J162+1)^1.5+Weather_Site!I162-1)&gt;10, 10,0.191*(Weather_Site!K162+104)*(Weather_Site!J162+1)^1.5/(3.52*(Weather_Site!J162+1)^1.5+Weather_Site!I162-1)))</f>
        <v>9.1</v>
      </c>
      <c r="Q164" s="636">
        <f t="shared" si="44"/>
        <v>0.98627459474380041</v>
      </c>
      <c r="R164" s="636">
        <f t="shared" si="45"/>
        <v>0.82720455861966113</v>
      </c>
      <c r="S164" s="635">
        <f t="shared" si="46"/>
        <v>1</v>
      </c>
      <c r="T164" s="707">
        <f t="shared" si="47"/>
        <v>236.32829596875368</v>
      </c>
      <c r="U164" s="707">
        <f t="shared" si="48"/>
        <v>569.8894875764322</v>
      </c>
      <c r="V164" s="707">
        <f t="shared" si="49"/>
        <v>1177.5345484939662</v>
      </c>
      <c r="W164" s="636">
        <f t="shared" si="50"/>
        <v>1</v>
      </c>
      <c r="X164" s="636">
        <f t="shared" si="51"/>
        <v>4.6975712745223192E-3</v>
      </c>
      <c r="Y164" s="707">
        <f t="shared" si="52"/>
        <v>572.74394355970378</v>
      </c>
      <c r="Z164" s="635">
        <f t="shared" si="53"/>
        <v>3.3986411142579991</v>
      </c>
      <c r="AA164" s="707">
        <f t="shared" si="54"/>
        <v>126.53409852414804</v>
      </c>
      <c r="AB164" s="707">
        <f t="shared" si="55"/>
        <v>6806.1071959678129</v>
      </c>
    </row>
    <row r="165" spans="1:28" x14ac:dyDescent="0.25">
      <c r="A165" s="23" t="str">
        <f>Weather_Site!A163</f>
        <v>Sat</v>
      </c>
      <c r="B165" s="24">
        <f>Weather_Site!B163</f>
        <v>44555</v>
      </c>
      <c r="C165" s="25">
        <f>Weather_Site!C163</f>
        <v>0.45833333333333331</v>
      </c>
      <c r="D165" s="27">
        <f>Weather_Site!D163</f>
        <v>33.9</v>
      </c>
      <c r="E165" s="27">
        <f>Weather_Site!E163</f>
        <v>20.3</v>
      </c>
      <c r="F165" s="28">
        <f>Weather_Site!F163</f>
        <v>56</v>
      </c>
      <c r="G165" s="27">
        <f>Weather_Site!G163</f>
        <v>17</v>
      </c>
      <c r="H165" s="180">
        <f>C$4</f>
        <v>0</v>
      </c>
      <c r="I165" s="27">
        <f t="shared" si="38"/>
        <v>5.666666666666667</v>
      </c>
      <c r="J165" s="738">
        <f>IF(Weather_Site!M163&lt;180,Weather_Site!M163+180,Weather_Site!M163-180)</f>
        <v>236</v>
      </c>
      <c r="K165" s="635">
        <f t="shared" si="39"/>
        <v>4.6432699999999993</v>
      </c>
      <c r="L165" s="635">
        <f t="shared" si="40"/>
        <v>5.5052000000000003</v>
      </c>
      <c r="M165" s="635">
        <f t="shared" si="41"/>
        <v>5.4620300000000004</v>
      </c>
      <c r="N165" s="635">
        <f t="shared" si="42"/>
        <v>5.5052000000000003</v>
      </c>
      <c r="O165" s="636">
        <f t="shared" si="43"/>
        <v>0.90810741469631451</v>
      </c>
      <c r="P165" s="635">
        <f>IF($O$11,Weather_Site!H163,IF(0.191*(Weather_Site!K163+104)*(Weather_Site!J163+1)^1.5/(3.52*(Weather_Site!J163+1)^1.5+Weather_Site!I163-1)&gt;10, 10,0.191*(Weather_Site!K163+104)*(Weather_Site!J163+1)^1.5/(3.52*(Weather_Site!J163+1)^1.5+Weather_Site!I163-1)))</f>
        <v>9.1</v>
      </c>
      <c r="Q165" s="636">
        <f t="shared" si="44"/>
        <v>0.98627459474380041</v>
      </c>
      <c r="R165" s="636">
        <f t="shared" si="45"/>
        <v>0.89564327241344788</v>
      </c>
      <c r="S165" s="635">
        <f t="shared" si="46"/>
        <v>1</v>
      </c>
      <c r="T165" s="707">
        <f t="shared" si="47"/>
        <v>272.15346553979231</v>
      </c>
      <c r="U165" s="707">
        <f t="shared" si="48"/>
        <v>655.97511757756888</v>
      </c>
      <c r="V165" s="707">
        <f t="shared" si="49"/>
        <v>1370.4428997599659</v>
      </c>
      <c r="W165" s="636">
        <f t="shared" si="50"/>
        <v>1</v>
      </c>
      <c r="X165" s="636">
        <f t="shared" si="51"/>
        <v>3.8356489368245032E-2</v>
      </c>
      <c r="Y165" s="707">
        <f t="shared" si="52"/>
        <v>683.37959346880154</v>
      </c>
      <c r="Z165" s="635">
        <f t="shared" si="53"/>
        <v>3.8615395907850547</v>
      </c>
      <c r="AA165" s="707">
        <f t="shared" si="54"/>
        <v>143.96637597303479</v>
      </c>
      <c r="AB165" s="707">
        <f t="shared" si="55"/>
        <v>8120.8275023875922</v>
      </c>
    </row>
    <row r="166" spans="1:28" x14ac:dyDescent="0.25">
      <c r="A166" s="23" t="str">
        <f>Weather_Site!A164</f>
        <v>Sat</v>
      </c>
      <c r="B166" s="24">
        <f>Weather_Site!B164</f>
        <v>44555</v>
      </c>
      <c r="C166" s="25">
        <f>Weather_Site!C164</f>
        <v>0.5</v>
      </c>
      <c r="D166" s="27">
        <f>Weather_Site!D164</f>
        <v>35.4</v>
      </c>
      <c r="E166" s="27">
        <f>Weather_Site!E164</f>
        <v>18.5</v>
      </c>
      <c r="F166" s="28">
        <f>Weather_Site!F164</f>
        <v>90</v>
      </c>
      <c r="G166" s="27">
        <f>Weather_Site!G164</f>
        <v>17</v>
      </c>
      <c r="H166" s="180">
        <f>C$4</f>
        <v>0</v>
      </c>
      <c r="I166" s="27">
        <f t="shared" si="38"/>
        <v>5.666666666666667</v>
      </c>
      <c r="J166" s="738">
        <f>IF(Weather_Site!M164&lt;180,Weather_Site!M164+180,Weather_Site!M164-180)</f>
        <v>270</v>
      </c>
      <c r="K166" s="635">
        <f t="shared" si="39"/>
        <v>4.3920200000000005</v>
      </c>
      <c r="L166" s="635">
        <f t="shared" si="40"/>
        <v>5.1334999999999997</v>
      </c>
      <c r="M166" s="635">
        <f t="shared" si="41"/>
        <v>5.0331799999999998</v>
      </c>
      <c r="N166" s="635">
        <f t="shared" si="42"/>
        <v>5.1334999999999997</v>
      </c>
      <c r="O166" s="636">
        <f t="shared" si="43"/>
        <v>0.93538206373222987</v>
      </c>
      <c r="P166" s="635">
        <f>IF($O$11,Weather_Site!H164,IF(0.191*(Weather_Site!K164+104)*(Weather_Site!J164+1)^1.5/(3.52*(Weather_Site!J164+1)^1.5+Weather_Site!I164-1)&gt;10, 10,0.191*(Weather_Site!K164+104)*(Weather_Site!J164+1)^1.5/(3.52*(Weather_Site!J164+1)^1.5+Weather_Site!I164-1)))</f>
        <v>9.1</v>
      </c>
      <c r="Q166" s="636">
        <f t="shared" si="44"/>
        <v>0.98627459474380041</v>
      </c>
      <c r="R166" s="636">
        <f t="shared" si="45"/>
        <v>0.92254356583812469</v>
      </c>
      <c r="S166" s="635">
        <f t="shared" si="46"/>
        <v>1</v>
      </c>
      <c r="T166" s="707">
        <f t="shared" si="47"/>
        <v>280.32748783757108</v>
      </c>
      <c r="U166" s="707">
        <f t="shared" si="48"/>
        <v>675.67707223477726</v>
      </c>
      <c r="V166" s="707">
        <f t="shared" si="49"/>
        <v>1411.6036132502475</v>
      </c>
      <c r="W166" s="636">
        <f t="shared" si="50"/>
        <v>1</v>
      </c>
      <c r="X166" s="636">
        <f t="shared" si="51"/>
        <v>7.5941102566581403E-2</v>
      </c>
      <c r="Y166" s="707">
        <f t="shared" si="52"/>
        <v>731.5641451675026</v>
      </c>
      <c r="Z166" s="635">
        <f t="shared" si="53"/>
        <v>4.0565268539806913</v>
      </c>
      <c r="AA166" s="707">
        <f t="shared" si="54"/>
        <v>154.11733065802278</v>
      </c>
      <c r="AB166" s="707">
        <f t="shared" si="55"/>
        <v>8693.4205917404888</v>
      </c>
    </row>
    <row r="167" spans="1:28" x14ac:dyDescent="0.25">
      <c r="A167" s="23" t="str">
        <f>Weather_Site!A165</f>
        <v>Sat</v>
      </c>
      <c r="B167" s="24">
        <f>Weather_Site!B165</f>
        <v>44555</v>
      </c>
      <c r="C167" s="25">
        <f>Weather_Site!C165</f>
        <v>0.54166666666666663</v>
      </c>
      <c r="D167" s="27">
        <f>Weather_Site!D165</f>
        <v>36.6</v>
      </c>
      <c r="E167" s="27">
        <f>Weather_Site!E165</f>
        <v>16.899999999999999</v>
      </c>
      <c r="F167" s="28">
        <f>Weather_Site!F165</f>
        <v>117</v>
      </c>
      <c r="G167" s="27">
        <f>Weather_Site!G165</f>
        <v>18</v>
      </c>
      <c r="H167" s="180">
        <f>C$4</f>
        <v>0</v>
      </c>
      <c r="I167" s="27">
        <f t="shared" si="38"/>
        <v>6</v>
      </c>
      <c r="J167" s="738">
        <f>IF(Weather_Site!M165&lt;180,Weather_Site!M165+180,Weather_Site!M165-180)</f>
        <v>297</v>
      </c>
      <c r="K167" s="635">
        <f t="shared" si="39"/>
        <v>4.1711799999999988</v>
      </c>
      <c r="L167" s="635">
        <f t="shared" si="40"/>
        <v>4.8090999999999999</v>
      </c>
      <c r="M167" s="635">
        <f t="shared" si="41"/>
        <v>4.6584199999999996</v>
      </c>
      <c r="N167" s="635">
        <f t="shared" si="42"/>
        <v>4.1711799999999988</v>
      </c>
      <c r="O167" s="636">
        <f t="shared" si="43"/>
        <v>0.99482249195315686</v>
      </c>
      <c r="P167" s="635">
        <f>IF($O$11,Weather_Site!H165,IF(0.191*(Weather_Site!K165+104)*(Weather_Site!J165+1)^1.5/(3.52*(Weather_Site!J165+1)^1.5+Weather_Site!I165-1)&gt;10, 10,0.191*(Weather_Site!K165+104)*(Weather_Site!J165+1)^1.5/(3.52*(Weather_Site!J165+1)^1.5+Weather_Site!I165-1)))</f>
        <v>9.1</v>
      </c>
      <c r="Q167" s="636">
        <f t="shared" si="44"/>
        <v>0.98627459474380041</v>
      </c>
      <c r="R167" s="636">
        <f t="shared" si="45"/>
        <v>0.98116815009311742</v>
      </c>
      <c r="S167" s="635">
        <f t="shared" si="46"/>
        <v>1</v>
      </c>
      <c r="T167" s="707">
        <f t="shared" si="47"/>
        <v>315.87409454179715</v>
      </c>
      <c r="U167" s="707">
        <f t="shared" si="48"/>
        <v>760.7396876865306</v>
      </c>
      <c r="V167" s="707">
        <f t="shared" si="49"/>
        <v>1607.0935494760574</v>
      </c>
      <c r="W167" s="636">
        <f t="shared" si="50"/>
        <v>1</v>
      </c>
      <c r="X167" s="636">
        <f t="shared" si="51"/>
        <v>0.3479015896383657</v>
      </c>
      <c r="Y167" s="707">
        <f t="shared" si="52"/>
        <v>1055.1875415996767</v>
      </c>
      <c r="Z167" s="635">
        <f t="shared" si="53"/>
        <v>5.286487406262272</v>
      </c>
      <c r="AA167" s="707">
        <f t="shared" si="54"/>
        <v>212.43105604760765</v>
      </c>
      <c r="AB167" s="707">
        <f t="shared" si="55"/>
        <v>12539.145286009491</v>
      </c>
    </row>
    <row r="168" spans="1:28" x14ac:dyDescent="0.25">
      <c r="A168" s="23" t="str">
        <f>Weather_Site!A166</f>
        <v>Sat</v>
      </c>
      <c r="B168" s="24">
        <f>Weather_Site!B166</f>
        <v>44555</v>
      </c>
      <c r="C168" s="25">
        <f>Weather_Site!C166</f>
        <v>0.58333333333333337</v>
      </c>
      <c r="D168" s="27">
        <f>Weather_Site!D166</f>
        <v>37.6</v>
      </c>
      <c r="E168" s="27">
        <f>Weather_Site!E166</f>
        <v>14.9</v>
      </c>
      <c r="F168" s="28">
        <f>Weather_Site!F166</f>
        <v>131</v>
      </c>
      <c r="G168" s="27">
        <f>Weather_Site!G166</f>
        <v>19</v>
      </c>
      <c r="H168" s="180">
        <f>C$4</f>
        <v>0</v>
      </c>
      <c r="I168" s="27">
        <f t="shared" si="38"/>
        <v>6.333333333333333</v>
      </c>
      <c r="J168" s="738">
        <f>IF(Weather_Site!M166&lt;180,Weather_Site!M166+180,Weather_Site!M166-180)</f>
        <v>311</v>
      </c>
      <c r="K168" s="635">
        <f t="shared" si="39"/>
        <v>3.9044799999999995</v>
      </c>
      <c r="L168" s="635">
        <f t="shared" si="40"/>
        <v>4.4260999999999999</v>
      </c>
      <c r="M168" s="635">
        <f t="shared" si="41"/>
        <v>4.2141200000000003</v>
      </c>
      <c r="N168" s="635">
        <f t="shared" si="42"/>
        <v>3.9044799999999995</v>
      </c>
      <c r="O168" s="636">
        <f t="shared" si="43"/>
        <v>1</v>
      </c>
      <c r="P168" s="635">
        <f>IF($O$11,Weather_Site!H166,IF(0.191*(Weather_Site!K166+104)*(Weather_Site!J166+1)^1.5/(3.52*(Weather_Site!J166+1)^1.5+Weather_Site!I166-1)&gt;10, 10,0.191*(Weather_Site!K166+104)*(Weather_Site!J166+1)^1.5/(3.52*(Weather_Site!J166+1)^1.5+Weather_Site!I166-1)))</f>
        <v>9.1</v>
      </c>
      <c r="Q168" s="636">
        <f t="shared" si="44"/>
        <v>0.98627459474380041</v>
      </c>
      <c r="R168" s="636">
        <f t="shared" si="45"/>
        <v>0.98627459474380041</v>
      </c>
      <c r="S168" s="635">
        <f t="shared" si="46"/>
        <v>1</v>
      </c>
      <c r="T168" s="707">
        <f t="shared" si="47"/>
        <v>335.25560425728014</v>
      </c>
      <c r="U168" s="707">
        <f t="shared" si="48"/>
        <v>806.55412197212161</v>
      </c>
      <c r="V168" s="707">
        <f t="shared" si="49"/>
        <v>1722.9319400759405</v>
      </c>
      <c r="W168" s="636">
        <f t="shared" si="50"/>
        <v>1</v>
      </c>
      <c r="X168" s="636">
        <f t="shared" si="51"/>
        <v>0.45116906535443496</v>
      </c>
      <c r="Y168" s="707">
        <f t="shared" si="52"/>
        <v>1219.9954456775581</v>
      </c>
      <c r="Z168" s="635">
        <f t="shared" si="53"/>
        <v>5.871334814454606</v>
      </c>
      <c r="AA168" s="707">
        <f t="shared" si="54"/>
        <v>235.17531144991094</v>
      </c>
      <c r="AB168" s="707">
        <f t="shared" si="55"/>
        <v>14497.612546134982</v>
      </c>
    </row>
    <row r="169" spans="1:28" x14ac:dyDescent="0.25">
      <c r="A169" s="23" t="str">
        <f>Weather_Site!A167</f>
        <v>Sat</v>
      </c>
      <c r="B169" s="24">
        <f>Weather_Site!B167</f>
        <v>44555</v>
      </c>
      <c r="C169" s="25">
        <f>Weather_Site!C167</f>
        <v>0.625</v>
      </c>
      <c r="D169" s="27">
        <f>Weather_Site!D167</f>
        <v>38</v>
      </c>
      <c r="E169" s="27">
        <f>Weather_Site!E167</f>
        <v>14.2</v>
      </c>
      <c r="F169" s="28">
        <f>Weather_Site!F167</f>
        <v>176</v>
      </c>
      <c r="G169" s="27">
        <f>Weather_Site!G167</f>
        <v>17</v>
      </c>
      <c r="H169" s="180">
        <f>C$4</f>
        <v>0</v>
      </c>
      <c r="I169" s="27">
        <f t="shared" si="38"/>
        <v>5.666666666666667</v>
      </c>
      <c r="J169" s="738">
        <f>IF(Weather_Site!M167&lt;180,Weather_Site!M167+180,Weather_Site!M167-180)</f>
        <v>356</v>
      </c>
      <c r="K169" s="635">
        <f t="shared" si="39"/>
        <v>3.8101999999999996</v>
      </c>
      <c r="L169" s="635">
        <f t="shared" si="40"/>
        <v>4.2898000000000005</v>
      </c>
      <c r="M169" s="635">
        <f t="shared" si="41"/>
        <v>4.0562000000000005</v>
      </c>
      <c r="N169" s="635">
        <f t="shared" si="42"/>
        <v>3.8101999999999996</v>
      </c>
      <c r="O169" s="636">
        <f t="shared" si="43"/>
        <v>1</v>
      </c>
      <c r="P169" s="635">
        <f>IF($O$11,Weather_Site!H167,IF(0.191*(Weather_Site!K167+104)*(Weather_Site!J167+1)^1.5/(3.52*(Weather_Site!J167+1)^1.5+Weather_Site!I167-1)&gt;10, 10,0.191*(Weather_Site!K167+104)*(Weather_Site!J167+1)^1.5/(3.52*(Weather_Site!J167+1)^1.5+Weather_Site!I167-1)))</f>
        <v>9.1</v>
      </c>
      <c r="Q169" s="636">
        <f t="shared" si="44"/>
        <v>0.98627459474380041</v>
      </c>
      <c r="R169" s="636">
        <f t="shared" si="45"/>
        <v>0.98627459474380041</v>
      </c>
      <c r="S169" s="635">
        <f t="shared" si="46"/>
        <v>1</v>
      </c>
      <c r="T169" s="707">
        <f t="shared" si="47"/>
        <v>299.69303315379796</v>
      </c>
      <c r="U169" s="707">
        <f t="shared" si="48"/>
        <v>722.35410366838312</v>
      </c>
      <c r="V169" s="707">
        <f t="shared" si="49"/>
        <v>1509.1198217099281</v>
      </c>
      <c r="W169" s="636">
        <f t="shared" si="50"/>
        <v>1</v>
      </c>
      <c r="X169" s="636">
        <f t="shared" si="51"/>
        <v>0.31299630063368128</v>
      </c>
      <c r="Y169" s="707">
        <f t="shared" si="52"/>
        <v>968.60886288078859</v>
      </c>
      <c r="Z169" s="635">
        <f t="shared" si="53"/>
        <v>4.9691851936692988</v>
      </c>
      <c r="AA169" s="707">
        <f t="shared" si="54"/>
        <v>204.05512405847909</v>
      </c>
      <c r="AB169" s="707">
        <f t="shared" si="55"/>
        <v>11510.301987233372</v>
      </c>
    </row>
    <row r="170" spans="1:28" x14ac:dyDescent="0.25">
      <c r="A170" s="23" t="str">
        <f>Weather_Site!A168</f>
        <v>Sat</v>
      </c>
      <c r="B170" s="24">
        <f>Weather_Site!B168</f>
        <v>44555</v>
      </c>
      <c r="C170" s="25">
        <f>Weather_Site!C168</f>
        <v>0.66666666666666663</v>
      </c>
      <c r="D170" s="27">
        <f>Weather_Site!D168</f>
        <v>38.6</v>
      </c>
      <c r="E170" s="27">
        <f>Weather_Site!E168</f>
        <v>13.4</v>
      </c>
      <c r="F170" s="28">
        <f>Weather_Site!F168</f>
        <v>188</v>
      </c>
      <c r="G170" s="27">
        <f>Weather_Site!G168</f>
        <v>18</v>
      </c>
      <c r="H170" s="180">
        <f>C$4</f>
        <v>0</v>
      </c>
      <c r="I170" s="27">
        <f t="shared" si="38"/>
        <v>6</v>
      </c>
      <c r="J170" s="738">
        <f>IF(Weather_Site!M168&lt;180,Weather_Site!M168+180,Weather_Site!M168-180)</f>
        <v>8</v>
      </c>
      <c r="K170" s="635">
        <f t="shared" si="39"/>
        <v>3.6997799999999996</v>
      </c>
      <c r="L170" s="635">
        <f t="shared" si="40"/>
        <v>4.1276000000000002</v>
      </c>
      <c r="M170" s="635">
        <f t="shared" si="41"/>
        <v>3.8688199999999999</v>
      </c>
      <c r="N170" s="635">
        <f t="shared" si="42"/>
        <v>3.6997799999999996</v>
      </c>
      <c r="O170" s="636">
        <f t="shared" si="43"/>
        <v>1</v>
      </c>
      <c r="P170" s="635">
        <f>IF($O$11,Weather_Site!H168,IF(0.191*(Weather_Site!K168+104)*(Weather_Site!J168+1)^1.5/(3.52*(Weather_Site!J168+1)^1.5+Weather_Site!I168-1)&gt;10, 10,0.191*(Weather_Site!K168+104)*(Weather_Site!J168+1)^1.5/(3.52*(Weather_Site!J168+1)^1.5+Weather_Site!I168-1)))</f>
        <v>9.1</v>
      </c>
      <c r="Q170" s="636">
        <f t="shared" si="44"/>
        <v>0.98627459474380041</v>
      </c>
      <c r="R170" s="636">
        <f t="shared" si="45"/>
        <v>0.98627459474380041</v>
      </c>
      <c r="S170" s="635">
        <f t="shared" si="46"/>
        <v>1</v>
      </c>
      <c r="T170" s="707">
        <f t="shared" si="47"/>
        <v>317.51804678403943</v>
      </c>
      <c r="U170" s="707">
        <f t="shared" si="48"/>
        <v>764.69892251124486</v>
      </c>
      <c r="V170" s="707">
        <f t="shared" si="49"/>
        <v>1615.4575941692024</v>
      </c>
      <c r="W170" s="636">
        <f t="shared" si="50"/>
        <v>1</v>
      </c>
      <c r="X170" s="636">
        <f t="shared" si="51"/>
        <v>0.37964664475651944</v>
      </c>
      <c r="Y170" s="707">
        <f t="shared" si="52"/>
        <v>1087.6865977037019</v>
      </c>
      <c r="Z170" s="635">
        <f t="shared" si="53"/>
        <v>5.4037107293846631</v>
      </c>
      <c r="AA170" s="707">
        <f t="shared" si="54"/>
        <v>218.97378758731315</v>
      </c>
      <c r="AB170" s="707">
        <f t="shared" si="55"/>
        <v>12925.342402712322</v>
      </c>
    </row>
    <row r="171" spans="1:28" x14ac:dyDescent="0.25">
      <c r="A171" s="23" t="str">
        <f>Weather_Site!A169</f>
        <v>Sat</v>
      </c>
      <c r="B171" s="24">
        <f>Weather_Site!B169</f>
        <v>44555</v>
      </c>
      <c r="C171" s="25">
        <f>Weather_Site!C169</f>
        <v>0.70833333333333337</v>
      </c>
      <c r="D171" s="27">
        <f>Weather_Site!D169</f>
        <v>38.6</v>
      </c>
      <c r="E171" s="27">
        <f>Weather_Site!E169</f>
        <v>13.1</v>
      </c>
      <c r="F171" s="28">
        <f>Weather_Site!F169</f>
        <v>195</v>
      </c>
      <c r="G171" s="27">
        <f>Weather_Site!G169</f>
        <v>17</v>
      </c>
      <c r="H171" s="180">
        <f>C$4</f>
        <v>0</v>
      </c>
      <c r="I171" s="27">
        <f t="shared" si="38"/>
        <v>5.666666666666667</v>
      </c>
      <c r="J171" s="738">
        <f>IF(Weather_Site!M169&lt;180,Weather_Site!M169+180,Weather_Site!M169-180)</f>
        <v>15</v>
      </c>
      <c r="K171" s="635">
        <f t="shared" si="39"/>
        <v>3.6625799999999993</v>
      </c>
      <c r="L171" s="635">
        <f t="shared" si="40"/>
        <v>4.0769000000000002</v>
      </c>
      <c r="M171" s="635">
        <f t="shared" si="41"/>
        <v>3.8094199999999998</v>
      </c>
      <c r="N171" s="635">
        <f t="shared" si="42"/>
        <v>3.6625799999999993</v>
      </c>
      <c r="O171" s="636">
        <f t="shared" si="43"/>
        <v>1</v>
      </c>
      <c r="P171" s="635">
        <f>IF($O$11,Weather_Site!H169,IF(0.191*(Weather_Site!K169+104)*(Weather_Site!J169+1)^1.5/(3.52*(Weather_Site!J169+1)^1.5+Weather_Site!I169-1)&gt;10, 10,0.191*(Weather_Site!K169+104)*(Weather_Site!J169+1)^1.5/(3.52*(Weather_Site!J169+1)^1.5+Weather_Site!I169-1)))</f>
        <v>9.1</v>
      </c>
      <c r="Q171" s="636">
        <f t="shared" si="44"/>
        <v>0.98627459474380041</v>
      </c>
      <c r="R171" s="636">
        <f t="shared" si="45"/>
        <v>0.98627459474380041</v>
      </c>
      <c r="S171" s="635">
        <f t="shared" si="46"/>
        <v>1</v>
      </c>
      <c r="T171" s="707">
        <f t="shared" si="47"/>
        <v>299.69303315379796</v>
      </c>
      <c r="U171" s="707">
        <f t="shared" si="48"/>
        <v>722.35410366838312</v>
      </c>
      <c r="V171" s="707">
        <f t="shared" si="49"/>
        <v>1509.1198217099281</v>
      </c>
      <c r="W171" s="636">
        <f t="shared" si="50"/>
        <v>1</v>
      </c>
      <c r="X171" s="636">
        <f t="shared" si="51"/>
        <v>0.31299630063368128</v>
      </c>
      <c r="Y171" s="707">
        <f t="shared" si="52"/>
        <v>968.60886288078859</v>
      </c>
      <c r="Z171" s="635">
        <f t="shared" si="53"/>
        <v>4.9691851936692988</v>
      </c>
      <c r="AA171" s="707">
        <f t="shared" si="54"/>
        <v>204.05512405847909</v>
      </c>
      <c r="AB171" s="707">
        <f t="shared" si="55"/>
        <v>11510.301987233372</v>
      </c>
    </row>
    <row r="172" spans="1:28" x14ac:dyDescent="0.25">
      <c r="A172" s="23" t="str">
        <f>Weather_Site!A170</f>
        <v>Sat</v>
      </c>
      <c r="B172" s="24">
        <f>Weather_Site!B170</f>
        <v>44555</v>
      </c>
      <c r="C172" s="25">
        <f>Weather_Site!C170</f>
        <v>0.75</v>
      </c>
      <c r="D172" s="27">
        <f>Weather_Site!D170</f>
        <v>37.799999999999997</v>
      </c>
      <c r="E172" s="27">
        <f>Weather_Site!E170</f>
        <v>13.6</v>
      </c>
      <c r="F172" s="28">
        <f>Weather_Site!F170</f>
        <v>191</v>
      </c>
      <c r="G172" s="27">
        <f>Weather_Site!G170</f>
        <v>19</v>
      </c>
      <c r="H172" s="180">
        <f>C$4</f>
        <v>0</v>
      </c>
      <c r="I172" s="27">
        <f t="shared" si="38"/>
        <v>6.333333333333333</v>
      </c>
      <c r="J172" s="738">
        <f>IF(Weather_Site!M170&lt;180,Weather_Site!M170+180,Weather_Site!M170-180)</f>
        <v>11</v>
      </c>
      <c r="K172" s="635">
        <f t="shared" si="39"/>
        <v>3.7395399999999999</v>
      </c>
      <c r="L172" s="635">
        <f t="shared" si="40"/>
        <v>4.1974000000000009</v>
      </c>
      <c r="M172" s="635">
        <f t="shared" si="41"/>
        <v>3.9470600000000005</v>
      </c>
      <c r="N172" s="635">
        <f t="shared" si="42"/>
        <v>4.1974000000000009</v>
      </c>
      <c r="O172" s="636">
        <f t="shared" si="43"/>
        <v>0.99345488319154318</v>
      </c>
      <c r="P172" s="635">
        <f>IF($O$11,Weather_Site!H170,IF(0.191*(Weather_Site!K170+104)*(Weather_Site!J170+1)^1.5/(3.52*(Weather_Site!J170+1)^1.5+Weather_Site!I170-1)&gt;10, 10,0.191*(Weather_Site!K170+104)*(Weather_Site!J170+1)^1.5/(3.52*(Weather_Site!J170+1)^1.5+Weather_Site!I170-1)))</f>
        <v>9.1</v>
      </c>
      <c r="Q172" s="636">
        <f t="shared" si="44"/>
        <v>0.98627459474380041</v>
      </c>
      <c r="R172" s="636">
        <f t="shared" si="45"/>
        <v>0.97981931231598884</v>
      </c>
      <c r="S172" s="635">
        <f t="shared" si="46"/>
        <v>1</v>
      </c>
      <c r="T172" s="707">
        <f t="shared" si="47"/>
        <v>333.06131716672644</v>
      </c>
      <c r="U172" s="707">
        <f t="shared" si="48"/>
        <v>801.27513103147169</v>
      </c>
      <c r="V172" s="707">
        <f t="shared" si="49"/>
        <v>1711.6551492751223</v>
      </c>
      <c r="W172" s="636">
        <f t="shared" si="50"/>
        <v>1</v>
      </c>
      <c r="X172" s="636">
        <f t="shared" si="51"/>
        <v>0.40868028513596205</v>
      </c>
      <c r="Y172" s="707">
        <f t="shared" si="52"/>
        <v>1173.3294964693691</v>
      </c>
      <c r="Z172" s="635">
        <f t="shared" si="53"/>
        <v>5.7080860716935193</v>
      </c>
      <c r="AA172" s="707">
        <f t="shared" si="54"/>
        <v>226.17963922996549</v>
      </c>
      <c r="AB172" s="707">
        <f t="shared" si="55"/>
        <v>13943.065516377668</v>
      </c>
    </row>
    <row r="173" spans="1:28" x14ac:dyDescent="0.25">
      <c r="A173" s="23" t="str">
        <f>Weather_Site!A171</f>
        <v>Sat</v>
      </c>
      <c r="B173" s="24">
        <f>Weather_Site!B171</f>
        <v>44555</v>
      </c>
      <c r="C173" s="25">
        <f>Weather_Site!C171</f>
        <v>0.79166666666666663</v>
      </c>
      <c r="D173" s="27">
        <f>Weather_Site!D171</f>
        <v>37</v>
      </c>
      <c r="E173" s="27">
        <f>Weather_Site!E171</f>
        <v>14.3</v>
      </c>
      <c r="F173" s="28">
        <f>Weather_Site!F171</f>
        <v>185</v>
      </c>
      <c r="G173" s="27">
        <f>Weather_Site!G171</f>
        <v>16</v>
      </c>
      <c r="H173" s="180">
        <f>C$4</f>
        <v>0</v>
      </c>
      <c r="I173" s="27">
        <f t="shared" si="38"/>
        <v>5.333333333333333</v>
      </c>
      <c r="J173" s="738">
        <f>IF(Weather_Site!M171&lt;180,Weather_Site!M171+180,Weather_Site!M171-180)</f>
        <v>5</v>
      </c>
      <c r="K173" s="635">
        <f t="shared" si="39"/>
        <v>3.8412999999999999</v>
      </c>
      <c r="L173" s="635">
        <f t="shared" si="40"/>
        <v>4.3517000000000001</v>
      </c>
      <c r="M173" s="635">
        <f t="shared" si="41"/>
        <v>4.1242999999999999</v>
      </c>
      <c r="N173" s="635">
        <f t="shared" si="42"/>
        <v>4.3517000000000001</v>
      </c>
      <c r="O173" s="636">
        <f t="shared" si="43"/>
        <v>0.98509396118782522</v>
      </c>
      <c r="P173" s="635">
        <f>IF($O$11,Weather_Site!H171,IF(0.191*(Weather_Site!K171+104)*(Weather_Site!J171+1)^1.5/(3.52*(Weather_Site!J171+1)^1.5+Weather_Site!I171-1)&gt;10, 10,0.191*(Weather_Site!K171+104)*(Weather_Site!J171+1)^1.5/(3.52*(Weather_Site!J171+1)^1.5+Weather_Site!I171-1)))</f>
        <v>9.1</v>
      </c>
      <c r="Q173" s="636">
        <f t="shared" si="44"/>
        <v>0.98627459474380041</v>
      </c>
      <c r="R173" s="636">
        <f t="shared" si="45"/>
        <v>0.97157314735508737</v>
      </c>
      <c r="S173" s="635">
        <f t="shared" si="46"/>
        <v>1</v>
      </c>
      <c r="T173" s="707">
        <f t="shared" si="47"/>
        <v>277.5736955639756</v>
      </c>
      <c r="U173" s="707">
        <f t="shared" si="48"/>
        <v>669.34994170382947</v>
      </c>
      <c r="V173" s="707">
        <f t="shared" si="49"/>
        <v>1383.0447807356202</v>
      </c>
      <c r="W173" s="636">
        <f t="shared" si="50"/>
        <v>1</v>
      </c>
      <c r="X173" s="636">
        <f t="shared" si="51"/>
        <v>0.18598296922943727</v>
      </c>
      <c r="Y173" s="707">
        <f t="shared" si="52"/>
        <v>802.08502699068708</v>
      </c>
      <c r="Z173" s="635">
        <f t="shared" si="53"/>
        <v>4.3356200625222527</v>
      </c>
      <c r="AA173" s="707">
        <f t="shared" si="54"/>
        <v>177.20153477171417</v>
      </c>
      <c r="AB173" s="707">
        <f t="shared" si="55"/>
        <v>9531.4437374059962</v>
      </c>
    </row>
    <row r="174" spans="1:28" x14ac:dyDescent="0.25">
      <c r="A174" s="23" t="str">
        <f>Weather_Site!A172</f>
        <v>Sat</v>
      </c>
      <c r="B174" s="24">
        <f>Weather_Site!B172</f>
        <v>44555</v>
      </c>
      <c r="C174" s="25">
        <f>Weather_Site!C172</f>
        <v>0.83333333333333337</v>
      </c>
      <c r="D174" s="27">
        <f>Weather_Site!D172</f>
        <v>35.4</v>
      </c>
      <c r="E174" s="27">
        <f>Weather_Site!E172</f>
        <v>16.3</v>
      </c>
      <c r="F174" s="28">
        <f>Weather_Site!F172</f>
        <v>175</v>
      </c>
      <c r="G174" s="27">
        <f>Weather_Site!G172</f>
        <v>15</v>
      </c>
      <c r="H174" s="180">
        <f>C$4</f>
        <v>0</v>
      </c>
      <c r="I174" s="27">
        <f t="shared" si="38"/>
        <v>5</v>
      </c>
      <c r="J174" s="738">
        <f>IF(Weather_Site!M172&lt;180,Weather_Site!M172+180,Weather_Site!M172-180)</f>
        <v>355</v>
      </c>
      <c r="K174" s="635">
        <f t="shared" si="39"/>
        <v>4.1192200000000003</v>
      </c>
      <c r="L174" s="635">
        <f t="shared" si="40"/>
        <v>4.7617000000000003</v>
      </c>
      <c r="M174" s="635">
        <f t="shared" si="41"/>
        <v>4.5975800000000007</v>
      </c>
      <c r="N174" s="635">
        <f t="shared" si="42"/>
        <v>4.5975800000000007</v>
      </c>
      <c r="O174" s="636">
        <f t="shared" si="43"/>
        <v>0.97071828363108825</v>
      </c>
      <c r="P174" s="635">
        <f>IF($O$11,Weather_Site!H172,IF(0.191*(Weather_Site!K172+104)*(Weather_Site!J172+1)^1.5/(3.52*(Weather_Site!J172+1)^1.5+Weather_Site!I172-1)&gt;10, 10,0.191*(Weather_Site!K172+104)*(Weather_Site!J172+1)^1.5/(3.52*(Weather_Site!J172+1)^1.5+Weather_Site!I172-1)))</f>
        <v>9.1</v>
      </c>
      <c r="Q174" s="636">
        <f t="shared" si="44"/>
        <v>0.98627459474380041</v>
      </c>
      <c r="R174" s="636">
        <f t="shared" si="45"/>
        <v>0.95739478179864912</v>
      </c>
      <c r="S174" s="635">
        <f t="shared" si="46"/>
        <v>1</v>
      </c>
      <c r="T174" s="707">
        <f t="shared" si="47"/>
        <v>256.02948290342727</v>
      </c>
      <c r="U174" s="707">
        <f t="shared" si="48"/>
        <v>617.39919560990563</v>
      </c>
      <c r="V174" s="707">
        <f t="shared" si="49"/>
        <v>1262.0069225407467</v>
      </c>
      <c r="W174" s="636">
        <f t="shared" si="50"/>
        <v>1</v>
      </c>
      <c r="X174" s="636">
        <f t="shared" si="51"/>
        <v>0.10410277490827279</v>
      </c>
      <c r="Y174" s="707">
        <f t="shared" si="52"/>
        <v>684.5046487107204</v>
      </c>
      <c r="Z174" s="635">
        <f t="shared" si="53"/>
        <v>3.8661348674449632</v>
      </c>
      <c r="AA174" s="707">
        <f t="shared" si="54"/>
        <v>158.96531553895039</v>
      </c>
      <c r="AB174" s="707">
        <f t="shared" si="55"/>
        <v>8134.1969088457281</v>
      </c>
    </row>
    <row r="175" spans="1:28" x14ac:dyDescent="0.25">
      <c r="A175" s="23" t="str">
        <f>Weather_Site!A173</f>
        <v>Sat</v>
      </c>
      <c r="B175" s="24">
        <f>Weather_Site!B173</f>
        <v>44555</v>
      </c>
      <c r="C175" s="25">
        <f>Weather_Site!C173</f>
        <v>0.875</v>
      </c>
      <c r="D175" s="27">
        <f>Weather_Site!D173</f>
        <v>32.799999999999997</v>
      </c>
      <c r="E175" s="27">
        <f>Weather_Site!E173</f>
        <v>19.899999999999999</v>
      </c>
      <c r="F175" s="28">
        <f>Weather_Site!F173</f>
        <v>175</v>
      </c>
      <c r="G175" s="27">
        <f>Weather_Site!G173</f>
        <v>14</v>
      </c>
      <c r="H175" s="180">
        <f>C$4</f>
        <v>0</v>
      </c>
      <c r="I175" s="27">
        <f t="shared" si="38"/>
        <v>4.666666666666667</v>
      </c>
      <c r="J175" s="738">
        <f>IF(Weather_Site!M173&lt;180,Weather_Site!M173+180,Weather_Site!M173-180)</f>
        <v>355</v>
      </c>
      <c r="K175" s="635">
        <f t="shared" si="39"/>
        <v>4.6142399999999997</v>
      </c>
      <c r="L175" s="635">
        <f t="shared" si="40"/>
        <v>5.4871000000000008</v>
      </c>
      <c r="M175" s="635">
        <f t="shared" si="41"/>
        <v>5.4359599999999997</v>
      </c>
      <c r="N175" s="635">
        <f t="shared" si="42"/>
        <v>5.4359599999999997</v>
      </c>
      <c r="O175" s="636">
        <f t="shared" si="43"/>
        <v>0.9133398929331189</v>
      </c>
      <c r="P175" s="635">
        <f>IF($O$11,Weather_Site!H173,IF(0.191*(Weather_Site!K173+104)*(Weather_Site!J173+1)^1.5/(3.52*(Weather_Site!J173+1)^1.5+Weather_Site!I173-1)&gt;10, 10,0.191*(Weather_Site!K173+104)*(Weather_Site!J173+1)^1.5/(3.52*(Weather_Site!J173+1)^1.5+Weather_Site!I173-1)))</f>
        <v>9.1</v>
      </c>
      <c r="Q175" s="636">
        <f t="shared" si="44"/>
        <v>0.98627459474380041</v>
      </c>
      <c r="R175" s="636">
        <f t="shared" si="45"/>
        <v>0.90080393276595794</v>
      </c>
      <c r="S175" s="635">
        <f t="shared" si="46"/>
        <v>1</v>
      </c>
      <c r="T175" s="707">
        <f t="shared" si="47"/>
        <v>224.33473798293861</v>
      </c>
      <c r="U175" s="707">
        <f t="shared" si="48"/>
        <v>540.63435523266753</v>
      </c>
      <c r="V175" s="707">
        <f t="shared" si="49"/>
        <v>1093.7205342488096</v>
      </c>
      <c r="W175" s="636">
        <f t="shared" si="50"/>
        <v>1</v>
      </c>
      <c r="X175" s="636">
        <f t="shared" si="51"/>
        <v>1.8554109294041457E-2</v>
      </c>
      <c r="Y175" s="707">
        <f t="shared" si="52"/>
        <v>550.89637664715679</v>
      </c>
      <c r="Z175" s="635">
        <f t="shared" si="53"/>
        <v>3.304406065357675</v>
      </c>
      <c r="AA175" s="707">
        <f t="shared" si="54"/>
        <v>134.83854920872253</v>
      </c>
      <c r="AB175" s="707">
        <f t="shared" si="55"/>
        <v>6546.485275823713</v>
      </c>
    </row>
    <row r="176" spans="1:28" x14ac:dyDescent="0.25">
      <c r="A176" s="23" t="str">
        <f>Weather_Site!A174</f>
        <v>Sat</v>
      </c>
      <c r="B176" s="24">
        <f>Weather_Site!B174</f>
        <v>44555</v>
      </c>
      <c r="C176" s="25">
        <f>Weather_Site!C174</f>
        <v>0.91666666666666663</v>
      </c>
      <c r="D176" s="27">
        <f>Weather_Site!D174</f>
        <v>30.4</v>
      </c>
      <c r="E176" s="27">
        <f>Weather_Site!E174</f>
        <v>23.9</v>
      </c>
      <c r="F176" s="28">
        <f>Weather_Site!F174</f>
        <v>155</v>
      </c>
      <c r="G176" s="27">
        <f>Weather_Site!G174</f>
        <v>14</v>
      </c>
      <c r="H176" s="180">
        <f>C$4</f>
        <v>0</v>
      </c>
      <c r="I176" s="27">
        <f t="shared" si="38"/>
        <v>4.666666666666667</v>
      </c>
      <c r="J176" s="738">
        <f>IF(Weather_Site!M174&lt;180,Weather_Site!M174+180,Weather_Site!M174-180)</f>
        <v>335</v>
      </c>
      <c r="K176" s="635">
        <f t="shared" si="39"/>
        <v>5.1551199999999993</v>
      </c>
      <c r="L176" s="635">
        <f t="shared" si="40"/>
        <v>6.2711000000000006</v>
      </c>
      <c r="M176" s="635">
        <f t="shared" si="41"/>
        <v>6.3438799999999995</v>
      </c>
      <c r="N176" s="635">
        <f t="shared" si="42"/>
        <v>6.3438799999999995</v>
      </c>
      <c r="O176" s="636">
        <f t="shared" si="43"/>
        <v>0.8402011486895129</v>
      </c>
      <c r="P176" s="635">
        <f>IF($O$11,Weather_Site!H174,IF(0.191*(Weather_Site!K174+104)*(Weather_Site!J174+1)^1.5/(3.52*(Weather_Site!J174+1)^1.5+Weather_Site!I174-1)&gt;10, 10,0.191*(Weather_Site!K174+104)*(Weather_Site!J174+1)^1.5/(3.52*(Weather_Site!J174+1)^1.5+Weather_Site!I174-1)))</f>
        <v>9.1</v>
      </c>
      <c r="Q176" s="636">
        <f t="shared" si="44"/>
        <v>0.98627459474380041</v>
      </c>
      <c r="R176" s="636">
        <f t="shared" si="45"/>
        <v>0.82866904742702496</v>
      </c>
      <c r="S176" s="635">
        <f t="shared" si="46"/>
        <v>1</v>
      </c>
      <c r="T176" s="707">
        <f t="shared" si="47"/>
        <v>206.37038412820996</v>
      </c>
      <c r="U176" s="707">
        <f t="shared" si="48"/>
        <v>497.34125247583393</v>
      </c>
      <c r="V176" s="707">
        <f t="shared" si="49"/>
        <v>1006.1372073325709</v>
      </c>
      <c r="W176" s="636">
        <f t="shared" si="50"/>
        <v>1</v>
      </c>
      <c r="X176" s="636">
        <f t="shared" si="51"/>
        <v>2.7133743173793023E-3</v>
      </c>
      <c r="Y176" s="707">
        <f t="shared" si="52"/>
        <v>498.72180635252869</v>
      </c>
      <c r="Z176" s="635">
        <f t="shared" si="53"/>
        <v>3.0750448486198088</v>
      </c>
      <c r="AA176" s="707">
        <f t="shared" si="54"/>
        <v>122.0681922734797</v>
      </c>
      <c r="AB176" s="707">
        <f t="shared" si="55"/>
        <v>5926.4774654892153</v>
      </c>
    </row>
    <row r="177" spans="1:28" x14ac:dyDescent="0.25">
      <c r="A177" s="23" t="str">
        <f>Weather_Site!A175</f>
        <v>Sat</v>
      </c>
      <c r="B177" s="24">
        <f>Weather_Site!B175</f>
        <v>44555</v>
      </c>
      <c r="C177" s="25">
        <f>Weather_Site!C175</f>
        <v>0.95833333333333337</v>
      </c>
      <c r="D177" s="27">
        <f>Weather_Site!D175</f>
        <v>28.7</v>
      </c>
      <c r="E177" s="27">
        <f>Weather_Site!E175</f>
        <v>27.7</v>
      </c>
      <c r="F177" s="28">
        <f>Weather_Site!F175</f>
        <v>152</v>
      </c>
      <c r="G177" s="27">
        <f>Weather_Site!G175</f>
        <v>15</v>
      </c>
      <c r="H177" s="180">
        <f>C$4</f>
        <v>0</v>
      </c>
      <c r="I177" s="27">
        <f t="shared" si="38"/>
        <v>5</v>
      </c>
      <c r="J177" s="738">
        <f>IF(Weather_Site!M175&lt;180,Weather_Site!M175+180,Weather_Site!M175-180)</f>
        <v>332</v>
      </c>
      <c r="K177" s="635">
        <f t="shared" si="39"/>
        <v>5.6581099999999998</v>
      </c>
      <c r="L177" s="635">
        <f t="shared" si="40"/>
        <v>6.9897999999999998</v>
      </c>
      <c r="M177" s="635">
        <f t="shared" si="41"/>
        <v>7.1783900000000003</v>
      </c>
      <c r="N177" s="635">
        <f t="shared" si="42"/>
        <v>7.1783900000000003</v>
      </c>
      <c r="O177" s="636">
        <f t="shared" si="43"/>
        <v>0.76677587506233624</v>
      </c>
      <c r="P177" s="635">
        <f>IF($O$11,Weather_Site!H175,IF(0.191*(Weather_Site!K175+104)*(Weather_Site!J175+1)^1.5/(3.52*(Weather_Site!J175+1)^1.5+Weather_Site!I175-1)&gt;10, 10,0.191*(Weather_Site!K175+104)*(Weather_Site!J175+1)^1.5/(3.52*(Weather_Site!J175+1)^1.5+Weather_Site!I175-1)))</f>
        <v>9.1</v>
      </c>
      <c r="Q177" s="636">
        <f t="shared" si="44"/>
        <v>0.98627459474380041</v>
      </c>
      <c r="R177" s="636">
        <f t="shared" si="45"/>
        <v>0.75625156543642857</v>
      </c>
      <c r="S177" s="635">
        <f t="shared" si="46"/>
        <v>1</v>
      </c>
      <c r="T177" s="707">
        <f t="shared" si="47"/>
        <v>202.23913992913032</v>
      </c>
      <c r="U177" s="707">
        <f t="shared" si="48"/>
        <v>487.68712453394085</v>
      </c>
      <c r="V177" s="707">
        <f t="shared" si="49"/>
        <v>996.86642219841281</v>
      </c>
      <c r="W177" s="636">
        <f t="shared" si="50"/>
        <v>1</v>
      </c>
      <c r="X177" s="636">
        <f t="shared" si="51"/>
        <v>5.217244192462678E-4</v>
      </c>
      <c r="Y177" s="707">
        <f t="shared" si="52"/>
        <v>487.95277580730703</v>
      </c>
      <c r="Z177" s="635">
        <f t="shared" si="53"/>
        <v>3.0268925587179312</v>
      </c>
      <c r="AA177" s="707">
        <f t="shared" si="54"/>
        <v>113.31926981126499</v>
      </c>
      <c r="AB177" s="707">
        <f t="shared" si="55"/>
        <v>5798.5054858434987</v>
      </c>
    </row>
    <row r="178" spans="1:28" x14ac:dyDescent="0.25">
      <c r="A178" s="23" t="str">
        <f>Weather_Site!A176</f>
        <v>Sun</v>
      </c>
      <c r="B178" s="24">
        <f>Weather_Site!B176</f>
        <v>44556</v>
      </c>
      <c r="C178" s="25">
        <f>Weather_Site!C176</f>
        <v>0</v>
      </c>
      <c r="D178" s="27">
        <f>Weather_Site!D176</f>
        <v>26.9</v>
      </c>
      <c r="E178" s="27">
        <f>Weather_Site!E176</f>
        <v>32</v>
      </c>
      <c r="F178" s="28">
        <f>Weather_Site!F176</f>
        <v>160</v>
      </c>
      <c r="G178" s="27">
        <f>Weather_Site!G176</f>
        <v>14</v>
      </c>
      <c r="H178" s="180">
        <f>C$4</f>
        <v>0</v>
      </c>
      <c r="I178" s="27">
        <f t="shared" si="38"/>
        <v>4.666666666666667</v>
      </c>
      <c r="J178" s="738">
        <f>IF(Weather_Site!M176&lt;180,Weather_Site!M176+180,Weather_Site!M176-180)</f>
        <v>340</v>
      </c>
      <c r="K178" s="635">
        <f t="shared" si="39"/>
        <v>6.2249699999999999</v>
      </c>
      <c r="L178" s="635">
        <f t="shared" si="40"/>
        <v>7.7975000000000012</v>
      </c>
      <c r="M178" s="635">
        <f t="shared" si="41"/>
        <v>8.1167300000000004</v>
      </c>
      <c r="N178" s="635">
        <f t="shared" si="42"/>
        <v>8.1167300000000004</v>
      </c>
      <c r="O178" s="636">
        <f t="shared" si="43"/>
        <v>0.68119911546405676</v>
      </c>
      <c r="P178" s="635">
        <f>IF($O$11,Weather_Site!H176,IF(0.191*(Weather_Site!K176+104)*(Weather_Site!J176+1)^1.5/(3.52*(Weather_Site!J176+1)^1.5+Weather_Site!I176-1)&gt;10, 10,0.191*(Weather_Site!K176+104)*(Weather_Site!J176+1)^1.5/(3.52*(Weather_Site!J176+1)^1.5+Weather_Site!I176-1)))</f>
        <v>9.1</v>
      </c>
      <c r="Q178" s="636">
        <f t="shared" si="44"/>
        <v>0.98627459474380041</v>
      </c>
      <c r="R178" s="636">
        <f t="shared" si="45"/>
        <v>0.67184938154414786</v>
      </c>
      <c r="S178" s="635">
        <f t="shared" si="46"/>
        <v>1</v>
      </c>
      <c r="T178" s="707">
        <f t="shared" si="47"/>
        <v>167.31627104459457</v>
      </c>
      <c r="U178" s="707">
        <f t="shared" si="48"/>
        <v>403.22299225458414</v>
      </c>
      <c r="V178" s="707">
        <f t="shared" si="49"/>
        <v>815.73296672996821</v>
      </c>
      <c r="W178" s="636">
        <f t="shared" si="50"/>
        <v>1</v>
      </c>
      <c r="X178" s="636">
        <f t="shared" si="51"/>
        <v>4.0219321232021651E-5</v>
      </c>
      <c r="Y178" s="707">
        <f t="shared" si="52"/>
        <v>403.23958312575894</v>
      </c>
      <c r="Z178" s="635">
        <f t="shared" si="53"/>
        <v>2.6370722216508358</v>
      </c>
      <c r="AA178" s="707">
        <f t="shared" si="54"/>
        <v>98.697763639553287</v>
      </c>
      <c r="AB178" s="707">
        <f t="shared" si="55"/>
        <v>4791.8303794777694</v>
      </c>
    </row>
    <row r="179" spans="1:28" x14ac:dyDescent="0.25">
      <c r="A179" s="23" t="str">
        <f>Weather_Site!A177</f>
        <v>Sun</v>
      </c>
      <c r="B179" s="24">
        <f>Weather_Site!B177</f>
        <v>44556</v>
      </c>
      <c r="C179" s="25">
        <f>Weather_Site!C177</f>
        <v>4.1666666666666664E-2</v>
      </c>
      <c r="D179" s="27">
        <f>Weather_Site!D177</f>
        <v>25.2</v>
      </c>
      <c r="E179" s="27">
        <f>Weather_Site!E177</f>
        <v>35.4</v>
      </c>
      <c r="F179" s="28">
        <f>Weather_Site!F177</f>
        <v>190</v>
      </c>
      <c r="G179" s="27">
        <f>Weather_Site!G177</f>
        <v>15</v>
      </c>
      <c r="H179" s="180">
        <f>C$4</f>
        <v>0</v>
      </c>
      <c r="I179" s="27">
        <f t="shared" si="38"/>
        <v>5</v>
      </c>
      <c r="J179" s="738">
        <f>IF(Weather_Site!M177&lt;180,Weather_Site!M177+180,Weather_Site!M177-180)</f>
        <v>10</v>
      </c>
      <c r="K179" s="635">
        <f t="shared" si="39"/>
        <v>6.6783599999999996</v>
      </c>
      <c r="L179" s="635">
        <f t="shared" si="40"/>
        <v>8.4486000000000008</v>
      </c>
      <c r="M179" s="635">
        <f t="shared" si="41"/>
        <v>8.8720400000000001</v>
      </c>
      <c r="N179" s="635">
        <f t="shared" si="42"/>
        <v>8.8720400000000001</v>
      </c>
      <c r="O179" s="636">
        <f t="shared" si="43"/>
        <v>0.61256725255012257</v>
      </c>
      <c r="P179" s="635">
        <f>IF($O$11,Weather_Site!H177,IF(0.191*(Weather_Site!K177+104)*(Weather_Site!J177+1)^1.5/(3.52*(Weather_Site!J177+1)^1.5+Weather_Site!I177-1)&gt;10, 10,0.191*(Weather_Site!K177+104)*(Weather_Site!J177+1)^1.5/(3.52*(Weather_Site!J177+1)^1.5+Weather_Site!I177-1)))</f>
        <v>9.1</v>
      </c>
      <c r="Q179" s="636">
        <f t="shared" si="44"/>
        <v>0.98627459474380041</v>
      </c>
      <c r="R179" s="636">
        <f t="shared" si="45"/>
        <v>0.60415951876219542</v>
      </c>
      <c r="S179" s="635">
        <f t="shared" si="46"/>
        <v>1</v>
      </c>
      <c r="T179" s="707">
        <f t="shared" si="47"/>
        <v>161.56621293597132</v>
      </c>
      <c r="U179" s="707">
        <f t="shared" si="48"/>
        <v>389.6068873522384</v>
      </c>
      <c r="V179" s="707">
        <f t="shared" si="49"/>
        <v>796.38359169282512</v>
      </c>
      <c r="W179" s="636">
        <f t="shared" si="50"/>
        <v>1</v>
      </c>
      <c r="X179" s="636">
        <f t="shared" si="51"/>
        <v>8.7619826342197589E-6</v>
      </c>
      <c r="Y179" s="707">
        <f t="shared" si="52"/>
        <v>389.61045152265785</v>
      </c>
      <c r="Z179" s="635">
        <f t="shared" si="53"/>
        <v>2.5723246777841271</v>
      </c>
      <c r="AA179" s="707">
        <f t="shared" si="54"/>
        <v>90.480829429321375</v>
      </c>
      <c r="AB179" s="707">
        <f t="shared" si="55"/>
        <v>4629.870865594251</v>
      </c>
    </row>
    <row r="180" spans="1:28" x14ac:dyDescent="0.25">
      <c r="A180" s="23"/>
      <c r="B180" s="24"/>
      <c r="C180" s="25"/>
      <c r="D180" s="27"/>
      <c r="E180" s="27"/>
      <c r="F180" s="28"/>
      <c r="G180" s="27"/>
      <c r="H180" s="180"/>
      <c r="I180" s="27"/>
      <c r="J180" s="738"/>
      <c r="K180" s="635"/>
      <c r="L180" s="635"/>
      <c r="M180" s="635"/>
      <c r="N180" s="635"/>
      <c r="O180" s="636"/>
      <c r="P180" s="635"/>
      <c r="Q180" s="636"/>
      <c r="R180" s="636"/>
      <c r="S180" s="635"/>
      <c r="T180" s="707"/>
      <c r="U180" s="707"/>
      <c r="V180" s="707"/>
      <c r="W180" s="636"/>
      <c r="X180" s="636"/>
      <c r="Y180" s="707"/>
      <c r="Z180" s="635"/>
      <c r="AA180" s="707"/>
      <c r="AB180" s="707"/>
    </row>
    <row r="181" spans="1:28" x14ac:dyDescent="0.25">
      <c r="A181" s="23"/>
      <c r="B181" s="24"/>
      <c r="C181" s="25"/>
      <c r="D181" s="27"/>
      <c r="E181" s="27"/>
      <c r="F181" s="28"/>
      <c r="G181" s="27"/>
      <c r="H181" s="180"/>
      <c r="I181" s="27"/>
      <c r="J181" s="738"/>
      <c r="K181" s="635"/>
      <c r="L181" s="635"/>
      <c r="M181" s="635"/>
      <c r="N181" s="635"/>
      <c r="O181" s="636"/>
      <c r="P181" s="635"/>
      <c r="Q181" s="636"/>
      <c r="R181" s="636"/>
      <c r="S181" s="635"/>
      <c r="T181" s="707"/>
      <c r="U181" s="707"/>
      <c r="V181" s="707"/>
      <c r="W181" s="636"/>
      <c r="X181" s="636"/>
      <c r="Y181" s="707"/>
      <c r="Z181" s="635"/>
      <c r="AA181" s="707"/>
      <c r="AB181" s="707"/>
    </row>
    <row r="182" spans="1:28" x14ac:dyDescent="0.25">
      <c r="A182" s="23"/>
      <c r="B182" s="24"/>
      <c r="C182" s="25"/>
      <c r="D182" s="27"/>
      <c r="E182" s="27"/>
      <c r="F182" s="28"/>
      <c r="G182" s="27"/>
      <c r="H182" s="180"/>
      <c r="I182" s="27"/>
      <c r="J182" s="738"/>
      <c r="K182" s="635"/>
      <c r="L182" s="635"/>
      <c r="M182" s="635"/>
      <c r="N182" s="635"/>
      <c r="O182" s="636"/>
      <c r="P182" s="635"/>
      <c r="Q182" s="636"/>
      <c r="R182" s="636"/>
      <c r="S182" s="635"/>
      <c r="T182" s="707"/>
      <c r="U182" s="707"/>
      <c r="V182" s="707"/>
      <c r="W182" s="636"/>
      <c r="X182" s="636"/>
      <c r="Y182" s="707"/>
      <c r="Z182" s="635"/>
      <c r="AA182" s="707"/>
      <c r="AB182" s="707"/>
    </row>
    <row r="183" spans="1:28" x14ac:dyDescent="0.25">
      <c r="A183" s="23"/>
      <c r="B183" s="24"/>
      <c r="C183" s="25"/>
      <c r="D183" s="27"/>
      <c r="E183" s="27"/>
      <c r="F183" s="28"/>
      <c r="G183" s="27"/>
      <c r="H183" s="180"/>
      <c r="I183" s="27"/>
      <c r="J183" s="738"/>
      <c r="K183" s="635"/>
      <c r="L183" s="635"/>
      <c r="M183" s="635"/>
      <c r="N183" s="635"/>
      <c r="O183" s="636"/>
      <c r="P183" s="635"/>
      <c r="Q183" s="636"/>
      <c r="R183" s="636"/>
      <c r="S183" s="635"/>
      <c r="T183" s="707"/>
      <c r="U183" s="707"/>
      <c r="V183" s="707"/>
      <c r="W183" s="636"/>
      <c r="X183" s="636"/>
      <c r="Y183" s="707"/>
      <c r="Z183" s="635"/>
      <c r="AA183" s="707"/>
      <c r="AB183" s="707"/>
    </row>
    <row r="184" spans="1:28" x14ac:dyDescent="0.25">
      <c r="A184" s="23"/>
      <c r="B184" s="24"/>
      <c r="C184" s="25"/>
      <c r="D184" s="27"/>
      <c r="E184" s="27"/>
      <c r="F184" s="28"/>
      <c r="G184" s="27"/>
      <c r="H184" s="180"/>
      <c r="I184" s="27"/>
      <c r="J184" s="738"/>
      <c r="K184" s="635"/>
      <c r="L184" s="635"/>
      <c r="M184" s="635"/>
      <c r="N184" s="635"/>
      <c r="O184" s="636"/>
      <c r="P184" s="635"/>
      <c r="Q184" s="636"/>
      <c r="R184" s="636"/>
      <c r="S184" s="635"/>
      <c r="T184" s="707"/>
      <c r="U184" s="707"/>
      <c r="V184" s="707"/>
      <c r="W184" s="636"/>
      <c r="X184" s="636"/>
      <c r="Y184" s="707"/>
      <c r="Z184" s="635"/>
      <c r="AA184" s="707"/>
      <c r="AB184" s="707"/>
    </row>
    <row r="185" spans="1:28" x14ac:dyDescent="0.25">
      <c r="A185" s="23"/>
      <c r="B185" s="24"/>
      <c r="C185" s="25"/>
      <c r="D185" s="27"/>
      <c r="E185" s="27"/>
      <c r="F185" s="28"/>
      <c r="G185" s="27"/>
      <c r="H185" s="180"/>
      <c r="I185" s="27"/>
      <c r="J185" s="738"/>
      <c r="K185" s="635"/>
      <c r="L185" s="635"/>
      <c r="M185" s="635"/>
      <c r="N185" s="635"/>
      <c r="O185" s="636"/>
      <c r="P185" s="635"/>
      <c r="Q185" s="636"/>
      <c r="R185" s="636"/>
      <c r="S185" s="635"/>
      <c r="T185" s="707"/>
      <c r="U185" s="707"/>
      <c r="V185" s="707"/>
      <c r="W185" s="636"/>
      <c r="X185" s="636"/>
      <c r="Y185" s="707"/>
      <c r="Z185" s="635"/>
      <c r="AA185" s="707"/>
      <c r="AB185" s="707"/>
    </row>
    <row r="186" spans="1:28" x14ac:dyDescent="0.25">
      <c r="A186" s="23"/>
      <c r="B186" s="24"/>
      <c r="C186" s="25"/>
      <c r="D186" s="27"/>
      <c r="E186" s="27"/>
      <c r="F186" s="28"/>
      <c r="G186" s="27"/>
      <c r="H186" s="180"/>
      <c r="I186" s="27"/>
      <c r="J186" s="738"/>
      <c r="K186" s="635"/>
      <c r="L186" s="635"/>
      <c r="M186" s="635"/>
      <c r="N186" s="635"/>
      <c r="O186" s="636"/>
      <c r="P186" s="635"/>
      <c r="Q186" s="636"/>
      <c r="R186" s="636"/>
      <c r="S186" s="635"/>
      <c r="T186" s="707"/>
      <c r="U186" s="707"/>
      <c r="V186" s="707"/>
      <c r="W186" s="636"/>
      <c r="X186" s="636"/>
      <c r="Y186" s="707"/>
      <c r="Z186" s="635"/>
      <c r="AA186" s="707"/>
      <c r="AB186" s="707"/>
    </row>
    <row r="187" spans="1:28" x14ac:dyDescent="0.25">
      <c r="A187" s="23"/>
      <c r="B187" s="24"/>
      <c r="C187" s="25"/>
      <c r="D187" s="27"/>
      <c r="E187" s="27"/>
      <c r="F187" s="28"/>
      <c r="G187" s="27"/>
      <c r="H187" s="180"/>
      <c r="I187" s="27"/>
      <c r="J187" s="738"/>
      <c r="K187" s="635"/>
      <c r="L187" s="635"/>
      <c r="M187" s="635"/>
      <c r="N187" s="635"/>
      <c r="O187" s="636"/>
      <c r="P187" s="635"/>
      <c r="Q187" s="636"/>
      <c r="R187" s="636"/>
      <c r="S187" s="635"/>
      <c r="T187" s="707"/>
      <c r="U187" s="707"/>
      <c r="V187" s="707"/>
      <c r="W187" s="636"/>
      <c r="X187" s="636"/>
      <c r="Y187" s="707"/>
      <c r="Z187" s="635"/>
      <c r="AA187" s="707"/>
      <c r="AB187" s="707"/>
    </row>
    <row r="188" spans="1:28" x14ac:dyDescent="0.25">
      <c r="A188" s="23"/>
      <c r="B188" s="24"/>
      <c r="C188" s="25"/>
      <c r="D188" s="27"/>
      <c r="E188" s="27"/>
      <c r="F188" s="28"/>
      <c r="G188" s="27"/>
      <c r="H188" s="180"/>
      <c r="I188" s="27"/>
      <c r="J188" s="738"/>
      <c r="K188" s="635"/>
      <c r="L188" s="635"/>
      <c r="M188" s="635"/>
      <c r="N188" s="635"/>
      <c r="O188" s="636"/>
      <c r="P188" s="635"/>
      <c r="Q188" s="636"/>
      <c r="R188" s="636"/>
      <c r="S188" s="635"/>
      <c r="T188" s="707"/>
      <c r="U188" s="707"/>
      <c r="V188" s="707"/>
      <c r="W188" s="636"/>
      <c r="X188" s="636"/>
      <c r="Y188" s="707"/>
      <c r="Z188" s="635"/>
      <c r="AA188" s="707"/>
      <c r="AB188" s="707"/>
    </row>
    <row r="189" spans="1:28" x14ac:dyDescent="0.25">
      <c r="A189" s="23"/>
      <c r="B189" s="24"/>
      <c r="C189" s="25"/>
      <c r="D189" s="27"/>
      <c r="E189" s="27"/>
      <c r="F189" s="28"/>
      <c r="G189" s="27"/>
      <c r="H189" s="180"/>
      <c r="I189" s="27"/>
      <c r="J189" s="738"/>
      <c r="K189" s="635"/>
      <c r="L189" s="635"/>
      <c r="M189" s="635"/>
      <c r="N189" s="635"/>
      <c r="O189" s="636"/>
      <c r="P189" s="635"/>
      <c r="Q189" s="636"/>
      <c r="R189" s="636"/>
      <c r="S189" s="635"/>
      <c r="T189" s="707"/>
      <c r="U189" s="707"/>
      <c r="V189" s="707"/>
      <c r="W189" s="636"/>
      <c r="X189" s="636"/>
      <c r="Y189" s="707"/>
      <c r="Z189" s="635"/>
      <c r="AA189" s="707"/>
      <c r="AB189" s="707"/>
    </row>
    <row r="190" spans="1:28" x14ac:dyDescent="0.25">
      <c r="A190" s="23"/>
      <c r="B190" s="24"/>
      <c r="C190" s="25"/>
      <c r="D190" s="27"/>
      <c r="E190" s="27"/>
      <c r="F190" s="28"/>
      <c r="G190" s="27"/>
      <c r="H190" s="180"/>
      <c r="I190" s="27"/>
      <c r="J190" s="738"/>
      <c r="K190" s="635"/>
      <c r="L190" s="635"/>
      <c r="M190" s="635"/>
      <c r="N190" s="635"/>
      <c r="O190" s="636"/>
      <c r="P190" s="635"/>
      <c r="Q190" s="636"/>
      <c r="R190" s="636"/>
      <c r="S190" s="635"/>
      <c r="T190" s="707"/>
      <c r="U190" s="707"/>
      <c r="V190" s="707"/>
      <c r="W190" s="636"/>
      <c r="X190" s="636"/>
      <c r="Y190" s="707"/>
      <c r="Z190" s="635"/>
      <c r="AA190" s="707"/>
      <c r="AB190" s="707"/>
    </row>
    <row r="191" spans="1:28" x14ac:dyDescent="0.25">
      <c r="A191" s="23"/>
      <c r="B191" s="24"/>
      <c r="C191" s="25"/>
      <c r="D191" s="27"/>
      <c r="E191" s="27"/>
      <c r="F191" s="28"/>
      <c r="G191" s="27"/>
      <c r="H191" s="180"/>
      <c r="I191" s="27"/>
      <c r="J191" s="738"/>
      <c r="K191" s="635"/>
      <c r="L191" s="635"/>
      <c r="M191" s="635"/>
      <c r="N191" s="635"/>
      <c r="O191" s="636"/>
      <c r="P191" s="635"/>
      <c r="Q191" s="636"/>
      <c r="R191" s="636"/>
      <c r="S191" s="635"/>
      <c r="T191" s="707"/>
      <c r="U191" s="707"/>
      <c r="V191" s="707"/>
      <c r="W191" s="636"/>
      <c r="X191" s="636"/>
      <c r="Y191" s="707"/>
      <c r="Z191" s="635"/>
      <c r="AA191" s="707"/>
      <c r="AB191" s="707"/>
    </row>
    <row r="192" spans="1:28" x14ac:dyDescent="0.25">
      <c r="A192" s="23"/>
      <c r="B192" s="24"/>
      <c r="C192" s="25"/>
      <c r="D192" s="27"/>
      <c r="E192" s="27"/>
      <c r="F192" s="28"/>
      <c r="G192" s="27"/>
      <c r="H192" s="180"/>
      <c r="I192" s="27"/>
      <c r="J192" s="738"/>
      <c r="K192" s="635"/>
      <c r="L192" s="635"/>
      <c r="M192" s="635"/>
      <c r="N192" s="635"/>
      <c r="O192" s="636"/>
      <c r="P192" s="635"/>
      <c r="Q192" s="636"/>
      <c r="R192" s="636"/>
      <c r="S192" s="635"/>
      <c r="T192" s="707"/>
      <c r="U192" s="707"/>
      <c r="V192" s="707"/>
      <c r="W192" s="636"/>
      <c r="X192" s="636"/>
      <c r="Y192" s="707"/>
      <c r="Z192" s="635"/>
      <c r="AA192" s="707"/>
      <c r="AB192" s="707"/>
    </row>
    <row r="193" spans="1:28" x14ac:dyDescent="0.25">
      <c r="A193" s="23"/>
      <c r="B193" s="24"/>
      <c r="C193" s="25"/>
      <c r="D193" s="27"/>
      <c r="E193" s="27"/>
      <c r="F193" s="28"/>
      <c r="G193" s="27"/>
      <c r="H193" s="180"/>
      <c r="I193" s="27"/>
      <c r="J193" s="738"/>
      <c r="K193" s="635"/>
      <c r="L193" s="635"/>
      <c r="M193" s="635"/>
      <c r="N193" s="635"/>
      <c r="O193" s="636"/>
      <c r="P193" s="635"/>
      <c r="Q193" s="636"/>
      <c r="R193" s="636"/>
      <c r="S193" s="635"/>
      <c r="T193" s="707"/>
      <c r="U193" s="707"/>
      <c r="V193" s="707"/>
      <c r="W193" s="636"/>
      <c r="X193" s="636"/>
      <c r="Y193" s="707"/>
      <c r="Z193" s="635"/>
      <c r="AA193" s="707"/>
      <c r="AB193" s="707"/>
    </row>
    <row r="194" spans="1:28" x14ac:dyDescent="0.25">
      <c r="A194" s="23"/>
      <c r="B194" s="24"/>
      <c r="C194" s="25"/>
      <c r="D194" s="27"/>
      <c r="E194" s="27"/>
      <c r="F194" s="28"/>
      <c r="G194" s="27"/>
      <c r="H194" s="180"/>
      <c r="I194" s="27"/>
      <c r="J194" s="738"/>
      <c r="K194" s="635"/>
      <c r="L194" s="635"/>
      <c r="M194" s="635"/>
      <c r="N194" s="635"/>
      <c r="O194" s="636"/>
      <c r="P194" s="635"/>
      <c r="Q194" s="636"/>
      <c r="R194" s="636"/>
      <c r="S194" s="635"/>
      <c r="T194" s="707"/>
      <c r="U194" s="707"/>
      <c r="V194" s="707"/>
      <c r="W194" s="636"/>
      <c r="X194" s="636"/>
      <c r="Y194" s="707"/>
      <c r="Z194" s="635"/>
      <c r="AA194" s="707"/>
      <c r="AB194" s="707"/>
    </row>
    <row r="195" spans="1:28" x14ac:dyDescent="0.25">
      <c r="A195" s="23"/>
      <c r="B195" s="24"/>
      <c r="C195" s="25"/>
      <c r="D195" s="27"/>
      <c r="E195" s="27"/>
      <c r="F195" s="28"/>
      <c r="G195" s="27"/>
      <c r="H195" s="180"/>
      <c r="I195" s="27"/>
      <c r="J195" s="738"/>
      <c r="K195" s="635"/>
      <c r="L195" s="635"/>
      <c r="M195" s="635"/>
      <c r="N195" s="635"/>
      <c r="O195" s="636"/>
      <c r="P195" s="635"/>
      <c r="Q195" s="636"/>
      <c r="R195" s="636"/>
      <c r="S195" s="635"/>
      <c r="T195" s="707"/>
      <c r="U195" s="707"/>
      <c r="V195" s="707"/>
      <c r="W195" s="636"/>
      <c r="X195" s="636"/>
      <c r="Y195" s="707"/>
      <c r="Z195" s="635"/>
      <c r="AA195" s="707"/>
      <c r="AB195" s="707"/>
    </row>
    <row r="196" spans="1:28" x14ac:dyDescent="0.25">
      <c r="A196" s="23"/>
      <c r="B196" s="24"/>
      <c r="C196" s="25"/>
      <c r="D196" s="27"/>
      <c r="E196" s="27"/>
      <c r="F196" s="28"/>
      <c r="G196" s="27"/>
      <c r="H196" s="180"/>
      <c r="I196" s="27"/>
      <c r="J196" s="738"/>
      <c r="K196" s="635"/>
      <c r="L196" s="635"/>
      <c r="M196" s="635"/>
      <c r="N196" s="635"/>
      <c r="O196" s="636"/>
      <c r="P196" s="635"/>
      <c r="Q196" s="636"/>
      <c r="R196" s="636"/>
      <c r="S196" s="635"/>
      <c r="T196" s="707"/>
      <c r="U196" s="707"/>
      <c r="V196" s="707"/>
      <c r="W196" s="636"/>
      <c r="X196" s="636"/>
      <c r="Y196" s="707"/>
      <c r="Z196" s="635"/>
      <c r="AA196" s="707"/>
      <c r="AB196" s="707"/>
    </row>
    <row r="197" spans="1:28" x14ac:dyDescent="0.25">
      <c r="A197" s="23"/>
      <c r="B197" s="24"/>
      <c r="C197" s="25"/>
      <c r="D197" s="27"/>
      <c r="E197" s="27"/>
      <c r="F197" s="28"/>
      <c r="G197" s="27"/>
      <c r="H197" s="180"/>
      <c r="I197" s="27"/>
      <c r="J197" s="738"/>
      <c r="K197" s="635"/>
      <c r="L197" s="635"/>
      <c r="M197" s="635"/>
      <c r="N197" s="635"/>
      <c r="O197" s="636"/>
      <c r="P197" s="635"/>
      <c r="Q197" s="636"/>
      <c r="R197" s="636"/>
      <c r="S197" s="635"/>
      <c r="T197" s="707"/>
      <c r="U197" s="707"/>
      <c r="V197" s="707"/>
      <c r="W197" s="636"/>
      <c r="X197" s="636"/>
      <c r="Y197" s="707"/>
      <c r="Z197" s="635"/>
      <c r="AA197" s="707"/>
      <c r="AB197" s="707"/>
    </row>
    <row r="198" spans="1:28" x14ac:dyDescent="0.25">
      <c r="A198" s="23"/>
      <c r="B198" s="24"/>
      <c r="C198" s="25"/>
      <c r="D198" s="27"/>
      <c r="E198" s="27"/>
      <c r="F198" s="28"/>
      <c r="G198" s="27"/>
      <c r="H198" s="180"/>
      <c r="I198" s="27"/>
      <c r="J198" s="738"/>
      <c r="K198" s="635"/>
      <c r="L198" s="635"/>
      <c r="M198" s="635"/>
      <c r="N198" s="635"/>
      <c r="O198" s="636"/>
      <c r="P198" s="635"/>
      <c r="Q198" s="636"/>
      <c r="R198" s="636"/>
      <c r="S198" s="635"/>
      <c r="T198" s="707"/>
      <c r="U198" s="707"/>
      <c r="V198" s="707"/>
      <c r="W198" s="636"/>
      <c r="X198" s="636"/>
      <c r="Y198" s="707"/>
      <c r="Z198" s="635"/>
      <c r="AA198" s="707"/>
      <c r="AB198" s="707"/>
    </row>
    <row r="199" spans="1:28" x14ac:dyDescent="0.25">
      <c r="A199" s="23"/>
      <c r="B199" s="24"/>
      <c r="C199" s="25"/>
      <c r="D199" s="27"/>
      <c r="E199" s="27"/>
      <c r="F199" s="28"/>
      <c r="G199" s="27"/>
      <c r="H199" s="180"/>
      <c r="I199" s="27"/>
      <c r="J199" s="738"/>
      <c r="K199" s="635"/>
      <c r="L199" s="635"/>
      <c r="M199" s="635"/>
      <c r="N199" s="635"/>
      <c r="O199" s="636"/>
      <c r="P199" s="635"/>
      <c r="Q199" s="636"/>
      <c r="R199" s="636"/>
      <c r="S199" s="635"/>
      <c r="T199" s="707"/>
      <c r="U199" s="707"/>
      <c r="V199" s="707"/>
      <c r="W199" s="636"/>
      <c r="X199" s="636"/>
      <c r="Y199" s="707"/>
      <c r="Z199" s="635"/>
      <c r="AA199" s="707"/>
      <c r="AB199" s="707"/>
    </row>
    <row r="200" spans="1:28" x14ac:dyDescent="0.25">
      <c r="A200" s="23"/>
      <c r="B200" s="24"/>
      <c r="C200" s="25"/>
      <c r="D200" s="27"/>
      <c r="E200" s="27"/>
      <c r="F200" s="28"/>
      <c r="G200" s="27"/>
      <c r="H200" s="180"/>
      <c r="I200" s="27"/>
      <c r="J200" s="738"/>
      <c r="K200" s="635"/>
      <c r="L200" s="635"/>
      <c r="M200" s="635"/>
      <c r="N200" s="635"/>
      <c r="O200" s="636"/>
      <c r="P200" s="635"/>
      <c r="Q200" s="636"/>
      <c r="R200" s="636"/>
      <c r="S200" s="635"/>
      <c r="T200" s="707"/>
      <c r="U200" s="707"/>
      <c r="V200" s="707"/>
      <c r="W200" s="636"/>
      <c r="X200" s="636"/>
      <c r="Y200" s="707"/>
      <c r="Z200" s="635"/>
      <c r="AA200" s="707"/>
      <c r="AB200" s="707"/>
    </row>
    <row r="201" spans="1:28" x14ac:dyDescent="0.25">
      <c r="A201" s="23"/>
      <c r="B201" s="24"/>
      <c r="C201" s="25"/>
      <c r="D201" s="27"/>
      <c r="E201" s="27"/>
      <c r="F201" s="28"/>
      <c r="G201" s="27"/>
      <c r="H201" s="180"/>
      <c r="I201" s="27"/>
      <c r="J201" s="738"/>
      <c r="K201" s="635"/>
      <c r="L201" s="635"/>
      <c r="M201" s="635"/>
      <c r="N201" s="635"/>
      <c r="O201" s="636"/>
      <c r="P201" s="635"/>
      <c r="Q201" s="636"/>
      <c r="R201" s="636"/>
      <c r="S201" s="635"/>
      <c r="T201" s="707"/>
      <c r="U201" s="707"/>
      <c r="V201" s="707"/>
      <c r="W201" s="636"/>
      <c r="X201" s="636"/>
      <c r="Y201" s="707"/>
      <c r="Z201" s="635"/>
      <c r="AA201" s="707"/>
      <c r="AB201" s="707"/>
    </row>
    <row r="202" spans="1:28" x14ac:dyDescent="0.25">
      <c r="A202" s="23"/>
      <c r="B202" s="24"/>
      <c r="C202" s="25"/>
      <c r="D202" s="27"/>
      <c r="E202" s="27"/>
      <c r="F202" s="28"/>
      <c r="G202" s="27"/>
      <c r="H202" s="180"/>
      <c r="I202" s="27"/>
      <c r="J202" s="738"/>
      <c r="K202" s="635"/>
      <c r="L202" s="635"/>
      <c r="M202" s="635"/>
      <c r="N202" s="635"/>
      <c r="O202" s="636"/>
      <c r="P202" s="635"/>
      <c r="Q202" s="636"/>
      <c r="R202" s="636"/>
      <c r="S202" s="635"/>
      <c r="T202" s="707"/>
      <c r="U202" s="707"/>
      <c r="V202" s="707"/>
      <c r="W202" s="636"/>
      <c r="X202" s="636"/>
      <c r="Y202" s="707"/>
      <c r="Z202" s="635"/>
      <c r="AA202" s="707"/>
      <c r="AB202" s="707"/>
    </row>
    <row r="203" spans="1:28" x14ac:dyDescent="0.25">
      <c r="A203" s="23"/>
      <c r="B203" s="24"/>
      <c r="C203" s="25"/>
      <c r="D203" s="27"/>
      <c r="E203" s="27"/>
      <c r="F203" s="28"/>
      <c r="G203" s="27"/>
      <c r="H203" s="180"/>
      <c r="I203" s="27"/>
      <c r="J203" s="738"/>
      <c r="K203" s="635"/>
      <c r="L203" s="635"/>
      <c r="M203" s="635"/>
      <c r="N203" s="635"/>
      <c r="O203" s="636"/>
      <c r="P203" s="635"/>
      <c r="Q203" s="636"/>
      <c r="R203" s="636"/>
      <c r="S203" s="635"/>
      <c r="T203" s="707"/>
      <c r="U203" s="707"/>
      <c r="V203" s="707"/>
      <c r="W203" s="636"/>
      <c r="X203" s="636"/>
      <c r="Y203" s="707"/>
      <c r="Z203" s="635"/>
      <c r="AA203" s="707"/>
      <c r="AB203" s="707"/>
    </row>
    <row r="204" spans="1:28" x14ac:dyDescent="0.25">
      <c r="A204" s="23"/>
      <c r="B204" s="24"/>
      <c r="C204" s="25"/>
      <c r="D204" s="27"/>
      <c r="E204" s="27"/>
      <c r="F204" s="28"/>
      <c r="G204" s="27"/>
      <c r="H204" s="180"/>
      <c r="I204" s="27"/>
      <c r="J204" s="738"/>
      <c r="K204" s="635"/>
      <c r="L204" s="635"/>
      <c r="M204" s="635"/>
      <c r="N204" s="635"/>
      <c r="O204" s="636"/>
      <c r="P204" s="635"/>
      <c r="Q204" s="636"/>
      <c r="R204" s="636"/>
      <c r="S204" s="635"/>
      <c r="T204" s="707"/>
      <c r="U204" s="707"/>
      <c r="V204" s="707"/>
      <c r="W204" s="636"/>
      <c r="X204" s="636"/>
      <c r="Y204" s="707"/>
      <c r="Z204" s="635"/>
      <c r="AA204" s="707"/>
      <c r="AB204" s="707"/>
    </row>
    <row r="205" spans="1:28" x14ac:dyDescent="0.25">
      <c r="A205" s="23"/>
      <c r="B205" s="24"/>
      <c r="C205" s="25"/>
      <c r="D205" s="27"/>
      <c r="E205" s="27"/>
      <c r="F205" s="28"/>
      <c r="G205" s="27"/>
      <c r="H205" s="180"/>
      <c r="I205" s="27"/>
      <c r="J205" s="738"/>
      <c r="K205" s="635"/>
      <c r="L205" s="635"/>
      <c r="M205" s="635"/>
      <c r="N205" s="635"/>
      <c r="O205" s="636"/>
      <c r="P205" s="635"/>
      <c r="Q205" s="636"/>
      <c r="R205" s="636"/>
      <c r="S205" s="635"/>
      <c r="T205" s="707"/>
      <c r="U205" s="707"/>
      <c r="V205" s="707"/>
      <c r="W205" s="636"/>
      <c r="X205" s="636"/>
      <c r="Y205" s="707"/>
      <c r="Z205" s="635"/>
      <c r="AA205" s="707"/>
      <c r="AB205" s="707"/>
    </row>
    <row r="206" spans="1:28" x14ac:dyDescent="0.25">
      <c r="A206" s="23"/>
      <c r="B206" s="24"/>
      <c r="C206" s="25"/>
      <c r="D206" s="27"/>
      <c r="E206" s="27"/>
      <c r="F206" s="28"/>
      <c r="G206" s="27"/>
      <c r="H206" s="180"/>
      <c r="I206" s="27"/>
      <c r="J206" s="738"/>
      <c r="K206" s="635"/>
      <c r="L206" s="635"/>
      <c r="M206" s="635"/>
      <c r="N206" s="635"/>
      <c r="O206" s="636"/>
      <c r="P206" s="635"/>
      <c r="Q206" s="636"/>
      <c r="R206" s="636"/>
      <c r="S206" s="635"/>
      <c r="T206" s="707"/>
      <c r="U206" s="707"/>
      <c r="V206" s="707"/>
      <c r="W206" s="636"/>
      <c r="X206" s="636"/>
      <c r="Y206" s="707"/>
      <c r="Z206" s="635"/>
      <c r="AA206" s="707"/>
      <c r="AB206" s="707"/>
    </row>
    <row r="207" spans="1:28" x14ac:dyDescent="0.25">
      <c r="A207" s="23"/>
      <c r="B207" s="24"/>
      <c r="C207" s="25"/>
      <c r="D207" s="27"/>
      <c r="E207" s="27"/>
      <c r="F207" s="28"/>
      <c r="G207" s="27"/>
      <c r="H207" s="180"/>
      <c r="I207" s="27"/>
      <c r="J207" s="738"/>
      <c r="K207" s="635"/>
      <c r="L207" s="635"/>
      <c r="M207" s="635"/>
      <c r="N207" s="635"/>
      <c r="O207" s="636"/>
      <c r="P207" s="635"/>
      <c r="Q207" s="636"/>
      <c r="R207" s="636"/>
      <c r="S207" s="635"/>
      <c r="T207" s="707"/>
      <c r="U207" s="707"/>
      <c r="V207" s="707"/>
      <c r="W207" s="636"/>
      <c r="X207" s="636"/>
      <c r="Y207" s="707"/>
      <c r="Z207" s="635"/>
      <c r="AA207" s="707"/>
      <c r="AB207" s="707"/>
    </row>
    <row r="208" spans="1:28" x14ac:dyDescent="0.25">
      <c r="A208" s="23"/>
      <c r="B208" s="24"/>
      <c r="C208" s="25"/>
      <c r="D208" s="27"/>
      <c r="E208" s="27"/>
      <c r="F208" s="28"/>
      <c r="G208" s="27"/>
      <c r="H208" s="180"/>
      <c r="I208" s="27"/>
      <c r="J208" s="738"/>
      <c r="K208" s="635"/>
      <c r="L208" s="635"/>
      <c r="M208" s="635"/>
      <c r="N208" s="635"/>
      <c r="O208" s="636"/>
      <c r="P208" s="635"/>
      <c r="Q208" s="636"/>
      <c r="R208" s="636"/>
      <c r="S208" s="635"/>
      <c r="T208" s="707"/>
      <c r="U208" s="707"/>
      <c r="V208" s="707"/>
      <c r="W208" s="636"/>
      <c r="X208" s="636"/>
      <c r="Y208" s="707"/>
      <c r="Z208" s="635"/>
      <c r="AA208" s="707"/>
      <c r="AB208" s="707"/>
    </row>
    <row r="209" spans="1:28" x14ac:dyDescent="0.25">
      <c r="A209" s="23"/>
      <c r="B209" s="24"/>
      <c r="C209" s="25"/>
      <c r="D209" s="27"/>
      <c r="E209" s="27"/>
      <c r="F209" s="28"/>
      <c r="G209" s="27"/>
      <c r="H209" s="180"/>
      <c r="I209" s="27"/>
      <c r="J209" s="738"/>
      <c r="K209" s="635"/>
      <c r="L209" s="635"/>
      <c r="M209" s="635"/>
      <c r="N209" s="635"/>
      <c r="O209" s="636"/>
      <c r="P209" s="635"/>
      <c r="Q209" s="636"/>
      <c r="R209" s="636"/>
      <c r="S209" s="635"/>
      <c r="T209" s="707"/>
      <c r="U209" s="707"/>
      <c r="V209" s="707"/>
      <c r="W209" s="636"/>
      <c r="X209" s="636"/>
      <c r="Y209" s="707"/>
      <c r="Z209" s="635"/>
      <c r="AA209" s="707"/>
      <c r="AB209" s="707"/>
    </row>
    <row r="210" spans="1:28" x14ac:dyDescent="0.25">
      <c r="A210" s="23"/>
      <c r="B210" s="24"/>
      <c r="C210" s="25"/>
      <c r="D210" s="27"/>
      <c r="E210" s="27"/>
      <c r="F210" s="28"/>
      <c r="G210" s="27"/>
      <c r="H210" s="180"/>
      <c r="I210" s="27"/>
      <c r="J210" s="738"/>
      <c r="K210" s="635"/>
      <c r="L210" s="635"/>
      <c r="M210" s="635"/>
      <c r="N210" s="635"/>
      <c r="O210" s="636"/>
      <c r="P210" s="635"/>
      <c r="Q210" s="636"/>
      <c r="R210" s="636"/>
      <c r="S210" s="635"/>
      <c r="T210" s="707"/>
      <c r="U210" s="707"/>
      <c r="V210" s="707"/>
      <c r="W210" s="636"/>
      <c r="X210" s="636"/>
      <c r="Y210" s="707"/>
      <c r="Z210" s="635"/>
      <c r="AA210" s="707"/>
      <c r="AB210" s="707"/>
    </row>
    <row r="211" spans="1:28" x14ac:dyDescent="0.25">
      <c r="A211" s="23"/>
      <c r="B211" s="24"/>
      <c r="C211" s="25"/>
      <c r="D211" s="27"/>
      <c r="E211" s="27"/>
      <c r="F211" s="28"/>
      <c r="G211" s="27"/>
      <c r="H211" s="180"/>
      <c r="I211" s="27"/>
      <c r="J211" s="738"/>
      <c r="K211" s="635"/>
      <c r="L211" s="635"/>
      <c r="M211" s="635"/>
      <c r="N211" s="635"/>
      <c r="O211" s="636"/>
      <c r="P211" s="635"/>
      <c r="Q211" s="636"/>
      <c r="R211" s="636"/>
      <c r="S211" s="635"/>
      <c r="T211" s="707"/>
      <c r="U211" s="707"/>
      <c r="V211" s="707"/>
      <c r="W211" s="636"/>
      <c r="X211" s="636"/>
      <c r="Y211" s="707"/>
      <c r="Z211" s="635"/>
      <c r="AA211" s="707"/>
      <c r="AB211" s="707"/>
    </row>
    <row r="212" spans="1:28" x14ac:dyDescent="0.25">
      <c r="A212" s="23"/>
      <c r="B212" s="24"/>
      <c r="C212" s="25"/>
      <c r="D212" s="27"/>
      <c r="E212" s="27"/>
      <c r="F212" s="28"/>
      <c r="G212" s="27"/>
      <c r="H212" s="180"/>
      <c r="I212" s="27"/>
      <c r="J212" s="738"/>
      <c r="K212" s="635"/>
      <c r="L212" s="635"/>
      <c r="M212" s="635"/>
      <c r="N212" s="635"/>
      <c r="O212" s="636"/>
      <c r="P212" s="635"/>
      <c r="Q212" s="636"/>
      <c r="R212" s="636"/>
      <c r="S212" s="635"/>
      <c r="T212" s="707"/>
      <c r="U212" s="707"/>
      <c r="V212" s="707"/>
      <c r="W212" s="636"/>
      <c r="X212" s="636"/>
      <c r="Y212" s="707"/>
      <c r="Z212" s="635"/>
      <c r="AA212" s="707"/>
      <c r="AB212" s="707"/>
    </row>
    <row r="213" spans="1:28" x14ac:dyDescent="0.25">
      <c r="A213" s="23"/>
      <c r="B213" s="24"/>
      <c r="C213" s="25"/>
      <c r="D213" s="27"/>
      <c r="E213" s="27"/>
      <c r="F213" s="28"/>
      <c r="G213" s="27"/>
      <c r="H213" s="180"/>
      <c r="I213" s="27"/>
      <c r="J213" s="738"/>
      <c r="K213" s="635"/>
      <c r="L213" s="635"/>
      <c r="M213" s="635"/>
      <c r="N213" s="635"/>
      <c r="O213" s="636"/>
      <c r="P213" s="635"/>
      <c r="Q213" s="636"/>
      <c r="R213" s="636"/>
      <c r="S213" s="635"/>
      <c r="T213" s="707"/>
      <c r="U213" s="707"/>
      <c r="V213" s="707"/>
      <c r="W213" s="636"/>
      <c r="X213" s="636"/>
      <c r="Y213" s="707"/>
      <c r="Z213" s="635"/>
      <c r="AA213" s="707"/>
      <c r="AB213" s="707"/>
    </row>
    <row r="214" spans="1:28" x14ac:dyDescent="0.25">
      <c r="A214" s="23"/>
      <c r="B214" s="24"/>
      <c r="C214" s="25"/>
      <c r="D214" s="27"/>
      <c r="E214" s="27"/>
      <c r="F214" s="28"/>
      <c r="G214" s="27"/>
      <c r="H214" s="180"/>
      <c r="I214" s="27"/>
      <c r="J214" s="738"/>
      <c r="K214" s="635"/>
      <c r="L214" s="635"/>
      <c r="M214" s="635"/>
      <c r="N214" s="635"/>
      <c r="O214" s="636"/>
      <c r="P214" s="635"/>
      <c r="Q214" s="636"/>
      <c r="R214" s="636"/>
      <c r="S214" s="635"/>
      <c r="T214" s="707"/>
      <c r="U214" s="707"/>
      <c r="V214" s="707"/>
      <c r="W214" s="636"/>
      <c r="X214" s="636"/>
      <c r="Y214" s="707"/>
      <c r="Z214" s="635"/>
      <c r="AA214" s="707"/>
      <c r="AB214" s="707"/>
    </row>
    <row r="215" spans="1:28" x14ac:dyDescent="0.25">
      <c r="A215" s="23"/>
      <c r="B215" s="24"/>
      <c r="C215" s="25"/>
      <c r="D215" s="27"/>
      <c r="E215" s="27"/>
      <c r="F215" s="28"/>
      <c r="G215" s="27"/>
      <c r="H215" s="180"/>
      <c r="I215" s="27"/>
      <c r="J215" s="738"/>
      <c r="K215" s="635"/>
      <c r="L215" s="635"/>
      <c r="M215" s="635"/>
      <c r="N215" s="635"/>
      <c r="O215" s="636"/>
      <c r="P215" s="635"/>
      <c r="Q215" s="636"/>
      <c r="R215" s="636"/>
      <c r="S215" s="635"/>
      <c r="T215" s="707"/>
      <c r="U215" s="707"/>
      <c r="V215" s="707"/>
      <c r="W215" s="636"/>
      <c r="X215" s="636"/>
      <c r="Y215" s="707"/>
      <c r="Z215" s="635"/>
      <c r="AA215" s="707"/>
      <c r="AB215" s="707"/>
    </row>
    <row r="216" spans="1:28" x14ac:dyDescent="0.25">
      <c r="A216" s="23"/>
      <c r="B216" s="24"/>
      <c r="C216" s="25"/>
      <c r="D216" s="27"/>
      <c r="E216" s="27"/>
      <c r="F216" s="28"/>
      <c r="G216" s="27"/>
      <c r="H216" s="180"/>
      <c r="I216" s="27"/>
      <c r="J216" s="738"/>
      <c r="K216" s="635"/>
      <c r="L216" s="635"/>
      <c r="M216" s="635"/>
      <c r="N216" s="635"/>
      <c r="O216" s="636"/>
      <c r="P216" s="635"/>
      <c r="Q216" s="636"/>
      <c r="R216" s="636"/>
      <c r="S216" s="635"/>
      <c r="T216" s="707"/>
      <c r="U216" s="707"/>
      <c r="V216" s="707"/>
      <c r="W216" s="636"/>
      <c r="X216" s="636"/>
      <c r="Y216" s="707"/>
      <c r="Z216" s="635"/>
      <c r="AA216" s="707"/>
      <c r="AB216" s="707"/>
    </row>
    <row r="217" spans="1:28" x14ac:dyDescent="0.25">
      <c r="A217" s="23"/>
      <c r="B217" s="24"/>
      <c r="C217" s="25"/>
      <c r="D217" s="27"/>
      <c r="E217" s="27"/>
      <c r="F217" s="28"/>
      <c r="G217" s="27"/>
      <c r="H217" s="180"/>
      <c r="I217" s="27"/>
      <c r="J217" s="738"/>
      <c r="K217" s="635"/>
      <c r="L217" s="635"/>
      <c r="M217" s="635"/>
      <c r="N217" s="635"/>
      <c r="O217" s="636"/>
      <c r="P217" s="635"/>
      <c r="Q217" s="636"/>
      <c r="R217" s="636"/>
      <c r="S217" s="635"/>
      <c r="T217" s="707"/>
      <c r="U217" s="707"/>
      <c r="V217" s="707"/>
      <c r="W217" s="636"/>
      <c r="X217" s="636"/>
      <c r="Y217" s="707"/>
      <c r="Z217" s="635"/>
      <c r="AA217" s="707"/>
      <c r="AB217" s="707"/>
    </row>
    <row r="218" spans="1:28" x14ac:dyDescent="0.25">
      <c r="A218" s="23"/>
      <c r="B218" s="24"/>
      <c r="C218" s="25"/>
      <c r="D218" s="27"/>
      <c r="E218" s="27"/>
      <c r="F218" s="28"/>
      <c r="G218" s="27"/>
      <c r="H218" s="180"/>
      <c r="I218" s="27"/>
      <c r="J218" s="738"/>
      <c r="K218" s="635"/>
      <c r="L218" s="635"/>
      <c r="M218" s="635"/>
      <c r="N218" s="635"/>
      <c r="O218" s="636"/>
      <c r="P218" s="635"/>
      <c r="Q218" s="636"/>
      <c r="R218" s="636"/>
      <c r="S218" s="635"/>
      <c r="T218" s="707"/>
      <c r="U218" s="707"/>
      <c r="V218" s="707"/>
      <c r="W218" s="636"/>
      <c r="X218" s="636"/>
      <c r="Y218" s="707"/>
      <c r="Z218" s="635"/>
      <c r="AA218" s="707"/>
      <c r="AB218" s="707"/>
    </row>
    <row r="219" spans="1:28" x14ac:dyDescent="0.25">
      <c r="A219" s="23"/>
      <c r="B219" s="24"/>
      <c r="C219" s="25"/>
      <c r="D219" s="27"/>
      <c r="E219" s="27"/>
      <c r="F219" s="28"/>
      <c r="G219" s="27"/>
      <c r="H219" s="180"/>
      <c r="I219" s="27"/>
      <c r="J219" s="738"/>
      <c r="K219" s="635"/>
      <c r="L219" s="635"/>
      <c r="M219" s="635"/>
      <c r="N219" s="635"/>
      <c r="O219" s="636"/>
      <c r="P219" s="635"/>
      <c r="Q219" s="636"/>
      <c r="R219" s="636"/>
      <c r="S219" s="635"/>
      <c r="T219" s="707"/>
      <c r="U219" s="707"/>
      <c r="V219" s="707"/>
      <c r="W219" s="636"/>
      <c r="X219" s="636"/>
      <c r="Y219" s="707"/>
      <c r="Z219" s="635"/>
      <c r="AA219" s="707"/>
      <c r="AB219" s="707"/>
    </row>
    <row r="220" spans="1:28" x14ac:dyDescent="0.25">
      <c r="A220" s="23"/>
      <c r="B220" s="24"/>
      <c r="C220" s="25"/>
      <c r="D220" s="27"/>
      <c r="E220" s="27"/>
      <c r="F220" s="28"/>
      <c r="G220" s="27"/>
      <c r="H220" s="180"/>
      <c r="I220" s="27"/>
      <c r="J220" s="738"/>
      <c r="K220" s="635"/>
      <c r="L220" s="635"/>
      <c r="M220" s="635"/>
      <c r="N220" s="635"/>
      <c r="O220" s="636"/>
      <c r="P220" s="635"/>
      <c r="Q220" s="636"/>
      <c r="R220" s="636"/>
      <c r="S220" s="635"/>
      <c r="T220" s="707"/>
      <c r="U220" s="707"/>
      <c r="V220" s="707"/>
      <c r="W220" s="636"/>
      <c r="X220" s="636"/>
      <c r="Y220" s="707"/>
      <c r="Z220" s="635"/>
      <c r="AA220" s="707"/>
      <c r="AB220" s="707"/>
    </row>
    <row r="221" spans="1:28" x14ac:dyDescent="0.25">
      <c r="A221" s="23"/>
      <c r="B221" s="24"/>
      <c r="C221" s="25"/>
      <c r="D221" s="27"/>
      <c r="E221" s="27"/>
      <c r="F221" s="28"/>
      <c r="G221" s="27"/>
      <c r="H221" s="180"/>
      <c r="I221" s="27"/>
      <c r="J221" s="738"/>
      <c r="K221" s="635"/>
      <c r="L221" s="635"/>
      <c r="M221" s="635"/>
      <c r="N221" s="635"/>
      <c r="O221" s="636"/>
      <c r="P221" s="635"/>
      <c r="Q221" s="636"/>
      <c r="R221" s="636"/>
      <c r="S221" s="635"/>
      <c r="T221" s="707"/>
      <c r="U221" s="707"/>
      <c r="V221" s="707"/>
      <c r="W221" s="636"/>
      <c r="X221" s="636"/>
      <c r="Y221" s="707"/>
      <c r="Z221" s="635"/>
      <c r="AA221" s="707"/>
      <c r="AB221" s="707"/>
    </row>
    <row r="222" spans="1:28" x14ac:dyDescent="0.25">
      <c r="A222" s="23"/>
      <c r="B222" s="24"/>
      <c r="C222" s="25"/>
      <c r="D222" s="27"/>
      <c r="E222" s="27"/>
      <c r="F222" s="28"/>
      <c r="G222" s="27"/>
      <c r="H222" s="180"/>
      <c r="I222" s="27"/>
      <c r="J222" s="738"/>
      <c r="K222" s="635"/>
      <c r="L222" s="635"/>
      <c r="M222" s="635"/>
      <c r="N222" s="635"/>
      <c r="O222" s="636"/>
      <c r="P222" s="635"/>
      <c r="Q222" s="636"/>
      <c r="R222" s="636"/>
      <c r="S222" s="635"/>
      <c r="T222" s="707"/>
      <c r="U222" s="707"/>
      <c r="V222" s="707"/>
      <c r="W222" s="636"/>
      <c r="X222" s="636"/>
      <c r="Y222" s="707"/>
      <c r="Z222" s="635"/>
      <c r="AA222" s="707"/>
      <c r="AB222" s="707"/>
    </row>
    <row r="223" spans="1:28" x14ac:dyDescent="0.25">
      <c r="A223" s="23"/>
      <c r="B223" s="24"/>
      <c r="C223" s="25"/>
      <c r="D223" s="27"/>
      <c r="E223" s="27"/>
      <c r="F223" s="28"/>
      <c r="G223" s="27"/>
      <c r="H223" s="180"/>
      <c r="I223" s="27"/>
      <c r="J223" s="738"/>
      <c r="K223" s="635"/>
      <c r="L223" s="635"/>
      <c r="M223" s="635"/>
      <c r="N223" s="635"/>
      <c r="O223" s="636"/>
      <c r="P223" s="635"/>
      <c r="Q223" s="636"/>
      <c r="R223" s="636"/>
      <c r="S223" s="635"/>
      <c r="T223" s="707"/>
      <c r="U223" s="707"/>
      <c r="V223" s="707"/>
      <c r="W223" s="636"/>
      <c r="X223" s="636"/>
      <c r="Y223" s="707"/>
      <c r="Z223" s="635"/>
      <c r="AA223" s="707"/>
      <c r="AB223" s="707"/>
    </row>
    <row r="224" spans="1:28" x14ac:dyDescent="0.25">
      <c r="A224" s="23"/>
      <c r="B224" s="24"/>
      <c r="C224" s="25"/>
      <c r="D224" s="27"/>
      <c r="E224" s="27"/>
      <c r="F224" s="28"/>
      <c r="G224" s="27"/>
      <c r="H224" s="180"/>
      <c r="I224" s="27"/>
      <c r="J224" s="738"/>
      <c r="K224" s="635"/>
      <c r="L224" s="635"/>
      <c r="M224" s="635"/>
      <c r="N224" s="635"/>
      <c r="O224" s="636"/>
      <c r="P224" s="635"/>
      <c r="Q224" s="636"/>
      <c r="R224" s="636"/>
      <c r="S224" s="635"/>
      <c r="T224" s="707"/>
      <c r="U224" s="707"/>
      <c r="V224" s="707"/>
      <c r="W224" s="636"/>
      <c r="X224" s="636"/>
      <c r="Y224" s="707"/>
      <c r="Z224" s="635"/>
      <c r="AA224" s="707"/>
      <c r="AB224" s="707"/>
    </row>
    <row r="225" spans="1:28" x14ac:dyDescent="0.25">
      <c r="A225" s="23"/>
      <c r="B225" s="24"/>
      <c r="C225" s="25"/>
      <c r="D225" s="27"/>
      <c r="E225" s="27"/>
      <c r="F225" s="28"/>
      <c r="G225" s="27"/>
      <c r="H225" s="180"/>
      <c r="I225" s="27"/>
      <c r="J225" s="738"/>
      <c r="K225" s="635"/>
      <c r="L225" s="635"/>
      <c r="M225" s="635"/>
      <c r="N225" s="635"/>
      <c r="O225" s="636"/>
      <c r="P225" s="635"/>
      <c r="Q225" s="636"/>
      <c r="R225" s="636"/>
      <c r="S225" s="635"/>
      <c r="T225" s="707"/>
      <c r="U225" s="707"/>
      <c r="V225" s="707"/>
      <c r="W225" s="636"/>
      <c r="X225" s="636"/>
      <c r="Y225" s="707"/>
      <c r="Z225" s="635"/>
      <c r="AA225" s="707"/>
      <c r="AB225" s="707"/>
    </row>
    <row r="226" spans="1:28" x14ac:dyDescent="0.25">
      <c r="A226" s="23"/>
      <c r="B226" s="24"/>
      <c r="C226" s="25"/>
      <c r="D226" s="27"/>
      <c r="E226" s="27"/>
      <c r="F226" s="28"/>
      <c r="G226" s="27"/>
      <c r="H226" s="180"/>
      <c r="I226" s="27"/>
      <c r="J226" s="738"/>
      <c r="K226" s="635"/>
      <c r="L226" s="635"/>
      <c r="M226" s="635"/>
      <c r="N226" s="635"/>
      <c r="O226" s="636"/>
      <c r="P226" s="635"/>
      <c r="Q226" s="636"/>
      <c r="R226" s="636"/>
      <c r="S226" s="635"/>
      <c r="T226" s="707"/>
      <c r="U226" s="707"/>
      <c r="V226" s="707"/>
      <c r="W226" s="636"/>
      <c r="X226" s="636"/>
      <c r="Y226" s="707"/>
      <c r="Z226" s="635"/>
      <c r="AA226" s="707"/>
      <c r="AB226" s="707"/>
    </row>
    <row r="227" spans="1:28" x14ac:dyDescent="0.25">
      <c r="A227" s="23"/>
      <c r="B227" s="24"/>
      <c r="C227" s="25"/>
      <c r="D227" s="27"/>
      <c r="E227" s="27"/>
      <c r="F227" s="28"/>
      <c r="G227" s="27"/>
      <c r="H227" s="180"/>
      <c r="I227" s="27"/>
      <c r="J227" s="738"/>
      <c r="K227" s="635"/>
      <c r="L227" s="635"/>
      <c r="M227" s="635"/>
      <c r="N227" s="635"/>
      <c r="O227" s="636"/>
      <c r="P227" s="635"/>
      <c r="Q227" s="636"/>
      <c r="R227" s="636"/>
      <c r="S227" s="635"/>
      <c r="T227" s="707"/>
      <c r="U227" s="707"/>
      <c r="V227" s="707"/>
      <c r="W227" s="636"/>
      <c r="X227" s="636"/>
      <c r="Y227" s="707"/>
      <c r="Z227" s="635"/>
      <c r="AA227" s="707"/>
      <c r="AB227" s="707"/>
    </row>
    <row r="228" spans="1:28" x14ac:dyDescent="0.25">
      <c r="A228" s="23"/>
      <c r="B228" s="24"/>
      <c r="C228" s="25"/>
      <c r="D228" s="27"/>
      <c r="E228" s="27"/>
      <c r="F228" s="28"/>
      <c r="G228" s="27"/>
      <c r="H228" s="180"/>
      <c r="I228" s="27"/>
      <c r="J228" s="738"/>
      <c r="K228" s="635"/>
      <c r="L228" s="635"/>
      <c r="M228" s="635"/>
      <c r="N228" s="635"/>
      <c r="O228" s="636"/>
      <c r="P228" s="635"/>
      <c r="Q228" s="636"/>
      <c r="R228" s="636"/>
      <c r="S228" s="635"/>
      <c r="T228" s="707"/>
      <c r="U228" s="707"/>
      <c r="V228" s="707"/>
      <c r="W228" s="636"/>
      <c r="X228" s="636"/>
      <c r="Y228" s="707"/>
      <c r="Z228" s="635"/>
      <c r="AA228" s="707"/>
      <c r="AB228" s="707"/>
    </row>
    <row r="229" spans="1:28" x14ac:dyDescent="0.25">
      <c r="A229" s="23"/>
      <c r="B229" s="24"/>
      <c r="C229" s="25"/>
      <c r="D229" s="27"/>
      <c r="E229" s="27"/>
      <c r="F229" s="28"/>
      <c r="G229" s="27"/>
      <c r="H229" s="180"/>
      <c r="I229" s="27"/>
      <c r="J229" s="738"/>
      <c r="K229" s="635"/>
      <c r="L229" s="635"/>
      <c r="M229" s="635"/>
      <c r="N229" s="635"/>
      <c r="O229" s="636"/>
      <c r="P229" s="635"/>
      <c r="Q229" s="636"/>
      <c r="R229" s="636"/>
      <c r="S229" s="635"/>
      <c r="T229" s="707"/>
      <c r="U229" s="707"/>
      <c r="V229" s="707"/>
      <c r="W229" s="636"/>
      <c r="X229" s="636"/>
      <c r="Y229" s="707"/>
      <c r="Z229" s="635"/>
      <c r="AA229" s="707"/>
      <c r="AB229" s="707"/>
    </row>
    <row r="230" spans="1:28" x14ac:dyDescent="0.25">
      <c r="A230" s="23"/>
      <c r="B230" s="24"/>
      <c r="C230" s="25"/>
      <c r="D230" s="27"/>
      <c r="E230" s="27"/>
      <c r="F230" s="28"/>
      <c r="G230" s="27"/>
      <c r="H230" s="180"/>
      <c r="I230" s="27"/>
      <c r="J230" s="738"/>
      <c r="K230" s="635"/>
      <c r="L230" s="635"/>
      <c r="M230" s="635"/>
      <c r="N230" s="635"/>
      <c r="O230" s="636"/>
      <c r="P230" s="635"/>
      <c r="Q230" s="636"/>
      <c r="R230" s="636"/>
      <c r="S230" s="635"/>
      <c r="T230" s="707"/>
      <c r="U230" s="707"/>
      <c r="V230" s="707"/>
      <c r="W230" s="636"/>
      <c r="X230" s="636"/>
      <c r="Y230" s="707"/>
      <c r="Z230" s="635"/>
      <c r="AA230" s="707"/>
      <c r="AB230" s="707"/>
    </row>
    <row r="231" spans="1:28" x14ac:dyDescent="0.25">
      <c r="A231" s="23"/>
      <c r="B231" s="24"/>
      <c r="C231" s="25"/>
      <c r="D231" s="27"/>
      <c r="E231" s="27"/>
      <c r="F231" s="28"/>
      <c r="G231" s="27"/>
      <c r="H231" s="180"/>
      <c r="I231" s="27"/>
      <c r="J231" s="738"/>
      <c r="K231" s="635"/>
      <c r="L231" s="635"/>
      <c r="M231" s="635"/>
      <c r="N231" s="635"/>
      <c r="O231" s="636"/>
      <c r="P231" s="635"/>
      <c r="Q231" s="636"/>
      <c r="R231" s="636"/>
      <c r="S231" s="635"/>
      <c r="T231" s="707"/>
      <c r="U231" s="707"/>
      <c r="V231" s="707"/>
      <c r="W231" s="636"/>
      <c r="X231" s="636"/>
      <c r="Y231" s="707"/>
      <c r="Z231" s="635"/>
      <c r="AA231" s="707"/>
      <c r="AB231" s="707"/>
    </row>
    <row r="232" spans="1:28" x14ac:dyDescent="0.25">
      <c r="A232" s="23"/>
      <c r="B232" s="24"/>
      <c r="C232" s="25"/>
      <c r="D232" s="27"/>
      <c r="E232" s="27"/>
      <c r="F232" s="28"/>
      <c r="G232" s="27"/>
      <c r="H232" s="180"/>
      <c r="I232" s="27"/>
      <c r="J232" s="738"/>
      <c r="K232" s="635"/>
      <c r="L232" s="635"/>
      <c r="M232" s="635"/>
      <c r="N232" s="635"/>
      <c r="O232" s="636"/>
      <c r="P232" s="635"/>
      <c r="Q232" s="636"/>
      <c r="R232" s="636"/>
      <c r="S232" s="635"/>
      <c r="T232" s="707"/>
      <c r="U232" s="707"/>
      <c r="V232" s="707"/>
      <c r="W232" s="636"/>
      <c r="X232" s="636"/>
      <c r="Y232" s="707"/>
      <c r="Z232" s="635"/>
      <c r="AA232" s="707"/>
      <c r="AB232" s="707"/>
    </row>
    <row r="233" spans="1:28" x14ac:dyDescent="0.25">
      <c r="A233" s="23"/>
      <c r="B233" s="24"/>
      <c r="C233" s="25"/>
      <c r="D233" s="27"/>
      <c r="E233" s="27"/>
      <c r="F233" s="28"/>
      <c r="G233" s="27"/>
      <c r="H233" s="180"/>
      <c r="I233" s="27"/>
      <c r="J233" s="738"/>
      <c r="K233" s="635"/>
      <c r="L233" s="635"/>
      <c r="M233" s="635"/>
      <c r="N233" s="635"/>
      <c r="O233" s="636"/>
      <c r="P233" s="635"/>
      <c r="Q233" s="636"/>
      <c r="R233" s="636"/>
      <c r="S233" s="635"/>
      <c r="T233" s="707"/>
      <c r="U233" s="707"/>
      <c r="V233" s="707"/>
      <c r="W233" s="636"/>
      <c r="X233" s="636"/>
      <c r="Y233" s="707"/>
      <c r="Z233" s="635"/>
      <c r="AA233" s="707"/>
      <c r="AB233" s="707"/>
    </row>
    <row r="234" spans="1:28" x14ac:dyDescent="0.25">
      <c r="A234" s="23"/>
      <c r="B234" s="24"/>
      <c r="C234" s="25"/>
      <c r="D234" s="27"/>
      <c r="E234" s="27"/>
      <c r="F234" s="28"/>
      <c r="G234" s="27"/>
      <c r="H234" s="180"/>
      <c r="I234" s="27"/>
      <c r="J234" s="738"/>
      <c r="K234" s="635"/>
      <c r="L234" s="635"/>
      <c r="M234" s="635"/>
      <c r="N234" s="635"/>
      <c r="O234" s="636"/>
      <c r="P234" s="635"/>
      <c r="Q234" s="636"/>
      <c r="R234" s="636"/>
      <c r="S234" s="635"/>
      <c r="T234" s="707"/>
      <c r="U234" s="707"/>
      <c r="V234" s="707"/>
      <c r="W234" s="636"/>
      <c r="X234" s="636"/>
      <c r="Y234" s="707"/>
      <c r="Z234" s="635"/>
      <c r="AA234" s="707"/>
      <c r="AB234" s="707"/>
    </row>
    <row r="235" spans="1:28" x14ac:dyDescent="0.25">
      <c r="A235" s="23"/>
      <c r="B235" s="24"/>
      <c r="C235" s="25"/>
      <c r="D235" s="27"/>
      <c r="E235" s="27"/>
      <c r="F235" s="28"/>
      <c r="G235" s="27"/>
      <c r="H235" s="180"/>
      <c r="I235" s="27"/>
      <c r="J235" s="738"/>
      <c r="K235" s="635"/>
      <c r="L235" s="635"/>
      <c r="M235" s="635"/>
      <c r="N235" s="635"/>
      <c r="O235" s="636"/>
      <c r="P235" s="635"/>
      <c r="Q235" s="636"/>
      <c r="R235" s="636"/>
      <c r="S235" s="635"/>
      <c r="T235" s="707"/>
      <c r="U235" s="707"/>
      <c r="V235" s="707"/>
      <c r="W235" s="636"/>
      <c r="X235" s="636"/>
      <c r="Y235" s="707"/>
      <c r="Z235" s="635"/>
      <c r="AA235" s="707"/>
      <c r="AB235" s="707"/>
    </row>
    <row r="236" spans="1:28" x14ac:dyDescent="0.25">
      <c r="A236" s="23"/>
      <c r="B236" s="24"/>
      <c r="C236" s="25"/>
      <c r="D236" s="27"/>
      <c r="E236" s="27"/>
      <c r="F236" s="28"/>
      <c r="G236" s="27"/>
      <c r="H236" s="180"/>
      <c r="I236" s="27"/>
      <c r="J236" s="738"/>
      <c r="K236" s="635"/>
      <c r="L236" s="635"/>
      <c r="M236" s="635"/>
      <c r="N236" s="635"/>
      <c r="O236" s="636"/>
      <c r="P236" s="635"/>
      <c r="Q236" s="636"/>
      <c r="R236" s="636"/>
      <c r="S236" s="635"/>
      <c r="T236" s="707"/>
      <c r="U236" s="707"/>
      <c r="V236" s="707"/>
      <c r="W236" s="636"/>
      <c r="X236" s="636"/>
      <c r="Y236" s="707"/>
      <c r="Z236" s="635"/>
      <c r="AA236" s="707"/>
      <c r="AB236" s="707"/>
    </row>
    <row r="237" spans="1:28" x14ac:dyDescent="0.25">
      <c r="A237" s="23"/>
      <c r="B237" s="24"/>
      <c r="C237" s="25"/>
      <c r="D237" s="27"/>
      <c r="E237" s="27"/>
      <c r="F237" s="28"/>
      <c r="G237" s="27"/>
      <c r="H237" s="180"/>
      <c r="I237" s="27"/>
      <c r="J237" s="738"/>
      <c r="K237" s="635"/>
      <c r="L237" s="635"/>
      <c r="M237" s="635"/>
      <c r="N237" s="635"/>
      <c r="O237" s="636"/>
      <c r="P237" s="635"/>
      <c r="Q237" s="636"/>
      <c r="R237" s="636"/>
      <c r="S237" s="635"/>
      <c r="T237" s="707"/>
      <c r="U237" s="707"/>
      <c r="V237" s="707"/>
      <c r="W237" s="636"/>
      <c r="X237" s="636"/>
      <c r="Y237" s="707"/>
      <c r="Z237" s="635"/>
      <c r="AA237" s="707"/>
      <c r="AB237" s="707"/>
    </row>
    <row r="238" spans="1:28" x14ac:dyDescent="0.25">
      <c r="A238" s="23"/>
      <c r="B238" s="24"/>
      <c r="C238" s="25"/>
      <c r="D238" s="27"/>
      <c r="E238" s="27"/>
      <c r="F238" s="28"/>
      <c r="G238" s="27"/>
      <c r="H238" s="180"/>
      <c r="I238" s="27"/>
      <c r="J238" s="738"/>
      <c r="K238" s="635"/>
      <c r="L238" s="635"/>
      <c r="M238" s="635"/>
      <c r="N238" s="635"/>
      <c r="O238" s="636"/>
      <c r="P238" s="635"/>
      <c r="Q238" s="636"/>
      <c r="R238" s="636"/>
      <c r="S238" s="635"/>
      <c r="T238" s="707"/>
      <c r="U238" s="707"/>
      <c r="V238" s="707"/>
      <c r="W238" s="636"/>
      <c r="X238" s="636"/>
      <c r="Y238" s="707"/>
      <c r="Z238" s="635"/>
      <c r="AA238" s="707"/>
      <c r="AB238" s="707"/>
    </row>
    <row r="239" spans="1:28" x14ac:dyDescent="0.25">
      <c r="A239" s="23"/>
      <c r="B239" s="24"/>
      <c r="C239" s="25"/>
      <c r="D239" s="27"/>
      <c r="E239" s="27"/>
      <c r="F239" s="28"/>
      <c r="G239" s="27"/>
      <c r="H239" s="180"/>
      <c r="I239" s="27"/>
      <c r="J239" s="738"/>
      <c r="K239" s="635"/>
      <c r="L239" s="635"/>
      <c r="M239" s="635"/>
      <c r="N239" s="635"/>
      <c r="O239" s="636"/>
      <c r="P239" s="635"/>
      <c r="Q239" s="636"/>
      <c r="R239" s="636"/>
      <c r="S239" s="635"/>
      <c r="T239" s="707"/>
      <c r="U239" s="707"/>
      <c r="V239" s="707"/>
      <c r="W239" s="636"/>
      <c r="X239" s="636"/>
      <c r="Y239" s="707"/>
      <c r="Z239" s="635"/>
      <c r="AA239" s="707"/>
      <c r="AB239" s="707"/>
    </row>
    <row r="240" spans="1:28" x14ac:dyDescent="0.25">
      <c r="A240" s="23"/>
      <c r="B240" s="24"/>
      <c r="C240" s="25"/>
      <c r="D240" s="27"/>
      <c r="E240" s="27"/>
      <c r="F240" s="28"/>
      <c r="G240" s="27"/>
      <c r="H240" s="180"/>
      <c r="I240" s="27"/>
      <c r="J240" s="738"/>
      <c r="K240" s="635"/>
      <c r="L240" s="635"/>
      <c r="M240" s="635"/>
      <c r="N240" s="635"/>
      <c r="O240" s="636"/>
      <c r="P240" s="635"/>
      <c r="Q240" s="636"/>
      <c r="R240" s="636"/>
      <c r="S240" s="635"/>
      <c r="T240" s="707"/>
      <c r="U240" s="707"/>
      <c r="V240" s="707"/>
      <c r="W240" s="636"/>
      <c r="X240" s="636"/>
      <c r="Y240" s="707"/>
      <c r="Z240" s="635"/>
      <c r="AA240" s="707"/>
      <c r="AB240" s="707"/>
    </row>
    <row r="241" spans="1:28" x14ac:dyDescent="0.25">
      <c r="A241" s="23"/>
      <c r="B241" s="24"/>
      <c r="C241" s="25"/>
      <c r="D241" s="27"/>
      <c r="E241" s="27"/>
      <c r="F241" s="28"/>
      <c r="G241" s="27"/>
      <c r="H241" s="180"/>
      <c r="I241" s="27"/>
      <c r="J241" s="738"/>
      <c r="K241" s="635"/>
      <c r="L241" s="635"/>
      <c r="M241" s="635"/>
      <c r="N241" s="635"/>
      <c r="O241" s="636"/>
      <c r="P241" s="635"/>
      <c r="Q241" s="636"/>
      <c r="R241" s="636"/>
      <c r="S241" s="635"/>
      <c r="T241" s="707"/>
      <c r="U241" s="707"/>
      <c r="V241" s="707"/>
      <c r="W241" s="636"/>
      <c r="X241" s="636"/>
      <c r="Y241" s="707"/>
      <c r="Z241" s="635"/>
      <c r="AA241" s="707"/>
      <c r="AB241" s="707"/>
    </row>
    <row r="242" spans="1:28" x14ac:dyDescent="0.25">
      <c r="A242" s="23"/>
      <c r="B242" s="24"/>
      <c r="C242" s="25"/>
      <c r="D242" s="27"/>
      <c r="E242" s="27"/>
      <c r="F242" s="28"/>
      <c r="G242" s="27"/>
      <c r="H242" s="180"/>
      <c r="I242" s="27"/>
      <c r="J242" s="738"/>
      <c r="K242" s="635"/>
      <c r="L242" s="635"/>
      <c r="M242" s="635"/>
      <c r="N242" s="635"/>
      <c r="O242" s="636"/>
      <c r="P242" s="635"/>
      <c r="Q242" s="636"/>
      <c r="R242" s="636"/>
      <c r="S242" s="635"/>
      <c r="T242" s="707"/>
      <c r="U242" s="707"/>
      <c r="V242" s="707"/>
      <c r="W242" s="636"/>
      <c r="X242" s="636"/>
      <c r="Y242" s="707"/>
      <c r="Z242" s="635"/>
      <c r="AA242" s="707"/>
      <c r="AB242" s="707"/>
    </row>
    <row r="243" spans="1:28" x14ac:dyDescent="0.25">
      <c r="A243" s="23"/>
      <c r="B243" s="24"/>
      <c r="C243" s="25"/>
      <c r="D243" s="27"/>
      <c r="E243" s="27"/>
      <c r="F243" s="28"/>
      <c r="G243" s="27"/>
      <c r="H243" s="180"/>
      <c r="I243" s="27"/>
      <c r="J243" s="738"/>
      <c r="K243" s="635"/>
      <c r="L243" s="635"/>
      <c r="M243" s="635"/>
      <c r="N243" s="635"/>
      <c r="O243" s="636"/>
      <c r="P243" s="635"/>
      <c r="Q243" s="636"/>
      <c r="R243" s="636"/>
      <c r="S243" s="635"/>
      <c r="T243" s="707"/>
      <c r="U243" s="707"/>
      <c r="V243" s="707"/>
      <c r="W243" s="636"/>
      <c r="X243" s="636"/>
      <c r="Y243" s="707"/>
      <c r="Z243" s="635"/>
      <c r="AA243" s="707"/>
      <c r="AB243" s="707"/>
    </row>
    <row r="244" spans="1:28" x14ac:dyDescent="0.25">
      <c r="A244" s="23"/>
      <c r="B244" s="24"/>
      <c r="C244" s="25"/>
      <c r="D244" s="27"/>
      <c r="E244" s="27"/>
      <c r="F244" s="28"/>
      <c r="G244" s="27"/>
      <c r="H244" s="180"/>
      <c r="I244" s="27"/>
      <c r="J244" s="738"/>
      <c r="K244" s="635"/>
      <c r="L244" s="635"/>
      <c r="M244" s="635"/>
      <c r="N244" s="635"/>
      <c r="O244" s="636"/>
      <c r="P244" s="635"/>
      <c r="Q244" s="636"/>
      <c r="R244" s="636"/>
      <c r="S244" s="635"/>
      <c r="T244" s="707"/>
      <c r="U244" s="707"/>
      <c r="V244" s="707"/>
      <c r="W244" s="636"/>
      <c r="X244" s="636"/>
      <c r="Y244" s="707"/>
      <c r="Z244" s="635"/>
      <c r="AA244" s="707"/>
      <c r="AB244" s="707"/>
    </row>
    <row r="245" spans="1:28" x14ac:dyDescent="0.25">
      <c r="A245" s="23"/>
      <c r="B245" s="24"/>
      <c r="C245" s="25"/>
      <c r="D245" s="27"/>
      <c r="E245" s="27"/>
      <c r="F245" s="28"/>
      <c r="G245" s="27"/>
      <c r="H245" s="180"/>
      <c r="I245" s="27"/>
      <c r="J245" s="738"/>
      <c r="K245" s="635"/>
      <c r="L245" s="635"/>
      <c r="M245" s="635"/>
      <c r="N245" s="635"/>
      <c r="O245" s="636"/>
      <c r="P245" s="635"/>
      <c r="Q245" s="636"/>
      <c r="R245" s="636"/>
      <c r="S245" s="635"/>
      <c r="T245" s="707"/>
      <c r="U245" s="707"/>
      <c r="V245" s="707"/>
      <c r="W245" s="636"/>
      <c r="X245" s="636"/>
      <c r="Y245" s="707"/>
      <c r="Z245" s="635"/>
      <c r="AA245" s="707"/>
      <c r="AB245" s="707"/>
    </row>
    <row r="246" spans="1:28" x14ac:dyDescent="0.25">
      <c r="A246" s="23"/>
      <c r="B246" s="24"/>
      <c r="C246" s="25"/>
      <c r="D246" s="27"/>
      <c r="E246" s="27"/>
      <c r="F246" s="28"/>
      <c r="G246" s="27"/>
      <c r="H246" s="180"/>
      <c r="I246" s="27"/>
      <c r="J246" s="738"/>
      <c r="K246" s="635"/>
      <c r="L246" s="635"/>
      <c r="M246" s="635"/>
      <c r="N246" s="635"/>
      <c r="O246" s="636"/>
      <c r="P246" s="635"/>
      <c r="Q246" s="636"/>
      <c r="R246" s="636"/>
      <c r="S246" s="635"/>
      <c r="T246" s="707"/>
      <c r="U246" s="707"/>
      <c r="V246" s="707"/>
      <c r="W246" s="636"/>
      <c r="X246" s="636"/>
      <c r="Y246" s="707"/>
      <c r="Z246" s="635"/>
      <c r="AA246" s="707"/>
      <c r="AB246" s="707"/>
    </row>
    <row r="247" spans="1:28" x14ac:dyDescent="0.25">
      <c r="A247" s="23"/>
      <c r="B247" s="24"/>
      <c r="C247" s="25"/>
      <c r="D247" s="27"/>
      <c r="E247" s="27"/>
      <c r="F247" s="28"/>
      <c r="G247" s="27"/>
      <c r="H247" s="180"/>
      <c r="I247" s="27"/>
      <c r="J247" s="738"/>
      <c r="K247" s="635"/>
      <c r="L247" s="635"/>
      <c r="M247" s="635"/>
      <c r="N247" s="635"/>
      <c r="O247" s="636"/>
      <c r="P247" s="635"/>
      <c r="Q247" s="636"/>
      <c r="R247" s="636"/>
      <c r="S247" s="635"/>
      <c r="T247" s="707"/>
      <c r="U247" s="707"/>
      <c r="V247" s="707"/>
      <c r="W247" s="636"/>
      <c r="X247" s="636"/>
      <c r="Y247" s="707"/>
      <c r="Z247" s="635"/>
      <c r="AA247" s="707"/>
      <c r="AB247" s="707"/>
    </row>
    <row r="248" spans="1:28" x14ac:dyDescent="0.25">
      <c r="A248" s="23"/>
      <c r="B248" s="24"/>
      <c r="C248" s="25"/>
      <c r="D248" s="27"/>
      <c r="E248" s="27"/>
      <c r="F248" s="28"/>
      <c r="G248" s="27"/>
      <c r="H248" s="180"/>
      <c r="I248" s="27"/>
      <c r="J248" s="738"/>
      <c r="K248" s="635"/>
      <c r="L248" s="635"/>
      <c r="M248" s="635"/>
      <c r="N248" s="635"/>
      <c r="O248" s="636"/>
      <c r="P248" s="635"/>
      <c r="Q248" s="636"/>
      <c r="R248" s="636"/>
      <c r="S248" s="635"/>
      <c r="T248" s="707"/>
      <c r="U248" s="707"/>
      <c r="V248" s="707"/>
      <c r="W248" s="636"/>
      <c r="X248" s="636"/>
      <c r="Y248" s="707"/>
      <c r="Z248" s="635"/>
      <c r="AA248" s="707"/>
      <c r="AB248" s="707"/>
    </row>
    <row r="249" spans="1:28" x14ac:dyDescent="0.25">
      <c r="A249" s="23"/>
      <c r="B249" s="24"/>
      <c r="C249" s="25"/>
      <c r="D249" s="27"/>
      <c r="E249" s="27"/>
      <c r="F249" s="28"/>
      <c r="G249" s="27"/>
      <c r="H249" s="180"/>
      <c r="I249" s="27"/>
      <c r="J249" s="738"/>
      <c r="K249" s="635"/>
      <c r="L249" s="635"/>
      <c r="M249" s="635"/>
      <c r="N249" s="635"/>
      <c r="O249" s="636"/>
      <c r="P249" s="635"/>
      <c r="Q249" s="636"/>
      <c r="R249" s="636"/>
      <c r="S249" s="635"/>
      <c r="T249" s="707"/>
      <c r="U249" s="707"/>
      <c r="V249" s="707"/>
      <c r="W249" s="636"/>
      <c r="X249" s="636"/>
      <c r="Y249" s="707"/>
      <c r="Z249" s="635"/>
      <c r="AA249" s="707"/>
      <c r="AB249" s="707"/>
    </row>
    <row r="250" spans="1:28" x14ac:dyDescent="0.25">
      <c r="A250" s="23"/>
      <c r="B250" s="24"/>
      <c r="C250" s="25"/>
      <c r="D250" s="27"/>
      <c r="E250" s="27"/>
      <c r="F250" s="28"/>
      <c r="G250" s="27"/>
      <c r="H250" s="180"/>
      <c r="I250" s="27"/>
      <c r="J250" s="738"/>
      <c r="K250" s="635"/>
      <c r="L250" s="635"/>
      <c r="M250" s="635"/>
      <c r="N250" s="635"/>
      <c r="O250" s="636"/>
      <c r="P250" s="635"/>
      <c r="Q250" s="636"/>
      <c r="R250" s="636"/>
      <c r="S250" s="635"/>
      <c r="T250" s="707"/>
      <c r="U250" s="707"/>
      <c r="V250" s="707"/>
      <c r="W250" s="636"/>
      <c r="X250" s="636"/>
      <c r="Y250" s="707"/>
      <c r="Z250" s="635"/>
      <c r="AA250" s="707"/>
      <c r="AB250" s="707"/>
    </row>
    <row r="251" spans="1:28" x14ac:dyDescent="0.25">
      <c r="A251" s="23"/>
      <c r="B251" s="24"/>
      <c r="C251" s="25"/>
      <c r="D251" s="27"/>
      <c r="E251" s="27"/>
      <c r="F251" s="28"/>
      <c r="G251" s="27"/>
      <c r="H251" s="180"/>
      <c r="I251" s="27"/>
      <c r="J251" s="738"/>
      <c r="K251" s="635"/>
      <c r="L251" s="635"/>
      <c r="M251" s="635"/>
      <c r="N251" s="635"/>
      <c r="O251" s="636"/>
      <c r="P251" s="635"/>
      <c r="Q251" s="636"/>
      <c r="R251" s="636"/>
      <c r="S251" s="635"/>
      <c r="T251" s="707"/>
      <c r="U251" s="707"/>
      <c r="V251" s="707"/>
      <c r="W251" s="636"/>
      <c r="X251" s="636"/>
      <c r="Y251" s="707"/>
      <c r="Z251" s="635"/>
      <c r="AA251" s="707"/>
      <c r="AB251" s="707"/>
    </row>
    <row r="252" spans="1:28" x14ac:dyDescent="0.25">
      <c r="A252" s="23"/>
      <c r="B252" s="24"/>
      <c r="C252" s="25"/>
      <c r="D252" s="27"/>
      <c r="E252" s="27"/>
      <c r="F252" s="28"/>
      <c r="G252" s="27"/>
      <c r="H252" s="180"/>
      <c r="I252" s="27"/>
      <c r="J252" s="738"/>
      <c r="K252" s="635"/>
      <c r="L252" s="635"/>
      <c r="M252" s="635"/>
      <c r="N252" s="635"/>
      <c r="O252" s="636"/>
      <c r="P252" s="635"/>
      <c r="Q252" s="636"/>
      <c r="R252" s="636"/>
      <c r="S252" s="635"/>
      <c r="T252" s="707"/>
      <c r="U252" s="707"/>
      <c r="V252" s="707"/>
      <c r="W252" s="636"/>
      <c r="X252" s="636"/>
      <c r="Y252" s="707"/>
      <c r="Z252" s="635"/>
      <c r="AA252" s="707"/>
      <c r="AB252" s="707"/>
    </row>
    <row r="253" spans="1:28" x14ac:dyDescent="0.25">
      <c r="A253" s="23"/>
      <c r="B253" s="24"/>
      <c r="C253" s="25"/>
      <c r="D253" s="27"/>
      <c r="E253" s="27"/>
      <c r="F253" s="28"/>
      <c r="G253" s="27"/>
      <c r="H253" s="180"/>
      <c r="I253" s="27"/>
      <c r="J253" s="738"/>
      <c r="K253" s="635"/>
      <c r="L253" s="635"/>
      <c r="M253" s="635"/>
      <c r="N253" s="635"/>
      <c r="O253" s="636"/>
      <c r="P253" s="635"/>
      <c r="Q253" s="636"/>
      <c r="R253" s="636"/>
      <c r="S253" s="635"/>
      <c r="T253" s="707"/>
      <c r="U253" s="707"/>
      <c r="V253" s="707"/>
      <c r="W253" s="636"/>
      <c r="X253" s="636"/>
      <c r="Y253" s="707"/>
      <c r="Z253" s="635"/>
      <c r="AA253" s="707"/>
      <c r="AB253" s="707"/>
    </row>
    <row r="254" spans="1:28" x14ac:dyDescent="0.25">
      <c r="A254" s="23"/>
      <c r="B254" s="24"/>
      <c r="C254" s="25"/>
      <c r="D254" s="27"/>
      <c r="E254" s="27"/>
      <c r="F254" s="28"/>
      <c r="G254" s="27"/>
      <c r="H254" s="180"/>
      <c r="I254" s="27"/>
      <c r="J254" s="738"/>
      <c r="K254" s="635"/>
      <c r="L254" s="635"/>
      <c r="M254" s="635"/>
      <c r="N254" s="635"/>
      <c r="O254" s="636"/>
      <c r="P254" s="635"/>
      <c r="Q254" s="636"/>
      <c r="R254" s="636"/>
      <c r="S254" s="635"/>
      <c r="T254" s="707"/>
      <c r="U254" s="707"/>
      <c r="V254" s="707"/>
      <c r="W254" s="636"/>
      <c r="X254" s="636"/>
      <c r="Y254" s="707"/>
      <c r="Z254" s="635"/>
      <c r="AA254" s="707"/>
      <c r="AB254" s="707"/>
    </row>
    <row r="255" spans="1:28" x14ac:dyDescent="0.25">
      <c r="A255" s="23"/>
      <c r="B255" s="24"/>
      <c r="C255" s="25"/>
      <c r="D255" s="27"/>
      <c r="E255" s="27"/>
      <c r="F255" s="28"/>
      <c r="G255" s="27"/>
      <c r="H255" s="180"/>
      <c r="I255" s="27"/>
      <c r="J255" s="738"/>
      <c r="K255" s="635"/>
      <c r="L255" s="635"/>
      <c r="M255" s="635"/>
      <c r="N255" s="635"/>
      <c r="O255" s="636"/>
      <c r="P255" s="635"/>
      <c r="Q255" s="636"/>
      <c r="R255" s="636"/>
      <c r="S255" s="635"/>
      <c r="T255" s="707"/>
      <c r="U255" s="707"/>
      <c r="V255" s="707"/>
      <c r="W255" s="636"/>
      <c r="X255" s="636"/>
      <c r="Y255" s="707"/>
      <c r="Z255" s="635"/>
      <c r="AA255" s="707"/>
      <c r="AB255" s="707"/>
    </row>
    <row r="256" spans="1:28" x14ac:dyDescent="0.25">
      <c r="A256" s="23"/>
      <c r="B256" s="24"/>
      <c r="C256" s="25"/>
      <c r="D256" s="27"/>
      <c r="E256" s="27"/>
      <c r="F256" s="28"/>
      <c r="G256" s="27"/>
      <c r="H256" s="180"/>
      <c r="I256" s="27"/>
      <c r="J256" s="738"/>
      <c r="K256" s="635"/>
      <c r="L256" s="635"/>
      <c r="M256" s="635"/>
      <c r="N256" s="635"/>
      <c r="O256" s="636"/>
      <c r="P256" s="635"/>
      <c r="Q256" s="636"/>
      <c r="R256" s="636"/>
      <c r="S256" s="635"/>
      <c r="T256" s="707"/>
      <c r="U256" s="707"/>
      <c r="V256" s="707"/>
      <c r="W256" s="636"/>
      <c r="X256" s="636"/>
      <c r="Y256" s="707"/>
      <c r="Z256" s="635"/>
      <c r="AA256" s="707"/>
      <c r="AB256" s="707"/>
    </row>
    <row r="257" spans="1:28" x14ac:dyDescent="0.25">
      <c r="A257" s="23"/>
      <c r="B257" s="24"/>
      <c r="C257" s="25"/>
      <c r="D257" s="27"/>
      <c r="E257" s="27"/>
      <c r="F257" s="28"/>
      <c r="G257" s="27"/>
      <c r="H257" s="180"/>
      <c r="I257" s="27"/>
      <c r="J257" s="738"/>
      <c r="K257" s="635"/>
      <c r="L257" s="635"/>
      <c r="M257" s="635"/>
      <c r="N257" s="635"/>
      <c r="O257" s="636"/>
      <c r="P257" s="635"/>
      <c r="Q257" s="636"/>
      <c r="R257" s="636"/>
      <c r="S257" s="635"/>
      <c r="T257" s="707"/>
      <c r="U257" s="707"/>
      <c r="V257" s="707"/>
      <c r="W257" s="636"/>
      <c r="X257" s="636"/>
      <c r="Y257" s="707"/>
      <c r="Z257" s="635"/>
      <c r="AA257" s="707"/>
      <c r="AB257" s="707"/>
    </row>
    <row r="258" spans="1:28" x14ac:dyDescent="0.25">
      <c r="A258" s="23"/>
      <c r="B258" s="24"/>
      <c r="C258" s="25"/>
      <c r="D258" s="27"/>
      <c r="E258" s="27"/>
      <c r="F258" s="28"/>
      <c r="G258" s="27"/>
      <c r="H258" s="180"/>
      <c r="I258" s="27"/>
      <c r="J258" s="738"/>
      <c r="K258" s="635"/>
      <c r="L258" s="635"/>
      <c r="M258" s="635"/>
      <c r="N258" s="635"/>
      <c r="O258" s="636"/>
      <c r="P258" s="635"/>
      <c r="Q258" s="636"/>
      <c r="R258" s="636"/>
      <c r="S258" s="635"/>
      <c r="T258" s="707"/>
      <c r="U258" s="707"/>
      <c r="V258" s="707"/>
      <c r="W258" s="636"/>
      <c r="X258" s="636"/>
      <c r="Y258" s="707"/>
      <c r="Z258" s="635"/>
      <c r="AA258" s="707"/>
      <c r="AB258" s="707"/>
    </row>
    <row r="259" spans="1:28" x14ac:dyDescent="0.25">
      <c r="A259" s="23"/>
      <c r="B259" s="24"/>
      <c r="C259" s="25"/>
      <c r="D259" s="27"/>
      <c r="E259" s="27"/>
      <c r="F259" s="28"/>
      <c r="G259" s="27"/>
      <c r="H259" s="180"/>
      <c r="I259" s="27"/>
      <c r="J259" s="738"/>
      <c r="K259" s="635"/>
      <c r="L259" s="635"/>
      <c r="M259" s="635"/>
      <c r="N259" s="635"/>
      <c r="O259" s="636"/>
      <c r="P259" s="635"/>
      <c r="Q259" s="636"/>
      <c r="R259" s="636"/>
      <c r="S259" s="635"/>
      <c r="T259" s="707"/>
      <c r="U259" s="707"/>
      <c r="V259" s="707"/>
      <c r="W259" s="636"/>
      <c r="X259" s="636"/>
      <c r="Y259" s="707"/>
      <c r="Z259" s="635"/>
      <c r="AA259" s="707"/>
      <c r="AB259" s="707"/>
    </row>
    <row r="260" spans="1:28" x14ac:dyDescent="0.25">
      <c r="A260" s="23"/>
      <c r="B260" s="24"/>
      <c r="C260" s="25"/>
      <c r="D260" s="27"/>
      <c r="E260" s="27"/>
      <c r="F260" s="28"/>
      <c r="G260" s="27"/>
      <c r="H260" s="180"/>
      <c r="I260" s="27"/>
      <c r="J260" s="738"/>
      <c r="K260" s="635"/>
      <c r="L260" s="635"/>
      <c r="M260" s="635"/>
      <c r="N260" s="635"/>
      <c r="O260" s="636"/>
      <c r="P260" s="635"/>
      <c r="Q260" s="636"/>
      <c r="R260" s="636"/>
      <c r="S260" s="635"/>
      <c r="T260" s="707"/>
      <c r="U260" s="707"/>
      <c r="V260" s="707"/>
      <c r="W260" s="636"/>
      <c r="X260" s="636"/>
      <c r="Y260" s="707"/>
      <c r="Z260" s="635"/>
      <c r="AA260" s="707"/>
      <c r="AB260" s="707"/>
    </row>
    <row r="261" spans="1:28" x14ac:dyDescent="0.25">
      <c r="A261" s="23"/>
      <c r="B261" s="24"/>
      <c r="C261" s="25"/>
      <c r="D261" s="27"/>
      <c r="E261" s="27"/>
      <c r="F261" s="28"/>
      <c r="G261" s="27"/>
      <c r="H261" s="180"/>
      <c r="I261" s="27"/>
      <c r="J261" s="738"/>
      <c r="K261" s="635"/>
      <c r="L261" s="635"/>
      <c r="M261" s="635"/>
      <c r="N261" s="635"/>
      <c r="O261" s="636"/>
      <c r="P261" s="635"/>
      <c r="Q261" s="636"/>
      <c r="R261" s="636"/>
      <c r="S261" s="635"/>
      <c r="T261" s="707"/>
      <c r="U261" s="707"/>
      <c r="V261" s="707"/>
      <c r="W261" s="636"/>
      <c r="X261" s="636"/>
      <c r="Y261" s="707"/>
      <c r="Z261" s="635"/>
      <c r="AA261" s="707"/>
      <c r="AB261" s="707"/>
    </row>
    <row r="262" spans="1:28" x14ac:dyDescent="0.25">
      <c r="A262" s="23"/>
      <c r="B262" s="24"/>
      <c r="C262" s="25"/>
      <c r="D262" s="27"/>
      <c r="E262" s="27"/>
      <c r="F262" s="28"/>
      <c r="G262" s="27"/>
      <c r="H262" s="180"/>
      <c r="I262" s="27"/>
      <c r="J262" s="738"/>
      <c r="K262" s="635"/>
      <c r="L262" s="635"/>
      <c r="M262" s="635"/>
      <c r="N262" s="635"/>
      <c r="O262" s="636"/>
      <c r="P262" s="635"/>
      <c r="Q262" s="636"/>
      <c r="R262" s="636"/>
      <c r="S262" s="635"/>
      <c r="T262" s="707"/>
      <c r="U262" s="707"/>
      <c r="V262" s="707"/>
      <c r="W262" s="636"/>
      <c r="X262" s="636"/>
      <c r="Y262" s="707"/>
      <c r="Z262" s="635"/>
      <c r="AA262" s="707"/>
      <c r="AB262" s="707"/>
    </row>
    <row r="263" spans="1:28" x14ac:dyDescent="0.25">
      <c r="A263" s="23"/>
      <c r="B263" s="24"/>
      <c r="C263" s="25"/>
      <c r="D263" s="27"/>
      <c r="E263" s="27"/>
      <c r="F263" s="28"/>
      <c r="G263" s="27"/>
      <c r="H263" s="180"/>
      <c r="I263" s="27"/>
      <c r="J263" s="738"/>
      <c r="K263" s="635"/>
      <c r="L263" s="635"/>
      <c r="M263" s="635"/>
      <c r="N263" s="635"/>
      <c r="O263" s="636"/>
      <c r="P263" s="635"/>
      <c r="Q263" s="636"/>
      <c r="R263" s="636"/>
      <c r="S263" s="635"/>
      <c r="T263" s="707"/>
      <c r="U263" s="707"/>
      <c r="V263" s="707"/>
      <c r="W263" s="636"/>
      <c r="X263" s="636"/>
      <c r="Y263" s="707"/>
      <c r="Z263" s="635"/>
      <c r="AA263" s="707"/>
      <c r="AB263" s="707"/>
    </row>
    <row r="264" spans="1:28" x14ac:dyDescent="0.25">
      <c r="A264" s="23"/>
      <c r="B264" s="24"/>
      <c r="C264" s="25"/>
      <c r="D264" s="27"/>
      <c r="E264" s="27"/>
      <c r="F264" s="28"/>
      <c r="G264" s="27"/>
      <c r="H264" s="180"/>
      <c r="I264" s="27"/>
      <c r="J264" s="738"/>
      <c r="K264" s="635"/>
      <c r="L264" s="635"/>
      <c r="M264" s="635"/>
      <c r="N264" s="635"/>
      <c r="O264" s="636"/>
      <c r="P264" s="635"/>
      <c r="Q264" s="636"/>
      <c r="R264" s="636"/>
      <c r="S264" s="635"/>
      <c r="T264" s="707"/>
      <c r="U264" s="707"/>
      <c r="V264" s="707"/>
      <c r="W264" s="636"/>
      <c r="X264" s="636"/>
      <c r="Y264" s="707"/>
      <c r="Z264" s="635"/>
      <c r="AA264" s="707"/>
      <c r="AB264" s="707"/>
    </row>
    <row r="265" spans="1:28" x14ac:dyDescent="0.25">
      <c r="A265" s="23"/>
      <c r="B265" s="24"/>
      <c r="C265" s="25"/>
      <c r="D265" s="27"/>
      <c r="E265" s="27"/>
      <c r="F265" s="28"/>
      <c r="G265" s="27"/>
      <c r="H265" s="180"/>
      <c r="I265" s="27"/>
      <c r="J265" s="738"/>
      <c r="K265" s="635"/>
      <c r="L265" s="635"/>
      <c r="M265" s="635"/>
      <c r="N265" s="635"/>
      <c r="O265" s="636"/>
      <c r="P265" s="635"/>
      <c r="Q265" s="636"/>
      <c r="R265" s="636"/>
      <c r="S265" s="635"/>
      <c r="T265" s="707"/>
      <c r="U265" s="707"/>
      <c r="V265" s="707"/>
      <c r="W265" s="636"/>
      <c r="X265" s="636"/>
      <c r="Y265" s="707"/>
      <c r="Z265" s="635"/>
      <c r="AA265" s="707"/>
      <c r="AB265" s="707"/>
    </row>
    <row r="266" spans="1:28" x14ac:dyDescent="0.25">
      <c r="A266" s="23"/>
      <c r="B266" s="24"/>
      <c r="C266" s="25"/>
      <c r="D266" s="27"/>
      <c r="E266" s="27"/>
      <c r="F266" s="28"/>
      <c r="G266" s="27"/>
      <c r="H266" s="180"/>
      <c r="I266" s="27"/>
      <c r="J266" s="738"/>
      <c r="K266" s="635"/>
      <c r="L266" s="635"/>
      <c r="M266" s="635"/>
      <c r="N266" s="635"/>
      <c r="O266" s="636"/>
      <c r="P266" s="635"/>
      <c r="Q266" s="636"/>
      <c r="R266" s="636"/>
      <c r="S266" s="635"/>
      <c r="T266" s="707"/>
      <c r="U266" s="707"/>
      <c r="V266" s="707"/>
      <c r="W266" s="636"/>
      <c r="X266" s="636"/>
      <c r="Y266" s="707"/>
      <c r="Z266" s="635"/>
      <c r="AA266" s="707"/>
      <c r="AB266" s="707"/>
    </row>
    <row r="267" spans="1:28" x14ac:dyDescent="0.25">
      <c r="A267" s="23"/>
      <c r="B267" s="24"/>
      <c r="C267" s="25"/>
      <c r="D267" s="27"/>
      <c r="E267" s="27"/>
      <c r="F267" s="28"/>
      <c r="G267" s="27"/>
      <c r="H267" s="180"/>
      <c r="I267" s="27"/>
      <c r="J267" s="738"/>
      <c r="K267" s="635"/>
      <c r="L267" s="635"/>
      <c r="M267" s="635"/>
      <c r="N267" s="635"/>
      <c r="O267" s="636"/>
      <c r="P267" s="635"/>
      <c r="Q267" s="636"/>
      <c r="R267" s="636"/>
      <c r="S267" s="635"/>
      <c r="T267" s="707"/>
      <c r="U267" s="707"/>
      <c r="V267" s="707"/>
      <c r="W267" s="636"/>
      <c r="X267" s="636"/>
      <c r="Y267" s="707"/>
      <c r="Z267" s="635"/>
      <c r="AA267" s="707"/>
      <c r="AB267" s="707"/>
    </row>
    <row r="268" spans="1:28" x14ac:dyDescent="0.25">
      <c r="A268" s="23"/>
      <c r="B268" s="24"/>
      <c r="C268" s="25"/>
      <c r="D268" s="27"/>
      <c r="E268" s="27"/>
      <c r="F268" s="28"/>
      <c r="G268" s="27"/>
      <c r="H268" s="180"/>
      <c r="I268" s="27"/>
      <c r="J268" s="738"/>
      <c r="K268" s="635"/>
      <c r="L268" s="635"/>
      <c r="M268" s="635"/>
      <c r="N268" s="635"/>
      <c r="O268" s="636"/>
      <c r="P268" s="635"/>
      <c r="Q268" s="636"/>
      <c r="R268" s="636"/>
      <c r="S268" s="635"/>
      <c r="T268" s="707"/>
      <c r="U268" s="707"/>
      <c r="V268" s="707"/>
      <c r="W268" s="636"/>
      <c r="X268" s="636"/>
      <c r="Y268" s="707"/>
      <c r="Z268" s="635"/>
      <c r="AA268" s="707"/>
      <c r="AB268" s="707"/>
    </row>
    <row r="269" spans="1:28" x14ac:dyDescent="0.25">
      <c r="A269" s="23"/>
      <c r="B269" s="24"/>
      <c r="C269" s="25"/>
      <c r="D269" s="27"/>
      <c r="E269" s="27"/>
      <c r="F269" s="28"/>
      <c r="G269" s="27"/>
      <c r="H269" s="180"/>
      <c r="I269" s="27"/>
      <c r="J269" s="738"/>
      <c r="K269" s="635"/>
      <c r="L269" s="635"/>
      <c r="M269" s="635"/>
      <c r="N269" s="635"/>
      <c r="O269" s="636"/>
      <c r="P269" s="635"/>
      <c r="Q269" s="636"/>
      <c r="R269" s="636"/>
      <c r="S269" s="635"/>
      <c r="T269" s="707"/>
      <c r="U269" s="707"/>
      <c r="V269" s="707"/>
      <c r="W269" s="636"/>
      <c r="X269" s="636"/>
      <c r="Y269" s="707"/>
      <c r="Z269" s="635"/>
      <c r="AA269" s="707"/>
      <c r="AB269" s="707"/>
    </row>
    <row r="270" spans="1:28" x14ac:dyDescent="0.25">
      <c r="A270" s="23"/>
      <c r="B270" s="24"/>
      <c r="C270" s="25"/>
      <c r="D270" s="27"/>
      <c r="E270" s="27"/>
      <c r="F270" s="28"/>
      <c r="G270" s="27"/>
      <c r="H270" s="180"/>
      <c r="I270" s="27"/>
      <c r="J270" s="738"/>
      <c r="K270" s="635"/>
      <c r="L270" s="635"/>
      <c r="M270" s="635"/>
      <c r="N270" s="635"/>
      <c r="O270" s="636"/>
      <c r="P270" s="635"/>
      <c r="Q270" s="636"/>
      <c r="R270" s="636"/>
      <c r="S270" s="635"/>
      <c r="T270" s="707"/>
      <c r="U270" s="707"/>
      <c r="V270" s="707"/>
      <c r="W270" s="636"/>
      <c r="X270" s="636"/>
      <c r="Y270" s="707"/>
      <c r="Z270" s="635"/>
      <c r="AA270" s="707"/>
      <c r="AB270" s="707"/>
    </row>
    <row r="271" spans="1:28" x14ac:dyDescent="0.25">
      <c r="A271" s="23"/>
      <c r="B271" s="24"/>
      <c r="C271" s="25"/>
      <c r="D271" s="27"/>
      <c r="E271" s="27"/>
      <c r="F271" s="28"/>
      <c r="G271" s="27"/>
      <c r="H271" s="180"/>
      <c r="I271" s="27"/>
      <c r="J271" s="738"/>
      <c r="K271" s="635"/>
      <c r="L271" s="635"/>
      <c r="M271" s="635"/>
      <c r="N271" s="635"/>
      <c r="O271" s="636"/>
      <c r="P271" s="635"/>
      <c r="Q271" s="636"/>
      <c r="R271" s="636"/>
      <c r="S271" s="635"/>
      <c r="T271" s="707"/>
      <c r="U271" s="707"/>
      <c r="V271" s="707"/>
      <c r="W271" s="636"/>
      <c r="X271" s="636"/>
      <c r="Y271" s="707"/>
      <c r="Z271" s="635"/>
      <c r="AA271" s="707"/>
      <c r="AB271" s="707"/>
    </row>
    <row r="272" spans="1:28" x14ac:dyDescent="0.25">
      <c r="A272" s="23"/>
      <c r="B272" s="24"/>
      <c r="C272" s="25"/>
      <c r="D272" s="27"/>
      <c r="E272" s="27"/>
      <c r="F272" s="28"/>
      <c r="G272" s="27"/>
      <c r="H272" s="180"/>
      <c r="I272" s="27"/>
      <c r="J272" s="738"/>
      <c r="K272" s="635"/>
      <c r="L272" s="635"/>
      <c r="M272" s="635"/>
      <c r="N272" s="635"/>
      <c r="O272" s="636"/>
      <c r="P272" s="635"/>
      <c r="Q272" s="636"/>
      <c r="R272" s="636"/>
      <c r="S272" s="635"/>
      <c r="T272" s="707"/>
      <c r="U272" s="707"/>
      <c r="V272" s="707"/>
      <c r="W272" s="636"/>
      <c r="X272" s="636"/>
      <c r="Y272" s="707"/>
      <c r="Z272" s="635"/>
      <c r="AA272" s="707"/>
      <c r="AB272" s="707"/>
    </row>
    <row r="273" spans="1:28" x14ac:dyDescent="0.25">
      <c r="A273" s="23"/>
      <c r="B273" s="24"/>
      <c r="C273" s="25"/>
      <c r="D273" s="27"/>
      <c r="E273" s="27"/>
      <c r="F273" s="28"/>
      <c r="G273" s="27"/>
      <c r="H273" s="180"/>
      <c r="I273" s="27"/>
      <c r="J273" s="738"/>
      <c r="K273" s="635"/>
      <c r="L273" s="635"/>
      <c r="M273" s="635"/>
      <c r="N273" s="635"/>
      <c r="O273" s="636"/>
      <c r="P273" s="635"/>
      <c r="Q273" s="636"/>
      <c r="R273" s="636"/>
      <c r="S273" s="635"/>
      <c r="T273" s="707"/>
      <c r="U273" s="707"/>
      <c r="V273" s="707"/>
      <c r="W273" s="636"/>
      <c r="X273" s="636"/>
      <c r="Y273" s="707"/>
      <c r="Z273" s="635"/>
      <c r="AA273" s="707"/>
      <c r="AB273" s="707"/>
    </row>
    <row r="274" spans="1:28" x14ac:dyDescent="0.25">
      <c r="A274" s="23"/>
      <c r="B274" s="24"/>
      <c r="C274" s="25"/>
      <c r="D274" s="27"/>
      <c r="E274" s="27"/>
      <c r="F274" s="28"/>
      <c r="G274" s="27"/>
      <c r="H274" s="180"/>
      <c r="I274" s="27"/>
      <c r="J274" s="738"/>
      <c r="K274" s="635"/>
      <c r="L274" s="635"/>
      <c r="M274" s="635"/>
      <c r="N274" s="635"/>
      <c r="O274" s="636"/>
      <c r="P274" s="635"/>
      <c r="Q274" s="636"/>
      <c r="R274" s="636"/>
      <c r="S274" s="635"/>
      <c r="T274" s="707"/>
      <c r="U274" s="707"/>
      <c r="V274" s="707"/>
      <c r="W274" s="636"/>
      <c r="X274" s="636"/>
      <c r="Y274" s="707"/>
      <c r="Z274" s="635"/>
      <c r="AA274" s="707"/>
      <c r="AB274" s="707"/>
    </row>
    <row r="275" spans="1:28" x14ac:dyDescent="0.25">
      <c r="A275" s="23"/>
      <c r="B275" s="24"/>
      <c r="C275" s="25"/>
      <c r="D275" s="27"/>
      <c r="E275" s="27"/>
      <c r="F275" s="28"/>
      <c r="G275" s="27"/>
      <c r="H275" s="180"/>
      <c r="I275" s="27"/>
      <c r="J275" s="738"/>
      <c r="K275" s="635"/>
      <c r="L275" s="635"/>
      <c r="M275" s="635"/>
      <c r="N275" s="635"/>
      <c r="O275" s="636"/>
      <c r="P275" s="635"/>
      <c r="Q275" s="636"/>
      <c r="R275" s="636"/>
      <c r="S275" s="635"/>
      <c r="T275" s="707"/>
      <c r="U275" s="707"/>
      <c r="V275" s="707"/>
      <c r="W275" s="636"/>
      <c r="X275" s="636"/>
      <c r="Y275" s="707"/>
      <c r="Z275" s="635"/>
      <c r="AA275" s="707"/>
      <c r="AB275" s="707"/>
    </row>
    <row r="276" spans="1:28" x14ac:dyDescent="0.25">
      <c r="A276" s="23"/>
      <c r="B276" s="24"/>
      <c r="C276" s="25"/>
      <c r="D276" s="27"/>
      <c r="E276" s="27"/>
      <c r="F276" s="28"/>
      <c r="G276" s="27"/>
      <c r="H276" s="180"/>
      <c r="I276" s="27"/>
      <c r="J276" s="738"/>
      <c r="K276" s="635"/>
      <c r="L276" s="635"/>
      <c r="M276" s="635"/>
      <c r="N276" s="635"/>
      <c r="O276" s="636"/>
      <c r="P276" s="635"/>
      <c r="Q276" s="636"/>
      <c r="R276" s="636"/>
      <c r="S276" s="635"/>
      <c r="T276" s="707"/>
      <c r="U276" s="707"/>
      <c r="V276" s="707"/>
      <c r="W276" s="636"/>
      <c r="X276" s="636"/>
      <c r="Y276" s="707"/>
      <c r="Z276" s="635"/>
      <c r="AA276" s="707"/>
      <c r="AB276" s="707"/>
    </row>
    <row r="277" spans="1:28" x14ac:dyDescent="0.25">
      <c r="A277" s="23"/>
      <c r="B277" s="24"/>
      <c r="C277" s="25"/>
      <c r="D277" s="27"/>
      <c r="E277" s="27"/>
      <c r="F277" s="28"/>
      <c r="G277" s="27"/>
      <c r="H277" s="180"/>
      <c r="I277" s="27"/>
      <c r="J277" s="738"/>
      <c r="K277" s="635"/>
      <c r="L277" s="635"/>
      <c r="M277" s="635"/>
      <c r="N277" s="635"/>
      <c r="O277" s="636"/>
      <c r="P277" s="635"/>
      <c r="Q277" s="636"/>
      <c r="R277" s="636"/>
      <c r="S277" s="635"/>
      <c r="T277" s="707"/>
      <c r="U277" s="707"/>
      <c r="V277" s="707"/>
      <c r="W277" s="636"/>
      <c r="X277" s="636"/>
      <c r="Y277" s="707"/>
      <c r="Z277" s="635"/>
      <c r="AA277" s="707"/>
      <c r="AB277" s="707"/>
    </row>
    <row r="278" spans="1:28" x14ac:dyDescent="0.25">
      <c r="A278" s="23"/>
      <c r="B278" s="24"/>
      <c r="C278" s="25"/>
      <c r="D278" s="27"/>
      <c r="E278" s="27"/>
      <c r="F278" s="28"/>
      <c r="G278" s="27"/>
      <c r="H278" s="180"/>
      <c r="I278" s="27"/>
      <c r="J278" s="738"/>
      <c r="K278" s="635"/>
      <c r="L278" s="635"/>
      <c r="M278" s="635"/>
      <c r="N278" s="635"/>
      <c r="O278" s="636"/>
      <c r="P278" s="635"/>
      <c r="Q278" s="636"/>
      <c r="R278" s="636"/>
      <c r="S278" s="635"/>
      <c r="T278" s="707"/>
      <c r="U278" s="707"/>
      <c r="V278" s="707"/>
      <c r="W278" s="636"/>
      <c r="X278" s="636"/>
      <c r="Y278" s="707"/>
      <c r="Z278" s="635"/>
      <c r="AA278" s="707"/>
      <c r="AB278" s="707"/>
    </row>
    <row r="279" spans="1:28" x14ac:dyDescent="0.25">
      <c r="A279" s="23"/>
      <c r="B279" s="24"/>
      <c r="C279" s="25"/>
      <c r="D279" s="27"/>
      <c r="E279" s="27"/>
      <c r="F279" s="28"/>
      <c r="G279" s="27"/>
      <c r="H279" s="180"/>
      <c r="I279" s="27"/>
      <c r="J279" s="738"/>
      <c r="K279" s="635"/>
      <c r="L279" s="635"/>
      <c r="M279" s="635"/>
      <c r="N279" s="635"/>
      <c r="O279" s="636"/>
      <c r="P279" s="635"/>
      <c r="Q279" s="636"/>
      <c r="R279" s="636"/>
      <c r="S279" s="635"/>
      <c r="T279" s="707"/>
      <c r="U279" s="707"/>
      <c r="V279" s="707"/>
      <c r="W279" s="636"/>
      <c r="X279" s="636"/>
      <c r="Y279" s="707"/>
      <c r="Z279" s="635"/>
      <c r="AA279" s="707"/>
      <c r="AB279" s="707"/>
    </row>
    <row r="280" spans="1:28" x14ac:dyDescent="0.25">
      <c r="A280" s="23"/>
      <c r="B280" s="24"/>
      <c r="C280" s="25"/>
      <c r="D280" s="27"/>
      <c r="E280" s="27"/>
      <c r="F280" s="28"/>
      <c r="G280" s="27"/>
      <c r="H280" s="180"/>
      <c r="I280" s="27"/>
      <c r="J280" s="738"/>
      <c r="K280" s="635"/>
      <c r="L280" s="635"/>
      <c r="M280" s="635"/>
      <c r="N280" s="635"/>
      <c r="O280" s="636"/>
      <c r="P280" s="635"/>
      <c r="Q280" s="636"/>
      <c r="R280" s="636"/>
      <c r="S280" s="635"/>
      <c r="T280" s="707"/>
      <c r="U280" s="707"/>
      <c r="V280" s="707"/>
      <c r="W280" s="636"/>
      <c r="X280" s="636"/>
      <c r="Y280" s="707"/>
      <c r="Z280" s="635"/>
      <c r="AA280" s="707"/>
      <c r="AB280" s="707"/>
    </row>
    <row r="281" spans="1:28" x14ac:dyDescent="0.25">
      <c r="A281" s="23"/>
      <c r="B281" s="24"/>
      <c r="C281" s="25"/>
      <c r="D281" s="27"/>
      <c r="E281" s="27"/>
      <c r="F281" s="28"/>
      <c r="G281" s="27"/>
      <c r="H281" s="180"/>
      <c r="I281" s="27"/>
      <c r="J281" s="738"/>
      <c r="K281" s="635"/>
      <c r="L281" s="635"/>
      <c r="M281" s="635"/>
      <c r="N281" s="635"/>
      <c r="O281" s="636"/>
      <c r="P281" s="635"/>
      <c r="Q281" s="636"/>
      <c r="R281" s="636"/>
      <c r="S281" s="635"/>
      <c r="T281" s="707"/>
      <c r="U281" s="707"/>
      <c r="V281" s="707"/>
      <c r="W281" s="636"/>
      <c r="X281" s="636"/>
      <c r="Y281" s="707"/>
      <c r="Z281" s="635"/>
      <c r="AA281" s="707"/>
      <c r="AB281" s="707"/>
    </row>
    <row r="282" spans="1:28" x14ac:dyDescent="0.25">
      <c r="A282" s="23"/>
      <c r="B282" s="24"/>
      <c r="C282" s="25"/>
      <c r="D282" s="27"/>
      <c r="E282" s="27"/>
      <c r="F282" s="28"/>
      <c r="G282" s="27"/>
      <c r="H282" s="180"/>
      <c r="I282" s="27"/>
      <c r="J282" s="738"/>
      <c r="K282" s="635"/>
      <c r="L282" s="635"/>
      <c r="M282" s="635"/>
      <c r="N282" s="635"/>
      <c r="O282" s="636"/>
      <c r="P282" s="635"/>
      <c r="Q282" s="636"/>
      <c r="R282" s="636"/>
      <c r="S282" s="635"/>
      <c r="T282" s="707"/>
      <c r="U282" s="707"/>
      <c r="V282" s="707"/>
      <c r="W282" s="636"/>
      <c r="X282" s="636"/>
      <c r="Y282" s="707"/>
      <c r="Z282" s="635"/>
      <c r="AA282" s="707"/>
      <c r="AB282" s="707"/>
    </row>
    <row r="283" spans="1:28" x14ac:dyDescent="0.25">
      <c r="A283" s="23"/>
      <c r="B283" s="24"/>
      <c r="C283" s="25"/>
      <c r="D283" s="27"/>
      <c r="E283" s="27"/>
      <c r="F283" s="28"/>
      <c r="G283" s="27"/>
      <c r="H283" s="180"/>
      <c r="I283" s="27"/>
      <c r="J283" s="738"/>
      <c r="K283" s="635"/>
      <c r="L283" s="635"/>
      <c r="M283" s="635"/>
      <c r="N283" s="635"/>
      <c r="O283" s="636"/>
      <c r="P283" s="635"/>
      <c r="Q283" s="636"/>
      <c r="R283" s="636"/>
      <c r="S283" s="635"/>
      <c r="T283" s="707"/>
      <c r="U283" s="707"/>
      <c r="V283" s="707"/>
      <c r="W283" s="636"/>
      <c r="X283" s="636"/>
      <c r="Y283" s="707"/>
      <c r="Z283" s="635"/>
      <c r="AA283" s="707"/>
      <c r="AB283" s="707"/>
    </row>
    <row r="284" spans="1:28" x14ac:dyDescent="0.25">
      <c r="A284" s="23"/>
      <c r="B284" s="24"/>
      <c r="C284" s="25"/>
      <c r="D284" s="27"/>
      <c r="E284" s="27"/>
      <c r="F284" s="28"/>
      <c r="G284" s="27"/>
      <c r="H284" s="180"/>
      <c r="I284" s="27"/>
      <c r="J284" s="738"/>
      <c r="K284" s="635"/>
      <c r="L284" s="635"/>
      <c r="M284" s="635"/>
      <c r="N284" s="635"/>
      <c r="O284" s="636"/>
      <c r="P284" s="635"/>
      <c r="Q284" s="636"/>
      <c r="R284" s="636"/>
      <c r="S284" s="635"/>
      <c r="T284" s="707"/>
      <c r="U284" s="707"/>
      <c r="V284" s="707"/>
      <c r="W284" s="636"/>
      <c r="X284" s="636"/>
      <c r="Y284" s="707"/>
      <c r="Z284" s="635"/>
      <c r="AA284" s="707"/>
      <c r="AB284" s="707"/>
    </row>
    <row r="285" spans="1:28" x14ac:dyDescent="0.25">
      <c r="A285" s="23"/>
      <c r="B285" s="24"/>
      <c r="C285" s="25"/>
      <c r="D285" s="27"/>
      <c r="E285" s="27"/>
      <c r="F285" s="28"/>
      <c r="G285" s="27"/>
      <c r="H285" s="180"/>
      <c r="I285" s="27"/>
      <c r="J285" s="738"/>
      <c r="K285" s="635"/>
      <c r="L285" s="635"/>
      <c r="M285" s="635"/>
      <c r="N285" s="635"/>
      <c r="O285" s="636"/>
      <c r="P285" s="635"/>
      <c r="Q285" s="636"/>
      <c r="R285" s="636"/>
      <c r="S285" s="635"/>
      <c r="T285" s="707"/>
      <c r="U285" s="707"/>
      <c r="V285" s="707"/>
      <c r="W285" s="636"/>
      <c r="X285" s="636"/>
      <c r="Y285" s="707"/>
      <c r="Z285" s="635"/>
      <c r="AA285" s="707"/>
      <c r="AB285" s="707"/>
    </row>
    <row r="286" spans="1:28" x14ac:dyDescent="0.25">
      <c r="A286" s="23"/>
      <c r="B286" s="24"/>
      <c r="C286" s="25"/>
      <c r="D286" s="27"/>
      <c r="E286" s="27"/>
      <c r="F286" s="28"/>
      <c r="G286" s="27"/>
      <c r="H286" s="180"/>
      <c r="I286" s="27"/>
      <c r="J286" s="738"/>
      <c r="K286" s="635"/>
      <c r="L286" s="635"/>
      <c r="M286" s="635"/>
      <c r="N286" s="635"/>
      <c r="O286" s="636"/>
      <c r="P286" s="635"/>
      <c r="Q286" s="636"/>
      <c r="R286" s="636"/>
      <c r="S286" s="635"/>
      <c r="T286" s="707"/>
      <c r="U286" s="707"/>
      <c r="V286" s="707"/>
      <c r="W286" s="636"/>
      <c r="X286" s="636"/>
      <c r="Y286" s="707"/>
      <c r="Z286" s="635"/>
      <c r="AA286" s="707"/>
      <c r="AB286" s="707"/>
    </row>
    <row r="287" spans="1:28" x14ac:dyDescent="0.25">
      <c r="A287" s="23"/>
      <c r="B287" s="24"/>
      <c r="C287" s="25"/>
      <c r="D287" s="27"/>
      <c r="E287" s="27"/>
      <c r="F287" s="28"/>
      <c r="G287" s="27"/>
      <c r="H287" s="180"/>
      <c r="I287" s="27"/>
      <c r="J287" s="738"/>
      <c r="K287" s="635"/>
      <c r="L287" s="635"/>
      <c r="M287" s="635"/>
      <c r="N287" s="635"/>
      <c r="O287" s="636"/>
      <c r="P287" s="635"/>
      <c r="Q287" s="636"/>
      <c r="R287" s="636"/>
      <c r="S287" s="635"/>
      <c r="T287" s="707"/>
      <c r="U287" s="707"/>
      <c r="V287" s="707"/>
      <c r="W287" s="636"/>
      <c r="X287" s="636"/>
      <c r="Y287" s="707"/>
      <c r="Z287" s="635"/>
      <c r="AA287" s="707"/>
      <c r="AB287" s="707"/>
    </row>
    <row r="288" spans="1:28" x14ac:dyDescent="0.25">
      <c r="A288" s="23"/>
      <c r="B288" s="24"/>
      <c r="C288" s="25"/>
      <c r="D288" s="27"/>
      <c r="E288" s="27"/>
      <c r="F288" s="28"/>
      <c r="G288" s="27"/>
      <c r="H288" s="180"/>
      <c r="I288" s="27"/>
      <c r="J288" s="738"/>
      <c r="K288" s="635"/>
      <c r="L288" s="635"/>
      <c r="M288" s="635"/>
      <c r="N288" s="635"/>
      <c r="O288" s="636"/>
      <c r="P288" s="635"/>
      <c r="Q288" s="636"/>
      <c r="R288" s="636"/>
      <c r="S288" s="635"/>
      <c r="T288" s="707"/>
      <c r="U288" s="707"/>
      <c r="V288" s="707"/>
      <c r="W288" s="636"/>
      <c r="X288" s="636"/>
      <c r="Y288" s="707"/>
      <c r="Z288" s="635"/>
      <c r="AA288" s="707"/>
      <c r="AB288" s="707"/>
    </row>
    <row r="289" spans="1:28" x14ac:dyDescent="0.25">
      <c r="A289" s="23"/>
      <c r="B289" s="24"/>
      <c r="C289" s="25"/>
      <c r="D289" s="27"/>
      <c r="E289" s="27"/>
      <c r="F289" s="28"/>
      <c r="G289" s="27"/>
      <c r="H289" s="180"/>
      <c r="I289" s="27"/>
      <c r="J289" s="738"/>
      <c r="K289" s="635"/>
      <c r="L289" s="635"/>
      <c r="M289" s="635"/>
      <c r="N289" s="635"/>
      <c r="O289" s="636"/>
      <c r="P289" s="635"/>
      <c r="Q289" s="636"/>
      <c r="R289" s="636"/>
      <c r="S289" s="635"/>
      <c r="T289" s="707"/>
      <c r="U289" s="707"/>
      <c r="V289" s="707"/>
      <c r="W289" s="636"/>
      <c r="X289" s="636"/>
      <c r="Y289" s="707"/>
      <c r="Z289" s="635"/>
      <c r="AA289" s="707"/>
      <c r="AB289" s="707"/>
    </row>
    <row r="290" spans="1:28" x14ac:dyDescent="0.25">
      <c r="A290" s="23"/>
      <c r="B290" s="24"/>
      <c r="C290" s="25"/>
      <c r="D290" s="27"/>
      <c r="E290" s="27"/>
      <c r="F290" s="28"/>
      <c r="G290" s="27"/>
      <c r="H290" s="180"/>
      <c r="I290" s="27"/>
      <c r="J290" s="738"/>
      <c r="K290" s="635"/>
      <c r="L290" s="635"/>
      <c r="M290" s="635"/>
      <c r="N290" s="635"/>
      <c r="O290" s="636"/>
      <c r="P290" s="635"/>
      <c r="Q290" s="636"/>
      <c r="R290" s="636"/>
      <c r="S290" s="635"/>
      <c r="T290" s="707"/>
      <c r="U290" s="707"/>
      <c r="V290" s="707"/>
      <c r="W290" s="636"/>
      <c r="X290" s="636"/>
      <c r="Y290" s="707"/>
      <c r="Z290" s="635"/>
      <c r="AA290" s="707"/>
      <c r="AB290" s="707"/>
    </row>
    <row r="291" spans="1:28" x14ac:dyDescent="0.25">
      <c r="A291" s="23"/>
      <c r="B291" s="24"/>
      <c r="C291" s="25"/>
      <c r="D291" s="27"/>
      <c r="E291" s="27"/>
      <c r="F291" s="28"/>
      <c r="G291" s="27"/>
      <c r="H291" s="180"/>
      <c r="I291" s="27"/>
      <c r="J291" s="738"/>
      <c r="K291" s="635"/>
      <c r="L291" s="635"/>
      <c r="M291" s="635"/>
      <c r="N291" s="635"/>
      <c r="O291" s="636"/>
      <c r="P291" s="635"/>
      <c r="Q291" s="636"/>
      <c r="R291" s="636"/>
      <c r="S291" s="635"/>
      <c r="T291" s="707"/>
      <c r="U291" s="707"/>
      <c r="V291" s="707"/>
      <c r="W291" s="636"/>
      <c r="X291" s="636"/>
      <c r="Y291" s="707"/>
      <c r="Z291" s="635"/>
      <c r="AA291" s="707"/>
      <c r="AB291" s="707"/>
    </row>
    <row r="292" spans="1:28" x14ac:dyDescent="0.25">
      <c r="A292" s="23"/>
      <c r="B292" s="24"/>
      <c r="C292" s="25"/>
      <c r="D292" s="27"/>
      <c r="E292" s="27"/>
      <c r="F292" s="28"/>
      <c r="G292" s="27"/>
      <c r="H292" s="180"/>
      <c r="I292" s="27"/>
      <c r="J292" s="738"/>
      <c r="K292" s="635"/>
      <c r="L292" s="635"/>
      <c r="M292" s="635"/>
      <c r="N292" s="635"/>
      <c r="O292" s="636"/>
      <c r="P292" s="635"/>
      <c r="Q292" s="636"/>
      <c r="R292" s="636"/>
      <c r="S292" s="635"/>
      <c r="T292" s="707"/>
      <c r="U292" s="707"/>
      <c r="V292" s="707"/>
      <c r="W292" s="636"/>
      <c r="X292" s="636"/>
      <c r="Y292" s="707"/>
      <c r="Z292" s="635"/>
      <c r="AA292" s="707"/>
      <c r="AB292" s="707"/>
    </row>
    <row r="293" spans="1:28" x14ac:dyDescent="0.25">
      <c r="A293" s="23"/>
      <c r="B293" s="24"/>
      <c r="C293" s="25"/>
      <c r="D293" s="27"/>
      <c r="E293" s="27"/>
      <c r="F293" s="28"/>
      <c r="G293" s="27"/>
      <c r="H293" s="180"/>
      <c r="I293" s="27"/>
      <c r="J293" s="738"/>
      <c r="K293" s="635"/>
      <c r="L293" s="635"/>
      <c r="M293" s="635"/>
      <c r="N293" s="635"/>
      <c r="O293" s="636"/>
      <c r="P293" s="635"/>
      <c r="Q293" s="636"/>
      <c r="R293" s="636"/>
      <c r="S293" s="635"/>
      <c r="T293" s="707"/>
      <c r="U293" s="707"/>
      <c r="V293" s="707"/>
      <c r="W293" s="636"/>
      <c r="X293" s="636"/>
      <c r="Y293" s="707"/>
      <c r="Z293" s="635"/>
      <c r="AA293" s="707"/>
      <c r="AB293" s="707"/>
    </row>
    <row r="294" spans="1:28" x14ac:dyDescent="0.25">
      <c r="A294" s="23"/>
      <c r="B294" s="24"/>
      <c r="C294" s="25"/>
      <c r="D294" s="27"/>
      <c r="E294" s="27"/>
      <c r="F294" s="28"/>
      <c r="G294" s="27"/>
      <c r="H294" s="180"/>
      <c r="I294" s="27"/>
      <c r="J294" s="738"/>
      <c r="K294" s="635"/>
      <c r="L294" s="635"/>
      <c r="M294" s="635"/>
      <c r="N294" s="635"/>
      <c r="O294" s="636"/>
      <c r="P294" s="635"/>
      <c r="Q294" s="636"/>
      <c r="R294" s="636"/>
      <c r="S294" s="635"/>
      <c r="T294" s="707"/>
      <c r="U294" s="707"/>
      <c r="V294" s="707"/>
      <c r="W294" s="636"/>
      <c r="X294" s="636"/>
      <c r="Y294" s="707"/>
      <c r="Z294" s="635"/>
      <c r="AA294" s="707"/>
      <c r="AB294" s="707"/>
    </row>
    <row r="295" spans="1:28" x14ac:dyDescent="0.25">
      <c r="A295" s="23"/>
      <c r="B295" s="24"/>
      <c r="C295" s="25"/>
      <c r="D295" s="27"/>
      <c r="E295" s="27"/>
      <c r="F295" s="28"/>
      <c r="G295" s="27"/>
      <c r="H295" s="180"/>
      <c r="I295" s="27"/>
      <c r="J295" s="738"/>
      <c r="K295" s="635"/>
      <c r="L295" s="635"/>
      <c r="M295" s="635"/>
      <c r="N295" s="635"/>
      <c r="O295" s="636"/>
      <c r="P295" s="635"/>
      <c r="Q295" s="636"/>
      <c r="R295" s="636"/>
      <c r="S295" s="635"/>
      <c r="T295" s="707"/>
      <c r="U295" s="707"/>
      <c r="V295" s="707"/>
      <c r="W295" s="636"/>
      <c r="X295" s="636"/>
      <c r="Y295" s="707"/>
      <c r="Z295" s="635"/>
      <c r="AA295" s="707"/>
      <c r="AB295" s="707"/>
    </row>
    <row r="296" spans="1:28" x14ac:dyDescent="0.25">
      <c r="A296" s="23"/>
      <c r="B296" s="24"/>
      <c r="C296" s="25"/>
      <c r="D296" s="27"/>
      <c r="E296" s="27"/>
      <c r="F296" s="28"/>
      <c r="G296" s="27"/>
      <c r="H296" s="180"/>
      <c r="I296" s="27"/>
      <c r="J296" s="738"/>
      <c r="K296" s="635"/>
      <c r="L296" s="635"/>
      <c r="M296" s="635"/>
      <c r="N296" s="635"/>
      <c r="O296" s="636"/>
      <c r="P296" s="635"/>
      <c r="Q296" s="636"/>
      <c r="R296" s="636"/>
      <c r="S296" s="635"/>
      <c r="T296" s="707"/>
      <c r="U296" s="707"/>
      <c r="V296" s="707"/>
      <c r="W296" s="636"/>
      <c r="X296" s="636"/>
      <c r="Y296" s="707"/>
      <c r="Z296" s="635"/>
      <c r="AA296" s="707"/>
      <c r="AB296" s="707"/>
    </row>
    <row r="297" spans="1:28" x14ac:dyDescent="0.25">
      <c r="A297" s="23"/>
      <c r="B297" s="24"/>
      <c r="C297" s="25"/>
      <c r="D297" s="27"/>
      <c r="E297" s="27"/>
      <c r="F297" s="28"/>
      <c r="G297" s="27"/>
      <c r="H297" s="180"/>
      <c r="I297" s="27"/>
      <c r="J297" s="738"/>
      <c r="K297" s="635"/>
      <c r="L297" s="635"/>
      <c r="M297" s="635"/>
      <c r="N297" s="635"/>
      <c r="O297" s="636"/>
      <c r="P297" s="635"/>
      <c r="Q297" s="636"/>
      <c r="R297" s="636"/>
      <c r="S297" s="635"/>
      <c r="T297" s="707"/>
      <c r="U297" s="707"/>
      <c r="V297" s="707"/>
      <c r="W297" s="636"/>
      <c r="X297" s="636"/>
      <c r="Y297" s="707"/>
      <c r="Z297" s="635"/>
      <c r="AA297" s="707"/>
      <c r="AB297" s="707"/>
    </row>
    <row r="298" spans="1:28" x14ac:dyDescent="0.25">
      <c r="A298" s="23"/>
      <c r="B298" s="24"/>
      <c r="C298" s="25"/>
      <c r="D298" s="27"/>
      <c r="E298" s="27"/>
      <c r="F298" s="28"/>
      <c r="G298" s="27"/>
      <c r="H298" s="180"/>
      <c r="I298" s="27"/>
      <c r="J298" s="738"/>
      <c r="K298" s="635"/>
      <c r="L298" s="635"/>
      <c r="M298" s="635"/>
      <c r="N298" s="635"/>
      <c r="O298" s="636"/>
      <c r="P298" s="635"/>
      <c r="Q298" s="636"/>
      <c r="R298" s="636"/>
      <c r="S298" s="635"/>
      <c r="T298" s="707"/>
      <c r="U298" s="707"/>
      <c r="V298" s="707"/>
      <c r="W298" s="636"/>
      <c r="X298" s="636"/>
      <c r="Y298" s="707"/>
      <c r="Z298" s="635"/>
      <c r="AA298" s="707"/>
      <c r="AB298" s="707"/>
    </row>
    <row r="299" spans="1:28" x14ac:dyDescent="0.25">
      <c r="A299" s="23"/>
      <c r="B299" s="24"/>
      <c r="C299" s="25"/>
      <c r="D299" s="27"/>
      <c r="E299" s="27"/>
      <c r="F299" s="28"/>
      <c r="G299" s="27"/>
      <c r="H299" s="180"/>
      <c r="I299" s="27"/>
      <c r="J299" s="738"/>
      <c r="K299" s="635"/>
      <c r="L299" s="635"/>
      <c r="M299" s="635"/>
      <c r="N299" s="635"/>
      <c r="O299" s="636"/>
      <c r="P299" s="635"/>
      <c r="Q299" s="636"/>
      <c r="R299" s="636"/>
      <c r="S299" s="635"/>
      <c r="T299" s="707"/>
      <c r="U299" s="707"/>
      <c r="V299" s="707"/>
      <c r="W299" s="636"/>
      <c r="X299" s="636"/>
      <c r="Y299" s="707"/>
      <c r="Z299" s="635"/>
      <c r="AA299" s="707"/>
      <c r="AB299" s="707"/>
    </row>
    <row r="300" spans="1:28" x14ac:dyDescent="0.25">
      <c r="A300" s="23"/>
      <c r="B300" s="24"/>
      <c r="C300" s="25"/>
      <c r="D300" s="27"/>
      <c r="E300" s="27"/>
      <c r="F300" s="28"/>
      <c r="G300" s="27"/>
      <c r="H300" s="180"/>
      <c r="I300" s="27"/>
      <c r="J300" s="738"/>
      <c r="K300" s="635"/>
      <c r="L300" s="635"/>
      <c r="M300" s="635"/>
      <c r="N300" s="635"/>
      <c r="O300" s="636"/>
      <c r="P300" s="635"/>
      <c r="Q300" s="636"/>
      <c r="R300" s="636"/>
      <c r="S300" s="635"/>
      <c r="T300" s="707"/>
      <c r="U300" s="707"/>
      <c r="V300" s="707"/>
      <c r="W300" s="636"/>
      <c r="X300" s="636"/>
      <c r="Y300" s="707"/>
      <c r="Z300" s="635"/>
      <c r="AA300" s="707"/>
      <c r="AB300" s="707"/>
    </row>
    <row r="301" spans="1:28" x14ac:dyDescent="0.25">
      <c r="A301" s="23"/>
      <c r="B301" s="24"/>
      <c r="C301" s="25"/>
      <c r="D301" s="27"/>
      <c r="E301" s="27"/>
      <c r="F301" s="28"/>
      <c r="G301" s="27"/>
      <c r="H301" s="180"/>
      <c r="I301" s="27"/>
      <c r="J301" s="738"/>
      <c r="K301" s="635"/>
      <c r="L301" s="635"/>
      <c r="M301" s="635"/>
      <c r="N301" s="635"/>
      <c r="O301" s="636"/>
      <c r="P301" s="635"/>
      <c r="Q301" s="636"/>
      <c r="R301" s="636"/>
      <c r="S301" s="635"/>
      <c r="T301" s="707"/>
      <c r="U301" s="707"/>
      <c r="V301" s="707"/>
      <c r="W301" s="636"/>
      <c r="X301" s="636"/>
      <c r="Y301" s="707"/>
      <c r="Z301" s="635"/>
      <c r="AA301" s="707"/>
      <c r="AB301" s="707"/>
    </row>
    <row r="302" spans="1:28" x14ac:dyDescent="0.25">
      <c r="A302" s="23"/>
      <c r="B302" s="24"/>
      <c r="C302" s="25"/>
      <c r="D302" s="27"/>
      <c r="E302" s="27"/>
      <c r="F302" s="28"/>
      <c r="G302" s="27"/>
      <c r="H302" s="180"/>
      <c r="I302" s="27"/>
      <c r="J302" s="738"/>
      <c r="K302" s="635"/>
      <c r="L302" s="635"/>
      <c r="M302" s="635"/>
      <c r="N302" s="635"/>
      <c r="O302" s="636"/>
      <c r="P302" s="635"/>
      <c r="Q302" s="636"/>
      <c r="R302" s="636"/>
      <c r="S302" s="635"/>
      <c r="T302" s="707"/>
      <c r="U302" s="707"/>
      <c r="V302" s="707"/>
      <c r="W302" s="636"/>
      <c r="X302" s="636"/>
      <c r="Y302" s="707"/>
      <c r="Z302" s="635"/>
      <c r="AA302" s="707"/>
      <c r="AB302" s="707"/>
    </row>
    <row r="303" spans="1:28" x14ac:dyDescent="0.25">
      <c r="A303" s="23"/>
      <c r="B303" s="24"/>
      <c r="C303" s="25"/>
      <c r="D303" s="27"/>
      <c r="E303" s="27"/>
      <c r="F303" s="28"/>
      <c r="G303" s="27"/>
      <c r="H303" s="180"/>
      <c r="I303" s="27"/>
      <c r="J303" s="738"/>
      <c r="K303" s="635"/>
      <c r="L303" s="635"/>
      <c r="M303" s="635"/>
      <c r="N303" s="635"/>
      <c r="O303" s="636"/>
      <c r="P303" s="635"/>
      <c r="Q303" s="636"/>
      <c r="R303" s="636"/>
      <c r="S303" s="635"/>
      <c r="T303" s="707"/>
      <c r="U303" s="707"/>
      <c r="V303" s="707"/>
      <c r="W303" s="636"/>
      <c r="X303" s="636"/>
      <c r="Y303" s="707"/>
      <c r="Z303" s="635"/>
      <c r="AA303" s="707"/>
      <c r="AB303" s="707"/>
    </row>
    <row r="304" spans="1:28" x14ac:dyDescent="0.25">
      <c r="A304" s="23"/>
      <c r="B304" s="24"/>
      <c r="C304" s="25"/>
      <c r="D304" s="27"/>
      <c r="E304" s="27"/>
      <c r="F304" s="28"/>
      <c r="G304" s="27"/>
      <c r="H304" s="180"/>
      <c r="I304" s="27"/>
      <c r="J304" s="738"/>
      <c r="K304" s="635"/>
      <c r="L304" s="635"/>
      <c r="M304" s="635"/>
      <c r="N304" s="635"/>
      <c r="O304" s="636"/>
      <c r="P304" s="635"/>
      <c r="Q304" s="636"/>
      <c r="R304" s="636"/>
      <c r="S304" s="635"/>
      <c r="T304" s="707"/>
      <c r="U304" s="707"/>
      <c r="V304" s="707"/>
      <c r="W304" s="636"/>
      <c r="X304" s="636"/>
      <c r="Y304" s="707"/>
      <c r="Z304" s="635"/>
      <c r="AA304" s="707"/>
      <c r="AB304" s="707"/>
    </row>
    <row r="305" spans="1:28" x14ac:dyDescent="0.25">
      <c r="A305" s="23"/>
      <c r="B305" s="24"/>
      <c r="C305" s="25"/>
      <c r="D305" s="27"/>
      <c r="E305" s="27"/>
      <c r="F305" s="28"/>
      <c r="G305" s="27"/>
      <c r="H305" s="180"/>
      <c r="I305" s="27"/>
      <c r="J305" s="738"/>
      <c r="K305" s="635"/>
      <c r="L305" s="635"/>
      <c r="M305" s="635"/>
      <c r="N305" s="635"/>
      <c r="O305" s="636"/>
      <c r="P305" s="635"/>
      <c r="Q305" s="636"/>
      <c r="R305" s="636"/>
      <c r="S305" s="635"/>
      <c r="T305" s="707"/>
      <c r="U305" s="707"/>
      <c r="V305" s="707"/>
      <c r="W305" s="636"/>
      <c r="X305" s="636"/>
      <c r="Y305" s="707"/>
      <c r="Z305" s="635"/>
      <c r="AA305" s="707"/>
      <c r="AB305" s="707"/>
    </row>
    <row r="306" spans="1:28" x14ac:dyDescent="0.25">
      <c r="A306" s="23"/>
      <c r="B306" s="24"/>
      <c r="C306" s="25"/>
      <c r="D306" s="27"/>
      <c r="E306" s="27"/>
      <c r="F306" s="28"/>
      <c r="G306" s="27"/>
      <c r="H306" s="180"/>
      <c r="I306" s="27"/>
      <c r="J306" s="738"/>
      <c r="K306" s="635"/>
      <c r="L306" s="635"/>
      <c r="M306" s="635"/>
      <c r="N306" s="635"/>
      <c r="O306" s="636"/>
      <c r="P306" s="635"/>
      <c r="Q306" s="636"/>
      <c r="R306" s="636"/>
      <c r="S306" s="635"/>
      <c r="T306" s="707"/>
      <c r="U306" s="707"/>
      <c r="V306" s="707"/>
      <c r="W306" s="636"/>
      <c r="X306" s="636"/>
      <c r="Y306" s="707"/>
      <c r="Z306" s="635"/>
      <c r="AA306" s="707"/>
      <c r="AB306" s="707"/>
    </row>
    <row r="307" spans="1:28" x14ac:dyDescent="0.25">
      <c r="A307" s="23"/>
      <c r="B307" s="24"/>
      <c r="C307" s="25"/>
      <c r="D307" s="27"/>
      <c r="E307" s="27"/>
      <c r="F307" s="28"/>
      <c r="G307" s="27"/>
      <c r="H307" s="180"/>
      <c r="I307" s="27"/>
      <c r="J307" s="738"/>
      <c r="K307" s="635"/>
      <c r="L307" s="635"/>
      <c r="M307" s="635"/>
      <c r="N307" s="635"/>
      <c r="O307" s="636"/>
      <c r="P307" s="635"/>
      <c r="Q307" s="636"/>
      <c r="R307" s="636"/>
      <c r="S307" s="635"/>
      <c r="T307" s="707"/>
      <c r="U307" s="707"/>
      <c r="V307" s="707"/>
      <c r="W307" s="636"/>
      <c r="X307" s="636"/>
      <c r="Y307" s="707"/>
      <c r="Z307" s="635"/>
      <c r="AA307" s="707"/>
      <c r="AB307" s="707"/>
    </row>
    <row r="308" spans="1:28" x14ac:dyDescent="0.25">
      <c r="A308" s="23"/>
      <c r="B308" s="24"/>
      <c r="C308" s="25"/>
      <c r="D308" s="27"/>
      <c r="E308" s="27"/>
      <c r="F308" s="28"/>
      <c r="G308" s="27"/>
      <c r="H308" s="180"/>
      <c r="I308" s="27"/>
      <c r="J308" s="738"/>
      <c r="K308" s="635"/>
      <c r="L308" s="635"/>
      <c r="M308" s="635"/>
      <c r="N308" s="635"/>
      <c r="O308" s="636"/>
      <c r="P308" s="635"/>
      <c r="Q308" s="636"/>
      <c r="R308" s="636"/>
      <c r="S308" s="635"/>
      <c r="T308" s="707"/>
      <c r="U308" s="707"/>
      <c r="V308" s="707"/>
      <c r="W308" s="636"/>
      <c r="X308" s="636"/>
      <c r="Y308" s="707"/>
      <c r="Z308" s="635"/>
      <c r="AA308" s="707"/>
      <c r="AB308" s="707"/>
    </row>
    <row r="309" spans="1:28" x14ac:dyDescent="0.25">
      <c r="A309" s="23"/>
      <c r="B309" s="24"/>
      <c r="C309" s="25"/>
      <c r="D309" s="27"/>
      <c r="E309" s="27"/>
      <c r="F309" s="28"/>
      <c r="G309" s="27"/>
      <c r="H309" s="180"/>
      <c r="I309" s="27"/>
      <c r="J309" s="738"/>
      <c r="K309" s="635"/>
      <c r="L309" s="635"/>
      <c r="M309" s="635"/>
      <c r="N309" s="635"/>
      <c r="O309" s="636"/>
      <c r="P309" s="635"/>
      <c r="Q309" s="636"/>
      <c r="R309" s="636"/>
      <c r="S309" s="635"/>
      <c r="T309" s="707"/>
      <c r="U309" s="707"/>
      <c r="V309" s="707"/>
      <c r="W309" s="636"/>
      <c r="X309" s="636"/>
      <c r="Y309" s="707"/>
      <c r="Z309" s="635"/>
      <c r="AA309" s="707"/>
      <c r="AB309" s="707"/>
    </row>
    <row r="310" spans="1:28" x14ac:dyDescent="0.25">
      <c r="A310" s="23"/>
      <c r="B310" s="24"/>
      <c r="C310" s="25"/>
      <c r="D310" s="27"/>
      <c r="E310" s="27"/>
      <c r="F310" s="28"/>
      <c r="G310" s="27"/>
      <c r="H310" s="180"/>
      <c r="I310" s="27"/>
      <c r="J310" s="738"/>
      <c r="K310" s="635"/>
      <c r="L310" s="635"/>
      <c r="M310" s="635"/>
      <c r="N310" s="635"/>
      <c r="O310" s="636"/>
      <c r="P310" s="635"/>
      <c r="Q310" s="636"/>
      <c r="R310" s="636"/>
      <c r="S310" s="635"/>
      <c r="T310" s="707"/>
      <c r="U310" s="707"/>
      <c r="V310" s="707"/>
      <c r="W310" s="636"/>
      <c r="X310" s="636"/>
      <c r="Y310" s="707"/>
      <c r="Z310" s="635"/>
      <c r="AA310" s="707"/>
      <c r="AB310" s="707"/>
    </row>
    <row r="311" spans="1:28" x14ac:dyDescent="0.25">
      <c r="A311" s="23"/>
      <c r="B311" s="24"/>
      <c r="C311" s="25"/>
      <c r="D311" s="27"/>
      <c r="E311" s="27"/>
      <c r="F311" s="28"/>
      <c r="G311" s="27"/>
      <c r="H311" s="180"/>
      <c r="I311" s="27"/>
      <c r="J311" s="738"/>
      <c r="K311" s="635"/>
      <c r="L311" s="635"/>
      <c r="M311" s="635"/>
      <c r="N311" s="635"/>
      <c r="O311" s="636"/>
      <c r="P311" s="635"/>
      <c r="Q311" s="636"/>
      <c r="R311" s="636"/>
      <c r="S311" s="635"/>
      <c r="T311" s="707"/>
      <c r="U311" s="707"/>
      <c r="V311" s="707"/>
      <c r="W311" s="636"/>
      <c r="X311" s="636"/>
      <c r="Y311" s="707"/>
      <c r="Z311" s="635"/>
      <c r="AA311" s="707"/>
      <c r="AB311" s="707"/>
    </row>
    <row r="312" spans="1:28" x14ac:dyDescent="0.25">
      <c r="A312" s="23"/>
      <c r="B312" s="24"/>
      <c r="C312" s="25"/>
      <c r="D312" s="27"/>
      <c r="E312" s="27"/>
      <c r="F312" s="28"/>
      <c r="G312" s="27"/>
      <c r="H312" s="180"/>
      <c r="I312" s="27"/>
      <c r="J312" s="738"/>
      <c r="K312" s="635"/>
      <c r="L312" s="635"/>
      <c r="M312" s="635"/>
      <c r="N312" s="635"/>
      <c r="O312" s="636"/>
      <c r="P312" s="635"/>
      <c r="Q312" s="636"/>
      <c r="R312" s="636"/>
      <c r="S312" s="635"/>
      <c r="T312" s="707"/>
      <c r="U312" s="707"/>
      <c r="V312" s="707"/>
      <c r="W312" s="636"/>
      <c r="X312" s="636"/>
      <c r="Y312" s="707"/>
      <c r="Z312" s="635"/>
      <c r="AA312" s="707"/>
      <c r="AB312" s="707"/>
    </row>
    <row r="313" spans="1:28" x14ac:dyDescent="0.25">
      <c r="A313" s="23"/>
      <c r="B313" s="24"/>
      <c r="C313" s="25"/>
      <c r="D313" s="27"/>
      <c r="E313" s="27"/>
      <c r="F313" s="28"/>
      <c r="G313" s="27"/>
      <c r="H313" s="180"/>
      <c r="I313" s="27"/>
      <c r="J313" s="738"/>
      <c r="K313" s="635"/>
      <c r="L313" s="635"/>
      <c r="M313" s="635"/>
      <c r="N313" s="635"/>
      <c r="O313" s="636"/>
      <c r="P313" s="635"/>
      <c r="Q313" s="636"/>
      <c r="R313" s="636"/>
      <c r="S313" s="635"/>
      <c r="T313" s="707"/>
      <c r="U313" s="707"/>
      <c r="V313" s="707"/>
      <c r="W313" s="636"/>
      <c r="X313" s="636"/>
      <c r="Y313" s="707"/>
      <c r="Z313" s="635"/>
      <c r="AA313" s="707"/>
      <c r="AB313" s="707"/>
    </row>
    <row r="314" spans="1:28" x14ac:dyDescent="0.25">
      <c r="A314" s="23"/>
      <c r="B314" s="24"/>
      <c r="C314" s="25"/>
      <c r="D314" s="27"/>
      <c r="E314" s="27"/>
      <c r="F314" s="28"/>
      <c r="G314" s="27"/>
      <c r="H314" s="180"/>
      <c r="I314" s="27"/>
      <c r="J314" s="738"/>
      <c r="K314" s="635"/>
      <c r="L314" s="635"/>
      <c r="M314" s="635"/>
      <c r="N314" s="635"/>
      <c r="O314" s="636"/>
      <c r="P314" s="635"/>
      <c r="Q314" s="636"/>
      <c r="R314" s="636"/>
      <c r="S314" s="635"/>
      <c r="T314" s="707"/>
      <c r="U314" s="707"/>
      <c r="V314" s="707"/>
      <c r="W314" s="636"/>
      <c r="X314" s="636"/>
      <c r="Y314" s="707"/>
      <c r="Z314" s="635"/>
      <c r="AA314" s="707"/>
      <c r="AB314" s="707"/>
    </row>
    <row r="315" spans="1:28" x14ac:dyDescent="0.25">
      <c r="A315" s="23"/>
      <c r="B315" s="24"/>
      <c r="C315" s="25"/>
      <c r="D315" s="27"/>
      <c r="E315" s="27"/>
      <c r="F315" s="28"/>
      <c r="G315" s="27"/>
      <c r="H315" s="180"/>
      <c r="I315" s="27"/>
      <c r="J315" s="738"/>
      <c r="K315" s="635"/>
      <c r="L315" s="635"/>
      <c r="M315" s="635"/>
      <c r="N315" s="635"/>
      <c r="O315" s="636"/>
      <c r="P315" s="635"/>
      <c r="Q315" s="636"/>
      <c r="R315" s="636"/>
      <c r="S315" s="635"/>
      <c r="T315" s="707"/>
      <c r="U315" s="707"/>
      <c r="V315" s="707"/>
      <c r="W315" s="636"/>
      <c r="X315" s="636"/>
      <c r="Y315" s="707"/>
      <c r="Z315" s="635"/>
      <c r="AA315" s="707"/>
      <c r="AB315" s="707"/>
    </row>
    <row r="316" spans="1:28" x14ac:dyDescent="0.25">
      <c r="A316" s="23"/>
      <c r="B316" s="24"/>
      <c r="C316" s="25"/>
      <c r="D316" s="27"/>
      <c r="E316" s="27"/>
      <c r="F316" s="28"/>
      <c r="G316" s="27"/>
      <c r="H316" s="180"/>
      <c r="I316" s="27"/>
      <c r="J316" s="738"/>
      <c r="K316" s="635"/>
      <c r="L316" s="635"/>
      <c r="M316" s="635"/>
      <c r="N316" s="635"/>
      <c r="O316" s="636"/>
      <c r="P316" s="635"/>
      <c r="Q316" s="636"/>
      <c r="R316" s="636"/>
      <c r="S316" s="635"/>
      <c r="T316" s="707"/>
      <c r="U316" s="707"/>
      <c r="V316" s="707"/>
      <c r="W316" s="636"/>
      <c r="X316" s="636"/>
      <c r="Y316" s="707"/>
      <c r="Z316" s="635"/>
      <c r="AA316" s="707"/>
      <c r="AB316" s="707"/>
    </row>
    <row r="317" spans="1:28" x14ac:dyDescent="0.25">
      <c r="A317" s="23"/>
      <c r="B317" s="24"/>
      <c r="C317" s="25"/>
      <c r="D317" s="27"/>
      <c r="E317" s="27"/>
      <c r="F317" s="28"/>
      <c r="G317" s="27"/>
      <c r="H317" s="180"/>
      <c r="I317" s="27"/>
      <c r="J317" s="738"/>
      <c r="K317" s="635"/>
      <c r="L317" s="635"/>
      <c r="M317" s="635"/>
      <c r="N317" s="635"/>
      <c r="O317" s="636"/>
      <c r="P317" s="635"/>
      <c r="Q317" s="636"/>
      <c r="R317" s="636"/>
      <c r="S317" s="635"/>
      <c r="T317" s="707"/>
      <c r="U317" s="707"/>
      <c r="V317" s="707"/>
      <c r="W317" s="636"/>
      <c r="X317" s="636"/>
      <c r="Y317" s="707"/>
      <c r="Z317" s="635"/>
      <c r="AA317" s="707"/>
      <c r="AB317" s="707"/>
    </row>
    <row r="318" spans="1:28" x14ac:dyDescent="0.25">
      <c r="A318" s="23"/>
      <c r="B318" s="24"/>
      <c r="C318" s="25"/>
      <c r="D318" s="27"/>
      <c r="E318" s="27"/>
      <c r="F318" s="28"/>
      <c r="G318" s="27"/>
      <c r="H318" s="180"/>
      <c r="I318" s="27"/>
      <c r="J318" s="738"/>
      <c r="K318" s="635"/>
      <c r="L318" s="635"/>
      <c r="M318" s="635"/>
      <c r="N318" s="635"/>
      <c r="O318" s="636"/>
      <c r="P318" s="635"/>
      <c r="Q318" s="636"/>
      <c r="R318" s="636"/>
      <c r="S318" s="635"/>
      <c r="T318" s="707"/>
      <c r="U318" s="707"/>
      <c r="V318" s="707"/>
      <c r="W318" s="636"/>
      <c r="X318" s="636"/>
      <c r="Y318" s="707"/>
      <c r="Z318" s="635"/>
      <c r="AA318" s="707"/>
      <c r="AB318" s="707"/>
    </row>
    <row r="319" spans="1:28" x14ac:dyDescent="0.25">
      <c r="A319" s="23"/>
      <c r="B319" s="24"/>
      <c r="C319" s="25"/>
      <c r="D319" s="27"/>
      <c r="E319" s="27"/>
      <c r="F319" s="28"/>
      <c r="G319" s="27"/>
      <c r="H319" s="180"/>
      <c r="I319" s="27"/>
      <c r="J319" s="738"/>
      <c r="K319" s="635"/>
      <c r="L319" s="635"/>
      <c r="M319" s="635"/>
      <c r="N319" s="635"/>
      <c r="O319" s="636"/>
      <c r="P319" s="635"/>
      <c r="Q319" s="636"/>
      <c r="R319" s="636"/>
      <c r="S319" s="635"/>
      <c r="T319" s="707"/>
      <c r="U319" s="707"/>
      <c r="V319" s="707"/>
      <c r="W319" s="636"/>
      <c r="X319" s="636"/>
      <c r="Y319" s="707"/>
      <c r="Z319" s="635"/>
      <c r="AA319" s="707"/>
      <c r="AB319" s="707"/>
    </row>
    <row r="320" spans="1:28" x14ac:dyDescent="0.25">
      <c r="A320" s="23"/>
      <c r="B320" s="24"/>
      <c r="C320" s="25"/>
      <c r="D320" s="27"/>
      <c r="E320" s="27"/>
      <c r="F320" s="28"/>
      <c r="G320" s="27"/>
      <c r="H320" s="180"/>
      <c r="I320" s="27"/>
      <c r="J320" s="738"/>
      <c r="K320" s="635"/>
      <c r="L320" s="635"/>
      <c r="M320" s="635"/>
      <c r="N320" s="635"/>
      <c r="O320" s="636"/>
      <c r="P320" s="635"/>
      <c r="Q320" s="636"/>
      <c r="R320" s="636"/>
      <c r="S320" s="635"/>
      <c r="T320" s="707"/>
      <c r="U320" s="707"/>
      <c r="V320" s="707"/>
      <c r="W320" s="636"/>
      <c r="X320" s="636"/>
      <c r="Y320" s="707"/>
      <c r="Z320" s="635"/>
      <c r="AA320" s="707"/>
      <c r="AB320" s="707"/>
    </row>
    <row r="321" spans="1:28" x14ac:dyDescent="0.25">
      <c r="A321" s="23"/>
      <c r="B321" s="24"/>
      <c r="C321" s="25"/>
      <c r="D321" s="27"/>
      <c r="E321" s="27"/>
      <c r="F321" s="28"/>
      <c r="G321" s="27"/>
      <c r="H321" s="180"/>
      <c r="I321" s="27"/>
      <c r="J321" s="738"/>
      <c r="K321" s="635"/>
      <c r="L321" s="635"/>
      <c r="M321" s="635"/>
      <c r="N321" s="635"/>
      <c r="O321" s="636"/>
      <c r="P321" s="635"/>
      <c r="Q321" s="636"/>
      <c r="R321" s="636"/>
      <c r="S321" s="635"/>
      <c r="T321" s="707"/>
      <c r="U321" s="707"/>
      <c r="V321" s="707"/>
      <c r="W321" s="636"/>
      <c r="X321" s="636"/>
      <c r="Y321" s="707"/>
      <c r="Z321" s="635"/>
      <c r="AA321" s="707"/>
      <c r="AB321" s="707"/>
    </row>
    <row r="322" spans="1:28" x14ac:dyDescent="0.25">
      <c r="A322" s="23"/>
      <c r="B322" s="24"/>
      <c r="C322" s="25"/>
      <c r="D322" s="27"/>
      <c r="E322" s="27"/>
      <c r="F322" s="28"/>
      <c r="G322" s="27"/>
      <c r="H322" s="180"/>
      <c r="I322" s="27"/>
      <c r="J322" s="738"/>
      <c r="K322" s="635"/>
      <c r="L322" s="635"/>
      <c r="M322" s="635"/>
      <c r="N322" s="635"/>
      <c r="O322" s="636"/>
      <c r="P322" s="635"/>
      <c r="Q322" s="636"/>
      <c r="R322" s="636"/>
      <c r="S322" s="635"/>
      <c r="T322" s="707"/>
      <c r="U322" s="707"/>
      <c r="V322" s="707"/>
      <c r="W322" s="636"/>
      <c r="X322" s="636"/>
      <c r="Y322" s="707"/>
      <c r="Z322" s="635"/>
      <c r="AA322" s="707"/>
      <c r="AB322" s="707"/>
    </row>
    <row r="323" spans="1:28" x14ac:dyDescent="0.25">
      <c r="A323" s="23"/>
      <c r="B323" s="24"/>
      <c r="C323" s="25"/>
      <c r="D323" s="27"/>
      <c r="E323" s="27"/>
      <c r="F323" s="28"/>
      <c r="G323" s="27"/>
      <c r="H323" s="180"/>
      <c r="I323" s="27"/>
      <c r="J323" s="738"/>
      <c r="K323" s="635"/>
      <c r="L323" s="635"/>
      <c r="M323" s="635"/>
      <c r="N323" s="635"/>
      <c r="O323" s="636"/>
      <c r="P323" s="635"/>
      <c r="Q323" s="636"/>
      <c r="R323" s="636"/>
      <c r="S323" s="635"/>
      <c r="T323" s="707"/>
      <c r="U323" s="707"/>
      <c r="V323" s="707"/>
      <c r="W323" s="636"/>
      <c r="X323" s="636"/>
      <c r="Y323" s="707"/>
      <c r="Z323" s="635"/>
      <c r="AA323" s="707"/>
      <c r="AB323" s="707"/>
    </row>
    <row r="324" spans="1:28" x14ac:dyDescent="0.25">
      <c r="A324" s="23"/>
      <c r="B324" s="24"/>
      <c r="C324" s="25"/>
      <c r="D324" s="27"/>
      <c r="E324" s="27"/>
      <c r="F324" s="28"/>
      <c r="G324" s="27"/>
      <c r="H324" s="180"/>
      <c r="I324" s="27"/>
      <c r="J324" s="738"/>
      <c r="K324" s="635"/>
      <c r="L324" s="635"/>
      <c r="M324" s="635"/>
      <c r="N324" s="635"/>
      <c r="O324" s="636"/>
      <c r="P324" s="635"/>
      <c r="Q324" s="636"/>
      <c r="R324" s="636"/>
      <c r="S324" s="635"/>
      <c r="T324" s="707"/>
      <c r="U324" s="707"/>
      <c r="V324" s="707"/>
      <c r="W324" s="636"/>
      <c r="X324" s="636"/>
      <c r="Y324" s="707"/>
      <c r="Z324" s="635"/>
      <c r="AA324" s="707"/>
      <c r="AB324" s="707"/>
    </row>
    <row r="325" spans="1:28" x14ac:dyDescent="0.25">
      <c r="A325" s="23"/>
      <c r="B325" s="24"/>
      <c r="C325" s="25"/>
      <c r="D325" s="27"/>
      <c r="E325" s="27"/>
      <c r="F325" s="28"/>
      <c r="G325" s="27"/>
      <c r="H325" s="180"/>
      <c r="I325" s="27"/>
      <c r="J325" s="738"/>
      <c r="K325" s="635"/>
      <c r="L325" s="635"/>
      <c r="M325" s="635"/>
      <c r="N325" s="635"/>
      <c r="O325" s="636"/>
      <c r="P325" s="635"/>
      <c r="Q325" s="636"/>
      <c r="R325" s="636"/>
      <c r="S325" s="635"/>
      <c r="T325" s="707"/>
      <c r="U325" s="707"/>
      <c r="V325" s="707"/>
      <c r="W325" s="636"/>
      <c r="X325" s="636"/>
      <c r="Y325" s="707"/>
      <c r="Z325" s="635"/>
      <c r="AA325" s="707"/>
      <c r="AB325" s="707"/>
    </row>
    <row r="326" spans="1:28" x14ac:dyDescent="0.25">
      <c r="A326" s="23"/>
      <c r="B326" s="24"/>
      <c r="C326" s="25"/>
      <c r="D326" s="27"/>
      <c r="E326" s="27"/>
      <c r="F326" s="28"/>
      <c r="G326" s="27"/>
      <c r="H326" s="180"/>
      <c r="I326" s="27"/>
      <c r="J326" s="738"/>
      <c r="K326" s="635"/>
      <c r="L326" s="635"/>
      <c r="M326" s="635"/>
      <c r="N326" s="635"/>
      <c r="O326" s="636"/>
      <c r="P326" s="635"/>
      <c r="Q326" s="636"/>
      <c r="R326" s="636"/>
      <c r="S326" s="635"/>
      <c r="T326" s="707"/>
      <c r="U326" s="707"/>
      <c r="V326" s="707"/>
      <c r="W326" s="636"/>
      <c r="X326" s="636"/>
      <c r="Y326" s="707"/>
      <c r="Z326" s="635"/>
      <c r="AA326" s="707"/>
      <c r="AB326" s="707"/>
    </row>
    <row r="327" spans="1:28" x14ac:dyDescent="0.25">
      <c r="A327" s="23"/>
      <c r="B327" s="24"/>
      <c r="C327" s="25"/>
      <c r="D327" s="27"/>
      <c r="E327" s="27"/>
      <c r="F327" s="28"/>
      <c r="G327" s="27"/>
      <c r="H327" s="180"/>
      <c r="I327" s="27"/>
      <c r="J327" s="738"/>
      <c r="K327" s="635"/>
      <c r="L327" s="635"/>
      <c r="M327" s="635"/>
      <c r="N327" s="635"/>
      <c r="O327" s="636"/>
      <c r="P327" s="635"/>
      <c r="Q327" s="636"/>
      <c r="R327" s="636"/>
      <c r="S327" s="635"/>
      <c r="T327" s="707"/>
      <c r="U327" s="707"/>
      <c r="V327" s="707"/>
      <c r="W327" s="636"/>
      <c r="X327" s="636"/>
      <c r="Y327" s="707"/>
      <c r="Z327" s="635"/>
      <c r="AA327" s="707"/>
      <c r="AB327" s="707"/>
    </row>
    <row r="328" spans="1:28" x14ac:dyDescent="0.25">
      <c r="A328" s="23"/>
      <c r="B328" s="24"/>
      <c r="C328" s="25"/>
      <c r="D328" s="27"/>
      <c r="E328" s="27"/>
      <c r="F328" s="28"/>
      <c r="G328" s="27"/>
      <c r="H328" s="180"/>
      <c r="I328" s="27"/>
      <c r="J328" s="738"/>
      <c r="K328" s="635"/>
      <c r="L328" s="635"/>
      <c r="M328" s="635"/>
      <c r="N328" s="635"/>
      <c r="O328" s="636"/>
      <c r="P328" s="635"/>
      <c r="Q328" s="636"/>
      <c r="R328" s="636"/>
      <c r="S328" s="635"/>
      <c r="T328" s="707"/>
      <c r="U328" s="707"/>
      <c r="V328" s="707"/>
      <c r="W328" s="636"/>
      <c r="X328" s="636"/>
      <c r="Y328" s="707"/>
      <c r="Z328" s="635"/>
      <c r="AA328" s="707"/>
      <c r="AB328" s="707"/>
    </row>
    <row r="329" spans="1:28" x14ac:dyDescent="0.25">
      <c r="A329" s="23"/>
      <c r="B329" s="24"/>
      <c r="C329" s="25"/>
      <c r="D329" s="27"/>
      <c r="E329" s="27"/>
      <c r="F329" s="28"/>
      <c r="G329" s="27"/>
      <c r="H329" s="180"/>
      <c r="I329" s="27"/>
      <c r="J329" s="738"/>
      <c r="K329" s="635"/>
      <c r="L329" s="635"/>
      <c r="M329" s="635"/>
      <c r="N329" s="635"/>
      <c r="O329" s="636"/>
      <c r="P329" s="635"/>
      <c r="Q329" s="636"/>
      <c r="R329" s="636"/>
      <c r="S329" s="635"/>
      <c r="T329" s="707"/>
      <c r="U329" s="707"/>
      <c r="V329" s="707"/>
      <c r="W329" s="636"/>
      <c r="X329" s="636"/>
      <c r="Y329" s="707"/>
      <c r="Z329" s="635"/>
      <c r="AA329" s="707"/>
      <c r="AB329" s="707"/>
    </row>
    <row r="330" spans="1:28" x14ac:dyDescent="0.25">
      <c r="A330" s="23"/>
      <c r="B330" s="24"/>
      <c r="C330" s="25"/>
      <c r="D330" s="27"/>
      <c r="E330" s="27"/>
      <c r="F330" s="28"/>
      <c r="G330" s="27"/>
      <c r="H330" s="180"/>
      <c r="I330" s="27"/>
      <c r="J330" s="738"/>
      <c r="K330" s="635"/>
      <c r="L330" s="635"/>
      <c r="M330" s="635"/>
      <c r="N330" s="635"/>
      <c r="O330" s="636"/>
      <c r="P330" s="635"/>
      <c r="Q330" s="636"/>
      <c r="R330" s="636"/>
      <c r="S330" s="635"/>
      <c r="T330" s="707"/>
      <c r="U330" s="707"/>
      <c r="V330" s="707"/>
      <c r="W330" s="636"/>
      <c r="X330" s="636"/>
      <c r="Y330" s="707"/>
      <c r="Z330" s="635"/>
      <c r="AA330" s="707"/>
      <c r="AB330" s="707"/>
    </row>
    <row r="331" spans="1:28" x14ac:dyDescent="0.25">
      <c r="A331" s="23"/>
      <c r="B331" s="24"/>
      <c r="C331" s="25"/>
      <c r="D331" s="27"/>
      <c r="E331" s="27"/>
      <c r="F331" s="28"/>
      <c r="G331" s="27"/>
      <c r="H331" s="180"/>
      <c r="I331" s="27"/>
      <c r="J331" s="738"/>
      <c r="K331" s="635"/>
      <c r="L331" s="635"/>
      <c r="M331" s="635"/>
      <c r="N331" s="635"/>
      <c r="O331" s="636"/>
      <c r="P331" s="635"/>
      <c r="Q331" s="636"/>
      <c r="R331" s="636"/>
      <c r="S331" s="635"/>
      <c r="T331" s="707"/>
      <c r="U331" s="707"/>
      <c r="V331" s="707"/>
      <c r="W331" s="636"/>
      <c r="X331" s="636"/>
      <c r="Y331" s="707"/>
      <c r="Z331" s="635"/>
      <c r="AA331" s="707"/>
      <c r="AB331" s="707"/>
    </row>
    <row r="332" spans="1:28" x14ac:dyDescent="0.25">
      <c r="A332" s="23"/>
      <c r="B332" s="24"/>
      <c r="C332" s="25"/>
      <c r="D332" s="27"/>
      <c r="E332" s="27"/>
      <c r="F332" s="28"/>
      <c r="G332" s="27"/>
      <c r="H332" s="180"/>
      <c r="I332" s="27"/>
      <c r="J332" s="738"/>
      <c r="K332" s="635"/>
      <c r="L332" s="635"/>
      <c r="M332" s="635"/>
      <c r="N332" s="635"/>
      <c r="O332" s="636"/>
      <c r="P332" s="635"/>
      <c r="Q332" s="636"/>
      <c r="R332" s="636"/>
      <c r="S332" s="635"/>
      <c r="T332" s="707"/>
      <c r="U332" s="707"/>
      <c r="V332" s="707"/>
      <c r="W332" s="636"/>
      <c r="X332" s="636"/>
      <c r="Y332" s="707"/>
      <c r="Z332" s="635"/>
      <c r="AA332" s="707"/>
      <c r="AB332" s="707"/>
    </row>
    <row r="333" spans="1:28" x14ac:dyDescent="0.25">
      <c r="A333" s="23"/>
      <c r="B333" s="24"/>
      <c r="C333" s="25"/>
      <c r="D333" s="27"/>
      <c r="E333" s="27"/>
      <c r="F333" s="28"/>
      <c r="G333" s="27"/>
      <c r="H333" s="180"/>
      <c r="I333" s="27"/>
      <c r="J333" s="738"/>
      <c r="K333" s="635"/>
      <c r="L333" s="635"/>
      <c r="M333" s="635"/>
      <c r="N333" s="635"/>
      <c r="O333" s="636"/>
      <c r="P333" s="635"/>
      <c r="Q333" s="636"/>
      <c r="R333" s="636"/>
      <c r="S333" s="635"/>
      <c r="T333" s="707"/>
      <c r="U333" s="707"/>
      <c r="V333" s="707"/>
      <c r="W333" s="636"/>
      <c r="X333" s="636"/>
      <c r="Y333" s="707"/>
      <c r="Z333" s="635"/>
      <c r="AA333" s="707"/>
      <c r="AB333" s="707"/>
    </row>
    <row r="334" spans="1:28" x14ac:dyDescent="0.25">
      <c r="A334" s="23"/>
      <c r="B334" s="24"/>
      <c r="C334" s="25"/>
      <c r="D334" s="27"/>
      <c r="E334" s="27"/>
      <c r="F334" s="28"/>
      <c r="G334" s="27"/>
      <c r="H334" s="180"/>
      <c r="I334" s="27"/>
      <c r="J334" s="738"/>
      <c r="K334" s="635"/>
      <c r="L334" s="635"/>
      <c r="M334" s="635"/>
      <c r="N334" s="635"/>
      <c r="O334" s="636"/>
      <c r="P334" s="635"/>
      <c r="Q334" s="636"/>
      <c r="R334" s="636"/>
      <c r="S334" s="635"/>
      <c r="T334" s="707"/>
      <c r="U334" s="707"/>
      <c r="V334" s="707"/>
      <c r="W334" s="636"/>
      <c r="X334" s="636"/>
      <c r="Y334" s="707"/>
      <c r="Z334" s="635"/>
      <c r="AA334" s="707"/>
      <c r="AB334" s="707"/>
    </row>
    <row r="335" spans="1:28" x14ac:dyDescent="0.25">
      <c r="A335" s="23"/>
      <c r="B335" s="24"/>
      <c r="C335" s="25"/>
      <c r="D335" s="27"/>
      <c r="E335" s="27"/>
      <c r="F335" s="28"/>
      <c r="G335" s="27"/>
      <c r="H335" s="180"/>
      <c r="I335" s="27"/>
      <c r="J335" s="738"/>
      <c r="K335" s="635"/>
      <c r="L335" s="635"/>
      <c r="M335" s="635"/>
      <c r="N335" s="635"/>
      <c r="O335" s="636"/>
      <c r="P335" s="635"/>
      <c r="Q335" s="636"/>
      <c r="R335" s="636"/>
      <c r="S335" s="635"/>
      <c r="T335" s="707"/>
      <c r="U335" s="707"/>
      <c r="V335" s="707"/>
      <c r="W335" s="636"/>
      <c r="X335" s="636"/>
      <c r="Y335" s="707"/>
      <c r="Z335" s="635"/>
      <c r="AA335" s="707"/>
      <c r="AB335" s="707"/>
    </row>
    <row r="336" spans="1:28" x14ac:dyDescent="0.25">
      <c r="A336" s="23"/>
      <c r="B336" s="24"/>
      <c r="C336" s="25"/>
      <c r="D336" s="27"/>
      <c r="E336" s="27"/>
      <c r="F336" s="28"/>
      <c r="G336" s="27"/>
      <c r="H336" s="180"/>
      <c r="I336" s="27"/>
      <c r="J336" s="738"/>
      <c r="K336" s="635"/>
      <c r="L336" s="635"/>
      <c r="M336" s="635"/>
      <c r="N336" s="635"/>
      <c r="O336" s="636"/>
      <c r="P336" s="635"/>
      <c r="Q336" s="636"/>
      <c r="R336" s="636"/>
      <c r="S336" s="635"/>
      <c r="T336" s="707"/>
      <c r="U336" s="707"/>
      <c r="V336" s="707"/>
      <c r="W336" s="636"/>
      <c r="X336" s="636"/>
      <c r="Y336" s="707"/>
      <c r="Z336" s="635"/>
      <c r="AA336" s="707"/>
      <c r="AB336" s="707"/>
    </row>
    <row r="337" spans="1:28" x14ac:dyDescent="0.25">
      <c r="A337" s="23"/>
      <c r="B337" s="24"/>
      <c r="C337" s="25"/>
      <c r="D337" s="27"/>
      <c r="E337" s="27"/>
      <c r="F337" s="28"/>
      <c r="G337" s="27"/>
      <c r="H337" s="180"/>
      <c r="I337" s="27"/>
      <c r="J337" s="738"/>
      <c r="K337" s="635"/>
      <c r="L337" s="635"/>
      <c r="M337" s="635"/>
      <c r="N337" s="635"/>
      <c r="O337" s="636"/>
      <c r="P337" s="635"/>
      <c r="Q337" s="636"/>
      <c r="R337" s="636"/>
      <c r="S337" s="635"/>
      <c r="T337" s="707"/>
      <c r="U337" s="707"/>
      <c r="V337" s="707"/>
      <c r="W337" s="636"/>
      <c r="X337" s="636"/>
      <c r="Y337" s="707"/>
      <c r="Z337" s="635"/>
      <c r="AA337" s="707"/>
      <c r="AB337" s="707"/>
    </row>
    <row r="338" spans="1:28" x14ac:dyDescent="0.25">
      <c r="A338" s="23"/>
      <c r="B338" s="24"/>
      <c r="C338" s="25"/>
      <c r="D338" s="27"/>
      <c r="E338" s="27"/>
      <c r="F338" s="28"/>
      <c r="G338" s="27"/>
      <c r="H338" s="180"/>
      <c r="I338" s="27"/>
      <c r="J338" s="738"/>
      <c r="K338" s="635"/>
      <c r="L338" s="635"/>
      <c r="M338" s="635"/>
      <c r="N338" s="635"/>
      <c r="O338" s="636"/>
      <c r="P338" s="635"/>
      <c r="Q338" s="636"/>
      <c r="R338" s="636"/>
      <c r="S338" s="635"/>
      <c r="T338" s="707"/>
      <c r="U338" s="707"/>
      <c r="V338" s="707"/>
      <c r="W338" s="636"/>
      <c r="X338" s="636"/>
      <c r="Y338" s="707"/>
      <c r="Z338" s="635"/>
      <c r="AA338" s="707"/>
      <c r="AB338" s="707"/>
    </row>
    <row r="339" spans="1:28" x14ac:dyDescent="0.25">
      <c r="A339" s="23"/>
      <c r="B339" s="24"/>
      <c r="C339" s="25"/>
      <c r="D339" s="27"/>
      <c r="E339" s="27"/>
      <c r="F339" s="28"/>
      <c r="G339" s="27"/>
      <c r="H339" s="180"/>
      <c r="I339" s="27"/>
      <c r="J339" s="738"/>
      <c r="K339" s="635"/>
      <c r="L339" s="635"/>
      <c r="M339" s="635"/>
      <c r="N339" s="635"/>
      <c r="O339" s="636"/>
      <c r="P339" s="635"/>
      <c r="Q339" s="636"/>
      <c r="R339" s="636"/>
      <c r="S339" s="635"/>
      <c r="T339" s="707"/>
      <c r="U339" s="707"/>
      <c r="V339" s="707"/>
      <c r="W339" s="636"/>
      <c r="X339" s="636"/>
      <c r="Y339" s="707"/>
      <c r="Z339" s="635"/>
      <c r="AA339" s="707"/>
      <c r="AB339" s="707"/>
    </row>
    <row r="340" spans="1:28" x14ac:dyDescent="0.25">
      <c r="A340" s="23"/>
      <c r="B340" s="24"/>
      <c r="C340" s="25"/>
      <c r="D340" s="27"/>
      <c r="E340" s="27"/>
      <c r="F340" s="28"/>
      <c r="G340" s="27"/>
      <c r="H340" s="180"/>
      <c r="I340" s="27"/>
      <c r="J340" s="738"/>
      <c r="K340" s="635"/>
      <c r="L340" s="635"/>
      <c r="M340" s="635"/>
      <c r="N340" s="635"/>
      <c r="O340" s="636"/>
      <c r="P340" s="635"/>
      <c r="Q340" s="636"/>
      <c r="R340" s="636"/>
      <c r="S340" s="635"/>
      <c r="T340" s="707"/>
      <c r="U340" s="707"/>
      <c r="V340" s="707"/>
      <c r="W340" s="636"/>
      <c r="X340" s="636"/>
      <c r="Y340" s="707"/>
      <c r="Z340" s="635"/>
      <c r="AA340" s="707"/>
      <c r="AB340" s="707"/>
    </row>
    <row r="341" spans="1:28" x14ac:dyDescent="0.25">
      <c r="A341" s="23"/>
      <c r="B341" s="24"/>
      <c r="C341" s="25"/>
      <c r="D341" s="27"/>
      <c r="E341" s="27"/>
      <c r="F341" s="28"/>
      <c r="G341" s="27"/>
      <c r="H341" s="180"/>
      <c r="I341" s="27"/>
      <c r="J341" s="738"/>
      <c r="K341" s="635"/>
      <c r="L341" s="635"/>
      <c r="M341" s="635"/>
      <c r="N341" s="635"/>
      <c r="O341" s="636"/>
      <c r="P341" s="635"/>
      <c r="Q341" s="636"/>
      <c r="R341" s="636"/>
      <c r="S341" s="635"/>
      <c r="T341" s="707"/>
      <c r="U341" s="707"/>
      <c r="V341" s="707"/>
      <c r="W341" s="636"/>
      <c r="X341" s="636"/>
      <c r="Y341" s="707"/>
      <c r="Z341" s="635"/>
      <c r="AA341" s="707"/>
      <c r="AB341" s="707"/>
    </row>
    <row r="342" spans="1:28" x14ac:dyDescent="0.25">
      <c r="A342" s="23"/>
      <c r="B342" s="24"/>
      <c r="C342" s="25"/>
      <c r="D342" s="27"/>
      <c r="E342" s="27"/>
      <c r="F342" s="28"/>
      <c r="G342" s="27"/>
      <c r="H342" s="180"/>
      <c r="I342" s="27"/>
      <c r="J342" s="738"/>
      <c r="K342" s="635"/>
      <c r="L342" s="635"/>
      <c r="M342" s="635"/>
      <c r="N342" s="635"/>
      <c r="O342" s="636"/>
      <c r="P342" s="635"/>
      <c r="Q342" s="636"/>
      <c r="R342" s="636"/>
      <c r="S342" s="635"/>
      <c r="T342" s="707"/>
      <c r="U342" s="707"/>
      <c r="V342" s="707"/>
      <c r="W342" s="636"/>
      <c r="X342" s="636"/>
      <c r="Y342" s="707"/>
      <c r="Z342" s="635"/>
      <c r="AA342" s="707"/>
      <c r="AB342" s="707"/>
    </row>
    <row r="343" spans="1:28" x14ac:dyDescent="0.25">
      <c r="A343" s="23"/>
      <c r="B343" s="24"/>
      <c r="C343" s="25"/>
      <c r="D343" s="27"/>
      <c r="E343" s="27"/>
      <c r="F343" s="28"/>
      <c r="G343" s="27"/>
      <c r="H343" s="180"/>
      <c r="I343" s="27"/>
      <c r="J343" s="738"/>
      <c r="K343" s="635"/>
      <c r="L343" s="635"/>
      <c r="M343" s="635"/>
      <c r="N343" s="635"/>
      <c r="O343" s="636"/>
      <c r="P343" s="635"/>
      <c r="Q343" s="636"/>
      <c r="R343" s="636"/>
      <c r="S343" s="635"/>
      <c r="T343" s="707"/>
      <c r="U343" s="707"/>
      <c r="V343" s="707"/>
      <c r="W343" s="636"/>
      <c r="X343" s="636"/>
      <c r="Y343" s="707"/>
      <c r="Z343" s="635"/>
      <c r="AA343" s="707"/>
      <c r="AB343" s="707"/>
    </row>
    <row r="344" spans="1:28" x14ac:dyDescent="0.25">
      <c r="A344" s="23"/>
      <c r="B344" s="24"/>
      <c r="C344" s="25"/>
      <c r="D344" s="27"/>
      <c r="E344" s="27"/>
      <c r="F344" s="28"/>
      <c r="G344" s="27"/>
      <c r="H344" s="180"/>
      <c r="I344" s="27"/>
      <c r="J344" s="738"/>
      <c r="K344" s="635"/>
      <c r="L344" s="635"/>
      <c r="M344" s="635"/>
      <c r="N344" s="635"/>
      <c r="O344" s="636"/>
      <c r="P344" s="635"/>
      <c r="Q344" s="636"/>
      <c r="R344" s="636"/>
      <c r="S344" s="635"/>
      <c r="T344" s="707"/>
      <c r="U344" s="707"/>
      <c r="V344" s="707"/>
      <c r="W344" s="636"/>
      <c r="X344" s="636"/>
      <c r="Y344" s="707"/>
      <c r="Z344" s="635"/>
      <c r="AA344" s="707"/>
      <c r="AB344" s="707"/>
    </row>
    <row r="345" spans="1:28" x14ac:dyDescent="0.25">
      <c r="A345" s="23"/>
      <c r="B345" s="24"/>
      <c r="C345" s="25"/>
      <c r="D345" s="27"/>
      <c r="E345" s="27"/>
      <c r="F345" s="28"/>
      <c r="G345" s="27"/>
      <c r="H345" s="180"/>
      <c r="I345" s="27"/>
      <c r="J345" s="738"/>
      <c r="K345" s="635"/>
      <c r="L345" s="635"/>
      <c r="M345" s="635"/>
      <c r="N345" s="635"/>
      <c r="O345" s="636"/>
      <c r="P345" s="635"/>
      <c r="Q345" s="636"/>
      <c r="R345" s="636"/>
      <c r="S345" s="635"/>
      <c r="T345" s="707"/>
      <c r="U345" s="707"/>
      <c r="V345" s="707"/>
      <c r="W345" s="636"/>
      <c r="X345" s="636"/>
      <c r="Y345" s="707"/>
      <c r="Z345" s="635"/>
      <c r="AA345" s="707"/>
      <c r="AB345" s="707"/>
    </row>
    <row r="346" spans="1:28" x14ac:dyDescent="0.25">
      <c r="A346" s="23"/>
      <c r="B346" s="24"/>
      <c r="C346" s="25"/>
      <c r="D346" s="27"/>
      <c r="E346" s="27"/>
      <c r="F346" s="28"/>
      <c r="G346" s="27"/>
      <c r="H346" s="180"/>
      <c r="I346" s="27"/>
      <c r="J346" s="738"/>
      <c r="K346" s="635"/>
      <c r="L346" s="635"/>
      <c r="M346" s="635"/>
      <c r="N346" s="635"/>
      <c r="O346" s="636"/>
      <c r="P346" s="635"/>
      <c r="Q346" s="636"/>
      <c r="R346" s="636"/>
      <c r="S346" s="635"/>
      <c r="T346" s="707"/>
      <c r="U346" s="707"/>
      <c r="V346" s="707"/>
      <c r="W346" s="636"/>
      <c r="X346" s="636"/>
      <c r="Y346" s="707"/>
      <c r="Z346" s="635"/>
      <c r="AA346" s="707"/>
      <c r="AB346" s="707"/>
    </row>
    <row r="347" spans="1:28" x14ac:dyDescent="0.25">
      <c r="A347" s="23"/>
      <c r="B347" s="24"/>
      <c r="C347" s="25"/>
      <c r="D347" s="27"/>
      <c r="E347" s="27"/>
      <c r="F347" s="28"/>
      <c r="G347" s="27"/>
      <c r="H347" s="180"/>
      <c r="I347" s="27"/>
      <c r="J347" s="738"/>
      <c r="K347" s="635"/>
      <c r="L347" s="635"/>
      <c r="M347" s="635"/>
      <c r="N347" s="635"/>
      <c r="O347" s="636"/>
      <c r="P347" s="635"/>
      <c r="Q347" s="636"/>
      <c r="R347" s="636"/>
      <c r="S347" s="635"/>
      <c r="T347" s="707"/>
      <c r="U347" s="707"/>
      <c r="V347" s="707"/>
      <c r="W347" s="636"/>
      <c r="X347" s="636"/>
      <c r="Y347" s="707"/>
      <c r="Z347" s="635"/>
      <c r="AA347" s="707"/>
      <c r="AB347" s="707"/>
    </row>
    <row r="348" spans="1:28" x14ac:dyDescent="0.25">
      <c r="A348" s="23"/>
      <c r="B348" s="24"/>
      <c r="C348" s="25"/>
      <c r="D348" s="27"/>
      <c r="E348" s="27"/>
      <c r="F348" s="28"/>
      <c r="G348" s="27"/>
      <c r="H348" s="180"/>
      <c r="I348" s="27"/>
      <c r="J348" s="738"/>
      <c r="K348" s="635"/>
      <c r="L348" s="635"/>
      <c r="M348" s="635"/>
      <c r="N348" s="635"/>
      <c r="O348" s="636"/>
      <c r="P348" s="635"/>
      <c r="Q348" s="636"/>
      <c r="R348" s="636"/>
      <c r="S348" s="635"/>
      <c r="T348" s="707"/>
      <c r="U348" s="707"/>
      <c r="V348" s="707"/>
      <c r="W348" s="636"/>
      <c r="X348" s="636"/>
      <c r="Y348" s="707"/>
      <c r="Z348" s="635"/>
      <c r="AA348" s="707"/>
      <c r="AB348" s="707"/>
    </row>
    <row r="349" spans="1:28" x14ac:dyDescent="0.25">
      <c r="A349" s="23"/>
      <c r="B349" s="24"/>
      <c r="C349" s="25"/>
      <c r="D349" s="27"/>
      <c r="E349" s="27"/>
      <c r="F349" s="28"/>
      <c r="G349" s="27"/>
      <c r="H349" s="180"/>
      <c r="I349" s="27"/>
      <c r="J349" s="738"/>
      <c r="K349" s="635"/>
      <c r="L349" s="635"/>
      <c r="M349" s="635"/>
      <c r="N349" s="635"/>
      <c r="O349" s="636"/>
      <c r="P349" s="635"/>
      <c r="Q349" s="636"/>
      <c r="R349" s="636"/>
      <c r="S349" s="635"/>
      <c r="T349" s="707"/>
      <c r="U349" s="707"/>
      <c r="V349" s="707"/>
      <c r="W349" s="636"/>
      <c r="X349" s="636"/>
      <c r="Y349" s="707"/>
      <c r="Z349" s="635"/>
      <c r="AA349" s="707"/>
      <c r="AB349" s="707"/>
    </row>
    <row r="350" spans="1:28" x14ac:dyDescent="0.25">
      <c r="A350" s="23"/>
      <c r="B350" s="24"/>
      <c r="C350" s="25"/>
      <c r="D350" s="27"/>
      <c r="E350" s="27"/>
      <c r="F350" s="28"/>
      <c r="G350" s="27"/>
      <c r="H350" s="180"/>
      <c r="I350" s="27"/>
      <c r="J350" s="738"/>
      <c r="K350" s="635"/>
      <c r="L350" s="635"/>
      <c r="M350" s="635"/>
      <c r="N350" s="635"/>
      <c r="O350" s="636"/>
      <c r="P350" s="635"/>
      <c r="Q350" s="636"/>
      <c r="R350" s="636"/>
      <c r="S350" s="635"/>
      <c r="T350" s="707"/>
      <c r="U350" s="707"/>
      <c r="V350" s="707"/>
      <c r="W350" s="636"/>
      <c r="X350" s="636"/>
      <c r="Y350" s="707"/>
      <c r="Z350" s="635"/>
      <c r="AA350" s="707"/>
      <c r="AB350" s="707"/>
    </row>
    <row r="351" spans="1:28" x14ac:dyDescent="0.25">
      <c r="A351" s="23"/>
      <c r="B351" s="24"/>
      <c r="C351" s="25"/>
      <c r="D351" s="27"/>
      <c r="E351" s="27"/>
      <c r="F351" s="28"/>
      <c r="G351" s="27"/>
      <c r="H351" s="180"/>
      <c r="I351" s="27"/>
      <c r="J351" s="738"/>
      <c r="K351" s="635"/>
      <c r="L351" s="635"/>
      <c r="M351" s="635"/>
      <c r="N351" s="635"/>
      <c r="O351" s="636"/>
      <c r="P351" s="635"/>
      <c r="Q351" s="636"/>
      <c r="R351" s="636"/>
      <c r="S351" s="635"/>
      <c r="T351" s="707"/>
      <c r="U351" s="707"/>
      <c r="V351" s="707"/>
      <c r="W351" s="636"/>
      <c r="X351" s="636"/>
      <c r="Y351" s="707"/>
      <c r="Z351" s="635"/>
      <c r="AA351" s="707"/>
      <c r="AB351" s="707"/>
    </row>
    <row r="352" spans="1:28" x14ac:dyDescent="0.25">
      <c r="A352" s="23"/>
      <c r="B352" s="24"/>
      <c r="C352" s="25"/>
      <c r="D352" s="27"/>
      <c r="E352" s="27"/>
      <c r="F352" s="28"/>
      <c r="G352" s="27"/>
      <c r="H352" s="180"/>
      <c r="I352" s="27"/>
      <c r="J352" s="738"/>
      <c r="K352" s="635"/>
      <c r="L352" s="635"/>
      <c r="M352" s="635"/>
      <c r="N352" s="635"/>
      <c r="O352" s="636"/>
      <c r="P352" s="635"/>
      <c r="Q352" s="636"/>
      <c r="R352" s="636"/>
      <c r="S352" s="635"/>
      <c r="T352" s="707"/>
      <c r="U352" s="707"/>
      <c r="V352" s="707"/>
      <c r="W352" s="636"/>
      <c r="X352" s="636"/>
      <c r="Y352" s="707"/>
      <c r="Z352" s="635"/>
      <c r="AA352" s="707"/>
      <c r="AB352" s="707"/>
    </row>
    <row r="353" spans="1:28" x14ac:dyDescent="0.25">
      <c r="A353" s="23"/>
      <c r="B353" s="24"/>
      <c r="C353" s="25"/>
      <c r="D353" s="27"/>
      <c r="E353" s="27"/>
      <c r="F353" s="28"/>
      <c r="G353" s="27"/>
      <c r="H353" s="180"/>
      <c r="I353" s="27"/>
      <c r="J353" s="738"/>
      <c r="K353" s="635"/>
      <c r="L353" s="635"/>
      <c r="M353" s="635"/>
      <c r="N353" s="635"/>
      <c r="O353" s="636"/>
      <c r="P353" s="635"/>
      <c r="Q353" s="636"/>
      <c r="R353" s="636"/>
      <c r="S353" s="635"/>
      <c r="T353" s="707"/>
      <c r="U353" s="707"/>
      <c r="V353" s="707"/>
      <c r="W353" s="636"/>
      <c r="X353" s="636"/>
      <c r="Y353" s="707"/>
      <c r="Z353" s="635"/>
      <c r="AA353" s="707"/>
      <c r="AB353" s="707"/>
    </row>
    <row r="354" spans="1:28" x14ac:dyDescent="0.25">
      <c r="A354" s="23"/>
      <c r="B354" s="24"/>
      <c r="C354" s="25"/>
      <c r="D354" s="27"/>
      <c r="E354" s="27"/>
      <c r="F354" s="28"/>
      <c r="G354" s="27"/>
      <c r="H354" s="180"/>
      <c r="I354" s="27"/>
      <c r="J354" s="738"/>
      <c r="K354" s="635"/>
      <c r="L354" s="635"/>
      <c r="M354" s="635"/>
      <c r="N354" s="635"/>
      <c r="O354" s="636"/>
      <c r="P354" s="635"/>
      <c r="Q354" s="636"/>
      <c r="R354" s="636"/>
      <c r="S354" s="635"/>
      <c r="T354" s="707"/>
      <c r="U354" s="707"/>
      <c r="V354" s="707"/>
      <c r="W354" s="636"/>
      <c r="X354" s="636"/>
      <c r="Y354" s="707"/>
      <c r="Z354" s="635"/>
      <c r="AA354" s="707"/>
      <c r="AB354" s="707"/>
    </row>
    <row r="355" spans="1:28" x14ac:dyDescent="0.25">
      <c r="A355" s="23"/>
      <c r="B355" s="24"/>
      <c r="C355" s="25"/>
      <c r="D355" s="27"/>
      <c r="E355" s="27"/>
      <c r="F355" s="28"/>
      <c r="G355" s="27"/>
      <c r="H355" s="180"/>
      <c r="I355" s="27"/>
      <c r="J355" s="738"/>
      <c r="K355" s="635"/>
      <c r="L355" s="635"/>
      <c r="M355" s="635"/>
      <c r="N355" s="635"/>
      <c r="O355" s="636"/>
      <c r="P355" s="635"/>
      <c r="Q355" s="636"/>
      <c r="R355" s="636"/>
      <c r="S355" s="635"/>
      <c r="T355" s="707"/>
      <c r="U355" s="707"/>
      <c r="V355" s="707"/>
      <c r="W355" s="636"/>
      <c r="X355" s="636"/>
      <c r="Y355" s="707"/>
      <c r="Z355" s="635"/>
      <c r="AA355" s="707"/>
      <c r="AB355" s="707"/>
    </row>
    <row r="356" spans="1:28" x14ac:dyDescent="0.25">
      <c r="A356" s="23"/>
      <c r="B356" s="24"/>
      <c r="C356" s="25"/>
      <c r="D356" s="27"/>
      <c r="E356" s="27"/>
      <c r="F356" s="28"/>
      <c r="G356" s="27"/>
      <c r="H356" s="180"/>
      <c r="I356" s="27"/>
      <c r="J356" s="738"/>
      <c r="K356" s="635"/>
      <c r="L356" s="635"/>
      <c r="M356" s="635"/>
      <c r="N356" s="635"/>
      <c r="O356" s="636"/>
      <c r="P356" s="635"/>
      <c r="Q356" s="636"/>
      <c r="R356" s="636"/>
      <c r="S356" s="635"/>
      <c r="T356" s="707"/>
      <c r="U356" s="707"/>
      <c r="V356" s="707"/>
      <c r="W356" s="636"/>
      <c r="X356" s="636"/>
      <c r="Y356" s="707"/>
      <c r="Z356" s="635"/>
      <c r="AA356" s="707"/>
      <c r="AB356" s="707"/>
    </row>
    <row r="357" spans="1:28" x14ac:dyDescent="0.25">
      <c r="A357" s="23"/>
      <c r="B357" s="24"/>
      <c r="C357" s="25"/>
      <c r="D357" s="27"/>
      <c r="E357" s="27"/>
      <c r="F357" s="28"/>
      <c r="G357" s="27"/>
      <c r="H357" s="180"/>
      <c r="I357" s="27"/>
      <c r="J357" s="738"/>
      <c r="K357" s="635"/>
      <c r="L357" s="635"/>
      <c r="M357" s="635"/>
      <c r="N357" s="635"/>
      <c r="O357" s="636"/>
      <c r="P357" s="635"/>
      <c r="Q357" s="636"/>
      <c r="R357" s="636"/>
      <c r="S357" s="635"/>
      <c r="T357" s="707"/>
      <c r="U357" s="707"/>
      <c r="V357" s="707"/>
      <c r="W357" s="636"/>
      <c r="X357" s="636"/>
      <c r="Y357" s="707"/>
      <c r="Z357" s="635"/>
      <c r="AA357" s="707"/>
      <c r="AB357" s="707"/>
    </row>
    <row r="358" spans="1:28" x14ac:dyDescent="0.25">
      <c r="A358" s="23"/>
      <c r="B358" s="24"/>
      <c r="C358" s="25"/>
      <c r="D358" s="27"/>
      <c r="E358" s="27"/>
      <c r="F358" s="28"/>
      <c r="G358" s="27"/>
      <c r="H358" s="180"/>
      <c r="I358" s="27"/>
      <c r="J358" s="738"/>
      <c r="K358" s="635"/>
      <c r="L358" s="635"/>
      <c r="M358" s="635"/>
      <c r="N358" s="635"/>
      <c r="O358" s="636"/>
      <c r="P358" s="635"/>
      <c r="Q358" s="636"/>
      <c r="R358" s="636"/>
      <c r="S358" s="635"/>
      <c r="T358" s="707"/>
      <c r="U358" s="707"/>
      <c r="V358" s="707"/>
      <c r="W358" s="636"/>
      <c r="X358" s="636"/>
      <c r="Y358" s="707"/>
      <c r="Z358" s="635"/>
      <c r="AA358" s="707"/>
      <c r="AB358" s="707"/>
    </row>
    <row r="359" spans="1:28" x14ac:dyDescent="0.25">
      <c r="A359" s="23"/>
      <c r="B359" s="24"/>
      <c r="C359" s="25"/>
      <c r="D359" s="27"/>
      <c r="E359" s="27"/>
      <c r="F359" s="28"/>
      <c r="G359" s="27"/>
      <c r="H359" s="180"/>
      <c r="I359" s="27"/>
      <c r="J359" s="738"/>
      <c r="K359" s="635"/>
      <c r="L359" s="635"/>
      <c r="M359" s="635"/>
      <c r="N359" s="635"/>
      <c r="O359" s="636"/>
      <c r="P359" s="635"/>
      <c r="Q359" s="636"/>
      <c r="R359" s="636"/>
      <c r="S359" s="635"/>
      <c r="T359" s="707"/>
      <c r="U359" s="707"/>
      <c r="V359" s="707"/>
      <c r="W359" s="636"/>
      <c r="X359" s="636"/>
      <c r="Y359" s="707"/>
      <c r="Z359" s="635"/>
      <c r="AA359" s="707"/>
      <c r="AB359" s="707"/>
    </row>
    <row r="360" spans="1:28" x14ac:dyDescent="0.25">
      <c r="A360" s="23"/>
      <c r="B360" s="24"/>
      <c r="C360" s="25"/>
      <c r="D360" s="27"/>
      <c r="E360" s="27"/>
      <c r="F360" s="28"/>
      <c r="G360" s="27"/>
      <c r="H360" s="180"/>
      <c r="I360" s="27"/>
      <c r="J360" s="738"/>
      <c r="K360" s="635"/>
      <c r="L360" s="635"/>
      <c r="M360" s="635"/>
      <c r="N360" s="635"/>
      <c r="O360" s="636"/>
      <c r="P360" s="635"/>
      <c r="Q360" s="636"/>
      <c r="R360" s="636"/>
      <c r="S360" s="635"/>
      <c r="T360" s="707"/>
      <c r="U360" s="707"/>
      <c r="V360" s="707"/>
      <c r="W360" s="636"/>
      <c r="X360" s="636"/>
      <c r="Y360" s="707"/>
      <c r="Z360" s="635"/>
      <c r="AA360" s="707"/>
      <c r="AB360" s="707"/>
    </row>
    <row r="361" spans="1:28" x14ac:dyDescent="0.25">
      <c r="A361" s="23"/>
      <c r="B361" s="24"/>
      <c r="C361" s="25"/>
      <c r="D361" s="27"/>
      <c r="E361" s="27"/>
      <c r="F361" s="28"/>
      <c r="G361" s="27"/>
      <c r="H361" s="180"/>
      <c r="I361" s="27"/>
      <c r="J361" s="738"/>
      <c r="K361" s="635"/>
      <c r="L361" s="635"/>
      <c r="M361" s="635"/>
      <c r="N361" s="635"/>
      <c r="O361" s="636"/>
      <c r="P361" s="635"/>
      <c r="Q361" s="636"/>
      <c r="R361" s="636"/>
      <c r="S361" s="635"/>
      <c r="T361" s="707"/>
      <c r="U361" s="707"/>
      <c r="V361" s="707"/>
      <c r="W361" s="636"/>
      <c r="X361" s="636"/>
      <c r="Y361" s="707"/>
      <c r="Z361" s="635"/>
      <c r="AA361" s="707"/>
      <c r="AB361" s="707"/>
    </row>
    <row r="362" spans="1:28" x14ac:dyDescent="0.25">
      <c r="A362" s="23"/>
      <c r="B362" s="24"/>
      <c r="C362" s="25"/>
      <c r="D362" s="27"/>
      <c r="E362" s="27"/>
      <c r="F362" s="28"/>
      <c r="G362" s="27"/>
      <c r="H362" s="180"/>
      <c r="I362" s="27"/>
      <c r="J362" s="738"/>
      <c r="K362" s="635"/>
      <c r="L362" s="635"/>
      <c r="M362" s="635"/>
      <c r="N362" s="635"/>
      <c r="O362" s="636"/>
      <c r="P362" s="635"/>
      <c r="Q362" s="636"/>
      <c r="R362" s="636"/>
      <c r="S362" s="635"/>
      <c r="T362" s="707"/>
      <c r="U362" s="707"/>
      <c r="V362" s="707"/>
      <c r="W362" s="636"/>
      <c r="X362" s="636"/>
      <c r="Y362" s="707"/>
      <c r="Z362" s="635"/>
      <c r="AA362" s="707"/>
      <c r="AB362" s="707"/>
    </row>
    <row r="363" spans="1:28" x14ac:dyDescent="0.25">
      <c r="A363" s="23"/>
      <c r="B363" s="24"/>
      <c r="C363" s="25"/>
      <c r="D363" s="27"/>
      <c r="E363" s="27"/>
      <c r="F363" s="28"/>
      <c r="G363" s="27"/>
      <c r="H363" s="180"/>
      <c r="I363" s="27"/>
      <c r="J363" s="738"/>
      <c r="K363" s="635"/>
      <c r="L363" s="635"/>
      <c r="M363" s="635"/>
      <c r="N363" s="635"/>
      <c r="O363" s="636"/>
      <c r="P363" s="635"/>
      <c r="Q363" s="636"/>
      <c r="R363" s="636"/>
      <c r="S363" s="635"/>
      <c r="T363" s="707"/>
      <c r="U363" s="707"/>
      <c r="V363" s="707"/>
      <c r="W363" s="636"/>
      <c r="X363" s="636"/>
      <c r="Y363" s="707"/>
      <c r="Z363" s="635"/>
      <c r="AA363" s="707"/>
      <c r="AB363" s="707"/>
    </row>
    <row r="364" spans="1:28" x14ac:dyDescent="0.25">
      <c r="A364" s="23"/>
      <c r="B364" s="24"/>
      <c r="C364" s="25"/>
      <c r="D364" s="27"/>
      <c r="E364" s="27"/>
      <c r="F364" s="28"/>
      <c r="G364" s="27"/>
      <c r="H364" s="180"/>
      <c r="I364" s="27"/>
      <c r="J364" s="738"/>
      <c r="K364" s="635"/>
      <c r="L364" s="635"/>
      <c r="M364" s="635"/>
      <c r="N364" s="635"/>
      <c r="O364" s="636"/>
      <c r="P364" s="635"/>
      <c r="Q364" s="636"/>
      <c r="R364" s="636"/>
      <c r="S364" s="635"/>
      <c r="T364" s="707"/>
      <c r="U364" s="707"/>
      <c r="V364" s="707"/>
      <c r="W364" s="636"/>
      <c r="X364" s="636"/>
      <c r="Y364" s="707"/>
      <c r="Z364" s="635"/>
      <c r="AA364" s="707"/>
      <c r="AB364" s="707"/>
    </row>
    <row r="365" spans="1:28" x14ac:dyDescent="0.25">
      <c r="A365" s="23"/>
      <c r="B365" s="24"/>
      <c r="C365" s="25"/>
      <c r="D365" s="27"/>
      <c r="E365" s="27"/>
      <c r="F365" s="28"/>
      <c r="G365" s="27"/>
      <c r="H365" s="180"/>
      <c r="I365" s="27"/>
      <c r="J365" s="738"/>
      <c r="K365" s="635"/>
      <c r="L365" s="635"/>
      <c r="M365" s="635"/>
      <c r="N365" s="635"/>
      <c r="O365" s="636"/>
      <c r="P365" s="635"/>
      <c r="Q365" s="636"/>
      <c r="R365" s="636"/>
      <c r="S365" s="635"/>
      <c r="T365" s="707"/>
      <c r="U365" s="707"/>
      <c r="V365" s="707"/>
      <c r="W365" s="636"/>
      <c r="X365" s="636"/>
      <c r="Y365" s="707"/>
      <c r="Z365" s="635"/>
      <c r="AA365" s="707"/>
      <c r="AB365" s="707"/>
    </row>
    <row r="366" spans="1:28" x14ac:dyDescent="0.25">
      <c r="A366" s="23"/>
      <c r="B366" s="24"/>
      <c r="C366" s="25"/>
      <c r="D366" s="27"/>
      <c r="E366" s="27"/>
      <c r="F366" s="28"/>
      <c r="G366" s="27"/>
      <c r="H366" s="180"/>
      <c r="I366" s="27"/>
      <c r="J366" s="738"/>
      <c r="K366" s="635"/>
      <c r="L366" s="635"/>
      <c r="M366" s="635"/>
      <c r="N366" s="635"/>
      <c r="O366" s="636"/>
      <c r="P366" s="635"/>
      <c r="Q366" s="636"/>
      <c r="R366" s="636"/>
      <c r="S366" s="635"/>
      <c r="T366" s="707"/>
      <c r="U366" s="707"/>
      <c r="V366" s="707"/>
      <c r="W366" s="636"/>
      <c r="X366" s="636"/>
      <c r="Y366" s="707"/>
      <c r="Z366" s="635"/>
      <c r="AA366" s="707"/>
      <c r="AB366" s="707"/>
    </row>
    <row r="367" spans="1:28" x14ac:dyDescent="0.25">
      <c r="A367" s="23"/>
      <c r="B367" s="24"/>
      <c r="C367" s="25"/>
      <c r="D367" s="27"/>
      <c r="E367" s="27"/>
      <c r="F367" s="28"/>
      <c r="G367" s="27"/>
      <c r="H367" s="180"/>
      <c r="I367" s="27"/>
      <c r="J367" s="738"/>
      <c r="K367" s="635"/>
      <c r="L367" s="635"/>
      <c r="M367" s="635"/>
      <c r="N367" s="635"/>
      <c r="O367" s="636"/>
      <c r="P367" s="635"/>
      <c r="Q367" s="636"/>
      <c r="R367" s="636"/>
      <c r="S367" s="635"/>
      <c r="T367" s="707"/>
      <c r="U367" s="707"/>
      <c r="V367" s="707"/>
      <c r="W367" s="636"/>
      <c r="X367" s="636"/>
      <c r="Y367" s="707"/>
      <c r="Z367" s="635"/>
      <c r="AA367" s="707"/>
      <c r="AB367" s="707"/>
    </row>
    <row r="368" spans="1:28" x14ac:dyDescent="0.25">
      <c r="A368" s="23"/>
      <c r="B368" s="24"/>
      <c r="C368" s="25"/>
      <c r="D368" s="27"/>
      <c r="E368" s="27"/>
      <c r="F368" s="28"/>
      <c r="G368" s="27"/>
      <c r="H368" s="180"/>
      <c r="I368" s="27"/>
      <c r="J368" s="738"/>
      <c r="K368" s="635"/>
      <c r="L368" s="635"/>
      <c r="M368" s="635"/>
      <c r="N368" s="635"/>
      <c r="O368" s="636"/>
      <c r="P368" s="635"/>
      <c r="Q368" s="636"/>
      <c r="R368" s="636"/>
      <c r="S368" s="635"/>
      <c r="T368" s="707"/>
      <c r="U368" s="707"/>
      <c r="V368" s="707"/>
      <c r="W368" s="636"/>
      <c r="X368" s="636"/>
      <c r="Y368" s="707"/>
      <c r="Z368" s="635"/>
      <c r="AA368" s="707"/>
      <c r="AB368" s="707"/>
    </row>
    <row r="369" spans="1:28" x14ac:dyDescent="0.25">
      <c r="A369" s="23"/>
      <c r="B369" s="24"/>
      <c r="C369" s="25"/>
      <c r="D369" s="27"/>
      <c r="E369" s="27"/>
      <c r="F369" s="28"/>
      <c r="G369" s="27"/>
      <c r="H369" s="180"/>
      <c r="I369" s="27"/>
      <c r="J369" s="738"/>
      <c r="K369" s="635"/>
      <c r="L369" s="635"/>
      <c r="M369" s="635"/>
      <c r="N369" s="635"/>
      <c r="O369" s="636"/>
      <c r="P369" s="635"/>
      <c r="Q369" s="636"/>
      <c r="R369" s="636"/>
      <c r="S369" s="635"/>
      <c r="T369" s="707"/>
      <c r="U369" s="707"/>
      <c r="V369" s="707"/>
      <c r="W369" s="636"/>
      <c r="X369" s="636"/>
      <c r="Y369" s="707"/>
      <c r="Z369" s="635"/>
      <c r="AA369" s="707"/>
      <c r="AB369" s="707"/>
    </row>
    <row r="370" spans="1:28" x14ac:dyDescent="0.25">
      <c r="A370" s="23"/>
      <c r="B370" s="24"/>
      <c r="C370" s="25"/>
      <c r="D370" s="27"/>
      <c r="E370" s="27"/>
      <c r="F370" s="28"/>
      <c r="G370" s="27"/>
      <c r="H370" s="180"/>
      <c r="I370" s="27"/>
      <c r="J370" s="738"/>
      <c r="K370" s="635"/>
      <c r="L370" s="635"/>
      <c r="M370" s="635"/>
      <c r="N370" s="635"/>
      <c r="O370" s="636"/>
      <c r="P370" s="635"/>
      <c r="Q370" s="636"/>
      <c r="R370" s="636"/>
      <c r="S370" s="635"/>
      <c r="T370" s="707"/>
      <c r="U370" s="707"/>
      <c r="V370" s="707"/>
      <c r="W370" s="636"/>
      <c r="X370" s="636"/>
      <c r="Y370" s="707"/>
      <c r="Z370" s="635"/>
      <c r="AA370" s="707"/>
      <c r="AB370" s="707"/>
    </row>
    <row r="371" spans="1:28" x14ac:dyDescent="0.25">
      <c r="A371" s="23"/>
      <c r="B371" s="24"/>
      <c r="C371" s="25"/>
      <c r="D371" s="27"/>
      <c r="E371" s="27"/>
      <c r="F371" s="28"/>
      <c r="G371" s="27"/>
      <c r="H371" s="180"/>
      <c r="I371" s="27"/>
      <c r="J371" s="738"/>
      <c r="K371" s="635"/>
      <c r="L371" s="635"/>
      <c r="M371" s="635"/>
      <c r="N371" s="635"/>
      <c r="O371" s="636"/>
      <c r="P371" s="635"/>
      <c r="Q371" s="636"/>
      <c r="R371" s="636"/>
      <c r="S371" s="635"/>
      <c r="T371" s="707"/>
      <c r="U371" s="707"/>
      <c r="V371" s="707"/>
      <c r="W371" s="636"/>
      <c r="X371" s="636"/>
      <c r="Y371" s="707"/>
      <c r="Z371" s="635"/>
      <c r="AA371" s="707"/>
      <c r="AB371" s="707"/>
    </row>
    <row r="372" spans="1:28" x14ac:dyDescent="0.25">
      <c r="A372" s="23"/>
      <c r="B372" s="24"/>
      <c r="C372" s="25"/>
      <c r="D372" s="27"/>
      <c r="E372" s="27"/>
      <c r="F372" s="28"/>
      <c r="G372" s="27"/>
      <c r="H372" s="180"/>
      <c r="I372" s="27"/>
      <c r="J372" s="738"/>
      <c r="K372" s="635"/>
      <c r="L372" s="635"/>
      <c r="M372" s="635"/>
      <c r="N372" s="635"/>
      <c r="O372" s="636"/>
      <c r="P372" s="635"/>
      <c r="Q372" s="636"/>
      <c r="R372" s="636"/>
      <c r="S372" s="635"/>
      <c r="T372" s="707"/>
      <c r="U372" s="707"/>
      <c r="V372" s="707"/>
      <c r="W372" s="636"/>
      <c r="X372" s="636"/>
      <c r="Y372" s="707"/>
      <c r="Z372" s="635"/>
      <c r="AA372" s="707"/>
      <c r="AB372" s="707"/>
    </row>
    <row r="373" spans="1:28" x14ac:dyDescent="0.25">
      <c r="A373" s="23"/>
      <c r="B373" s="24"/>
      <c r="C373" s="25"/>
      <c r="D373" s="27"/>
      <c r="E373" s="27"/>
      <c r="F373" s="28"/>
      <c r="G373" s="27"/>
      <c r="H373" s="180"/>
      <c r="I373" s="27"/>
      <c r="J373" s="738"/>
      <c r="K373" s="635"/>
      <c r="L373" s="635"/>
      <c r="M373" s="635"/>
      <c r="N373" s="635"/>
      <c r="O373" s="636"/>
      <c r="P373" s="635"/>
      <c r="Q373" s="636"/>
      <c r="R373" s="636"/>
      <c r="S373" s="635"/>
      <c r="T373" s="707"/>
      <c r="U373" s="707"/>
      <c r="V373" s="707"/>
      <c r="W373" s="636"/>
      <c r="X373" s="636"/>
      <c r="Y373" s="707"/>
      <c r="Z373" s="635"/>
      <c r="AA373" s="707"/>
      <c r="AB373" s="707"/>
    </row>
    <row r="374" spans="1:28" x14ac:dyDescent="0.25">
      <c r="A374" s="23"/>
      <c r="B374" s="24"/>
      <c r="C374" s="25"/>
      <c r="D374" s="27"/>
      <c r="E374" s="27"/>
      <c r="F374" s="28"/>
      <c r="G374" s="27"/>
      <c r="H374" s="180"/>
      <c r="I374" s="27"/>
      <c r="J374" s="738"/>
      <c r="K374" s="635"/>
      <c r="L374" s="635"/>
      <c r="M374" s="635"/>
      <c r="N374" s="635"/>
      <c r="O374" s="636"/>
      <c r="P374" s="635"/>
      <c r="Q374" s="636"/>
      <c r="R374" s="636"/>
      <c r="S374" s="635"/>
      <c r="T374" s="707"/>
      <c r="U374" s="707"/>
      <c r="V374" s="707"/>
      <c r="W374" s="636"/>
      <c r="X374" s="636"/>
      <c r="Y374" s="707"/>
      <c r="Z374" s="635"/>
      <c r="AA374" s="707"/>
      <c r="AB374" s="707"/>
    </row>
    <row r="375" spans="1:28" x14ac:dyDescent="0.25">
      <c r="A375" s="23"/>
      <c r="B375" s="24"/>
      <c r="C375" s="25"/>
      <c r="D375" s="27"/>
      <c r="E375" s="27"/>
      <c r="F375" s="28"/>
      <c r="G375" s="27"/>
      <c r="H375" s="180"/>
      <c r="I375" s="27"/>
      <c r="J375" s="738"/>
      <c r="K375" s="635"/>
      <c r="L375" s="635"/>
      <c r="M375" s="635"/>
      <c r="N375" s="635"/>
      <c r="O375" s="636"/>
      <c r="P375" s="635"/>
      <c r="Q375" s="636"/>
      <c r="R375" s="636"/>
      <c r="S375" s="635"/>
      <c r="T375" s="707"/>
      <c r="U375" s="707"/>
      <c r="V375" s="707"/>
      <c r="W375" s="636"/>
      <c r="X375" s="636"/>
      <c r="Y375" s="707"/>
      <c r="Z375" s="635"/>
      <c r="AA375" s="707"/>
      <c r="AB375" s="707"/>
    </row>
    <row r="376" spans="1:28" x14ac:dyDescent="0.25">
      <c r="A376" s="23"/>
      <c r="B376" s="24"/>
      <c r="C376" s="25"/>
      <c r="D376" s="27"/>
      <c r="E376" s="27"/>
      <c r="F376" s="28"/>
      <c r="G376" s="27"/>
      <c r="H376" s="180"/>
      <c r="I376" s="27"/>
      <c r="J376" s="738"/>
      <c r="K376" s="635"/>
      <c r="L376" s="635"/>
      <c r="M376" s="635"/>
      <c r="N376" s="635"/>
      <c r="O376" s="636"/>
      <c r="P376" s="635"/>
      <c r="Q376" s="636"/>
      <c r="R376" s="636"/>
      <c r="S376" s="635"/>
      <c r="T376" s="707"/>
      <c r="U376" s="707"/>
      <c r="V376" s="707"/>
      <c r="W376" s="636"/>
      <c r="X376" s="636"/>
      <c r="Y376" s="707"/>
      <c r="Z376" s="635"/>
      <c r="AA376" s="707"/>
      <c r="AB376" s="707"/>
    </row>
    <row r="377" spans="1:28" x14ac:dyDescent="0.25">
      <c r="A377" s="23"/>
      <c r="B377" s="24"/>
      <c r="C377" s="25"/>
      <c r="D377" s="27"/>
      <c r="E377" s="27"/>
      <c r="F377" s="28"/>
      <c r="G377" s="27"/>
      <c r="H377" s="180"/>
      <c r="I377" s="27"/>
      <c r="J377" s="738"/>
      <c r="K377" s="635"/>
      <c r="L377" s="635"/>
      <c r="M377" s="635"/>
      <c r="N377" s="635"/>
      <c r="O377" s="636"/>
      <c r="P377" s="635"/>
      <c r="Q377" s="636"/>
      <c r="R377" s="636"/>
      <c r="S377" s="635"/>
      <c r="T377" s="707"/>
      <c r="U377" s="707"/>
      <c r="V377" s="707"/>
      <c r="W377" s="636"/>
      <c r="X377" s="636"/>
      <c r="Y377" s="707"/>
      <c r="Z377" s="635"/>
      <c r="AA377" s="707"/>
      <c r="AB377" s="707"/>
    </row>
    <row r="378" spans="1:28" x14ac:dyDescent="0.25">
      <c r="A378" s="23"/>
      <c r="B378" s="24"/>
      <c r="C378" s="25"/>
      <c r="D378" s="27"/>
      <c r="E378" s="27"/>
      <c r="F378" s="28"/>
      <c r="G378" s="27"/>
      <c r="H378" s="180"/>
      <c r="I378" s="27"/>
      <c r="J378" s="738"/>
      <c r="K378" s="635"/>
      <c r="L378" s="635"/>
      <c r="M378" s="635"/>
      <c r="N378" s="635"/>
      <c r="O378" s="636"/>
      <c r="P378" s="635"/>
      <c r="Q378" s="636"/>
      <c r="R378" s="636"/>
      <c r="S378" s="635"/>
      <c r="T378" s="707"/>
      <c r="U378" s="707"/>
      <c r="V378" s="707"/>
      <c r="W378" s="636"/>
      <c r="X378" s="636"/>
      <c r="Y378" s="707"/>
      <c r="Z378" s="635"/>
      <c r="AA378" s="707"/>
      <c r="AB378" s="707"/>
    </row>
    <row r="379" spans="1:28" x14ac:dyDescent="0.25">
      <c r="A379" s="23"/>
      <c r="B379" s="24"/>
      <c r="C379" s="25"/>
      <c r="D379" s="27"/>
      <c r="E379" s="27"/>
      <c r="F379" s="28"/>
      <c r="G379" s="27"/>
      <c r="H379" s="180"/>
      <c r="I379" s="27"/>
      <c r="J379" s="738"/>
      <c r="K379" s="635"/>
      <c r="L379" s="635"/>
      <c r="M379" s="635"/>
      <c r="N379" s="635"/>
      <c r="O379" s="636"/>
      <c r="P379" s="635"/>
      <c r="Q379" s="636"/>
      <c r="R379" s="636"/>
      <c r="S379" s="635"/>
      <c r="T379" s="707"/>
      <c r="U379" s="707"/>
      <c r="V379" s="707"/>
      <c r="W379" s="636"/>
      <c r="X379" s="636"/>
      <c r="Y379" s="707"/>
      <c r="Z379" s="635"/>
      <c r="AA379" s="707"/>
      <c r="AB379" s="707"/>
    </row>
    <row r="380" spans="1:28" x14ac:dyDescent="0.25">
      <c r="A380" s="23"/>
      <c r="B380" s="24"/>
      <c r="C380" s="25"/>
      <c r="D380" s="27"/>
      <c r="E380" s="27"/>
      <c r="F380" s="28"/>
      <c r="G380" s="27"/>
      <c r="H380" s="180"/>
      <c r="I380" s="27"/>
      <c r="J380" s="738"/>
      <c r="K380" s="635"/>
      <c r="L380" s="635"/>
      <c r="M380" s="635"/>
      <c r="N380" s="635"/>
      <c r="O380" s="636"/>
      <c r="P380" s="635"/>
      <c r="Q380" s="636"/>
      <c r="R380" s="636"/>
      <c r="S380" s="635"/>
      <c r="T380" s="707"/>
      <c r="U380" s="707"/>
      <c r="V380" s="707"/>
      <c r="W380" s="636"/>
      <c r="X380" s="636"/>
      <c r="Y380" s="707"/>
      <c r="Z380" s="635"/>
      <c r="AA380" s="707"/>
      <c r="AB380" s="707"/>
    </row>
    <row r="381" spans="1:28" x14ac:dyDescent="0.25">
      <c r="A381" s="23"/>
      <c r="B381" s="24"/>
      <c r="C381" s="25"/>
      <c r="D381" s="27"/>
      <c r="E381" s="27"/>
      <c r="F381" s="28"/>
      <c r="G381" s="27"/>
      <c r="H381" s="180"/>
      <c r="I381" s="27"/>
      <c r="J381" s="738"/>
      <c r="K381" s="635"/>
      <c r="L381" s="635"/>
      <c r="M381" s="635"/>
      <c r="N381" s="635"/>
      <c r="O381" s="636"/>
      <c r="P381" s="635"/>
      <c r="Q381" s="636"/>
      <c r="R381" s="636"/>
      <c r="S381" s="635"/>
      <c r="T381" s="707"/>
      <c r="U381" s="707"/>
      <c r="V381" s="707"/>
      <c r="W381" s="636"/>
      <c r="X381" s="636"/>
      <c r="Y381" s="707"/>
      <c r="Z381" s="635"/>
      <c r="AA381" s="707"/>
      <c r="AB381" s="707"/>
    </row>
    <row r="382" spans="1:28" x14ac:dyDescent="0.25">
      <c r="A382" s="23"/>
      <c r="B382" s="24"/>
      <c r="C382" s="25"/>
      <c r="D382" s="27"/>
      <c r="E382" s="27"/>
      <c r="F382" s="28"/>
      <c r="G382" s="27"/>
      <c r="H382" s="180"/>
      <c r="I382" s="27"/>
      <c r="J382" s="738"/>
      <c r="K382" s="635"/>
      <c r="L382" s="635"/>
      <c r="M382" s="635"/>
      <c r="N382" s="635"/>
      <c r="O382" s="636"/>
      <c r="P382" s="635"/>
      <c r="Q382" s="636"/>
      <c r="R382" s="636"/>
      <c r="S382" s="635"/>
      <c r="T382" s="707"/>
      <c r="U382" s="707"/>
      <c r="V382" s="707"/>
      <c r="W382" s="636"/>
      <c r="X382" s="636"/>
      <c r="Y382" s="707"/>
      <c r="Z382" s="635"/>
      <c r="AA382" s="707"/>
      <c r="AB382" s="707"/>
    </row>
    <row r="383" spans="1:28" x14ac:dyDescent="0.25">
      <c r="A383" s="23"/>
      <c r="B383" s="24"/>
      <c r="C383" s="25"/>
      <c r="D383" s="27"/>
      <c r="E383" s="27"/>
      <c r="F383" s="28"/>
      <c r="G383" s="27"/>
      <c r="H383" s="180"/>
      <c r="I383" s="27"/>
      <c r="J383" s="738"/>
      <c r="K383" s="635"/>
      <c r="L383" s="635"/>
      <c r="M383" s="635"/>
      <c r="N383" s="635"/>
      <c r="O383" s="636"/>
      <c r="P383" s="635"/>
      <c r="Q383" s="636"/>
      <c r="R383" s="636"/>
      <c r="S383" s="635"/>
      <c r="T383" s="707"/>
      <c r="U383" s="707"/>
      <c r="V383" s="707"/>
      <c r="W383" s="636"/>
      <c r="X383" s="636"/>
      <c r="Y383" s="707"/>
      <c r="Z383" s="635"/>
      <c r="AA383" s="707"/>
      <c r="AB383" s="707"/>
    </row>
    <row r="384" spans="1:28" x14ac:dyDescent="0.25">
      <c r="A384" s="23"/>
      <c r="B384" s="24"/>
      <c r="C384" s="25"/>
      <c r="D384" s="27"/>
      <c r="E384" s="27"/>
      <c r="F384" s="28"/>
      <c r="G384" s="27"/>
      <c r="H384" s="180"/>
      <c r="I384" s="27"/>
      <c r="J384" s="738"/>
      <c r="K384" s="635"/>
      <c r="L384" s="635"/>
      <c r="M384" s="635"/>
      <c r="N384" s="635"/>
      <c r="O384" s="636"/>
      <c r="P384" s="635"/>
      <c r="Q384" s="636"/>
      <c r="R384" s="636"/>
      <c r="S384" s="635"/>
      <c r="T384" s="707"/>
      <c r="U384" s="707"/>
      <c r="V384" s="707"/>
      <c r="W384" s="636"/>
      <c r="X384" s="636"/>
      <c r="Y384" s="707"/>
      <c r="Z384" s="635"/>
      <c r="AA384" s="707"/>
      <c r="AB384" s="707"/>
    </row>
    <row r="385" spans="1:28" x14ac:dyDescent="0.25">
      <c r="A385" s="23"/>
      <c r="B385" s="24"/>
      <c r="C385" s="25"/>
      <c r="D385" s="27"/>
      <c r="E385" s="27"/>
      <c r="F385" s="28"/>
      <c r="G385" s="27"/>
      <c r="H385" s="180"/>
      <c r="I385" s="27"/>
      <c r="J385" s="738"/>
      <c r="K385" s="635"/>
      <c r="L385" s="635"/>
      <c r="M385" s="635"/>
      <c r="N385" s="635"/>
      <c r="O385" s="636"/>
      <c r="P385" s="635"/>
      <c r="Q385" s="636"/>
      <c r="R385" s="636"/>
      <c r="S385" s="635"/>
      <c r="T385" s="707"/>
      <c r="U385" s="707"/>
      <c r="V385" s="707"/>
      <c r="W385" s="636"/>
      <c r="X385" s="636"/>
      <c r="Y385" s="707"/>
      <c r="Z385" s="635"/>
      <c r="AA385" s="707"/>
      <c r="AB385" s="707"/>
    </row>
    <row r="386" spans="1:28" x14ac:dyDescent="0.25">
      <c r="A386" s="23"/>
      <c r="B386" s="24"/>
      <c r="C386" s="25"/>
      <c r="D386" s="27"/>
      <c r="E386" s="27"/>
      <c r="F386" s="28"/>
      <c r="G386" s="27"/>
      <c r="H386" s="180"/>
      <c r="I386" s="27"/>
      <c r="J386" s="738"/>
      <c r="K386" s="635"/>
      <c r="L386" s="635"/>
      <c r="M386" s="635"/>
      <c r="N386" s="635"/>
      <c r="O386" s="636"/>
      <c r="P386" s="635"/>
      <c r="Q386" s="636"/>
      <c r="R386" s="636"/>
      <c r="S386" s="635"/>
      <c r="T386" s="707"/>
      <c r="U386" s="707"/>
      <c r="V386" s="707"/>
      <c r="W386" s="636"/>
      <c r="X386" s="636"/>
      <c r="Y386" s="707"/>
      <c r="Z386" s="635"/>
      <c r="AA386" s="707"/>
      <c r="AB386" s="707"/>
    </row>
    <row r="387" spans="1:28" x14ac:dyDescent="0.25">
      <c r="A387" s="23"/>
      <c r="B387" s="24"/>
      <c r="C387" s="25"/>
      <c r="D387" s="27"/>
      <c r="E387" s="27"/>
      <c r="F387" s="28"/>
      <c r="G387" s="27"/>
      <c r="H387" s="180"/>
      <c r="I387" s="27"/>
      <c r="J387" s="738"/>
      <c r="K387" s="635"/>
      <c r="L387" s="635"/>
      <c r="M387" s="635"/>
      <c r="N387" s="635"/>
      <c r="O387" s="636"/>
      <c r="P387" s="635"/>
      <c r="Q387" s="636"/>
      <c r="R387" s="636"/>
      <c r="S387" s="635"/>
      <c r="T387" s="707"/>
      <c r="U387" s="707"/>
      <c r="V387" s="707"/>
      <c r="W387" s="636"/>
      <c r="X387" s="636"/>
      <c r="Y387" s="707"/>
      <c r="Z387" s="635"/>
      <c r="AA387" s="707"/>
      <c r="AB387" s="707"/>
    </row>
    <row r="388" spans="1:28" x14ac:dyDescent="0.25">
      <c r="A388" s="23"/>
      <c r="B388" s="24"/>
      <c r="C388" s="25"/>
      <c r="D388" s="27"/>
      <c r="E388" s="27"/>
      <c r="F388" s="28"/>
      <c r="G388" s="27"/>
      <c r="H388" s="180"/>
      <c r="I388" s="27"/>
      <c r="J388" s="738"/>
      <c r="K388" s="635"/>
      <c r="L388" s="635"/>
      <c r="M388" s="635"/>
      <c r="N388" s="635"/>
      <c r="O388" s="636"/>
      <c r="P388" s="635"/>
      <c r="Q388" s="636"/>
      <c r="R388" s="636"/>
      <c r="S388" s="635"/>
      <c r="T388" s="707"/>
      <c r="U388" s="707"/>
      <c r="V388" s="707"/>
      <c r="W388" s="636"/>
      <c r="X388" s="636"/>
      <c r="Y388" s="707"/>
      <c r="Z388" s="635"/>
      <c r="AA388" s="707"/>
      <c r="AB388" s="707"/>
    </row>
    <row r="389" spans="1:28" x14ac:dyDescent="0.25">
      <c r="A389" s="23"/>
      <c r="B389" s="24"/>
      <c r="C389" s="25"/>
      <c r="D389" s="27"/>
      <c r="E389" s="27"/>
      <c r="F389" s="28"/>
      <c r="G389" s="27"/>
      <c r="H389" s="180"/>
      <c r="I389" s="27"/>
      <c r="J389" s="738"/>
      <c r="K389" s="635"/>
      <c r="L389" s="635"/>
      <c r="M389" s="635"/>
      <c r="N389" s="635"/>
      <c r="O389" s="636"/>
      <c r="P389" s="635"/>
      <c r="Q389" s="636"/>
      <c r="R389" s="636"/>
      <c r="S389" s="635"/>
      <c r="T389" s="707"/>
      <c r="U389" s="707"/>
      <c r="V389" s="707"/>
      <c r="W389" s="636"/>
      <c r="X389" s="636"/>
      <c r="Y389" s="707"/>
      <c r="Z389" s="635"/>
      <c r="AA389" s="707"/>
      <c r="AB389" s="707"/>
    </row>
    <row r="390" spans="1:28" x14ac:dyDescent="0.25">
      <c r="A390" s="23"/>
      <c r="B390" s="24"/>
      <c r="C390" s="25"/>
      <c r="D390" s="27"/>
      <c r="E390" s="27"/>
      <c r="F390" s="28"/>
      <c r="G390" s="27"/>
      <c r="H390" s="180"/>
      <c r="I390" s="27"/>
      <c r="J390" s="738"/>
      <c r="K390" s="635"/>
      <c r="L390" s="635"/>
      <c r="M390" s="635"/>
      <c r="N390" s="635"/>
      <c r="O390" s="636"/>
      <c r="P390" s="635"/>
      <c r="Q390" s="636"/>
      <c r="R390" s="636"/>
      <c r="S390" s="635"/>
      <c r="T390" s="707"/>
      <c r="U390" s="707"/>
      <c r="V390" s="707"/>
      <c r="W390" s="636"/>
      <c r="X390" s="636"/>
      <c r="Y390" s="707"/>
      <c r="Z390" s="635"/>
      <c r="AA390" s="707"/>
      <c r="AB390" s="707"/>
    </row>
    <row r="391" spans="1:28" x14ac:dyDescent="0.25">
      <c r="A391" s="23"/>
      <c r="B391" s="24"/>
      <c r="C391" s="25"/>
      <c r="D391" s="27"/>
      <c r="E391" s="27"/>
      <c r="F391" s="28"/>
      <c r="G391" s="27"/>
      <c r="H391" s="180"/>
      <c r="I391" s="27"/>
      <c r="J391" s="738"/>
      <c r="K391" s="635"/>
      <c r="L391" s="635"/>
      <c r="M391" s="635"/>
      <c r="N391" s="635"/>
      <c r="O391" s="636"/>
      <c r="P391" s="635"/>
      <c r="Q391" s="636"/>
      <c r="R391" s="636"/>
      <c r="S391" s="635"/>
      <c r="T391" s="707"/>
      <c r="U391" s="707"/>
      <c r="V391" s="707"/>
      <c r="W391" s="636"/>
      <c r="X391" s="636"/>
      <c r="Y391" s="707"/>
      <c r="Z391" s="635"/>
      <c r="AA391" s="707"/>
      <c r="AB391" s="707"/>
    </row>
    <row r="392" spans="1:28" x14ac:dyDescent="0.25">
      <c r="A392" s="23"/>
      <c r="B392" s="24"/>
      <c r="C392" s="25"/>
      <c r="D392" s="27"/>
      <c r="E392" s="27"/>
      <c r="F392" s="28"/>
      <c r="G392" s="27"/>
      <c r="H392" s="180"/>
      <c r="I392" s="27"/>
      <c r="J392" s="738"/>
      <c r="K392" s="635"/>
      <c r="L392" s="635"/>
      <c r="M392" s="635"/>
      <c r="N392" s="635"/>
      <c r="O392" s="636"/>
      <c r="P392" s="635"/>
      <c r="Q392" s="636"/>
      <c r="R392" s="636"/>
      <c r="S392" s="635"/>
      <c r="T392" s="707"/>
      <c r="U392" s="707"/>
      <c r="V392" s="707"/>
      <c r="W392" s="636"/>
      <c r="X392" s="636"/>
      <c r="Y392" s="707"/>
      <c r="Z392" s="635"/>
      <c r="AA392" s="707"/>
      <c r="AB392" s="707"/>
    </row>
    <row r="393" spans="1:28" x14ac:dyDescent="0.25">
      <c r="A393" s="23"/>
      <c r="B393" s="24"/>
      <c r="C393" s="25"/>
      <c r="D393" s="27"/>
      <c r="E393" s="27"/>
      <c r="F393" s="28"/>
      <c r="G393" s="27"/>
      <c r="H393" s="180"/>
      <c r="I393" s="27"/>
      <c r="J393" s="738"/>
      <c r="K393" s="635"/>
      <c r="L393" s="635"/>
      <c r="M393" s="635"/>
      <c r="N393" s="635"/>
      <c r="O393" s="636"/>
      <c r="P393" s="635"/>
      <c r="Q393" s="636"/>
      <c r="R393" s="636"/>
      <c r="S393" s="635"/>
      <c r="T393" s="707"/>
      <c r="U393" s="707"/>
      <c r="V393" s="707"/>
      <c r="W393" s="636"/>
      <c r="X393" s="636"/>
      <c r="Y393" s="707"/>
      <c r="Z393" s="635"/>
      <c r="AA393" s="707"/>
      <c r="AB393" s="707"/>
    </row>
    <row r="394" spans="1:28" x14ac:dyDescent="0.25">
      <c r="A394" s="23"/>
      <c r="B394" s="24"/>
      <c r="C394" s="25"/>
      <c r="D394" s="27"/>
      <c r="E394" s="27"/>
      <c r="F394" s="28"/>
      <c r="G394" s="27"/>
      <c r="H394" s="180"/>
      <c r="I394" s="27"/>
      <c r="J394" s="738"/>
      <c r="K394" s="635"/>
      <c r="L394" s="635"/>
      <c r="M394" s="635"/>
      <c r="N394" s="635"/>
      <c r="O394" s="636"/>
      <c r="P394" s="635"/>
      <c r="Q394" s="636"/>
      <c r="R394" s="636"/>
      <c r="S394" s="635"/>
      <c r="T394" s="707"/>
      <c r="U394" s="707"/>
      <c r="V394" s="707"/>
      <c r="W394" s="636"/>
      <c r="X394" s="636"/>
      <c r="Y394" s="707"/>
      <c r="Z394" s="635"/>
      <c r="AA394" s="707"/>
      <c r="AB394" s="707"/>
    </row>
    <row r="395" spans="1:28" x14ac:dyDescent="0.25">
      <c r="A395" s="23"/>
      <c r="B395" s="24"/>
      <c r="C395" s="25"/>
      <c r="D395" s="27"/>
      <c r="E395" s="27"/>
      <c r="F395" s="28"/>
      <c r="G395" s="27"/>
      <c r="H395" s="180"/>
      <c r="I395" s="27"/>
      <c r="J395" s="738"/>
      <c r="K395" s="635"/>
      <c r="L395" s="635"/>
      <c r="M395" s="635"/>
      <c r="N395" s="635"/>
      <c r="O395" s="636"/>
      <c r="P395" s="635"/>
      <c r="Q395" s="636"/>
      <c r="R395" s="636"/>
      <c r="S395" s="635"/>
      <c r="T395" s="707"/>
      <c r="U395" s="707"/>
      <c r="V395" s="707"/>
      <c r="W395" s="636"/>
      <c r="X395" s="636"/>
      <c r="Y395" s="707"/>
      <c r="Z395" s="635"/>
      <c r="AA395" s="707"/>
      <c r="AB395" s="707"/>
    </row>
    <row r="396" spans="1:28" x14ac:dyDescent="0.25">
      <c r="A396" s="23"/>
      <c r="B396" s="24"/>
      <c r="C396" s="25"/>
      <c r="D396" s="27"/>
      <c r="E396" s="27"/>
      <c r="F396" s="28"/>
      <c r="G396" s="27"/>
      <c r="H396" s="180"/>
      <c r="I396" s="27"/>
      <c r="J396" s="738"/>
      <c r="K396" s="635"/>
      <c r="L396" s="635"/>
      <c r="M396" s="635"/>
      <c r="N396" s="635"/>
      <c r="O396" s="636"/>
      <c r="P396" s="635"/>
      <c r="Q396" s="636"/>
      <c r="R396" s="636"/>
      <c r="S396" s="635"/>
      <c r="T396" s="707"/>
      <c r="U396" s="707"/>
      <c r="V396" s="707"/>
      <c r="W396" s="636"/>
      <c r="X396" s="636"/>
      <c r="Y396" s="707"/>
      <c r="Z396" s="635"/>
      <c r="AA396" s="707"/>
      <c r="AB396" s="707"/>
    </row>
    <row r="397" spans="1:28" x14ac:dyDescent="0.25">
      <c r="A397" s="23"/>
      <c r="B397" s="24"/>
      <c r="C397" s="25"/>
      <c r="D397" s="27"/>
      <c r="E397" s="27"/>
      <c r="F397" s="28"/>
      <c r="G397" s="27"/>
      <c r="H397" s="180"/>
      <c r="I397" s="27"/>
      <c r="J397" s="738"/>
      <c r="K397" s="635"/>
      <c r="L397" s="635"/>
      <c r="M397" s="635"/>
      <c r="N397" s="635"/>
      <c r="O397" s="636"/>
      <c r="P397" s="635"/>
      <c r="Q397" s="636"/>
      <c r="R397" s="636"/>
      <c r="S397" s="635"/>
      <c r="T397" s="707"/>
      <c r="U397" s="707"/>
      <c r="V397" s="707"/>
      <c r="W397" s="636"/>
      <c r="X397" s="636"/>
      <c r="Y397" s="707"/>
      <c r="Z397" s="635"/>
      <c r="AA397" s="707"/>
      <c r="AB397" s="707"/>
    </row>
    <row r="398" spans="1:28" x14ac:dyDescent="0.25">
      <c r="A398" s="23"/>
      <c r="B398" s="24"/>
      <c r="C398" s="25"/>
      <c r="D398" s="27"/>
      <c r="E398" s="27"/>
      <c r="F398" s="28"/>
      <c r="G398" s="27"/>
      <c r="H398" s="180"/>
      <c r="I398" s="27"/>
      <c r="J398" s="738"/>
      <c r="K398" s="635"/>
      <c r="L398" s="635"/>
      <c r="M398" s="635"/>
      <c r="N398" s="635"/>
      <c r="O398" s="636"/>
      <c r="P398" s="635"/>
      <c r="Q398" s="636"/>
      <c r="R398" s="636"/>
      <c r="S398" s="635"/>
      <c r="T398" s="707"/>
      <c r="U398" s="707"/>
      <c r="V398" s="707"/>
      <c r="W398" s="636"/>
      <c r="X398" s="636"/>
      <c r="Y398" s="707"/>
      <c r="Z398" s="635"/>
      <c r="AA398" s="707"/>
      <c r="AB398" s="707"/>
    </row>
    <row r="399" spans="1:28" x14ac:dyDescent="0.25">
      <c r="A399" s="23"/>
      <c r="B399" s="24"/>
      <c r="C399" s="25"/>
      <c r="D399" s="27"/>
      <c r="E399" s="27"/>
      <c r="F399" s="28"/>
      <c r="G399" s="27"/>
      <c r="H399" s="180"/>
      <c r="I399" s="27"/>
      <c r="J399" s="738"/>
      <c r="K399" s="635"/>
      <c r="L399" s="635"/>
      <c r="M399" s="635"/>
      <c r="N399" s="635"/>
      <c r="O399" s="636"/>
      <c r="P399" s="635"/>
      <c r="Q399" s="636"/>
      <c r="R399" s="636"/>
      <c r="S399" s="635"/>
      <c r="T399" s="707"/>
      <c r="U399" s="707"/>
      <c r="V399" s="707"/>
      <c r="W399" s="636"/>
      <c r="X399" s="636"/>
      <c r="Y399" s="707"/>
      <c r="Z399" s="635"/>
      <c r="AA399" s="707"/>
      <c r="AB399" s="707"/>
    </row>
    <row r="400" spans="1:28" x14ac:dyDescent="0.25">
      <c r="A400" s="23"/>
      <c r="B400" s="24"/>
      <c r="C400" s="25"/>
      <c r="D400" s="27"/>
      <c r="E400" s="27"/>
      <c r="F400" s="28"/>
      <c r="G400" s="27"/>
      <c r="H400" s="180"/>
      <c r="I400" s="27"/>
      <c r="J400" s="738"/>
      <c r="K400" s="635"/>
      <c r="L400" s="635"/>
      <c r="M400" s="635"/>
      <c r="N400" s="635"/>
      <c r="O400" s="636"/>
      <c r="P400" s="635"/>
      <c r="Q400" s="636"/>
      <c r="R400" s="636"/>
      <c r="S400" s="635"/>
      <c r="T400" s="707"/>
      <c r="U400" s="707"/>
      <c r="V400" s="707"/>
      <c r="W400" s="636"/>
      <c r="X400" s="636"/>
      <c r="Y400" s="707"/>
      <c r="Z400" s="635"/>
      <c r="AA400" s="707"/>
      <c r="AB400" s="707"/>
    </row>
    <row r="401" spans="1:28" x14ac:dyDescent="0.25">
      <c r="A401" s="23"/>
      <c r="B401" s="24"/>
      <c r="C401" s="25"/>
      <c r="D401" s="27"/>
      <c r="E401" s="27"/>
      <c r="F401" s="28"/>
      <c r="G401" s="27"/>
      <c r="H401" s="180"/>
      <c r="I401" s="27"/>
      <c r="J401" s="738"/>
      <c r="K401" s="635"/>
      <c r="L401" s="635"/>
      <c r="M401" s="635"/>
      <c r="N401" s="635"/>
      <c r="O401" s="636"/>
      <c r="P401" s="635"/>
      <c r="Q401" s="636"/>
      <c r="R401" s="636"/>
      <c r="S401" s="635"/>
      <c r="T401" s="707"/>
      <c r="U401" s="707"/>
      <c r="V401" s="707"/>
      <c r="W401" s="636"/>
      <c r="X401" s="636"/>
      <c r="Y401" s="707"/>
      <c r="Z401" s="635"/>
      <c r="AA401" s="707"/>
      <c r="AB401" s="707"/>
    </row>
    <row r="402" spans="1:28" x14ac:dyDescent="0.25">
      <c r="A402" s="23"/>
      <c r="B402" s="24"/>
      <c r="C402" s="25"/>
      <c r="D402" s="27"/>
      <c r="E402" s="27"/>
      <c r="F402" s="28"/>
      <c r="G402" s="27"/>
      <c r="H402" s="180"/>
      <c r="I402" s="27"/>
      <c r="J402" s="738"/>
      <c r="K402" s="635"/>
      <c r="L402" s="635"/>
      <c r="M402" s="635"/>
      <c r="N402" s="635"/>
      <c r="O402" s="636"/>
      <c r="P402" s="635"/>
      <c r="Q402" s="636"/>
      <c r="R402" s="636"/>
      <c r="S402" s="635"/>
      <c r="T402" s="707"/>
      <c r="U402" s="707"/>
      <c r="V402" s="707"/>
      <c r="W402" s="636"/>
      <c r="X402" s="636"/>
      <c r="Y402" s="707"/>
      <c r="Z402" s="635"/>
      <c r="AA402" s="707"/>
      <c r="AB402" s="707"/>
    </row>
    <row r="403" spans="1:28" x14ac:dyDescent="0.25">
      <c r="A403" s="23"/>
      <c r="B403" s="24"/>
      <c r="C403" s="25"/>
      <c r="D403" s="27"/>
      <c r="E403" s="27"/>
      <c r="F403" s="28"/>
      <c r="G403" s="27"/>
      <c r="H403" s="180"/>
      <c r="I403" s="27"/>
      <c r="J403" s="738"/>
      <c r="K403" s="635"/>
      <c r="L403" s="635"/>
      <c r="M403" s="635"/>
      <c r="N403" s="635"/>
      <c r="O403" s="636"/>
      <c r="P403" s="635"/>
      <c r="Q403" s="636"/>
      <c r="R403" s="636"/>
      <c r="S403" s="635"/>
      <c r="T403" s="707"/>
      <c r="U403" s="707"/>
      <c r="V403" s="707"/>
      <c r="W403" s="636"/>
      <c r="X403" s="636"/>
      <c r="Y403" s="707"/>
      <c r="Z403" s="635"/>
      <c r="AA403" s="707"/>
      <c r="AB403" s="707"/>
    </row>
    <row r="404" spans="1:28" x14ac:dyDescent="0.25">
      <c r="A404" s="23"/>
      <c r="B404" s="24"/>
      <c r="C404" s="25"/>
      <c r="D404" s="27"/>
      <c r="E404" s="27"/>
      <c r="F404" s="28"/>
      <c r="G404" s="27"/>
      <c r="H404" s="180"/>
      <c r="I404" s="27"/>
      <c r="J404" s="738"/>
      <c r="K404" s="635"/>
      <c r="L404" s="635"/>
      <c r="M404" s="635"/>
      <c r="N404" s="635"/>
      <c r="O404" s="636"/>
      <c r="P404" s="635"/>
      <c r="Q404" s="636"/>
      <c r="R404" s="636"/>
      <c r="S404" s="635"/>
      <c r="T404" s="707"/>
      <c r="U404" s="707"/>
      <c r="V404" s="707"/>
      <c r="W404" s="636"/>
      <c r="X404" s="636"/>
      <c r="Y404" s="707"/>
      <c r="Z404" s="635"/>
      <c r="AA404" s="707"/>
      <c r="AB404" s="707"/>
    </row>
    <row r="405" spans="1:28" x14ac:dyDescent="0.25">
      <c r="A405" s="23"/>
      <c r="B405" s="24"/>
      <c r="C405" s="25"/>
      <c r="D405" s="27"/>
      <c r="E405" s="27"/>
      <c r="F405" s="28"/>
      <c r="G405" s="27"/>
      <c r="H405" s="180"/>
      <c r="I405" s="27"/>
      <c r="J405" s="738"/>
      <c r="K405" s="635"/>
      <c r="L405" s="635"/>
      <c r="M405" s="635"/>
      <c r="N405" s="635"/>
      <c r="O405" s="636"/>
      <c r="P405" s="635"/>
      <c r="Q405" s="636"/>
      <c r="R405" s="636"/>
      <c r="S405" s="635"/>
      <c r="T405" s="707"/>
      <c r="U405" s="707"/>
      <c r="V405" s="707"/>
      <c r="W405" s="636"/>
      <c r="X405" s="636"/>
      <c r="Y405" s="707"/>
      <c r="Z405" s="635"/>
      <c r="AA405" s="707"/>
      <c r="AB405" s="707"/>
    </row>
    <row r="406" spans="1:28" x14ac:dyDescent="0.25">
      <c r="A406" s="23"/>
      <c r="B406" s="24"/>
      <c r="C406" s="25"/>
      <c r="D406" s="27"/>
      <c r="E406" s="27"/>
      <c r="F406" s="28"/>
      <c r="G406" s="27"/>
      <c r="H406" s="180"/>
      <c r="I406" s="27"/>
      <c r="J406" s="738"/>
      <c r="K406" s="635"/>
      <c r="L406" s="635"/>
      <c r="M406" s="635"/>
      <c r="N406" s="635"/>
      <c r="O406" s="636"/>
      <c r="P406" s="635"/>
      <c r="Q406" s="636"/>
      <c r="R406" s="636"/>
      <c r="S406" s="635"/>
      <c r="T406" s="707"/>
      <c r="U406" s="707"/>
      <c r="V406" s="707"/>
      <c r="W406" s="636"/>
      <c r="X406" s="636"/>
      <c r="Y406" s="707"/>
      <c r="Z406" s="635"/>
      <c r="AA406" s="707"/>
      <c r="AB406" s="707"/>
    </row>
    <row r="407" spans="1:28" x14ac:dyDescent="0.25">
      <c r="A407" s="23"/>
      <c r="B407" s="24"/>
      <c r="C407" s="25"/>
      <c r="D407" s="27"/>
      <c r="E407" s="27"/>
      <c r="F407" s="28"/>
      <c r="G407" s="27"/>
      <c r="H407" s="180"/>
      <c r="I407" s="27"/>
      <c r="J407" s="738"/>
      <c r="K407" s="635"/>
      <c r="L407" s="635"/>
      <c r="M407" s="635"/>
      <c r="N407" s="635"/>
      <c r="O407" s="636"/>
      <c r="P407" s="635"/>
      <c r="Q407" s="636"/>
      <c r="R407" s="636"/>
      <c r="S407" s="635"/>
      <c r="T407" s="707"/>
      <c r="U407" s="707"/>
      <c r="V407" s="707"/>
      <c r="W407" s="636"/>
      <c r="X407" s="636"/>
      <c r="Y407" s="707"/>
      <c r="Z407" s="635"/>
      <c r="AA407" s="707"/>
      <c r="AB407" s="707"/>
    </row>
    <row r="408" spans="1:28" x14ac:dyDescent="0.25">
      <c r="A408" s="23"/>
      <c r="B408" s="24"/>
      <c r="C408" s="25"/>
      <c r="D408" s="27"/>
      <c r="E408" s="27"/>
      <c r="F408" s="28"/>
      <c r="G408" s="27"/>
      <c r="H408" s="180"/>
      <c r="I408" s="27"/>
      <c r="J408" s="738"/>
      <c r="K408" s="635"/>
      <c r="L408" s="635"/>
      <c r="M408" s="635"/>
      <c r="N408" s="635"/>
      <c r="O408" s="636"/>
      <c r="P408" s="635"/>
      <c r="Q408" s="636"/>
      <c r="R408" s="636"/>
      <c r="S408" s="635"/>
      <c r="T408" s="707"/>
      <c r="U408" s="707"/>
      <c r="V408" s="707"/>
      <c r="W408" s="636"/>
      <c r="X408" s="636"/>
      <c r="Y408" s="707"/>
      <c r="Z408" s="635"/>
      <c r="AA408" s="707"/>
      <c r="AB408" s="707"/>
    </row>
    <row r="409" spans="1:28" x14ac:dyDescent="0.25">
      <c r="A409" s="23"/>
      <c r="B409" s="24"/>
      <c r="C409" s="25"/>
      <c r="D409" s="27"/>
      <c r="E409" s="27"/>
      <c r="F409" s="28"/>
      <c r="G409" s="27"/>
      <c r="H409" s="180"/>
      <c r="I409" s="27"/>
      <c r="J409" s="738"/>
      <c r="K409" s="635"/>
      <c r="L409" s="635"/>
      <c r="M409" s="635"/>
      <c r="N409" s="635"/>
      <c r="O409" s="636"/>
      <c r="P409" s="635"/>
      <c r="Q409" s="636"/>
      <c r="R409" s="636"/>
      <c r="S409" s="635"/>
      <c r="T409" s="707"/>
      <c r="U409" s="707"/>
      <c r="V409" s="707"/>
      <c r="W409" s="636"/>
      <c r="X409" s="636"/>
      <c r="Y409" s="707"/>
      <c r="Z409" s="635"/>
      <c r="AA409" s="707"/>
      <c r="AB409" s="707"/>
    </row>
    <row r="410" spans="1:28" x14ac:dyDescent="0.25">
      <c r="A410" s="23"/>
      <c r="B410" s="24"/>
      <c r="C410" s="25"/>
      <c r="D410" s="27"/>
      <c r="E410" s="27"/>
      <c r="F410" s="28"/>
      <c r="G410" s="27"/>
      <c r="H410" s="180"/>
      <c r="I410" s="27"/>
      <c r="J410" s="738"/>
      <c r="K410" s="635"/>
      <c r="L410" s="635"/>
      <c r="M410" s="635"/>
      <c r="N410" s="635"/>
      <c r="O410" s="636"/>
      <c r="P410" s="635"/>
      <c r="Q410" s="636"/>
      <c r="R410" s="636"/>
      <c r="S410" s="635"/>
      <c r="T410" s="707"/>
      <c r="U410" s="707"/>
      <c r="V410" s="707"/>
      <c r="W410" s="636"/>
      <c r="X410" s="636"/>
      <c r="Y410" s="707"/>
      <c r="Z410" s="635"/>
      <c r="AA410" s="707"/>
      <c r="AB410" s="707"/>
    </row>
    <row r="411" spans="1:28" x14ac:dyDescent="0.25">
      <c r="A411" s="23"/>
      <c r="B411" s="24"/>
      <c r="C411" s="25"/>
      <c r="D411" s="27"/>
      <c r="E411" s="27"/>
      <c r="F411" s="28"/>
      <c r="G411" s="27"/>
      <c r="H411" s="180"/>
      <c r="I411" s="27"/>
      <c r="J411" s="738"/>
      <c r="K411" s="635"/>
      <c r="L411" s="635"/>
      <c r="M411" s="635"/>
      <c r="N411" s="635"/>
      <c r="O411" s="636"/>
      <c r="P411" s="635"/>
      <c r="Q411" s="636"/>
      <c r="R411" s="636"/>
      <c r="S411" s="635"/>
      <c r="T411" s="707"/>
      <c r="U411" s="707"/>
      <c r="V411" s="707"/>
      <c r="W411" s="636"/>
      <c r="X411" s="636"/>
      <c r="Y411" s="707"/>
      <c r="Z411" s="635"/>
      <c r="AA411" s="707"/>
      <c r="AB411" s="707"/>
    </row>
    <row r="412" spans="1:28" x14ac:dyDescent="0.25">
      <c r="A412" s="23"/>
      <c r="B412" s="24"/>
      <c r="C412" s="25"/>
      <c r="D412" s="27"/>
      <c r="E412" s="27"/>
      <c r="F412" s="28"/>
      <c r="G412" s="27"/>
      <c r="H412" s="180"/>
      <c r="I412" s="27"/>
      <c r="J412" s="738"/>
      <c r="K412" s="635"/>
      <c r="L412" s="635"/>
      <c r="M412" s="635"/>
      <c r="N412" s="635"/>
      <c r="O412" s="636"/>
      <c r="P412" s="635"/>
      <c r="Q412" s="636"/>
      <c r="R412" s="636"/>
      <c r="S412" s="635"/>
      <c r="T412" s="707"/>
      <c r="U412" s="707"/>
      <c r="V412" s="707"/>
      <c r="W412" s="636"/>
      <c r="X412" s="636"/>
      <c r="Y412" s="707"/>
      <c r="Z412" s="635"/>
      <c r="AA412" s="707"/>
      <c r="AB412" s="707"/>
    </row>
    <row r="413" spans="1:28" x14ac:dyDescent="0.25">
      <c r="A413" s="23"/>
      <c r="B413" s="24"/>
      <c r="C413" s="25"/>
      <c r="D413" s="27"/>
      <c r="E413" s="27"/>
      <c r="F413" s="28"/>
      <c r="G413" s="27"/>
      <c r="H413" s="180"/>
      <c r="I413" s="27"/>
      <c r="J413" s="738"/>
      <c r="K413" s="635"/>
      <c r="L413" s="635"/>
      <c r="M413" s="635"/>
      <c r="N413" s="635"/>
      <c r="O413" s="636"/>
      <c r="P413" s="635"/>
      <c r="Q413" s="636"/>
      <c r="R413" s="636"/>
      <c r="S413" s="635"/>
      <c r="T413" s="707"/>
      <c r="U413" s="707"/>
      <c r="V413" s="707"/>
      <c r="W413" s="636"/>
      <c r="X413" s="636"/>
      <c r="Y413" s="707"/>
      <c r="Z413" s="635"/>
      <c r="AA413" s="707"/>
      <c r="AB413" s="707"/>
    </row>
    <row r="414" spans="1:28" x14ac:dyDescent="0.25">
      <c r="A414" s="23"/>
      <c r="B414" s="24"/>
      <c r="C414" s="25"/>
      <c r="D414" s="27"/>
      <c r="E414" s="27"/>
      <c r="F414" s="28"/>
      <c r="G414" s="27"/>
      <c r="H414" s="180"/>
      <c r="I414" s="27"/>
      <c r="J414" s="738"/>
      <c r="K414" s="635"/>
      <c r="L414" s="635"/>
      <c r="M414" s="635"/>
      <c r="N414" s="635"/>
      <c r="O414" s="636"/>
      <c r="P414" s="635"/>
      <c r="Q414" s="636"/>
      <c r="R414" s="636"/>
      <c r="S414" s="635"/>
      <c r="T414" s="707"/>
      <c r="U414" s="707"/>
      <c r="V414" s="707"/>
      <c r="W414" s="636"/>
      <c r="X414" s="636"/>
      <c r="Y414" s="707"/>
      <c r="Z414" s="635"/>
      <c r="AA414" s="707"/>
      <c r="AB414" s="707"/>
    </row>
    <row r="415" spans="1:28" x14ac:dyDescent="0.25">
      <c r="A415" s="23"/>
      <c r="B415" s="24"/>
      <c r="C415" s="25"/>
      <c r="D415" s="27"/>
      <c r="E415" s="27"/>
      <c r="F415" s="28"/>
      <c r="G415" s="27"/>
      <c r="H415" s="180"/>
      <c r="I415" s="27"/>
      <c r="J415" s="738"/>
      <c r="K415" s="635"/>
      <c r="L415" s="635"/>
      <c r="M415" s="635"/>
      <c r="N415" s="635"/>
      <c r="O415" s="636"/>
      <c r="P415" s="635"/>
      <c r="Q415" s="636"/>
      <c r="R415" s="636"/>
      <c r="S415" s="635"/>
      <c r="T415" s="707"/>
      <c r="U415" s="707"/>
      <c r="V415" s="707"/>
      <c r="W415" s="636"/>
      <c r="X415" s="636"/>
      <c r="Y415" s="707"/>
      <c r="Z415" s="635"/>
      <c r="AA415" s="707"/>
      <c r="AB415" s="707"/>
    </row>
    <row r="416" spans="1:28" x14ac:dyDescent="0.25">
      <c r="A416" s="23"/>
      <c r="B416" s="24"/>
      <c r="C416" s="25"/>
      <c r="D416" s="27"/>
      <c r="E416" s="27"/>
      <c r="F416" s="28"/>
      <c r="G416" s="27"/>
      <c r="H416" s="180"/>
      <c r="I416" s="27"/>
      <c r="J416" s="738"/>
      <c r="K416" s="635"/>
      <c r="L416" s="635"/>
      <c r="M416" s="635"/>
      <c r="N416" s="635"/>
      <c r="O416" s="636"/>
      <c r="P416" s="635"/>
      <c r="Q416" s="636"/>
      <c r="R416" s="636"/>
      <c r="S416" s="635"/>
      <c r="T416" s="707"/>
      <c r="U416" s="707"/>
      <c r="V416" s="707"/>
      <c r="W416" s="636"/>
      <c r="X416" s="636"/>
      <c r="Y416" s="707"/>
      <c r="Z416" s="635"/>
      <c r="AA416" s="707"/>
      <c r="AB416" s="707"/>
    </row>
    <row r="417" spans="1:28" x14ac:dyDescent="0.25">
      <c r="A417" s="23"/>
      <c r="B417" s="24"/>
      <c r="C417" s="25"/>
      <c r="D417" s="27"/>
      <c r="E417" s="27"/>
      <c r="F417" s="28"/>
      <c r="G417" s="27"/>
      <c r="H417" s="180"/>
      <c r="I417" s="27"/>
      <c r="J417" s="738"/>
      <c r="K417" s="635"/>
      <c r="L417" s="635"/>
      <c r="M417" s="635"/>
      <c r="N417" s="635"/>
      <c r="O417" s="636"/>
      <c r="P417" s="635"/>
      <c r="Q417" s="636"/>
      <c r="R417" s="636"/>
      <c r="S417" s="635"/>
      <c r="T417" s="707"/>
      <c r="U417" s="707"/>
      <c r="V417" s="707"/>
      <c r="W417" s="636"/>
      <c r="X417" s="636"/>
      <c r="Y417" s="707"/>
      <c r="Z417" s="635"/>
      <c r="AA417" s="707"/>
      <c r="AB417" s="707"/>
    </row>
    <row r="418" spans="1:28" x14ac:dyDescent="0.25">
      <c r="A418" s="23"/>
      <c r="B418" s="24"/>
      <c r="C418" s="25"/>
      <c r="D418" s="27"/>
      <c r="E418" s="27"/>
      <c r="F418" s="28"/>
      <c r="G418" s="27"/>
      <c r="H418" s="180"/>
      <c r="I418" s="27"/>
      <c r="J418" s="738"/>
      <c r="K418" s="635"/>
      <c r="L418" s="635"/>
      <c r="M418" s="635"/>
      <c r="N418" s="635"/>
      <c r="O418" s="636"/>
      <c r="P418" s="635"/>
      <c r="Q418" s="636"/>
      <c r="R418" s="636"/>
      <c r="S418" s="635"/>
      <c r="T418" s="707"/>
      <c r="U418" s="707"/>
      <c r="V418" s="707"/>
      <c r="W418" s="636"/>
      <c r="X418" s="636"/>
      <c r="Y418" s="707"/>
      <c r="Z418" s="635"/>
      <c r="AA418" s="707"/>
      <c r="AB418" s="707"/>
    </row>
    <row r="419" spans="1:28" x14ac:dyDescent="0.25">
      <c r="A419" s="23"/>
      <c r="B419" s="24"/>
      <c r="C419" s="25"/>
      <c r="D419" s="27"/>
      <c r="E419" s="27"/>
      <c r="F419" s="28"/>
      <c r="G419" s="27"/>
      <c r="H419" s="180"/>
      <c r="I419" s="27"/>
      <c r="J419" s="738"/>
      <c r="K419" s="635"/>
      <c r="L419" s="635"/>
      <c r="M419" s="635"/>
      <c r="N419" s="635"/>
      <c r="O419" s="636"/>
      <c r="P419" s="635"/>
      <c r="Q419" s="636"/>
      <c r="R419" s="636"/>
      <c r="S419" s="635"/>
      <c r="T419" s="707"/>
      <c r="U419" s="707"/>
      <c r="V419" s="707"/>
      <c r="W419" s="636"/>
      <c r="X419" s="636"/>
      <c r="Y419" s="707"/>
      <c r="Z419" s="635"/>
      <c r="AA419" s="707"/>
      <c r="AB419" s="707"/>
    </row>
    <row r="420" spans="1:28" x14ac:dyDescent="0.25">
      <c r="A420" s="23"/>
      <c r="B420" s="24"/>
      <c r="C420" s="25"/>
      <c r="D420" s="27"/>
      <c r="E420" s="27"/>
      <c r="F420" s="28"/>
      <c r="G420" s="27"/>
      <c r="H420" s="180"/>
      <c r="I420" s="27"/>
      <c r="J420" s="738"/>
      <c r="K420" s="635"/>
      <c r="L420" s="635"/>
      <c r="M420" s="635"/>
      <c r="N420" s="635"/>
      <c r="O420" s="636"/>
      <c r="P420" s="635"/>
      <c r="Q420" s="636"/>
      <c r="R420" s="636"/>
      <c r="S420" s="635"/>
      <c r="T420" s="707"/>
      <c r="U420" s="707"/>
      <c r="V420" s="707"/>
      <c r="W420" s="636"/>
      <c r="X420" s="636"/>
      <c r="Y420" s="707"/>
      <c r="Z420" s="635"/>
      <c r="AA420" s="707"/>
      <c r="AB420" s="707"/>
    </row>
    <row r="421" spans="1:28" x14ac:dyDescent="0.25">
      <c r="A421" s="23"/>
      <c r="B421" s="24"/>
      <c r="C421" s="25"/>
      <c r="D421" s="27"/>
      <c r="E421" s="27"/>
      <c r="F421" s="28"/>
      <c r="G421" s="27"/>
      <c r="H421" s="180"/>
      <c r="I421" s="27"/>
      <c r="J421" s="738"/>
      <c r="K421" s="635"/>
      <c r="L421" s="635"/>
      <c r="M421" s="635"/>
      <c r="N421" s="635"/>
      <c r="O421" s="636"/>
      <c r="P421" s="635"/>
      <c r="Q421" s="636"/>
      <c r="R421" s="636"/>
      <c r="S421" s="635"/>
      <c r="T421" s="707"/>
      <c r="U421" s="707"/>
      <c r="V421" s="707"/>
      <c r="W421" s="636"/>
      <c r="X421" s="636"/>
      <c r="Y421" s="707"/>
      <c r="Z421" s="635"/>
      <c r="AA421" s="707"/>
      <c r="AB421" s="707"/>
    </row>
    <row r="422" spans="1:28" x14ac:dyDescent="0.25">
      <c r="A422" s="23"/>
      <c r="B422" s="24"/>
      <c r="C422" s="25"/>
      <c r="D422" s="27"/>
      <c r="E422" s="27"/>
      <c r="F422" s="28"/>
      <c r="G422" s="27"/>
      <c r="H422" s="180"/>
      <c r="I422" s="27"/>
      <c r="J422" s="738"/>
      <c r="K422" s="635"/>
      <c r="L422" s="635"/>
      <c r="M422" s="635"/>
      <c r="N422" s="635"/>
      <c r="O422" s="636"/>
      <c r="P422" s="635"/>
      <c r="Q422" s="636"/>
      <c r="R422" s="636"/>
      <c r="S422" s="635"/>
      <c r="T422" s="707"/>
      <c r="U422" s="707"/>
      <c r="V422" s="707"/>
      <c r="W422" s="636"/>
      <c r="X422" s="636"/>
      <c r="Y422" s="707"/>
      <c r="Z422" s="635"/>
      <c r="AA422" s="707"/>
      <c r="AB422" s="707"/>
    </row>
    <row r="423" spans="1:28" x14ac:dyDescent="0.25">
      <c r="A423" s="23"/>
      <c r="B423" s="24"/>
      <c r="C423" s="25"/>
      <c r="D423" s="27"/>
      <c r="E423" s="27"/>
      <c r="F423" s="28"/>
      <c r="G423" s="27"/>
      <c r="H423" s="180"/>
      <c r="I423" s="27"/>
      <c r="J423" s="738"/>
      <c r="K423" s="635"/>
      <c r="L423" s="635"/>
      <c r="M423" s="635"/>
      <c r="N423" s="635"/>
      <c r="O423" s="636"/>
      <c r="P423" s="635"/>
      <c r="Q423" s="636"/>
      <c r="R423" s="636"/>
      <c r="S423" s="635"/>
      <c r="T423" s="707"/>
      <c r="U423" s="707"/>
      <c r="V423" s="707"/>
      <c r="W423" s="636"/>
      <c r="X423" s="636"/>
      <c r="Y423" s="707"/>
      <c r="Z423" s="635"/>
      <c r="AA423" s="707"/>
      <c r="AB423" s="707"/>
    </row>
    <row r="424" spans="1:28" x14ac:dyDescent="0.25">
      <c r="A424" s="23"/>
      <c r="B424" s="24"/>
      <c r="C424" s="25"/>
      <c r="D424" s="27"/>
      <c r="E424" s="27"/>
      <c r="F424" s="28"/>
      <c r="G424" s="27"/>
      <c r="H424" s="180"/>
      <c r="I424" s="27"/>
      <c r="J424" s="738"/>
      <c r="K424" s="635"/>
      <c r="L424" s="635"/>
      <c r="M424" s="635"/>
      <c r="N424" s="635"/>
      <c r="O424" s="636"/>
      <c r="P424" s="635"/>
      <c r="Q424" s="636"/>
      <c r="R424" s="636"/>
      <c r="S424" s="635"/>
      <c r="T424" s="707"/>
      <c r="U424" s="707"/>
      <c r="V424" s="707"/>
      <c r="W424" s="636"/>
      <c r="X424" s="636"/>
      <c r="Y424" s="707"/>
      <c r="Z424" s="635"/>
      <c r="AA424" s="707"/>
      <c r="AB424" s="707"/>
    </row>
    <row r="425" spans="1:28" x14ac:dyDescent="0.25">
      <c r="A425" s="23"/>
      <c r="B425" s="24"/>
      <c r="C425" s="25"/>
      <c r="D425" s="27"/>
      <c r="E425" s="27"/>
      <c r="F425" s="28"/>
      <c r="G425" s="27"/>
      <c r="H425" s="180"/>
      <c r="I425" s="27"/>
      <c r="J425" s="738"/>
      <c r="K425" s="635"/>
      <c r="L425" s="635"/>
      <c r="M425" s="635"/>
      <c r="N425" s="635"/>
      <c r="O425" s="636"/>
      <c r="P425" s="635"/>
      <c r="Q425" s="636"/>
      <c r="R425" s="636"/>
      <c r="S425" s="635"/>
      <c r="T425" s="707"/>
      <c r="U425" s="707"/>
      <c r="V425" s="707"/>
      <c r="W425" s="636"/>
      <c r="X425" s="636"/>
      <c r="Y425" s="707"/>
      <c r="Z425" s="635"/>
      <c r="AA425" s="707"/>
      <c r="AB425" s="707"/>
    </row>
    <row r="426" spans="1:28" x14ac:dyDescent="0.25">
      <c r="A426" s="23"/>
      <c r="B426" s="24"/>
      <c r="C426" s="25"/>
      <c r="D426" s="27"/>
      <c r="E426" s="27"/>
      <c r="F426" s="28"/>
      <c r="G426" s="27"/>
      <c r="H426" s="180"/>
      <c r="I426" s="27"/>
      <c r="J426" s="738"/>
      <c r="K426" s="635"/>
      <c r="L426" s="635"/>
      <c r="M426" s="635"/>
      <c r="N426" s="635"/>
      <c r="O426" s="636"/>
      <c r="P426" s="635"/>
      <c r="Q426" s="636"/>
      <c r="R426" s="636"/>
      <c r="S426" s="635"/>
      <c r="T426" s="707"/>
      <c r="U426" s="707"/>
      <c r="V426" s="707"/>
      <c r="W426" s="636"/>
      <c r="X426" s="636"/>
      <c r="Y426" s="707"/>
      <c r="Z426" s="635"/>
      <c r="AA426" s="707"/>
      <c r="AB426" s="707"/>
    </row>
    <row r="427" spans="1:28" x14ac:dyDescent="0.25">
      <c r="A427" s="23"/>
      <c r="B427" s="24"/>
      <c r="C427" s="25"/>
      <c r="D427" s="27"/>
      <c r="E427" s="27"/>
      <c r="F427" s="28"/>
      <c r="G427" s="27"/>
      <c r="H427" s="180"/>
      <c r="I427" s="27"/>
      <c r="J427" s="738"/>
      <c r="K427" s="635"/>
      <c r="L427" s="635"/>
      <c r="M427" s="635"/>
      <c r="N427" s="635"/>
      <c r="O427" s="636"/>
      <c r="P427" s="635"/>
      <c r="Q427" s="636"/>
      <c r="R427" s="636"/>
      <c r="S427" s="635"/>
      <c r="T427" s="707"/>
      <c r="U427" s="707"/>
      <c r="V427" s="707"/>
      <c r="W427" s="636"/>
      <c r="X427" s="636"/>
      <c r="Y427" s="707"/>
      <c r="Z427" s="635"/>
      <c r="AA427" s="707"/>
      <c r="AB427" s="707"/>
    </row>
    <row r="428" spans="1:28" x14ac:dyDescent="0.25">
      <c r="A428" s="23"/>
      <c r="B428" s="24"/>
      <c r="C428" s="25"/>
      <c r="D428" s="27"/>
      <c r="E428" s="27"/>
      <c r="F428" s="28"/>
      <c r="G428" s="27"/>
      <c r="H428" s="180"/>
      <c r="I428" s="27"/>
      <c r="J428" s="738"/>
      <c r="K428" s="635"/>
      <c r="L428" s="635"/>
      <c r="M428" s="635"/>
      <c r="N428" s="635"/>
      <c r="O428" s="636"/>
      <c r="P428" s="635"/>
      <c r="Q428" s="636"/>
      <c r="R428" s="636"/>
      <c r="S428" s="635"/>
      <c r="T428" s="707"/>
      <c r="U428" s="707"/>
      <c r="V428" s="707"/>
      <c r="W428" s="636"/>
      <c r="X428" s="636"/>
      <c r="Y428" s="707"/>
      <c r="Z428" s="635"/>
      <c r="AA428" s="707"/>
      <c r="AB428" s="707"/>
    </row>
    <row r="429" spans="1:28" x14ac:dyDescent="0.25">
      <c r="A429" s="23"/>
      <c r="B429" s="24"/>
      <c r="C429" s="25"/>
      <c r="D429" s="27"/>
      <c r="E429" s="27"/>
      <c r="F429" s="28"/>
      <c r="G429" s="27"/>
      <c r="H429" s="180"/>
      <c r="I429" s="27"/>
      <c r="J429" s="738"/>
      <c r="K429" s="635"/>
      <c r="L429" s="635"/>
      <c r="M429" s="635"/>
      <c r="N429" s="635"/>
      <c r="O429" s="636"/>
      <c r="P429" s="635"/>
      <c r="Q429" s="636"/>
      <c r="R429" s="636"/>
      <c r="S429" s="635"/>
      <c r="T429" s="707"/>
      <c r="U429" s="707"/>
      <c r="V429" s="707"/>
      <c r="W429" s="636"/>
      <c r="X429" s="636"/>
      <c r="Y429" s="707"/>
      <c r="Z429" s="635"/>
      <c r="AA429" s="707"/>
      <c r="AB429" s="707"/>
    </row>
    <row r="430" spans="1:28" x14ac:dyDescent="0.25">
      <c r="A430" s="23"/>
      <c r="B430" s="24"/>
      <c r="C430" s="25"/>
      <c r="D430" s="27"/>
      <c r="E430" s="27"/>
      <c r="F430" s="28"/>
      <c r="G430" s="27"/>
      <c r="H430" s="180"/>
      <c r="I430" s="27"/>
      <c r="J430" s="738"/>
      <c r="K430" s="635"/>
      <c r="L430" s="635"/>
      <c r="M430" s="635"/>
      <c r="N430" s="635"/>
      <c r="O430" s="636"/>
      <c r="P430" s="635"/>
      <c r="Q430" s="636"/>
      <c r="R430" s="636"/>
      <c r="S430" s="635"/>
      <c r="T430" s="707"/>
      <c r="U430" s="707"/>
      <c r="V430" s="707"/>
      <c r="W430" s="636"/>
      <c r="X430" s="636"/>
      <c r="Y430" s="707"/>
      <c r="Z430" s="635"/>
      <c r="AA430" s="707"/>
      <c r="AB430" s="707"/>
    </row>
    <row r="431" spans="1:28" x14ac:dyDescent="0.25">
      <c r="A431" s="23"/>
      <c r="B431" s="24"/>
      <c r="C431" s="25"/>
      <c r="D431" s="27"/>
      <c r="E431" s="27"/>
      <c r="F431" s="28"/>
      <c r="G431" s="27"/>
      <c r="H431" s="180"/>
      <c r="I431" s="27"/>
      <c r="J431" s="738"/>
      <c r="K431" s="635"/>
      <c r="L431" s="635"/>
      <c r="M431" s="635"/>
      <c r="N431" s="635"/>
      <c r="O431" s="636"/>
      <c r="P431" s="635"/>
      <c r="Q431" s="636"/>
      <c r="R431" s="636"/>
      <c r="S431" s="635"/>
      <c r="T431" s="707"/>
      <c r="U431" s="707"/>
      <c r="V431" s="707"/>
      <c r="W431" s="636"/>
      <c r="X431" s="636"/>
      <c r="Y431" s="707"/>
      <c r="Z431" s="635"/>
      <c r="AA431" s="707"/>
      <c r="AB431" s="707"/>
    </row>
    <row r="432" spans="1:28" x14ac:dyDescent="0.25">
      <c r="A432" s="23"/>
      <c r="B432" s="24"/>
      <c r="C432" s="25"/>
      <c r="D432" s="27"/>
      <c r="E432" s="27"/>
      <c r="F432" s="28"/>
      <c r="G432" s="27"/>
      <c r="H432" s="180"/>
      <c r="I432" s="27"/>
      <c r="J432" s="738"/>
      <c r="K432" s="635"/>
      <c r="L432" s="635"/>
      <c r="M432" s="635"/>
      <c r="N432" s="635"/>
      <c r="O432" s="636"/>
      <c r="P432" s="635"/>
      <c r="Q432" s="636"/>
      <c r="R432" s="636"/>
      <c r="S432" s="635"/>
      <c r="T432" s="707"/>
      <c r="U432" s="707"/>
      <c r="V432" s="707"/>
      <c r="W432" s="636"/>
      <c r="X432" s="636"/>
      <c r="Y432" s="707"/>
      <c r="Z432" s="635"/>
      <c r="AA432" s="707"/>
      <c r="AB432" s="707"/>
    </row>
    <row r="433" spans="1:28" x14ac:dyDescent="0.25">
      <c r="A433" s="23"/>
      <c r="B433" s="24"/>
      <c r="C433" s="25"/>
      <c r="D433" s="27"/>
      <c r="E433" s="27"/>
      <c r="F433" s="28"/>
      <c r="G433" s="27"/>
      <c r="H433" s="180"/>
      <c r="I433" s="27"/>
      <c r="J433" s="738"/>
      <c r="K433" s="635"/>
      <c r="L433" s="635"/>
      <c r="M433" s="635"/>
      <c r="N433" s="635"/>
      <c r="O433" s="636"/>
      <c r="P433" s="635"/>
      <c r="Q433" s="636"/>
      <c r="R433" s="636"/>
      <c r="S433" s="635"/>
      <c r="T433" s="707"/>
      <c r="U433" s="707"/>
      <c r="V433" s="707"/>
      <c r="W433" s="636"/>
      <c r="X433" s="636"/>
      <c r="Y433" s="707"/>
      <c r="Z433" s="635"/>
      <c r="AA433" s="707"/>
      <c r="AB433" s="707"/>
    </row>
    <row r="434" spans="1:28" x14ac:dyDescent="0.25">
      <c r="A434" s="23"/>
      <c r="B434" s="24"/>
      <c r="C434" s="25"/>
      <c r="D434" s="27"/>
      <c r="E434" s="27"/>
      <c r="F434" s="28"/>
      <c r="G434" s="27"/>
      <c r="H434" s="180"/>
      <c r="I434" s="27"/>
      <c r="J434" s="738"/>
      <c r="K434" s="635"/>
      <c r="L434" s="635"/>
      <c r="M434" s="635"/>
      <c r="N434" s="635"/>
      <c r="O434" s="636"/>
      <c r="P434" s="635"/>
      <c r="Q434" s="636"/>
      <c r="R434" s="636"/>
      <c r="S434" s="635"/>
      <c r="T434" s="707"/>
      <c r="U434" s="707"/>
      <c r="V434" s="707"/>
      <c r="W434" s="636"/>
      <c r="X434" s="636"/>
      <c r="Y434" s="707"/>
      <c r="Z434" s="635"/>
      <c r="AA434" s="707"/>
      <c r="AB434" s="707"/>
    </row>
    <row r="435" spans="1:28" x14ac:dyDescent="0.25">
      <c r="A435" s="23"/>
      <c r="B435" s="24"/>
      <c r="C435" s="25"/>
      <c r="D435" s="27"/>
      <c r="E435" s="27"/>
      <c r="F435" s="28"/>
      <c r="G435" s="27"/>
      <c r="H435" s="180"/>
      <c r="I435" s="27"/>
      <c r="J435" s="738"/>
      <c r="K435" s="635"/>
      <c r="L435" s="635"/>
      <c r="M435" s="635"/>
      <c r="N435" s="635"/>
      <c r="O435" s="636"/>
      <c r="P435" s="635"/>
      <c r="Q435" s="636"/>
      <c r="R435" s="636"/>
      <c r="S435" s="635"/>
      <c r="T435" s="707"/>
      <c r="U435" s="707"/>
      <c r="V435" s="707"/>
      <c r="W435" s="636"/>
      <c r="X435" s="636"/>
      <c r="Y435" s="707"/>
      <c r="Z435" s="635"/>
      <c r="AA435" s="707"/>
      <c r="AB435" s="707"/>
    </row>
    <row r="436" spans="1:28" x14ac:dyDescent="0.25">
      <c r="A436" s="23"/>
      <c r="B436" s="24"/>
      <c r="C436" s="25"/>
      <c r="D436" s="27"/>
      <c r="E436" s="27"/>
      <c r="F436" s="28"/>
      <c r="G436" s="27"/>
      <c r="H436" s="180"/>
      <c r="I436" s="27"/>
      <c r="J436" s="738"/>
      <c r="K436" s="635"/>
      <c r="L436" s="635"/>
      <c r="M436" s="635"/>
      <c r="N436" s="635"/>
      <c r="O436" s="636"/>
      <c r="P436" s="635"/>
      <c r="Q436" s="636"/>
      <c r="R436" s="636"/>
      <c r="S436" s="635"/>
      <c r="T436" s="707"/>
      <c r="U436" s="707"/>
      <c r="V436" s="707"/>
      <c r="W436" s="636"/>
      <c r="X436" s="636"/>
      <c r="Y436" s="707"/>
      <c r="Z436" s="635"/>
      <c r="AA436" s="707"/>
      <c r="AB436" s="707"/>
    </row>
    <row r="437" spans="1:28" x14ac:dyDescent="0.25">
      <c r="A437" s="23"/>
      <c r="B437" s="24"/>
      <c r="C437" s="25"/>
      <c r="D437" s="27"/>
      <c r="E437" s="27"/>
      <c r="F437" s="28"/>
      <c r="G437" s="27"/>
      <c r="H437" s="180"/>
      <c r="I437" s="27"/>
      <c r="J437" s="738"/>
      <c r="K437" s="635"/>
      <c r="L437" s="635"/>
      <c r="M437" s="635"/>
      <c r="N437" s="635"/>
      <c r="O437" s="636"/>
      <c r="P437" s="635"/>
      <c r="Q437" s="636"/>
      <c r="R437" s="636"/>
      <c r="S437" s="635"/>
      <c r="T437" s="707"/>
      <c r="U437" s="707"/>
      <c r="V437" s="707"/>
      <c r="W437" s="636"/>
      <c r="X437" s="636"/>
      <c r="Y437" s="707"/>
      <c r="Z437" s="635"/>
      <c r="AA437" s="707"/>
      <c r="AB437" s="707"/>
    </row>
    <row r="438" spans="1:28" x14ac:dyDescent="0.25">
      <c r="A438" s="23"/>
      <c r="B438" s="24"/>
      <c r="C438" s="25"/>
      <c r="D438" s="27"/>
      <c r="E438" s="27"/>
      <c r="F438" s="28"/>
      <c r="G438" s="27"/>
      <c r="H438" s="180"/>
      <c r="I438" s="27"/>
      <c r="J438" s="738"/>
      <c r="K438" s="635"/>
      <c r="L438" s="635"/>
      <c r="M438" s="635"/>
      <c r="N438" s="635"/>
      <c r="O438" s="636"/>
      <c r="P438" s="635"/>
      <c r="Q438" s="636"/>
      <c r="R438" s="636"/>
      <c r="S438" s="635"/>
      <c r="T438" s="707"/>
      <c r="U438" s="707"/>
      <c r="V438" s="707"/>
      <c r="W438" s="636"/>
      <c r="X438" s="636"/>
      <c r="Y438" s="707"/>
      <c r="Z438" s="635"/>
      <c r="AA438" s="707"/>
      <c r="AB438" s="707"/>
    </row>
    <row r="439" spans="1:28" x14ac:dyDescent="0.25">
      <c r="A439" s="23"/>
      <c r="B439" s="24"/>
      <c r="C439" s="25"/>
      <c r="D439" s="27"/>
      <c r="E439" s="27"/>
      <c r="F439" s="28"/>
      <c r="G439" s="27"/>
      <c r="H439" s="180"/>
      <c r="I439" s="27"/>
      <c r="J439" s="738"/>
      <c r="K439" s="635"/>
      <c r="L439" s="635"/>
      <c r="M439" s="635"/>
      <c r="N439" s="635"/>
      <c r="O439" s="636"/>
      <c r="P439" s="635"/>
      <c r="Q439" s="636"/>
      <c r="R439" s="636"/>
      <c r="S439" s="635"/>
      <c r="T439" s="707"/>
      <c r="U439" s="707"/>
      <c r="V439" s="707"/>
      <c r="W439" s="636"/>
      <c r="X439" s="636"/>
      <c r="Y439" s="707"/>
      <c r="Z439" s="635"/>
      <c r="AA439" s="707"/>
      <c r="AB439" s="707"/>
    </row>
    <row r="440" spans="1:28" x14ac:dyDescent="0.25">
      <c r="A440" s="23"/>
      <c r="B440" s="24"/>
      <c r="C440" s="25"/>
      <c r="D440" s="27"/>
      <c r="E440" s="27"/>
      <c r="F440" s="28"/>
      <c r="G440" s="27"/>
      <c r="H440" s="180"/>
      <c r="I440" s="27"/>
      <c r="J440" s="738"/>
      <c r="K440" s="635"/>
      <c r="L440" s="635"/>
      <c r="M440" s="635"/>
      <c r="N440" s="635"/>
      <c r="O440" s="636"/>
      <c r="P440" s="635"/>
      <c r="Q440" s="636"/>
      <c r="R440" s="636"/>
      <c r="S440" s="635"/>
      <c r="T440" s="707"/>
      <c r="U440" s="707"/>
      <c r="V440" s="707"/>
      <c r="W440" s="636"/>
      <c r="X440" s="636"/>
      <c r="Y440" s="707"/>
      <c r="Z440" s="635"/>
      <c r="AA440" s="707"/>
      <c r="AB440" s="707"/>
    </row>
    <row r="441" spans="1:28" x14ac:dyDescent="0.25">
      <c r="A441" s="23"/>
      <c r="B441" s="24"/>
      <c r="C441" s="25"/>
      <c r="D441" s="27"/>
      <c r="E441" s="27"/>
      <c r="F441" s="28"/>
      <c r="G441" s="27"/>
      <c r="H441" s="180"/>
      <c r="I441" s="27"/>
      <c r="J441" s="738"/>
      <c r="K441" s="635"/>
      <c r="L441" s="635"/>
      <c r="M441" s="635"/>
      <c r="N441" s="635"/>
      <c r="O441" s="636"/>
      <c r="P441" s="635"/>
      <c r="Q441" s="636"/>
      <c r="R441" s="636"/>
      <c r="S441" s="635"/>
      <c r="T441" s="707"/>
      <c r="U441" s="707"/>
      <c r="V441" s="707"/>
      <c r="W441" s="636"/>
      <c r="X441" s="636"/>
      <c r="Y441" s="707"/>
      <c r="Z441" s="635"/>
      <c r="AA441" s="707"/>
      <c r="AB441" s="707"/>
    </row>
    <row r="442" spans="1:28" x14ac:dyDescent="0.25">
      <c r="A442" s="23"/>
      <c r="B442" s="24"/>
      <c r="C442" s="25"/>
      <c r="D442" s="27"/>
      <c r="E442" s="27"/>
      <c r="F442" s="28"/>
      <c r="G442" s="27"/>
      <c r="H442" s="180"/>
      <c r="I442" s="27"/>
      <c r="J442" s="738"/>
      <c r="K442" s="635"/>
      <c r="L442" s="635"/>
      <c r="M442" s="635"/>
      <c r="N442" s="635"/>
      <c r="O442" s="636"/>
      <c r="P442" s="635"/>
      <c r="Q442" s="636"/>
      <c r="R442" s="636"/>
      <c r="S442" s="635"/>
      <c r="T442" s="707"/>
      <c r="U442" s="707"/>
      <c r="V442" s="707"/>
      <c r="W442" s="636"/>
      <c r="X442" s="636"/>
      <c r="Y442" s="707"/>
      <c r="Z442" s="635"/>
      <c r="AA442" s="707"/>
      <c r="AB442" s="707"/>
    </row>
    <row r="443" spans="1:28" x14ac:dyDescent="0.25">
      <c r="A443" s="23"/>
      <c r="B443" s="24"/>
      <c r="C443" s="25"/>
      <c r="D443" s="27"/>
      <c r="E443" s="27"/>
      <c r="F443" s="28"/>
      <c r="G443" s="27"/>
      <c r="H443" s="180"/>
      <c r="I443" s="27"/>
      <c r="J443" s="738"/>
      <c r="K443" s="635"/>
      <c r="L443" s="635"/>
      <c r="M443" s="635"/>
      <c r="N443" s="635"/>
      <c r="O443" s="636"/>
      <c r="P443" s="635"/>
      <c r="Q443" s="636"/>
      <c r="R443" s="636"/>
      <c r="S443" s="635"/>
      <c r="T443" s="707"/>
      <c r="U443" s="707"/>
      <c r="V443" s="707"/>
      <c r="W443" s="636"/>
      <c r="X443" s="636"/>
      <c r="Y443" s="707"/>
      <c r="Z443" s="635"/>
      <c r="AA443" s="707"/>
      <c r="AB443" s="707"/>
    </row>
    <row r="444" spans="1:28" x14ac:dyDescent="0.25">
      <c r="A444" s="23"/>
      <c r="B444" s="24"/>
      <c r="C444" s="25"/>
      <c r="D444" s="27"/>
      <c r="E444" s="27"/>
      <c r="F444" s="28"/>
      <c r="G444" s="27"/>
      <c r="H444" s="180"/>
      <c r="I444" s="27"/>
      <c r="J444" s="738"/>
      <c r="K444" s="635"/>
      <c r="L444" s="635"/>
      <c r="M444" s="635"/>
      <c r="N444" s="635"/>
      <c r="O444" s="636"/>
      <c r="P444" s="635"/>
      <c r="Q444" s="636"/>
      <c r="R444" s="636"/>
      <c r="S444" s="635"/>
      <c r="T444" s="707"/>
      <c r="U444" s="707"/>
      <c r="V444" s="707"/>
      <c r="W444" s="636"/>
      <c r="X444" s="636"/>
      <c r="Y444" s="707"/>
      <c r="Z444" s="635"/>
      <c r="AA444" s="707"/>
      <c r="AB444" s="707"/>
    </row>
    <row r="445" spans="1:28" x14ac:dyDescent="0.25">
      <c r="A445" s="23"/>
      <c r="B445" s="24"/>
      <c r="C445" s="25"/>
      <c r="D445" s="27"/>
      <c r="E445" s="27"/>
      <c r="F445" s="28"/>
      <c r="G445" s="27"/>
      <c r="H445" s="180"/>
      <c r="I445" s="27"/>
      <c r="J445" s="738"/>
      <c r="K445" s="635"/>
      <c r="L445" s="635"/>
      <c r="M445" s="635"/>
      <c r="N445" s="635"/>
      <c r="O445" s="636"/>
      <c r="P445" s="635"/>
      <c r="Q445" s="636"/>
      <c r="R445" s="636"/>
      <c r="S445" s="635"/>
      <c r="T445" s="707"/>
      <c r="U445" s="707"/>
      <c r="V445" s="707"/>
      <c r="W445" s="636"/>
      <c r="X445" s="636"/>
      <c r="Y445" s="707"/>
      <c r="Z445" s="635"/>
      <c r="AA445" s="707"/>
      <c r="AB445" s="707"/>
    </row>
    <row r="446" spans="1:28" x14ac:dyDescent="0.25">
      <c r="A446" s="23"/>
      <c r="B446" s="24"/>
      <c r="C446" s="25"/>
      <c r="D446" s="27"/>
      <c r="E446" s="27"/>
      <c r="F446" s="28"/>
      <c r="G446" s="27"/>
      <c r="H446" s="180"/>
      <c r="I446" s="27"/>
      <c r="J446" s="738"/>
      <c r="K446" s="635"/>
      <c r="L446" s="635"/>
      <c r="M446" s="635"/>
      <c r="N446" s="635"/>
      <c r="O446" s="636"/>
      <c r="P446" s="635"/>
      <c r="Q446" s="636"/>
      <c r="R446" s="636"/>
      <c r="S446" s="635"/>
      <c r="T446" s="707"/>
      <c r="U446" s="707"/>
      <c r="V446" s="707"/>
      <c r="W446" s="636"/>
      <c r="X446" s="636"/>
      <c r="Y446" s="707"/>
      <c r="Z446" s="635"/>
      <c r="AA446" s="707"/>
      <c r="AB446" s="707"/>
    </row>
    <row r="447" spans="1:28" x14ac:dyDescent="0.25">
      <c r="A447" s="23"/>
      <c r="B447" s="24"/>
      <c r="C447" s="25"/>
      <c r="D447" s="27"/>
      <c r="E447" s="27"/>
      <c r="F447" s="28"/>
      <c r="G447" s="27"/>
      <c r="H447" s="180"/>
      <c r="I447" s="27"/>
      <c r="J447" s="738"/>
      <c r="K447" s="635"/>
      <c r="L447" s="635"/>
      <c r="M447" s="635"/>
      <c r="N447" s="635"/>
      <c r="O447" s="636"/>
      <c r="P447" s="635"/>
      <c r="Q447" s="636"/>
      <c r="R447" s="636"/>
      <c r="S447" s="635"/>
      <c r="T447" s="707"/>
      <c r="U447" s="707"/>
      <c r="V447" s="707"/>
      <c r="W447" s="636"/>
      <c r="X447" s="636"/>
      <c r="Y447" s="707"/>
      <c r="Z447" s="635"/>
      <c r="AA447" s="707"/>
      <c r="AB447" s="707"/>
    </row>
    <row r="448" spans="1:28" x14ac:dyDescent="0.25">
      <c r="A448" s="23"/>
      <c r="B448" s="24"/>
      <c r="C448" s="25"/>
      <c r="D448" s="27"/>
      <c r="E448" s="27"/>
      <c r="F448" s="28"/>
      <c r="G448" s="27"/>
      <c r="H448" s="180"/>
      <c r="I448" s="27"/>
      <c r="J448" s="738"/>
      <c r="K448" s="635"/>
      <c r="L448" s="635"/>
      <c r="M448" s="635"/>
      <c r="N448" s="635"/>
      <c r="O448" s="636"/>
      <c r="P448" s="635"/>
      <c r="Q448" s="636"/>
      <c r="R448" s="636"/>
      <c r="S448" s="635"/>
      <c r="T448" s="707"/>
      <c r="U448" s="707"/>
      <c r="V448" s="707"/>
      <c r="W448" s="636"/>
      <c r="X448" s="636"/>
      <c r="Y448" s="707"/>
      <c r="Z448" s="635"/>
      <c r="AA448" s="707"/>
      <c r="AB448" s="707"/>
    </row>
    <row r="449" spans="1:28" x14ac:dyDescent="0.25">
      <c r="A449" s="23"/>
      <c r="B449" s="24"/>
      <c r="C449" s="25"/>
      <c r="D449" s="27"/>
      <c r="E449" s="27"/>
      <c r="F449" s="28"/>
      <c r="G449" s="27"/>
      <c r="H449" s="180"/>
      <c r="I449" s="27"/>
      <c r="J449" s="738"/>
      <c r="K449" s="635"/>
      <c r="L449" s="635"/>
      <c r="M449" s="635"/>
      <c r="N449" s="635"/>
      <c r="O449" s="636"/>
      <c r="P449" s="635"/>
      <c r="Q449" s="636"/>
      <c r="R449" s="636"/>
      <c r="S449" s="635"/>
      <c r="T449" s="707"/>
      <c r="U449" s="707"/>
      <c r="V449" s="707"/>
      <c r="W449" s="636"/>
      <c r="X449" s="636"/>
      <c r="Y449" s="707"/>
      <c r="Z449" s="635"/>
      <c r="AA449" s="707"/>
      <c r="AB449" s="707"/>
    </row>
    <row r="450" spans="1:28" x14ac:dyDescent="0.25">
      <c r="A450" s="23"/>
      <c r="B450" s="24"/>
      <c r="C450" s="25"/>
      <c r="D450" s="27"/>
      <c r="E450" s="27"/>
      <c r="F450" s="28"/>
      <c r="G450" s="27"/>
      <c r="H450" s="180"/>
      <c r="I450" s="27"/>
      <c r="J450" s="738"/>
      <c r="K450" s="635"/>
      <c r="L450" s="635"/>
      <c r="M450" s="635"/>
      <c r="N450" s="635"/>
      <c r="O450" s="636"/>
      <c r="P450" s="635"/>
      <c r="Q450" s="636"/>
      <c r="R450" s="636"/>
      <c r="S450" s="635"/>
      <c r="T450" s="707"/>
      <c r="U450" s="707"/>
      <c r="V450" s="707"/>
      <c r="W450" s="636"/>
      <c r="X450" s="636"/>
      <c r="Y450" s="707"/>
      <c r="Z450" s="635"/>
      <c r="AA450" s="707"/>
      <c r="AB450" s="707"/>
    </row>
    <row r="451" spans="1:28" x14ac:dyDescent="0.25">
      <c r="A451" s="23"/>
      <c r="B451" s="24"/>
      <c r="C451" s="25"/>
      <c r="D451" s="27"/>
      <c r="E451" s="27"/>
      <c r="F451" s="28"/>
      <c r="G451" s="27"/>
      <c r="H451" s="180"/>
      <c r="I451" s="27"/>
      <c r="J451" s="738"/>
      <c r="K451" s="635"/>
      <c r="L451" s="635"/>
      <c r="M451" s="635"/>
      <c r="N451" s="635"/>
      <c r="O451" s="636"/>
      <c r="P451" s="635"/>
      <c r="Q451" s="636"/>
      <c r="R451" s="636"/>
      <c r="S451" s="635"/>
      <c r="T451" s="707"/>
      <c r="U451" s="707"/>
      <c r="V451" s="707"/>
      <c r="W451" s="636"/>
      <c r="X451" s="636"/>
      <c r="Y451" s="707"/>
      <c r="Z451" s="635"/>
      <c r="AA451" s="707"/>
      <c r="AB451" s="707"/>
    </row>
    <row r="452" spans="1:28" x14ac:dyDescent="0.25">
      <c r="A452" s="23"/>
      <c r="B452" s="24"/>
      <c r="C452" s="25"/>
      <c r="D452" s="27"/>
      <c r="E452" s="27"/>
      <c r="F452" s="28"/>
      <c r="G452" s="27"/>
      <c r="H452" s="180"/>
      <c r="I452" s="27"/>
      <c r="J452" s="738"/>
      <c r="K452" s="635"/>
      <c r="L452" s="635"/>
      <c r="M452" s="635"/>
      <c r="N452" s="635"/>
      <c r="O452" s="636"/>
      <c r="P452" s="635"/>
      <c r="Q452" s="636"/>
      <c r="R452" s="636"/>
      <c r="S452" s="635"/>
      <c r="T452" s="707"/>
      <c r="U452" s="707"/>
      <c r="V452" s="707"/>
      <c r="W452" s="636"/>
      <c r="X452" s="636"/>
      <c r="Y452" s="707"/>
      <c r="Z452" s="635"/>
      <c r="AA452" s="707"/>
      <c r="AB452" s="707"/>
    </row>
    <row r="453" spans="1:28" x14ac:dyDescent="0.25">
      <c r="A453" s="23"/>
      <c r="B453" s="24"/>
      <c r="C453" s="25"/>
      <c r="D453" s="27"/>
      <c r="E453" s="27"/>
      <c r="F453" s="28"/>
      <c r="G453" s="27"/>
      <c r="H453" s="180"/>
      <c r="I453" s="27"/>
      <c r="J453" s="738"/>
      <c r="K453" s="635"/>
      <c r="L453" s="635"/>
      <c r="M453" s="635"/>
      <c r="N453" s="635"/>
      <c r="O453" s="636"/>
      <c r="P453" s="635"/>
      <c r="Q453" s="636"/>
      <c r="R453" s="636"/>
      <c r="S453" s="635"/>
      <c r="T453" s="707"/>
      <c r="U453" s="707"/>
      <c r="V453" s="707"/>
      <c r="W453" s="636"/>
      <c r="X453" s="636"/>
      <c r="Y453" s="707"/>
      <c r="Z453" s="635"/>
      <c r="AA453" s="707"/>
      <c r="AB453" s="707"/>
    </row>
    <row r="454" spans="1:28" x14ac:dyDescent="0.25">
      <c r="A454" s="23"/>
      <c r="B454" s="24"/>
      <c r="C454" s="25"/>
      <c r="D454" s="27"/>
      <c r="E454" s="27"/>
      <c r="F454" s="28"/>
      <c r="G454" s="27"/>
      <c r="H454" s="180"/>
      <c r="I454" s="27"/>
      <c r="J454" s="738"/>
      <c r="K454" s="635"/>
      <c r="L454" s="635"/>
      <c r="M454" s="635"/>
      <c r="N454" s="635"/>
      <c r="O454" s="636"/>
      <c r="P454" s="635"/>
      <c r="Q454" s="636"/>
      <c r="R454" s="636"/>
      <c r="S454" s="635"/>
      <c r="T454" s="707"/>
      <c r="U454" s="707"/>
      <c r="V454" s="707"/>
      <c r="W454" s="636"/>
      <c r="X454" s="636"/>
      <c r="Y454" s="707"/>
      <c r="Z454" s="635"/>
      <c r="AA454" s="707"/>
      <c r="AB454" s="707"/>
    </row>
    <row r="455" spans="1:28" x14ac:dyDescent="0.25">
      <c r="A455" s="23"/>
      <c r="B455" s="24"/>
      <c r="C455" s="25"/>
      <c r="D455" s="27"/>
      <c r="E455" s="27"/>
      <c r="F455" s="28"/>
      <c r="G455" s="27"/>
      <c r="H455" s="180"/>
      <c r="I455" s="27"/>
      <c r="J455" s="738"/>
      <c r="K455" s="635"/>
      <c r="L455" s="635"/>
      <c r="M455" s="635"/>
      <c r="N455" s="635"/>
      <c r="O455" s="636"/>
      <c r="P455" s="635"/>
      <c r="Q455" s="636"/>
      <c r="R455" s="636"/>
      <c r="S455" s="635"/>
      <c r="T455" s="707"/>
      <c r="U455" s="707"/>
      <c r="V455" s="707"/>
      <c r="W455" s="636"/>
      <c r="X455" s="636"/>
      <c r="Y455" s="707"/>
      <c r="Z455" s="635"/>
      <c r="AA455" s="707"/>
      <c r="AB455" s="707"/>
    </row>
    <row r="456" spans="1:28" x14ac:dyDescent="0.25">
      <c r="A456" s="23"/>
      <c r="B456" s="24"/>
      <c r="C456" s="25"/>
      <c r="D456" s="27"/>
      <c r="E456" s="27"/>
      <c r="F456" s="28"/>
      <c r="G456" s="27"/>
      <c r="H456" s="180"/>
      <c r="I456" s="27"/>
      <c r="J456" s="738"/>
      <c r="K456" s="635"/>
      <c r="L456" s="635"/>
      <c r="M456" s="635"/>
      <c r="N456" s="635"/>
      <c r="O456" s="636"/>
      <c r="P456" s="635"/>
      <c r="Q456" s="636"/>
      <c r="R456" s="636"/>
      <c r="S456" s="635"/>
      <c r="T456" s="707"/>
      <c r="U456" s="707"/>
      <c r="V456" s="707"/>
      <c r="W456" s="636"/>
      <c r="X456" s="636"/>
      <c r="Y456" s="707"/>
      <c r="Z456" s="635"/>
      <c r="AA456" s="707"/>
      <c r="AB456" s="707"/>
    </row>
    <row r="457" spans="1:28" x14ac:dyDescent="0.25">
      <c r="A457" s="23"/>
      <c r="B457" s="24"/>
      <c r="C457" s="25"/>
      <c r="D457" s="27"/>
      <c r="E457" s="27"/>
      <c r="F457" s="28"/>
      <c r="G457" s="27"/>
      <c r="H457" s="180"/>
      <c r="I457" s="27"/>
      <c r="J457" s="738"/>
      <c r="K457" s="635"/>
      <c r="L457" s="635"/>
      <c r="M457" s="635"/>
      <c r="N457" s="635"/>
      <c r="O457" s="636"/>
      <c r="P457" s="635"/>
      <c r="Q457" s="636"/>
      <c r="R457" s="636"/>
      <c r="S457" s="635"/>
      <c r="T457" s="707"/>
      <c r="U457" s="707"/>
      <c r="V457" s="707"/>
      <c r="W457" s="636"/>
      <c r="X457" s="636"/>
      <c r="Y457" s="707"/>
      <c r="Z457" s="635"/>
      <c r="AA457" s="707"/>
      <c r="AB457" s="707"/>
    </row>
    <row r="458" spans="1:28" x14ac:dyDescent="0.25">
      <c r="A458" s="23"/>
      <c r="B458" s="24"/>
      <c r="C458" s="25"/>
      <c r="D458" s="27"/>
      <c r="E458" s="27"/>
      <c r="F458" s="28"/>
      <c r="G458" s="27"/>
      <c r="H458" s="180"/>
      <c r="I458" s="27"/>
      <c r="J458" s="738"/>
      <c r="K458" s="635"/>
      <c r="L458" s="635"/>
      <c r="M458" s="635"/>
      <c r="N458" s="635"/>
      <c r="O458" s="636"/>
      <c r="P458" s="635"/>
      <c r="Q458" s="636"/>
      <c r="R458" s="636"/>
      <c r="S458" s="635"/>
      <c r="T458" s="707"/>
      <c r="U458" s="707"/>
      <c r="V458" s="707"/>
      <c r="W458" s="636"/>
      <c r="X458" s="636"/>
      <c r="Y458" s="707"/>
      <c r="Z458" s="635"/>
      <c r="AA458" s="707"/>
      <c r="AB458" s="707"/>
    </row>
    <row r="459" spans="1:28" x14ac:dyDescent="0.25">
      <c r="A459" s="23"/>
      <c r="B459" s="24"/>
      <c r="C459" s="25"/>
      <c r="D459" s="27"/>
      <c r="E459" s="27"/>
      <c r="F459" s="28"/>
      <c r="G459" s="27"/>
      <c r="H459" s="180"/>
      <c r="I459" s="27"/>
      <c r="J459" s="738"/>
      <c r="K459" s="635"/>
      <c r="L459" s="635"/>
      <c r="M459" s="635"/>
      <c r="N459" s="635"/>
      <c r="O459" s="636"/>
      <c r="P459" s="635"/>
      <c r="Q459" s="636"/>
      <c r="R459" s="636"/>
      <c r="S459" s="635"/>
      <c r="T459" s="707"/>
      <c r="U459" s="707"/>
      <c r="V459" s="707"/>
      <c r="W459" s="636"/>
      <c r="X459" s="636"/>
      <c r="Y459" s="707"/>
      <c r="Z459" s="635"/>
      <c r="AA459" s="707"/>
      <c r="AB459" s="707"/>
    </row>
    <row r="460" spans="1:28" x14ac:dyDescent="0.25">
      <c r="A460" s="23"/>
      <c r="B460" s="24"/>
      <c r="C460" s="25"/>
      <c r="D460" s="27"/>
      <c r="E460" s="27"/>
      <c r="F460" s="28"/>
      <c r="G460" s="27"/>
      <c r="H460" s="180"/>
      <c r="I460" s="27"/>
      <c r="J460" s="738"/>
      <c r="K460" s="635"/>
      <c r="L460" s="635"/>
      <c r="M460" s="635"/>
      <c r="N460" s="635"/>
      <c r="O460" s="636"/>
      <c r="P460" s="635"/>
      <c r="Q460" s="636"/>
      <c r="R460" s="636"/>
      <c r="S460" s="635"/>
      <c r="T460" s="707"/>
      <c r="U460" s="707"/>
      <c r="V460" s="707"/>
      <c r="W460" s="636"/>
      <c r="X460" s="636"/>
      <c r="Y460" s="707"/>
      <c r="Z460" s="635"/>
      <c r="AA460" s="707"/>
      <c r="AB460" s="707"/>
    </row>
    <row r="461" spans="1:28" x14ac:dyDescent="0.25">
      <c r="A461" s="23"/>
      <c r="B461" s="24"/>
      <c r="C461" s="25"/>
      <c r="D461" s="27"/>
      <c r="E461" s="27"/>
      <c r="F461" s="28"/>
      <c r="G461" s="27"/>
      <c r="H461" s="180"/>
      <c r="I461" s="27"/>
      <c r="J461" s="738"/>
      <c r="K461" s="635"/>
      <c r="L461" s="635"/>
      <c r="M461" s="635"/>
      <c r="N461" s="635"/>
      <c r="O461" s="636"/>
      <c r="P461" s="635"/>
      <c r="Q461" s="636"/>
      <c r="R461" s="636"/>
      <c r="S461" s="635"/>
      <c r="T461" s="707"/>
      <c r="U461" s="707"/>
      <c r="V461" s="707"/>
      <c r="W461" s="636"/>
      <c r="X461" s="636"/>
      <c r="Y461" s="707"/>
      <c r="Z461" s="635"/>
      <c r="AA461" s="707"/>
      <c r="AB461" s="707"/>
    </row>
    <row r="462" spans="1:28" x14ac:dyDescent="0.25">
      <c r="A462" s="23"/>
      <c r="B462" s="24"/>
      <c r="C462" s="25"/>
      <c r="D462" s="27"/>
      <c r="E462" s="27"/>
      <c r="F462" s="28"/>
      <c r="G462" s="27"/>
      <c r="H462" s="180"/>
      <c r="I462" s="27"/>
      <c r="J462" s="738"/>
      <c r="K462" s="635"/>
      <c r="L462" s="635"/>
      <c r="M462" s="635"/>
      <c r="N462" s="635"/>
      <c r="O462" s="636"/>
      <c r="P462" s="635"/>
      <c r="Q462" s="636"/>
      <c r="R462" s="636"/>
      <c r="S462" s="635"/>
      <c r="T462" s="707"/>
      <c r="U462" s="707"/>
      <c r="V462" s="707"/>
      <c r="W462" s="636"/>
      <c r="X462" s="636"/>
      <c r="Y462" s="707"/>
      <c r="Z462" s="635"/>
      <c r="AA462" s="707"/>
      <c r="AB462" s="707"/>
    </row>
    <row r="463" spans="1:28" x14ac:dyDescent="0.25">
      <c r="A463" s="23"/>
      <c r="B463" s="24"/>
      <c r="C463" s="25"/>
      <c r="D463" s="27"/>
      <c r="E463" s="27"/>
      <c r="F463" s="28"/>
      <c r="G463" s="27"/>
      <c r="H463" s="180"/>
      <c r="I463" s="27"/>
      <c r="J463" s="738"/>
      <c r="K463" s="635"/>
      <c r="L463" s="635"/>
      <c r="M463" s="635"/>
      <c r="N463" s="635"/>
      <c r="O463" s="636"/>
      <c r="P463" s="635"/>
      <c r="Q463" s="636"/>
      <c r="R463" s="636"/>
      <c r="S463" s="635"/>
      <c r="T463" s="707"/>
      <c r="U463" s="707"/>
      <c r="V463" s="707"/>
      <c r="W463" s="636"/>
      <c r="X463" s="636"/>
      <c r="Y463" s="707"/>
      <c r="Z463" s="635"/>
      <c r="AA463" s="707"/>
      <c r="AB463" s="707"/>
    </row>
    <row r="464" spans="1:28" x14ac:dyDescent="0.25">
      <c r="A464" s="23"/>
      <c r="B464" s="24"/>
      <c r="C464" s="25"/>
      <c r="D464" s="27"/>
      <c r="E464" s="27"/>
      <c r="F464" s="28"/>
      <c r="G464" s="27"/>
      <c r="H464" s="180"/>
      <c r="I464" s="27"/>
      <c r="J464" s="738"/>
      <c r="K464" s="635"/>
      <c r="L464" s="635"/>
      <c r="M464" s="635"/>
      <c r="N464" s="635"/>
      <c r="O464" s="636"/>
      <c r="P464" s="635"/>
      <c r="Q464" s="636"/>
      <c r="R464" s="636"/>
      <c r="S464" s="635"/>
      <c r="T464" s="707"/>
      <c r="U464" s="707"/>
      <c r="V464" s="707"/>
      <c r="W464" s="636"/>
      <c r="X464" s="636"/>
      <c r="Y464" s="707"/>
      <c r="Z464" s="635"/>
      <c r="AA464" s="707"/>
      <c r="AB464" s="707"/>
    </row>
    <row r="465" spans="1:28" x14ac:dyDescent="0.25">
      <c r="A465" s="23"/>
      <c r="B465" s="24"/>
      <c r="C465" s="25"/>
      <c r="D465" s="27"/>
      <c r="E465" s="27"/>
      <c r="F465" s="28"/>
      <c r="G465" s="27"/>
      <c r="H465" s="180"/>
      <c r="I465" s="27"/>
      <c r="J465" s="738"/>
      <c r="K465" s="635"/>
      <c r="L465" s="635"/>
      <c r="M465" s="635"/>
      <c r="N465" s="635"/>
      <c r="O465" s="636"/>
      <c r="P465" s="635"/>
      <c r="Q465" s="636"/>
      <c r="R465" s="636"/>
      <c r="S465" s="635"/>
      <c r="T465" s="707"/>
      <c r="U465" s="707"/>
      <c r="V465" s="707"/>
      <c r="W465" s="636"/>
      <c r="X465" s="636"/>
      <c r="Y465" s="707"/>
      <c r="Z465" s="635"/>
      <c r="AA465" s="707"/>
      <c r="AB465" s="707"/>
    </row>
    <row r="466" spans="1:28" x14ac:dyDescent="0.25">
      <c r="A466" s="23"/>
      <c r="B466" s="24"/>
      <c r="C466" s="25"/>
      <c r="D466" s="27"/>
      <c r="E466" s="27"/>
      <c r="F466" s="28"/>
      <c r="G466" s="27"/>
      <c r="H466" s="180"/>
      <c r="I466" s="27"/>
      <c r="J466" s="738"/>
      <c r="K466" s="635"/>
      <c r="L466" s="635"/>
      <c r="M466" s="635"/>
      <c r="N466" s="635"/>
      <c r="O466" s="636"/>
      <c r="P466" s="635"/>
      <c r="Q466" s="636"/>
      <c r="R466" s="636"/>
      <c r="S466" s="635"/>
      <c r="T466" s="707"/>
      <c r="U466" s="707"/>
      <c r="V466" s="707"/>
      <c r="W466" s="636"/>
      <c r="X466" s="636"/>
      <c r="Y466" s="707"/>
      <c r="Z466" s="635"/>
      <c r="AA466" s="707"/>
      <c r="AB466" s="707"/>
    </row>
    <row r="467" spans="1:28" x14ac:dyDescent="0.25">
      <c r="A467" s="23"/>
      <c r="B467" s="24"/>
      <c r="C467" s="25"/>
      <c r="D467" s="27"/>
      <c r="E467" s="27"/>
      <c r="F467" s="28"/>
      <c r="G467" s="27"/>
      <c r="H467" s="180"/>
      <c r="I467" s="27"/>
      <c r="J467" s="738"/>
      <c r="K467" s="635"/>
      <c r="L467" s="635"/>
      <c r="M467" s="635"/>
      <c r="N467" s="635"/>
      <c r="O467" s="636"/>
      <c r="P467" s="635"/>
      <c r="Q467" s="636"/>
      <c r="R467" s="636"/>
      <c r="S467" s="635"/>
      <c r="T467" s="707"/>
      <c r="U467" s="707"/>
      <c r="V467" s="707"/>
      <c r="W467" s="636"/>
      <c r="X467" s="636"/>
      <c r="Y467" s="707"/>
      <c r="Z467" s="635"/>
      <c r="AA467" s="707"/>
      <c r="AB467" s="707"/>
    </row>
    <row r="468" spans="1:28" x14ac:dyDescent="0.25">
      <c r="A468" s="23"/>
      <c r="B468" s="24"/>
      <c r="C468" s="25"/>
      <c r="D468" s="27"/>
      <c r="E468" s="27"/>
      <c r="F468" s="28"/>
      <c r="G468" s="27"/>
      <c r="H468" s="180"/>
      <c r="I468" s="27"/>
      <c r="J468" s="738"/>
      <c r="K468" s="635"/>
      <c r="L468" s="635"/>
      <c r="M468" s="635"/>
      <c r="N468" s="635"/>
      <c r="O468" s="636"/>
      <c r="P468" s="635"/>
      <c r="Q468" s="636"/>
      <c r="R468" s="636"/>
      <c r="S468" s="635"/>
      <c r="T468" s="707"/>
      <c r="U468" s="707"/>
      <c r="V468" s="707"/>
      <c r="W468" s="636"/>
      <c r="X468" s="636"/>
      <c r="Y468" s="707"/>
      <c r="Z468" s="635"/>
      <c r="AA468" s="707"/>
      <c r="AB468" s="707"/>
    </row>
    <row r="469" spans="1:28" x14ac:dyDescent="0.25">
      <c r="A469" s="23"/>
      <c r="B469" s="24"/>
      <c r="C469" s="25"/>
      <c r="D469" s="27"/>
      <c r="E469" s="27"/>
      <c r="F469" s="28"/>
      <c r="G469" s="27"/>
      <c r="H469" s="180"/>
      <c r="I469" s="27"/>
      <c r="J469" s="738"/>
      <c r="K469" s="635"/>
      <c r="L469" s="635"/>
      <c r="M469" s="635"/>
      <c r="N469" s="635"/>
      <c r="O469" s="636"/>
      <c r="P469" s="635"/>
      <c r="Q469" s="636"/>
      <c r="R469" s="636"/>
      <c r="S469" s="635"/>
      <c r="T469" s="707"/>
      <c r="U469" s="707"/>
      <c r="V469" s="707"/>
      <c r="W469" s="636"/>
      <c r="X469" s="636"/>
      <c r="Y469" s="707"/>
      <c r="Z469" s="635"/>
      <c r="AA469" s="707"/>
      <c r="AB469" s="707"/>
    </row>
    <row r="470" spans="1:28" x14ac:dyDescent="0.25">
      <c r="A470" s="23"/>
      <c r="B470" s="24"/>
      <c r="C470" s="25"/>
      <c r="D470" s="27"/>
      <c r="E470" s="27"/>
      <c r="F470" s="28"/>
      <c r="G470" s="27"/>
      <c r="H470" s="180"/>
      <c r="I470" s="27"/>
      <c r="J470" s="738"/>
      <c r="K470" s="635"/>
      <c r="L470" s="635"/>
      <c r="M470" s="635"/>
      <c r="N470" s="635"/>
      <c r="O470" s="636"/>
      <c r="P470" s="635"/>
      <c r="Q470" s="636"/>
      <c r="R470" s="636"/>
      <c r="S470" s="635"/>
      <c r="T470" s="707"/>
      <c r="U470" s="707"/>
      <c r="V470" s="707"/>
      <c r="W470" s="636"/>
      <c r="X470" s="636"/>
      <c r="Y470" s="707"/>
      <c r="Z470" s="635"/>
      <c r="AA470" s="707"/>
      <c r="AB470" s="707"/>
    </row>
    <row r="471" spans="1:28" x14ac:dyDescent="0.25">
      <c r="A471" s="23"/>
      <c r="B471" s="24"/>
      <c r="C471" s="25"/>
      <c r="D471" s="27"/>
      <c r="E471" s="27"/>
      <c r="F471" s="28"/>
      <c r="G471" s="27"/>
      <c r="H471" s="180"/>
      <c r="I471" s="27"/>
      <c r="J471" s="738"/>
      <c r="K471" s="635"/>
      <c r="L471" s="635"/>
      <c r="M471" s="635"/>
      <c r="N471" s="635"/>
      <c r="O471" s="636"/>
      <c r="P471" s="635"/>
      <c r="Q471" s="636"/>
      <c r="R471" s="636"/>
      <c r="S471" s="635"/>
      <c r="T471" s="707"/>
      <c r="U471" s="707"/>
      <c r="V471" s="707"/>
      <c r="W471" s="636"/>
      <c r="X471" s="636"/>
      <c r="Y471" s="707"/>
      <c r="Z471" s="635"/>
      <c r="AA471" s="707"/>
      <c r="AB471" s="707"/>
    </row>
    <row r="472" spans="1:28" x14ac:dyDescent="0.25">
      <c r="A472" s="23"/>
      <c r="B472" s="24"/>
      <c r="C472" s="25"/>
      <c r="D472" s="27"/>
      <c r="E472" s="27"/>
      <c r="F472" s="28"/>
      <c r="G472" s="27"/>
      <c r="H472" s="180"/>
      <c r="I472" s="27"/>
      <c r="J472" s="738"/>
      <c r="K472" s="635"/>
      <c r="L472" s="635"/>
      <c r="M472" s="635"/>
      <c r="N472" s="635"/>
      <c r="O472" s="636"/>
      <c r="P472" s="635"/>
      <c r="Q472" s="636"/>
      <c r="R472" s="636"/>
      <c r="S472" s="635"/>
      <c r="T472" s="707"/>
      <c r="U472" s="707"/>
      <c r="V472" s="707"/>
      <c r="W472" s="636"/>
      <c r="X472" s="636"/>
      <c r="Y472" s="707"/>
      <c r="Z472" s="635"/>
      <c r="AA472" s="707"/>
      <c r="AB472" s="707"/>
    </row>
    <row r="473" spans="1:28" x14ac:dyDescent="0.25">
      <c r="A473" s="23"/>
      <c r="B473" s="24"/>
      <c r="C473" s="25"/>
      <c r="D473" s="27"/>
      <c r="E473" s="27"/>
      <c r="F473" s="28"/>
      <c r="G473" s="27"/>
      <c r="H473" s="180"/>
      <c r="I473" s="27"/>
      <c r="J473" s="738"/>
      <c r="K473" s="635"/>
      <c r="L473" s="635"/>
      <c r="M473" s="635"/>
      <c r="N473" s="635"/>
      <c r="O473" s="636"/>
      <c r="P473" s="635"/>
      <c r="Q473" s="636"/>
      <c r="R473" s="636"/>
      <c r="S473" s="635"/>
      <c r="T473" s="707"/>
      <c r="U473" s="707"/>
      <c r="V473" s="707"/>
      <c r="W473" s="636"/>
      <c r="X473" s="636"/>
      <c r="Y473" s="707"/>
      <c r="Z473" s="635"/>
      <c r="AA473" s="707"/>
      <c r="AB473" s="707"/>
    </row>
    <row r="474" spans="1:28" x14ac:dyDescent="0.25">
      <c r="A474" s="23"/>
      <c r="B474" s="24"/>
      <c r="C474" s="25"/>
      <c r="D474" s="27"/>
      <c r="E474" s="27"/>
      <c r="F474" s="28"/>
      <c r="G474" s="27"/>
      <c r="H474" s="180"/>
      <c r="I474" s="27"/>
      <c r="J474" s="738"/>
      <c r="K474" s="635"/>
      <c r="L474" s="635"/>
      <c r="M474" s="635"/>
      <c r="N474" s="635"/>
      <c r="O474" s="636"/>
      <c r="P474" s="635"/>
      <c r="Q474" s="636"/>
      <c r="R474" s="636"/>
      <c r="S474" s="635"/>
      <c r="T474" s="707"/>
      <c r="U474" s="707"/>
      <c r="V474" s="707"/>
      <c r="W474" s="636"/>
      <c r="X474" s="636"/>
      <c r="Y474" s="707"/>
      <c r="Z474" s="635"/>
      <c r="AA474" s="707"/>
      <c r="AB474" s="707"/>
    </row>
    <row r="475" spans="1:28" x14ac:dyDescent="0.25">
      <c r="A475" s="23"/>
      <c r="B475" s="24"/>
      <c r="C475" s="25"/>
      <c r="D475" s="27"/>
      <c r="E475" s="27"/>
      <c r="F475" s="28"/>
      <c r="G475" s="27"/>
      <c r="H475" s="180"/>
      <c r="I475" s="27"/>
      <c r="J475" s="738"/>
      <c r="K475" s="635"/>
      <c r="L475" s="635"/>
      <c r="M475" s="635"/>
      <c r="N475" s="635"/>
      <c r="O475" s="636"/>
      <c r="P475" s="635"/>
      <c r="Q475" s="636"/>
      <c r="R475" s="636"/>
      <c r="S475" s="635"/>
      <c r="T475" s="707"/>
      <c r="U475" s="707"/>
      <c r="V475" s="707"/>
      <c r="W475" s="636"/>
      <c r="X475" s="636"/>
      <c r="Y475" s="707"/>
      <c r="Z475" s="635"/>
      <c r="AA475" s="707"/>
      <c r="AB475" s="707"/>
    </row>
    <row r="476" spans="1:28" x14ac:dyDescent="0.25">
      <c r="A476" s="23"/>
      <c r="B476" s="24"/>
      <c r="C476" s="25"/>
      <c r="D476" s="27"/>
      <c r="E476" s="27"/>
      <c r="F476" s="28"/>
      <c r="G476" s="27"/>
      <c r="H476" s="180"/>
      <c r="I476" s="27"/>
      <c r="J476" s="738"/>
      <c r="K476" s="635"/>
      <c r="L476" s="635"/>
      <c r="M476" s="635"/>
      <c r="N476" s="635"/>
      <c r="O476" s="636"/>
      <c r="P476" s="635"/>
      <c r="Q476" s="636"/>
      <c r="R476" s="636"/>
      <c r="S476" s="635"/>
      <c r="T476" s="707"/>
      <c r="U476" s="707"/>
      <c r="V476" s="707"/>
      <c r="W476" s="636"/>
      <c r="X476" s="636"/>
      <c r="Y476" s="707"/>
      <c r="Z476" s="635"/>
      <c r="AA476" s="707"/>
      <c r="AB476" s="707"/>
    </row>
    <row r="477" spans="1:28" x14ac:dyDescent="0.25">
      <c r="A477" s="23"/>
      <c r="B477" s="24"/>
      <c r="C477" s="25"/>
      <c r="D477" s="27"/>
      <c r="E477" s="27"/>
      <c r="F477" s="28"/>
      <c r="G477" s="27"/>
      <c r="H477" s="180"/>
      <c r="I477" s="27"/>
      <c r="J477" s="738"/>
      <c r="K477" s="635"/>
      <c r="L477" s="635"/>
      <c r="M477" s="635"/>
      <c r="N477" s="635"/>
      <c r="O477" s="636"/>
      <c r="P477" s="635"/>
      <c r="Q477" s="636"/>
      <c r="R477" s="636"/>
      <c r="S477" s="635"/>
      <c r="T477" s="707"/>
      <c r="U477" s="707"/>
      <c r="V477" s="707"/>
      <c r="W477" s="636"/>
      <c r="X477" s="636"/>
      <c r="Y477" s="707"/>
      <c r="Z477" s="635"/>
      <c r="AA477" s="707"/>
      <c r="AB477" s="707"/>
    </row>
    <row r="478" spans="1:28" x14ac:dyDescent="0.25">
      <c r="A478" s="23"/>
      <c r="B478" s="24"/>
      <c r="C478" s="25"/>
      <c r="D478" s="27"/>
      <c r="E478" s="27"/>
      <c r="F478" s="28"/>
      <c r="G478" s="27"/>
      <c r="H478" s="180"/>
      <c r="I478" s="27"/>
      <c r="J478" s="738"/>
      <c r="K478" s="635"/>
      <c r="L478" s="635"/>
      <c r="M478" s="635"/>
      <c r="N478" s="635"/>
      <c r="O478" s="636"/>
      <c r="P478" s="635"/>
      <c r="Q478" s="636"/>
      <c r="R478" s="636"/>
      <c r="S478" s="635"/>
      <c r="T478" s="707"/>
      <c r="U478" s="707"/>
      <c r="V478" s="707"/>
      <c r="W478" s="636"/>
      <c r="X478" s="636"/>
      <c r="Y478" s="707"/>
      <c r="Z478" s="635"/>
      <c r="AA478" s="707"/>
      <c r="AB478" s="707"/>
    </row>
    <row r="479" spans="1:28" x14ac:dyDescent="0.25">
      <c r="A479" s="23"/>
      <c r="B479" s="24"/>
      <c r="C479" s="25"/>
      <c r="D479" s="27"/>
      <c r="E479" s="27"/>
      <c r="F479" s="28"/>
      <c r="G479" s="27"/>
      <c r="H479" s="180"/>
      <c r="I479" s="27"/>
      <c r="J479" s="738"/>
      <c r="K479" s="635"/>
      <c r="L479" s="635"/>
      <c r="M479" s="635"/>
      <c r="N479" s="635"/>
      <c r="O479" s="636"/>
      <c r="P479" s="635"/>
      <c r="Q479" s="636"/>
      <c r="R479" s="636"/>
      <c r="S479" s="635"/>
      <c r="T479" s="707"/>
      <c r="U479" s="707"/>
      <c r="V479" s="707"/>
      <c r="W479" s="636"/>
      <c r="X479" s="636"/>
      <c r="Y479" s="707"/>
      <c r="Z479" s="635"/>
      <c r="AA479" s="707"/>
      <c r="AB479" s="707"/>
    </row>
    <row r="480" spans="1:28" x14ac:dyDescent="0.25">
      <c r="A480" s="23"/>
      <c r="B480" s="24"/>
      <c r="C480" s="25"/>
      <c r="D480" s="27"/>
      <c r="E480" s="27"/>
      <c r="F480" s="28"/>
      <c r="G480" s="27"/>
      <c r="H480" s="180"/>
      <c r="I480" s="27"/>
      <c r="J480" s="738"/>
      <c r="K480" s="635"/>
      <c r="L480" s="635"/>
      <c r="M480" s="635"/>
      <c r="N480" s="635"/>
      <c r="O480" s="636"/>
      <c r="P480" s="635"/>
      <c r="Q480" s="636"/>
      <c r="R480" s="636"/>
      <c r="S480" s="635"/>
      <c r="T480" s="707"/>
      <c r="U480" s="707"/>
      <c r="V480" s="707"/>
      <c r="W480" s="636"/>
      <c r="X480" s="636"/>
      <c r="Y480" s="707"/>
      <c r="Z480" s="635"/>
      <c r="AA480" s="707"/>
      <c r="AB480" s="707"/>
    </row>
    <row r="481" spans="1:28" x14ac:dyDescent="0.25">
      <c r="A481" s="23"/>
      <c r="B481" s="24"/>
      <c r="C481" s="25"/>
      <c r="D481" s="27"/>
      <c r="E481" s="27"/>
      <c r="F481" s="28"/>
      <c r="G481" s="27"/>
      <c r="H481" s="180"/>
      <c r="I481" s="27"/>
      <c r="J481" s="738"/>
      <c r="K481" s="635"/>
      <c r="L481" s="635"/>
      <c r="M481" s="635"/>
      <c r="N481" s="635"/>
      <c r="O481" s="636"/>
      <c r="P481" s="635"/>
      <c r="Q481" s="636"/>
      <c r="R481" s="636"/>
      <c r="S481" s="635"/>
      <c r="T481" s="707"/>
      <c r="U481" s="707"/>
      <c r="V481" s="707"/>
      <c r="W481" s="636"/>
      <c r="X481" s="636"/>
      <c r="Y481" s="707"/>
      <c r="Z481" s="635"/>
      <c r="AA481" s="707"/>
      <c r="AB481" s="707"/>
    </row>
    <row r="482" spans="1:28" x14ac:dyDescent="0.25">
      <c r="A482" s="23"/>
      <c r="B482" s="24"/>
      <c r="C482" s="25"/>
      <c r="D482" s="27"/>
      <c r="E482" s="27"/>
      <c r="F482" s="28"/>
      <c r="G482" s="27"/>
      <c r="H482" s="180"/>
      <c r="I482" s="27"/>
      <c r="J482" s="738"/>
      <c r="K482" s="635"/>
      <c r="L482" s="635"/>
      <c r="M482" s="635"/>
      <c r="N482" s="635"/>
      <c r="O482" s="636"/>
      <c r="P482" s="635"/>
      <c r="Q482" s="636"/>
      <c r="R482" s="636"/>
      <c r="S482" s="635"/>
      <c r="T482" s="707"/>
      <c r="U482" s="707"/>
      <c r="V482" s="707"/>
      <c r="W482" s="636"/>
      <c r="X482" s="636"/>
      <c r="Y482" s="707"/>
      <c r="Z482" s="635"/>
      <c r="AA482" s="707"/>
      <c r="AB482" s="707"/>
    </row>
    <row r="483" spans="1:28" x14ac:dyDescent="0.25">
      <c r="A483" s="23"/>
      <c r="B483" s="24"/>
      <c r="C483" s="25"/>
      <c r="D483" s="27"/>
      <c r="E483" s="27"/>
      <c r="F483" s="28"/>
      <c r="G483" s="27"/>
      <c r="H483" s="180"/>
      <c r="I483" s="27"/>
      <c r="J483" s="738"/>
      <c r="K483" s="635"/>
      <c r="L483" s="635"/>
      <c r="M483" s="635"/>
      <c r="N483" s="635"/>
      <c r="O483" s="636"/>
      <c r="P483" s="635"/>
      <c r="Q483" s="636"/>
      <c r="R483" s="636"/>
      <c r="S483" s="635"/>
      <c r="T483" s="707"/>
      <c r="U483" s="707"/>
      <c r="V483" s="707"/>
      <c r="W483" s="636"/>
      <c r="X483" s="636"/>
      <c r="Y483" s="707"/>
      <c r="Z483" s="635"/>
      <c r="AA483" s="707"/>
      <c r="AB483" s="707"/>
    </row>
    <row r="484" spans="1:28" x14ac:dyDescent="0.25">
      <c r="A484" s="23"/>
      <c r="B484" s="24"/>
      <c r="C484" s="25"/>
      <c r="D484" s="27"/>
      <c r="E484" s="27"/>
      <c r="F484" s="28"/>
      <c r="G484" s="27"/>
      <c r="H484" s="180"/>
      <c r="I484" s="27"/>
      <c r="J484" s="738"/>
      <c r="K484" s="635"/>
      <c r="L484" s="635"/>
      <c r="M484" s="635"/>
      <c r="N484" s="635"/>
      <c r="O484" s="636"/>
      <c r="P484" s="635"/>
      <c r="Q484" s="636"/>
      <c r="R484" s="636"/>
      <c r="S484" s="635"/>
      <c r="T484" s="707"/>
      <c r="U484" s="707"/>
      <c r="V484" s="707"/>
      <c r="W484" s="636"/>
      <c r="X484" s="636"/>
      <c r="Y484" s="707"/>
      <c r="Z484" s="635"/>
      <c r="AA484" s="707"/>
      <c r="AB484" s="707"/>
    </row>
    <row r="485" spans="1:28" x14ac:dyDescent="0.25">
      <c r="A485" s="23"/>
      <c r="B485" s="24"/>
      <c r="C485" s="25"/>
      <c r="D485" s="27"/>
      <c r="E485" s="27"/>
      <c r="F485" s="28"/>
      <c r="G485" s="27"/>
      <c r="H485" s="180"/>
      <c r="I485" s="27"/>
      <c r="J485" s="738"/>
      <c r="K485" s="635"/>
      <c r="L485" s="635"/>
      <c r="M485" s="635"/>
      <c r="N485" s="635"/>
      <c r="O485" s="636"/>
      <c r="P485" s="635"/>
      <c r="Q485" s="636"/>
      <c r="R485" s="636"/>
      <c r="S485" s="635"/>
      <c r="T485" s="707"/>
      <c r="U485" s="707"/>
      <c r="V485" s="707"/>
      <c r="W485" s="636"/>
      <c r="X485" s="636"/>
      <c r="Y485" s="707"/>
      <c r="Z485" s="635"/>
      <c r="AA485" s="707"/>
      <c r="AB485" s="707"/>
    </row>
    <row r="486" spans="1:28" x14ac:dyDescent="0.25">
      <c r="A486" s="23"/>
      <c r="B486" s="24"/>
      <c r="C486" s="25"/>
      <c r="D486" s="27"/>
      <c r="E486" s="27"/>
      <c r="F486" s="28"/>
      <c r="G486" s="27"/>
      <c r="H486" s="180"/>
      <c r="I486" s="27"/>
      <c r="J486" s="738"/>
      <c r="K486" s="635"/>
      <c r="L486" s="635"/>
      <c r="M486" s="635"/>
      <c r="N486" s="635"/>
      <c r="O486" s="636"/>
      <c r="P486" s="635"/>
      <c r="Q486" s="636"/>
      <c r="R486" s="636"/>
      <c r="S486" s="635"/>
      <c r="T486" s="707"/>
      <c r="U486" s="707"/>
      <c r="V486" s="707"/>
      <c r="W486" s="636"/>
      <c r="X486" s="636"/>
      <c r="Y486" s="707"/>
      <c r="Z486" s="635"/>
      <c r="AA486" s="707"/>
      <c r="AB486" s="707"/>
    </row>
    <row r="487" spans="1:28" x14ac:dyDescent="0.25">
      <c r="A487" s="23"/>
      <c r="B487" s="24"/>
      <c r="C487" s="25"/>
      <c r="D487" s="27"/>
      <c r="E487" s="27"/>
      <c r="F487" s="28"/>
      <c r="G487" s="27"/>
      <c r="H487" s="180"/>
      <c r="I487" s="27"/>
      <c r="J487" s="738"/>
      <c r="K487" s="635"/>
      <c r="L487" s="635"/>
      <c r="M487" s="635"/>
      <c r="N487" s="635"/>
      <c r="O487" s="636"/>
      <c r="P487" s="635"/>
      <c r="Q487" s="636"/>
      <c r="R487" s="636"/>
      <c r="S487" s="635"/>
      <c r="T487" s="707"/>
      <c r="U487" s="707"/>
      <c r="V487" s="707"/>
      <c r="W487" s="636"/>
      <c r="X487" s="636"/>
      <c r="Y487" s="707"/>
      <c r="Z487" s="635"/>
      <c r="AA487" s="707"/>
      <c r="AB487" s="707"/>
    </row>
    <row r="488" spans="1:28" x14ac:dyDescent="0.25">
      <c r="A488" s="23"/>
      <c r="B488" s="24"/>
      <c r="C488" s="25"/>
      <c r="D488" s="27"/>
      <c r="E488" s="27"/>
      <c r="F488" s="28"/>
      <c r="G488" s="27"/>
      <c r="H488" s="180"/>
      <c r="I488" s="27"/>
      <c r="J488" s="738"/>
      <c r="K488" s="635"/>
      <c r="L488" s="635"/>
      <c r="M488" s="635"/>
      <c r="N488" s="635"/>
      <c r="O488" s="636"/>
      <c r="P488" s="635"/>
      <c r="Q488" s="636"/>
      <c r="R488" s="636"/>
      <c r="S488" s="635"/>
      <c r="T488" s="707"/>
      <c r="U488" s="707"/>
      <c r="V488" s="707"/>
      <c r="W488" s="636"/>
      <c r="X488" s="636"/>
      <c r="Y488" s="707"/>
      <c r="Z488" s="635"/>
      <c r="AA488" s="707"/>
      <c r="AB488" s="707"/>
    </row>
    <row r="489" spans="1:28" x14ac:dyDescent="0.25">
      <c r="A489" s="23"/>
      <c r="B489" s="24"/>
      <c r="C489" s="25"/>
      <c r="D489" s="27"/>
      <c r="E489" s="27"/>
      <c r="F489" s="28"/>
      <c r="G489" s="27"/>
      <c r="H489" s="180"/>
      <c r="I489" s="27"/>
      <c r="J489" s="738"/>
      <c r="K489" s="635"/>
      <c r="L489" s="635"/>
      <c r="M489" s="635"/>
      <c r="N489" s="635"/>
      <c r="O489" s="636"/>
      <c r="P489" s="635"/>
      <c r="Q489" s="636"/>
      <c r="R489" s="636"/>
      <c r="S489" s="635"/>
      <c r="T489" s="707"/>
      <c r="U489" s="707"/>
      <c r="V489" s="707"/>
      <c r="W489" s="636"/>
      <c r="X489" s="636"/>
      <c r="Y489" s="707"/>
      <c r="Z489" s="635"/>
      <c r="AA489" s="707"/>
      <c r="AB489" s="707"/>
    </row>
    <row r="490" spans="1:28" x14ac:dyDescent="0.25">
      <c r="A490" s="23"/>
      <c r="B490" s="24"/>
      <c r="C490" s="25"/>
      <c r="D490" s="27"/>
      <c r="E490" s="27"/>
      <c r="F490" s="28"/>
      <c r="G490" s="27"/>
      <c r="H490" s="180"/>
      <c r="I490" s="27"/>
      <c r="J490" s="738"/>
      <c r="K490" s="635"/>
      <c r="L490" s="635"/>
      <c r="M490" s="635"/>
      <c r="N490" s="635"/>
      <c r="O490" s="636"/>
      <c r="P490" s="635"/>
      <c r="Q490" s="636"/>
      <c r="R490" s="636"/>
      <c r="S490" s="635"/>
      <c r="T490" s="707"/>
      <c r="U490" s="707"/>
      <c r="V490" s="707"/>
      <c r="W490" s="636"/>
      <c r="X490" s="636"/>
      <c r="Y490" s="707"/>
      <c r="Z490" s="635"/>
      <c r="AA490" s="707"/>
      <c r="AB490" s="707"/>
    </row>
    <row r="491" spans="1:28" x14ac:dyDescent="0.25">
      <c r="A491" s="23"/>
      <c r="B491" s="24"/>
      <c r="C491" s="25"/>
      <c r="D491" s="27"/>
      <c r="E491" s="27"/>
      <c r="F491" s="28"/>
      <c r="G491" s="27"/>
      <c r="H491" s="180"/>
      <c r="I491" s="27"/>
      <c r="J491" s="738"/>
      <c r="K491" s="635"/>
      <c r="L491" s="635"/>
      <c r="M491" s="635"/>
      <c r="N491" s="635"/>
      <c r="O491" s="636"/>
      <c r="P491" s="635"/>
      <c r="Q491" s="636"/>
      <c r="R491" s="636"/>
      <c r="S491" s="635"/>
      <c r="T491" s="707"/>
      <c r="U491" s="707"/>
      <c r="V491" s="707"/>
      <c r="W491" s="636"/>
      <c r="X491" s="636"/>
      <c r="Y491" s="707"/>
      <c r="Z491" s="635"/>
      <c r="AA491" s="707"/>
      <c r="AB491" s="707"/>
    </row>
    <row r="492" spans="1:28" x14ac:dyDescent="0.25">
      <c r="A492" s="23"/>
      <c r="B492" s="24"/>
      <c r="C492" s="25"/>
      <c r="D492" s="27"/>
      <c r="E492" s="27"/>
      <c r="F492" s="28"/>
      <c r="G492" s="27"/>
      <c r="H492" s="180"/>
      <c r="I492" s="27"/>
      <c r="J492" s="738"/>
      <c r="K492" s="635"/>
      <c r="L492" s="635"/>
      <c r="M492" s="635"/>
      <c r="N492" s="635"/>
      <c r="O492" s="636"/>
      <c r="P492" s="635"/>
      <c r="Q492" s="636"/>
      <c r="R492" s="636"/>
      <c r="S492" s="635"/>
      <c r="T492" s="707"/>
      <c r="U492" s="707"/>
      <c r="V492" s="707"/>
      <c r="W492" s="636"/>
      <c r="X492" s="636"/>
      <c r="Y492" s="707"/>
      <c r="Z492" s="635"/>
      <c r="AA492" s="707"/>
      <c r="AB492" s="707"/>
    </row>
    <row r="493" spans="1:28" x14ac:dyDescent="0.25">
      <c r="A493" s="23"/>
      <c r="B493" s="24"/>
      <c r="C493" s="25"/>
      <c r="D493" s="27"/>
      <c r="E493" s="27"/>
      <c r="F493" s="28"/>
      <c r="G493" s="27"/>
      <c r="H493" s="180"/>
      <c r="I493" s="27"/>
      <c r="J493" s="738"/>
      <c r="K493" s="635"/>
      <c r="L493" s="635"/>
      <c r="M493" s="635"/>
      <c r="N493" s="635"/>
      <c r="O493" s="636"/>
      <c r="P493" s="635"/>
      <c r="Q493" s="636"/>
      <c r="R493" s="636"/>
      <c r="S493" s="635"/>
      <c r="T493" s="707"/>
      <c r="U493" s="707"/>
      <c r="V493" s="707"/>
      <c r="W493" s="636"/>
      <c r="X493" s="636"/>
      <c r="Y493" s="707"/>
      <c r="Z493" s="635"/>
      <c r="AA493" s="707"/>
      <c r="AB493" s="707"/>
    </row>
    <row r="494" spans="1:28" x14ac:dyDescent="0.25">
      <c r="A494" s="23"/>
      <c r="B494" s="24"/>
      <c r="C494" s="25"/>
      <c r="D494" s="27"/>
      <c r="E494" s="27"/>
      <c r="F494" s="28"/>
      <c r="G494" s="27"/>
      <c r="H494" s="180"/>
      <c r="I494" s="27"/>
      <c r="J494" s="738"/>
      <c r="K494" s="635"/>
      <c r="L494" s="635"/>
      <c r="M494" s="635"/>
      <c r="N494" s="635"/>
      <c r="O494" s="636"/>
      <c r="P494" s="635"/>
      <c r="Q494" s="636"/>
      <c r="R494" s="636"/>
      <c r="S494" s="635"/>
      <c r="T494" s="707"/>
      <c r="U494" s="707"/>
      <c r="V494" s="707"/>
      <c r="W494" s="636"/>
      <c r="X494" s="636"/>
      <c r="Y494" s="707"/>
      <c r="Z494" s="635"/>
      <c r="AA494" s="707"/>
      <c r="AB494" s="707"/>
    </row>
    <row r="495" spans="1:28" x14ac:dyDescent="0.25">
      <c r="A495" s="23"/>
      <c r="B495" s="24"/>
      <c r="C495" s="25"/>
      <c r="D495" s="27"/>
      <c r="E495" s="27"/>
      <c r="F495" s="28"/>
      <c r="G495" s="27"/>
      <c r="H495" s="180"/>
      <c r="I495" s="27"/>
      <c r="J495" s="738"/>
      <c r="K495" s="635"/>
      <c r="L495" s="635"/>
      <c r="M495" s="635"/>
      <c r="N495" s="635"/>
      <c r="O495" s="636"/>
      <c r="P495" s="635"/>
      <c r="Q495" s="636"/>
      <c r="R495" s="636"/>
      <c r="S495" s="635"/>
      <c r="T495" s="707"/>
      <c r="U495" s="707"/>
      <c r="V495" s="707"/>
      <c r="W495" s="636"/>
      <c r="X495" s="636"/>
      <c r="Y495" s="707"/>
      <c r="Z495" s="635"/>
      <c r="AA495" s="707"/>
      <c r="AB495" s="707"/>
    </row>
    <row r="496" spans="1:28" x14ac:dyDescent="0.25">
      <c r="A496" s="23"/>
      <c r="B496" s="24"/>
      <c r="C496" s="25"/>
      <c r="D496" s="27"/>
      <c r="E496" s="27"/>
      <c r="F496" s="28"/>
      <c r="G496" s="27"/>
      <c r="H496" s="180"/>
      <c r="I496" s="27"/>
      <c r="J496" s="738"/>
      <c r="K496" s="635"/>
      <c r="L496" s="635"/>
      <c r="M496" s="635"/>
      <c r="N496" s="635"/>
      <c r="O496" s="636"/>
      <c r="P496" s="635"/>
      <c r="Q496" s="636"/>
      <c r="R496" s="636"/>
      <c r="S496" s="635"/>
      <c r="T496" s="707"/>
      <c r="U496" s="707"/>
      <c r="V496" s="707"/>
      <c r="W496" s="636"/>
      <c r="X496" s="636"/>
      <c r="Y496" s="707"/>
      <c r="Z496" s="635"/>
      <c r="AA496" s="707"/>
      <c r="AB496" s="707"/>
    </row>
    <row r="497" spans="1:28" x14ac:dyDescent="0.25">
      <c r="A497" s="23"/>
      <c r="B497" s="24"/>
      <c r="C497" s="25"/>
      <c r="D497" s="27"/>
      <c r="E497" s="27"/>
      <c r="F497" s="28"/>
      <c r="G497" s="27"/>
      <c r="H497" s="180"/>
      <c r="I497" s="27"/>
      <c r="J497" s="738"/>
      <c r="K497" s="635"/>
      <c r="L497" s="635"/>
      <c r="M497" s="635"/>
      <c r="N497" s="635"/>
      <c r="O497" s="636"/>
      <c r="P497" s="635"/>
      <c r="Q497" s="636"/>
      <c r="R497" s="636"/>
      <c r="S497" s="635"/>
      <c r="T497" s="707"/>
      <c r="U497" s="707"/>
      <c r="V497" s="707"/>
      <c r="W497" s="636"/>
      <c r="X497" s="636"/>
      <c r="Y497" s="707"/>
      <c r="Z497" s="635"/>
      <c r="AA497" s="707"/>
      <c r="AB497" s="707"/>
    </row>
    <row r="498" spans="1:28" x14ac:dyDescent="0.25">
      <c r="A498" s="23"/>
      <c r="B498" s="24"/>
      <c r="C498" s="25"/>
      <c r="D498" s="27"/>
      <c r="E498" s="27"/>
      <c r="F498" s="28"/>
      <c r="G498" s="27"/>
      <c r="H498" s="180"/>
      <c r="I498" s="27"/>
      <c r="J498" s="738"/>
      <c r="K498" s="635"/>
      <c r="L498" s="635"/>
      <c r="M498" s="635"/>
      <c r="N498" s="635"/>
      <c r="O498" s="636"/>
      <c r="P498" s="635"/>
      <c r="Q498" s="636"/>
      <c r="R498" s="636"/>
      <c r="S498" s="635"/>
      <c r="T498" s="707"/>
      <c r="U498" s="707"/>
      <c r="V498" s="707"/>
      <c r="W498" s="636"/>
      <c r="X498" s="636"/>
      <c r="Y498" s="707"/>
      <c r="Z498" s="635"/>
      <c r="AA498" s="707"/>
      <c r="AB498" s="707"/>
    </row>
    <row r="499" spans="1:28" x14ac:dyDescent="0.25">
      <c r="A499" s="23"/>
      <c r="B499" s="24"/>
      <c r="C499" s="25"/>
      <c r="D499" s="27"/>
      <c r="E499" s="27"/>
      <c r="F499" s="28"/>
      <c r="G499" s="27"/>
      <c r="H499" s="180"/>
      <c r="I499" s="27"/>
      <c r="J499" s="738"/>
      <c r="K499" s="635"/>
      <c r="L499" s="635"/>
      <c r="M499" s="635"/>
      <c r="N499" s="635"/>
      <c r="O499" s="636"/>
      <c r="P499" s="635"/>
      <c r="Q499" s="636"/>
      <c r="R499" s="636"/>
      <c r="S499" s="635"/>
      <c r="T499" s="707"/>
      <c r="U499" s="707"/>
      <c r="V499" s="707"/>
      <c r="W499" s="636"/>
      <c r="X499" s="636"/>
      <c r="Y499" s="707"/>
      <c r="Z499" s="635"/>
      <c r="AA499" s="707"/>
      <c r="AB499" s="707"/>
    </row>
    <row r="500" spans="1:28" x14ac:dyDescent="0.25">
      <c r="A500" s="23"/>
      <c r="B500" s="24"/>
      <c r="C500" s="25"/>
      <c r="D500" s="27"/>
      <c r="E500" s="27"/>
      <c r="F500" s="28"/>
      <c r="G500" s="27"/>
      <c r="H500" s="180"/>
      <c r="I500" s="27"/>
      <c r="J500" s="738"/>
      <c r="K500" s="635"/>
      <c r="L500" s="635"/>
      <c r="M500" s="635"/>
      <c r="N500" s="635"/>
      <c r="O500" s="636"/>
      <c r="P500" s="635"/>
      <c r="Q500" s="636"/>
      <c r="R500" s="636"/>
      <c r="S500" s="635"/>
      <c r="T500" s="707"/>
      <c r="U500" s="707"/>
      <c r="V500" s="707"/>
      <c r="W500" s="636"/>
      <c r="X500" s="636"/>
      <c r="Y500" s="707"/>
      <c r="Z500" s="635"/>
      <c r="AA500" s="707"/>
      <c r="AB500" s="707"/>
    </row>
    <row r="501" spans="1:28" x14ac:dyDescent="0.25">
      <c r="A501" s="23"/>
      <c r="B501" s="24"/>
      <c r="C501" s="25"/>
      <c r="D501" s="27"/>
      <c r="E501" s="27"/>
      <c r="F501" s="28"/>
      <c r="G501" s="27"/>
      <c r="H501" s="180"/>
      <c r="I501" s="27"/>
      <c r="J501" s="738"/>
      <c r="K501" s="635"/>
      <c r="L501" s="635"/>
      <c r="M501" s="635"/>
      <c r="N501" s="635"/>
      <c r="O501" s="636"/>
      <c r="P501" s="635"/>
      <c r="Q501" s="636"/>
      <c r="R501" s="636"/>
      <c r="S501" s="635"/>
      <c r="T501" s="707"/>
      <c r="U501" s="707"/>
      <c r="V501" s="707"/>
      <c r="W501" s="636"/>
      <c r="X501" s="636"/>
      <c r="Y501" s="707"/>
      <c r="Z501" s="635"/>
      <c r="AA501" s="707"/>
      <c r="AB501" s="707"/>
    </row>
    <row r="502" spans="1:28" x14ac:dyDescent="0.25">
      <c r="A502" s="23"/>
      <c r="B502" s="24"/>
      <c r="C502" s="25"/>
      <c r="D502" s="27"/>
      <c r="E502" s="27"/>
      <c r="F502" s="28"/>
      <c r="G502" s="27"/>
      <c r="H502" s="180"/>
      <c r="I502" s="27"/>
      <c r="J502" s="738"/>
      <c r="K502" s="635"/>
      <c r="L502" s="635"/>
      <c r="M502" s="635"/>
      <c r="N502" s="635"/>
      <c r="O502" s="636"/>
      <c r="P502" s="635"/>
      <c r="Q502" s="636"/>
      <c r="R502" s="636"/>
      <c r="S502" s="635"/>
      <c r="T502" s="707"/>
      <c r="U502" s="707"/>
      <c r="V502" s="707"/>
      <c r="W502" s="636"/>
      <c r="X502" s="636"/>
      <c r="Y502" s="707"/>
      <c r="Z502" s="635"/>
      <c r="AA502" s="707"/>
      <c r="AB502" s="707"/>
    </row>
    <row r="503" spans="1:28" x14ac:dyDescent="0.25">
      <c r="A503" s="23"/>
      <c r="B503" s="24"/>
      <c r="C503" s="25"/>
      <c r="D503" s="27"/>
      <c r="E503" s="27"/>
      <c r="F503" s="28"/>
      <c r="G503" s="27"/>
      <c r="H503" s="180"/>
      <c r="I503" s="27"/>
      <c r="J503" s="738"/>
      <c r="K503" s="635"/>
      <c r="L503" s="635"/>
      <c r="M503" s="635"/>
      <c r="N503" s="635"/>
      <c r="O503" s="636"/>
      <c r="P503" s="635"/>
      <c r="Q503" s="636"/>
      <c r="R503" s="636"/>
      <c r="S503" s="635"/>
      <c r="T503" s="707"/>
      <c r="U503" s="707"/>
      <c r="V503" s="707"/>
      <c r="W503" s="636"/>
      <c r="X503" s="636"/>
      <c r="Y503" s="707"/>
      <c r="Z503" s="635"/>
      <c r="AA503" s="707"/>
      <c r="AB503" s="707"/>
    </row>
    <row r="504" spans="1:28" x14ac:dyDescent="0.25">
      <c r="A504" s="23"/>
      <c r="B504" s="24"/>
      <c r="C504" s="25"/>
      <c r="D504" s="27"/>
      <c r="E504" s="27"/>
      <c r="F504" s="28"/>
      <c r="G504" s="27"/>
      <c r="H504" s="180"/>
      <c r="I504" s="27"/>
      <c r="J504" s="738"/>
      <c r="K504" s="635"/>
      <c r="L504" s="635"/>
      <c r="M504" s="635"/>
      <c r="N504" s="635"/>
      <c r="O504" s="636"/>
      <c r="P504" s="635"/>
      <c r="Q504" s="636"/>
      <c r="R504" s="636"/>
      <c r="S504" s="635"/>
      <c r="T504" s="707"/>
      <c r="U504" s="707"/>
      <c r="V504" s="707"/>
      <c r="W504" s="636"/>
      <c r="X504" s="636"/>
      <c r="Y504" s="707"/>
      <c r="Z504" s="635"/>
      <c r="AA504" s="707"/>
      <c r="AB504" s="707"/>
    </row>
    <row r="505" spans="1:28" x14ac:dyDescent="0.25">
      <c r="A505" s="23"/>
      <c r="B505" s="24"/>
      <c r="C505" s="25"/>
      <c r="D505" s="27"/>
      <c r="E505" s="27"/>
      <c r="F505" s="28"/>
      <c r="G505" s="27"/>
      <c r="H505" s="180"/>
      <c r="I505" s="27"/>
      <c r="J505" s="738"/>
      <c r="K505" s="635"/>
      <c r="L505" s="635"/>
      <c r="M505" s="635"/>
      <c r="N505" s="635"/>
      <c r="O505" s="636"/>
      <c r="P505" s="635"/>
      <c r="Q505" s="636"/>
      <c r="R505" s="636"/>
      <c r="S505" s="635"/>
      <c r="T505" s="707"/>
      <c r="U505" s="707"/>
      <c r="V505" s="707"/>
      <c r="W505" s="636"/>
      <c r="X505" s="636"/>
      <c r="Y505" s="707"/>
      <c r="Z505" s="635"/>
      <c r="AA505" s="707"/>
      <c r="AB505" s="707"/>
    </row>
    <row r="506" spans="1:28" x14ac:dyDescent="0.25">
      <c r="A506" s="23"/>
      <c r="B506" s="24"/>
      <c r="C506" s="25"/>
      <c r="D506" s="27"/>
      <c r="E506" s="27"/>
      <c r="F506" s="28"/>
      <c r="G506" s="27"/>
      <c r="H506" s="180"/>
      <c r="I506" s="27"/>
      <c r="J506" s="738"/>
      <c r="K506" s="635"/>
      <c r="L506" s="635"/>
      <c r="M506" s="635"/>
      <c r="N506" s="635"/>
      <c r="O506" s="636"/>
      <c r="P506" s="635"/>
      <c r="Q506" s="636"/>
      <c r="R506" s="636"/>
      <c r="S506" s="635"/>
      <c r="T506" s="707"/>
      <c r="U506" s="707"/>
      <c r="V506" s="707"/>
      <c r="W506" s="636"/>
      <c r="X506" s="636"/>
      <c r="Y506" s="707"/>
      <c r="Z506" s="635"/>
      <c r="AA506" s="707"/>
      <c r="AB506" s="707"/>
    </row>
    <row r="507" spans="1:28" x14ac:dyDescent="0.25">
      <c r="A507" s="23"/>
      <c r="B507" s="24"/>
      <c r="C507" s="25"/>
      <c r="D507" s="27"/>
      <c r="E507" s="27"/>
      <c r="F507" s="28"/>
      <c r="G507" s="27"/>
      <c r="H507" s="180"/>
      <c r="I507" s="27"/>
      <c r="J507" s="738"/>
      <c r="K507" s="635"/>
      <c r="L507" s="635"/>
      <c r="M507" s="635"/>
      <c r="N507" s="635"/>
      <c r="O507" s="636"/>
      <c r="P507" s="635"/>
      <c r="Q507" s="636"/>
      <c r="R507" s="636"/>
      <c r="S507" s="635"/>
      <c r="T507" s="707"/>
      <c r="U507" s="707"/>
      <c r="V507" s="707"/>
      <c r="W507" s="636"/>
      <c r="X507" s="636"/>
      <c r="Y507" s="707"/>
      <c r="Z507" s="635"/>
      <c r="AA507" s="707"/>
      <c r="AB507" s="707"/>
    </row>
    <row r="508" spans="1:28" x14ac:dyDescent="0.25">
      <c r="A508" s="23"/>
      <c r="B508" s="24"/>
      <c r="C508" s="25"/>
      <c r="D508" s="27"/>
      <c r="E508" s="27"/>
      <c r="F508" s="28"/>
      <c r="G508" s="27"/>
      <c r="H508" s="180"/>
      <c r="I508" s="27"/>
      <c r="J508" s="738"/>
      <c r="K508" s="635"/>
      <c r="L508" s="635"/>
      <c r="M508" s="635"/>
      <c r="N508" s="635"/>
      <c r="O508" s="636"/>
      <c r="P508" s="635"/>
      <c r="Q508" s="636"/>
      <c r="R508" s="636"/>
      <c r="S508" s="635"/>
      <c r="T508" s="707"/>
      <c r="U508" s="707"/>
      <c r="V508" s="707"/>
      <c r="W508" s="636"/>
      <c r="X508" s="636"/>
      <c r="Y508" s="707"/>
      <c r="Z508" s="635"/>
      <c r="AA508" s="707"/>
      <c r="AB508" s="707"/>
    </row>
    <row r="509" spans="1:28" x14ac:dyDescent="0.25">
      <c r="A509" s="23"/>
      <c r="B509" s="24"/>
      <c r="C509" s="25"/>
      <c r="D509" s="27"/>
      <c r="E509" s="27"/>
      <c r="F509" s="28"/>
      <c r="G509" s="27"/>
      <c r="H509" s="180"/>
      <c r="I509" s="27"/>
      <c r="J509" s="738"/>
      <c r="K509" s="635"/>
      <c r="L509" s="635"/>
      <c r="M509" s="635"/>
      <c r="N509" s="635"/>
      <c r="O509" s="636"/>
      <c r="P509" s="635"/>
      <c r="Q509" s="636"/>
      <c r="R509" s="636"/>
      <c r="S509" s="635"/>
      <c r="T509" s="707"/>
      <c r="U509" s="707"/>
      <c r="V509" s="707"/>
      <c r="W509" s="636"/>
      <c r="X509" s="636"/>
      <c r="Y509" s="707"/>
      <c r="Z509" s="635"/>
      <c r="AA509" s="707"/>
      <c r="AB509" s="707"/>
    </row>
    <row r="510" spans="1:28" x14ac:dyDescent="0.25">
      <c r="A510" s="23"/>
      <c r="B510" s="24"/>
      <c r="C510" s="25"/>
      <c r="D510" s="27"/>
      <c r="E510" s="27"/>
      <c r="F510" s="28"/>
      <c r="G510" s="27"/>
      <c r="H510" s="180"/>
      <c r="I510" s="27"/>
      <c r="J510" s="738"/>
      <c r="K510" s="635"/>
      <c r="L510" s="635"/>
      <c r="M510" s="635"/>
      <c r="N510" s="635"/>
      <c r="O510" s="636"/>
      <c r="P510" s="635"/>
      <c r="Q510" s="636"/>
      <c r="R510" s="636"/>
      <c r="S510" s="635"/>
      <c r="T510" s="707"/>
      <c r="U510" s="707"/>
      <c r="V510" s="707"/>
      <c r="W510" s="636"/>
      <c r="X510" s="636"/>
      <c r="Y510" s="707"/>
      <c r="Z510" s="635"/>
      <c r="AA510" s="707"/>
      <c r="AB510" s="707"/>
    </row>
    <row r="511" spans="1:28" x14ac:dyDescent="0.25">
      <c r="A511" s="23"/>
      <c r="B511" s="24"/>
      <c r="C511" s="25"/>
      <c r="D511" s="27"/>
      <c r="E511" s="27"/>
      <c r="F511" s="28"/>
      <c r="G511" s="27"/>
      <c r="H511" s="180"/>
      <c r="I511" s="27"/>
      <c r="J511" s="738"/>
      <c r="K511" s="635"/>
      <c r="L511" s="635"/>
      <c r="M511" s="635"/>
      <c r="N511" s="635"/>
      <c r="O511" s="636"/>
      <c r="P511" s="635"/>
      <c r="Q511" s="636"/>
      <c r="R511" s="636"/>
      <c r="S511" s="635"/>
      <c r="T511" s="707"/>
      <c r="U511" s="707"/>
      <c r="V511" s="707"/>
      <c r="W511" s="636"/>
      <c r="X511" s="636"/>
      <c r="Y511" s="707"/>
      <c r="Z511" s="635"/>
      <c r="AA511" s="707"/>
      <c r="AB511" s="707"/>
    </row>
    <row r="512" spans="1:28" x14ac:dyDescent="0.25">
      <c r="A512" s="23"/>
      <c r="B512" s="24"/>
      <c r="C512" s="25"/>
      <c r="D512" s="27"/>
      <c r="E512" s="27"/>
      <c r="F512" s="28"/>
      <c r="G512" s="27"/>
      <c r="H512" s="180"/>
      <c r="I512" s="27"/>
      <c r="J512" s="738"/>
      <c r="K512" s="635"/>
      <c r="L512" s="635"/>
      <c r="M512" s="635"/>
      <c r="N512" s="635"/>
      <c r="O512" s="636"/>
      <c r="P512" s="635"/>
      <c r="Q512" s="636"/>
      <c r="R512" s="636"/>
      <c r="S512" s="635"/>
      <c r="T512" s="707"/>
      <c r="U512" s="707"/>
      <c r="V512" s="707"/>
      <c r="W512" s="636"/>
      <c r="X512" s="636"/>
      <c r="Y512" s="707"/>
      <c r="Z512" s="635"/>
      <c r="AA512" s="707"/>
      <c r="AB512" s="707"/>
    </row>
    <row r="513" spans="1:28" x14ac:dyDescent="0.25">
      <c r="A513" s="23"/>
      <c r="B513" s="24"/>
      <c r="C513" s="25"/>
      <c r="D513" s="27"/>
      <c r="E513" s="27"/>
      <c r="F513" s="28"/>
      <c r="G513" s="27"/>
      <c r="H513" s="180"/>
      <c r="I513" s="27"/>
      <c r="J513" s="738"/>
      <c r="K513" s="635"/>
      <c r="L513" s="635"/>
      <c r="M513" s="635"/>
      <c r="N513" s="635"/>
      <c r="O513" s="636"/>
      <c r="P513" s="635"/>
      <c r="Q513" s="636"/>
      <c r="R513" s="636"/>
      <c r="S513" s="635"/>
      <c r="T513" s="707"/>
      <c r="U513" s="707"/>
      <c r="V513" s="707"/>
      <c r="W513" s="636"/>
      <c r="X513" s="636"/>
      <c r="Y513" s="707"/>
      <c r="Z513" s="635"/>
      <c r="AA513" s="707"/>
      <c r="AB513" s="707"/>
    </row>
    <row r="514" spans="1:28" x14ac:dyDescent="0.25">
      <c r="A514" s="23"/>
      <c r="B514" s="24"/>
      <c r="C514" s="25"/>
      <c r="D514" s="27"/>
      <c r="E514" s="27"/>
      <c r="F514" s="28"/>
      <c r="G514" s="27"/>
      <c r="H514" s="180"/>
      <c r="I514" s="27"/>
      <c r="J514" s="738"/>
      <c r="K514" s="635"/>
      <c r="L514" s="635"/>
      <c r="M514" s="635"/>
      <c r="N514" s="635"/>
      <c r="O514" s="636"/>
      <c r="P514" s="635"/>
      <c r="Q514" s="636"/>
      <c r="R514" s="636"/>
      <c r="S514" s="635"/>
      <c r="T514" s="707"/>
      <c r="U514" s="707"/>
      <c r="V514" s="707"/>
      <c r="W514" s="636"/>
      <c r="X514" s="636"/>
      <c r="Y514" s="707"/>
      <c r="Z514" s="635"/>
      <c r="AA514" s="707"/>
      <c r="AB514" s="707"/>
    </row>
    <row r="515" spans="1:28" x14ac:dyDescent="0.25">
      <c r="A515" s="23"/>
      <c r="B515" s="24"/>
      <c r="C515" s="25"/>
      <c r="D515" s="27"/>
      <c r="E515" s="27"/>
      <c r="F515" s="28"/>
      <c r="G515" s="27"/>
      <c r="H515" s="180"/>
      <c r="I515" s="27"/>
      <c r="J515" s="738"/>
      <c r="K515" s="635"/>
      <c r="L515" s="635"/>
      <c r="M515" s="635"/>
      <c r="N515" s="635"/>
      <c r="O515" s="636"/>
      <c r="P515" s="635"/>
      <c r="Q515" s="636"/>
      <c r="R515" s="636"/>
      <c r="S515" s="635"/>
      <c r="T515" s="707"/>
      <c r="U515" s="707"/>
      <c r="V515" s="707"/>
      <c r="W515" s="636"/>
      <c r="X515" s="636"/>
      <c r="Y515" s="707"/>
      <c r="Z515" s="635"/>
      <c r="AA515" s="707"/>
      <c r="AB515" s="707"/>
    </row>
    <row r="516" spans="1:28" x14ac:dyDescent="0.25">
      <c r="A516" s="23"/>
      <c r="B516" s="24"/>
      <c r="C516" s="25"/>
      <c r="D516" s="27"/>
      <c r="E516" s="27"/>
      <c r="F516" s="28"/>
      <c r="G516" s="27"/>
      <c r="H516" s="180"/>
      <c r="I516" s="27"/>
      <c r="J516" s="738"/>
      <c r="K516" s="635"/>
      <c r="L516" s="635"/>
      <c r="M516" s="635"/>
      <c r="N516" s="635"/>
      <c r="O516" s="636"/>
      <c r="P516" s="635"/>
      <c r="Q516" s="636"/>
      <c r="R516" s="636"/>
      <c r="S516" s="635"/>
      <c r="T516" s="707"/>
      <c r="U516" s="707"/>
      <c r="V516" s="707"/>
      <c r="W516" s="636"/>
      <c r="X516" s="636"/>
      <c r="Y516" s="707"/>
      <c r="Z516" s="635"/>
      <c r="AA516" s="707"/>
      <c r="AB516" s="707"/>
    </row>
    <row r="517" spans="1:28" x14ac:dyDescent="0.25">
      <c r="A517" s="23"/>
      <c r="B517" s="24"/>
      <c r="C517" s="25"/>
      <c r="D517" s="27"/>
      <c r="E517" s="27"/>
      <c r="F517" s="28"/>
      <c r="G517" s="27"/>
      <c r="H517" s="180"/>
      <c r="I517" s="27"/>
      <c r="J517" s="738"/>
      <c r="K517" s="635"/>
      <c r="L517" s="635"/>
      <c r="M517" s="635"/>
      <c r="N517" s="635"/>
      <c r="O517" s="636"/>
      <c r="P517" s="635"/>
      <c r="Q517" s="636"/>
      <c r="R517" s="636"/>
      <c r="S517" s="635"/>
      <c r="T517" s="707"/>
      <c r="U517" s="707"/>
      <c r="V517" s="707"/>
      <c r="W517" s="636"/>
      <c r="X517" s="636"/>
      <c r="Y517" s="707"/>
      <c r="Z517" s="635"/>
      <c r="AA517" s="707"/>
      <c r="AB517" s="707"/>
    </row>
    <row r="518" spans="1:28" x14ac:dyDescent="0.25">
      <c r="A518" s="23"/>
      <c r="B518" s="24"/>
      <c r="C518" s="25"/>
      <c r="D518" s="27"/>
      <c r="E518" s="27"/>
      <c r="F518" s="28"/>
      <c r="G518" s="27"/>
      <c r="H518" s="180"/>
      <c r="I518" s="27"/>
      <c r="J518" s="738"/>
      <c r="K518" s="635"/>
      <c r="L518" s="635"/>
      <c r="M518" s="635"/>
      <c r="N518" s="635"/>
      <c r="O518" s="636"/>
      <c r="P518" s="635"/>
      <c r="Q518" s="636"/>
      <c r="R518" s="636"/>
      <c r="S518" s="635"/>
      <c r="T518" s="707"/>
      <c r="U518" s="707"/>
      <c r="V518" s="707"/>
      <c r="W518" s="636"/>
      <c r="X518" s="636"/>
      <c r="Y518" s="707"/>
      <c r="Z518" s="635"/>
      <c r="AA518" s="707"/>
      <c r="AB518" s="707"/>
    </row>
    <row r="519" spans="1:28" x14ac:dyDescent="0.25">
      <c r="A519" s="23"/>
      <c r="B519" s="24"/>
      <c r="C519" s="25"/>
      <c r="D519" s="27"/>
      <c r="E519" s="27"/>
      <c r="F519" s="28"/>
      <c r="G519" s="27"/>
      <c r="H519" s="180"/>
      <c r="I519" s="27"/>
      <c r="J519" s="738"/>
      <c r="K519" s="635"/>
      <c r="L519" s="635"/>
      <c r="M519" s="635"/>
      <c r="N519" s="635"/>
      <c r="O519" s="636"/>
      <c r="P519" s="635"/>
      <c r="Q519" s="636"/>
      <c r="R519" s="636"/>
      <c r="S519" s="635"/>
      <c r="T519" s="707"/>
      <c r="U519" s="707"/>
      <c r="V519" s="707"/>
      <c r="W519" s="636"/>
      <c r="X519" s="636"/>
      <c r="Y519" s="707"/>
      <c r="Z519" s="635"/>
      <c r="AA519" s="707"/>
      <c r="AB519" s="707"/>
    </row>
    <row r="520" spans="1:28" x14ac:dyDescent="0.25">
      <c r="A520" s="23"/>
      <c r="B520" s="24"/>
      <c r="C520" s="25"/>
      <c r="D520" s="27"/>
      <c r="E520" s="27"/>
      <c r="F520" s="28"/>
      <c r="G520" s="27"/>
      <c r="H520" s="180"/>
      <c r="I520" s="27"/>
      <c r="J520" s="738"/>
      <c r="K520" s="635"/>
      <c r="L520" s="635"/>
      <c r="M520" s="635"/>
      <c r="N520" s="635"/>
      <c r="O520" s="636"/>
      <c r="P520" s="635"/>
      <c r="Q520" s="636"/>
      <c r="R520" s="636"/>
      <c r="S520" s="635"/>
      <c r="T520" s="707"/>
      <c r="U520" s="707"/>
      <c r="V520" s="707"/>
      <c r="W520" s="636"/>
      <c r="X520" s="636"/>
      <c r="Y520" s="707"/>
      <c r="Z520" s="635"/>
      <c r="AA520" s="707"/>
      <c r="AB520" s="707"/>
    </row>
    <row r="521" spans="1:28" x14ac:dyDescent="0.25">
      <c r="A521" s="23"/>
      <c r="B521" s="24"/>
      <c r="C521" s="25"/>
      <c r="D521" s="27"/>
      <c r="E521" s="27"/>
      <c r="F521" s="28"/>
      <c r="G521" s="27"/>
      <c r="H521" s="180"/>
      <c r="I521" s="27"/>
      <c r="J521" s="738"/>
      <c r="K521" s="635"/>
      <c r="L521" s="635"/>
      <c r="M521" s="635"/>
      <c r="N521" s="635"/>
      <c r="O521" s="636"/>
      <c r="P521" s="635"/>
      <c r="Q521" s="636"/>
      <c r="R521" s="636"/>
      <c r="S521" s="635"/>
      <c r="T521" s="707"/>
      <c r="U521" s="707"/>
      <c r="V521" s="707"/>
      <c r="W521" s="636"/>
      <c r="X521" s="636"/>
      <c r="Y521" s="707"/>
      <c r="Z521" s="635"/>
      <c r="AA521" s="707"/>
      <c r="AB521" s="707"/>
    </row>
    <row r="522" spans="1:28" x14ac:dyDescent="0.25">
      <c r="A522" s="23"/>
      <c r="B522" s="24"/>
      <c r="C522" s="25"/>
      <c r="D522" s="27"/>
      <c r="E522" s="27"/>
      <c r="F522" s="28"/>
      <c r="G522" s="27"/>
      <c r="H522" s="180"/>
      <c r="I522" s="27"/>
      <c r="J522" s="738"/>
      <c r="K522" s="635"/>
      <c r="L522" s="635"/>
      <c r="M522" s="635"/>
      <c r="N522" s="635"/>
      <c r="O522" s="636"/>
      <c r="P522" s="635"/>
      <c r="Q522" s="636"/>
      <c r="R522" s="636"/>
      <c r="S522" s="635"/>
      <c r="T522" s="707"/>
      <c r="U522" s="707"/>
      <c r="V522" s="707"/>
      <c r="W522" s="636"/>
      <c r="X522" s="636"/>
      <c r="Y522" s="707"/>
      <c r="Z522" s="635"/>
      <c r="AA522" s="707"/>
      <c r="AB522" s="707"/>
    </row>
    <row r="523" spans="1:28" x14ac:dyDescent="0.25">
      <c r="A523" s="23"/>
      <c r="B523" s="24"/>
      <c r="C523" s="25"/>
      <c r="D523" s="27"/>
      <c r="E523" s="27"/>
      <c r="F523" s="28"/>
      <c r="G523" s="27"/>
      <c r="H523" s="180"/>
      <c r="I523" s="27"/>
      <c r="J523" s="738"/>
      <c r="K523" s="635"/>
      <c r="L523" s="635"/>
      <c r="M523" s="635"/>
      <c r="N523" s="635"/>
      <c r="O523" s="636"/>
      <c r="P523" s="635"/>
      <c r="Q523" s="636"/>
      <c r="R523" s="636"/>
      <c r="S523" s="635"/>
      <c r="T523" s="707"/>
      <c r="U523" s="707"/>
      <c r="V523" s="707"/>
      <c r="W523" s="636"/>
      <c r="X523" s="636"/>
      <c r="Y523" s="707"/>
      <c r="Z523" s="635"/>
      <c r="AA523" s="707"/>
      <c r="AB523" s="707"/>
    </row>
    <row r="524" spans="1:28" x14ac:dyDescent="0.25">
      <c r="A524" s="23"/>
      <c r="B524" s="24"/>
      <c r="C524" s="25"/>
      <c r="D524" s="27"/>
      <c r="E524" s="27"/>
      <c r="F524" s="28"/>
      <c r="G524" s="27"/>
      <c r="H524" s="180"/>
      <c r="I524" s="27"/>
      <c r="J524" s="738"/>
      <c r="K524" s="635"/>
      <c r="L524" s="635"/>
      <c r="M524" s="635"/>
      <c r="N524" s="635"/>
      <c r="O524" s="636"/>
      <c r="P524" s="635"/>
      <c r="Q524" s="636"/>
      <c r="R524" s="636"/>
      <c r="S524" s="635"/>
      <c r="T524" s="707"/>
      <c r="U524" s="707"/>
      <c r="V524" s="707"/>
      <c r="W524" s="636"/>
      <c r="X524" s="636"/>
      <c r="Y524" s="707"/>
      <c r="Z524" s="635"/>
      <c r="AA524" s="707"/>
      <c r="AB524" s="707"/>
    </row>
    <row r="525" spans="1:28" x14ac:dyDescent="0.25">
      <c r="A525" s="23"/>
      <c r="B525" s="24"/>
      <c r="C525" s="25"/>
      <c r="D525" s="27"/>
      <c r="E525" s="27"/>
      <c r="F525" s="28"/>
      <c r="G525" s="27"/>
      <c r="H525" s="180"/>
      <c r="I525" s="27"/>
      <c r="J525" s="738"/>
      <c r="K525" s="635"/>
      <c r="L525" s="635"/>
      <c r="M525" s="635"/>
      <c r="N525" s="635"/>
      <c r="O525" s="636"/>
      <c r="P525" s="635"/>
      <c r="Q525" s="636"/>
      <c r="R525" s="636"/>
      <c r="S525" s="635"/>
      <c r="T525" s="707"/>
      <c r="U525" s="707"/>
      <c r="V525" s="707"/>
      <c r="W525" s="636"/>
      <c r="X525" s="636"/>
      <c r="Y525" s="707"/>
      <c r="Z525" s="635"/>
      <c r="AA525" s="707"/>
      <c r="AB525" s="707"/>
    </row>
    <row r="526" spans="1:28" x14ac:dyDescent="0.25">
      <c r="A526" s="23"/>
      <c r="B526" s="24"/>
      <c r="C526" s="25"/>
      <c r="D526" s="27"/>
      <c r="E526" s="27"/>
      <c r="F526" s="28"/>
      <c r="G526" s="27"/>
      <c r="H526" s="180"/>
      <c r="I526" s="27"/>
      <c r="J526" s="738"/>
      <c r="K526" s="635"/>
      <c r="L526" s="635"/>
      <c r="M526" s="635"/>
      <c r="N526" s="635"/>
      <c r="O526" s="636"/>
      <c r="P526" s="635"/>
      <c r="Q526" s="636"/>
      <c r="R526" s="636"/>
      <c r="S526" s="635"/>
      <c r="T526" s="707"/>
      <c r="U526" s="707"/>
      <c r="V526" s="707"/>
      <c r="W526" s="636"/>
      <c r="X526" s="636"/>
      <c r="Y526" s="707"/>
      <c r="Z526" s="635"/>
      <c r="AA526" s="707"/>
      <c r="AB526" s="707"/>
    </row>
    <row r="527" spans="1:28" x14ac:dyDescent="0.25">
      <c r="A527" s="23"/>
      <c r="B527" s="24"/>
      <c r="C527" s="25"/>
      <c r="D527" s="27"/>
      <c r="E527" s="27"/>
      <c r="F527" s="28"/>
      <c r="G527" s="27"/>
      <c r="H527" s="180"/>
      <c r="I527" s="27"/>
      <c r="J527" s="738"/>
      <c r="K527" s="635"/>
      <c r="L527" s="635"/>
      <c r="M527" s="635"/>
      <c r="N527" s="635"/>
      <c r="O527" s="636"/>
      <c r="P527" s="635"/>
      <c r="Q527" s="636"/>
      <c r="R527" s="636"/>
      <c r="S527" s="635"/>
      <c r="T527" s="707"/>
      <c r="U527" s="707"/>
      <c r="V527" s="707"/>
      <c r="W527" s="636"/>
      <c r="X527" s="636"/>
      <c r="Y527" s="707"/>
      <c r="Z527" s="635"/>
      <c r="AA527" s="707"/>
      <c r="AB527" s="707"/>
    </row>
    <row r="528" spans="1:28" x14ac:dyDescent="0.25">
      <c r="A528" s="23"/>
      <c r="B528" s="24"/>
      <c r="C528" s="25"/>
      <c r="D528" s="27"/>
      <c r="E528" s="27"/>
      <c r="F528" s="28"/>
      <c r="G528" s="27"/>
      <c r="H528" s="180"/>
      <c r="I528" s="27"/>
      <c r="J528" s="738"/>
      <c r="K528" s="635"/>
      <c r="L528" s="635"/>
      <c r="M528" s="635"/>
      <c r="N528" s="635"/>
      <c r="O528" s="636"/>
      <c r="P528" s="635"/>
      <c r="Q528" s="636"/>
      <c r="R528" s="636"/>
      <c r="S528" s="635"/>
      <c r="T528" s="707"/>
      <c r="U528" s="707"/>
      <c r="V528" s="707"/>
      <c r="W528" s="636"/>
      <c r="X528" s="636"/>
      <c r="Y528" s="707"/>
      <c r="Z528" s="635"/>
      <c r="AA528" s="707"/>
      <c r="AB528" s="707"/>
    </row>
    <row r="529" spans="1:28" x14ac:dyDescent="0.25">
      <c r="A529" s="23"/>
      <c r="B529" s="24"/>
      <c r="C529" s="25"/>
      <c r="D529" s="27"/>
      <c r="E529" s="27"/>
      <c r="F529" s="28"/>
      <c r="G529" s="27"/>
      <c r="H529" s="180"/>
      <c r="I529" s="27"/>
      <c r="J529" s="738"/>
      <c r="K529" s="635"/>
      <c r="L529" s="635"/>
      <c r="M529" s="635"/>
      <c r="N529" s="635"/>
      <c r="O529" s="636"/>
      <c r="P529" s="635"/>
      <c r="Q529" s="636"/>
      <c r="R529" s="636"/>
      <c r="S529" s="635"/>
      <c r="T529" s="707"/>
      <c r="U529" s="707"/>
      <c r="V529" s="707"/>
      <c r="W529" s="636"/>
      <c r="X529" s="636"/>
      <c r="Y529" s="707"/>
      <c r="Z529" s="635"/>
      <c r="AA529" s="707"/>
      <c r="AB529" s="707"/>
    </row>
    <row r="530" spans="1:28" x14ac:dyDescent="0.25">
      <c r="A530" s="23"/>
      <c r="B530" s="24"/>
      <c r="C530" s="25"/>
      <c r="D530" s="27"/>
      <c r="E530" s="27"/>
      <c r="F530" s="28"/>
      <c r="G530" s="27"/>
      <c r="H530" s="180"/>
      <c r="I530" s="27"/>
      <c r="J530" s="738"/>
      <c r="K530" s="635"/>
      <c r="L530" s="635"/>
      <c r="M530" s="635"/>
      <c r="N530" s="635"/>
      <c r="O530" s="636"/>
      <c r="P530" s="635"/>
      <c r="Q530" s="636"/>
      <c r="R530" s="636"/>
      <c r="S530" s="635"/>
      <c r="T530" s="707"/>
      <c r="U530" s="707"/>
      <c r="V530" s="707"/>
      <c r="W530" s="636"/>
      <c r="X530" s="636"/>
      <c r="Y530" s="707"/>
      <c r="Z530" s="635"/>
      <c r="AA530" s="707"/>
      <c r="AB530" s="707"/>
    </row>
    <row r="531" spans="1:28" x14ac:dyDescent="0.25">
      <c r="A531" s="23"/>
      <c r="B531" s="24"/>
      <c r="C531" s="25"/>
      <c r="D531" s="27"/>
      <c r="E531" s="27"/>
      <c r="F531" s="28"/>
      <c r="G531" s="27"/>
      <c r="H531" s="180"/>
      <c r="I531" s="27"/>
      <c r="J531" s="738"/>
      <c r="K531" s="635"/>
      <c r="L531" s="635"/>
      <c r="M531" s="635"/>
      <c r="N531" s="635"/>
      <c r="O531" s="636"/>
      <c r="P531" s="635"/>
      <c r="Q531" s="636"/>
      <c r="R531" s="636"/>
      <c r="S531" s="635"/>
      <c r="T531" s="707"/>
      <c r="U531" s="707"/>
      <c r="V531" s="707"/>
      <c r="W531" s="636"/>
      <c r="X531" s="636"/>
      <c r="Y531" s="707"/>
      <c r="Z531" s="635"/>
      <c r="AA531" s="707"/>
      <c r="AB531" s="707"/>
    </row>
    <row r="532" spans="1:28" x14ac:dyDescent="0.25">
      <c r="A532" s="23"/>
      <c r="B532" s="24"/>
      <c r="C532" s="25"/>
      <c r="D532" s="27"/>
      <c r="E532" s="27"/>
      <c r="F532" s="28"/>
      <c r="G532" s="27"/>
      <c r="H532" s="180"/>
      <c r="I532" s="27"/>
      <c r="J532" s="738"/>
      <c r="K532" s="635"/>
      <c r="L532" s="635"/>
      <c r="M532" s="635"/>
      <c r="N532" s="635"/>
      <c r="O532" s="636"/>
      <c r="P532" s="635"/>
      <c r="Q532" s="636"/>
      <c r="R532" s="636"/>
      <c r="S532" s="635"/>
      <c r="T532" s="707"/>
      <c r="U532" s="707"/>
      <c r="V532" s="707"/>
      <c r="W532" s="636"/>
      <c r="X532" s="636"/>
      <c r="Y532" s="707"/>
      <c r="Z532" s="635"/>
      <c r="AA532" s="707"/>
      <c r="AB532" s="707"/>
    </row>
    <row r="533" spans="1:28" x14ac:dyDescent="0.25">
      <c r="A533" s="23"/>
      <c r="B533" s="24"/>
      <c r="C533" s="25"/>
      <c r="D533" s="27"/>
      <c r="E533" s="27"/>
      <c r="F533" s="28"/>
      <c r="G533" s="27"/>
      <c r="H533" s="180"/>
      <c r="I533" s="27"/>
      <c r="J533" s="738"/>
      <c r="K533" s="635"/>
      <c r="L533" s="635"/>
      <c r="M533" s="635"/>
      <c r="N533" s="635"/>
      <c r="O533" s="636"/>
      <c r="P533" s="635"/>
      <c r="Q533" s="636"/>
      <c r="R533" s="636"/>
      <c r="S533" s="635"/>
      <c r="T533" s="707"/>
      <c r="U533" s="707"/>
      <c r="V533" s="707"/>
      <c r="W533" s="636"/>
      <c r="X533" s="636"/>
      <c r="Y533" s="707"/>
      <c r="Z533" s="635"/>
      <c r="AA533" s="707"/>
      <c r="AB533" s="707"/>
    </row>
    <row r="534" spans="1:28" x14ac:dyDescent="0.25">
      <c r="A534" s="23"/>
      <c r="B534" s="24"/>
      <c r="C534" s="25"/>
      <c r="D534" s="27"/>
      <c r="E534" s="27"/>
      <c r="F534" s="28"/>
      <c r="G534" s="27"/>
      <c r="H534" s="180"/>
      <c r="I534" s="27"/>
      <c r="J534" s="738"/>
      <c r="K534" s="635"/>
      <c r="L534" s="635"/>
      <c r="M534" s="635"/>
      <c r="N534" s="635"/>
      <c r="O534" s="636"/>
      <c r="P534" s="635"/>
      <c r="Q534" s="636"/>
      <c r="R534" s="636"/>
      <c r="S534" s="635"/>
      <c r="T534" s="707"/>
      <c r="U534" s="707"/>
      <c r="V534" s="707"/>
      <c r="W534" s="636"/>
      <c r="X534" s="636"/>
      <c r="Y534" s="707"/>
      <c r="Z534" s="635"/>
      <c r="AA534" s="707"/>
      <c r="AB534" s="707"/>
    </row>
    <row r="535" spans="1:28" x14ac:dyDescent="0.25">
      <c r="A535" s="23"/>
      <c r="B535" s="24"/>
      <c r="C535" s="25"/>
      <c r="D535" s="27"/>
      <c r="E535" s="27"/>
      <c r="F535" s="28"/>
      <c r="G535" s="27"/>
      <c r="H535" s="180"/>
      <c r="I535" s="27"/>
      <c r="J535" s="738"/>
      <c r="K535" s="635"/>
      <c r="L535" s="635"/>
      <c r="M535" s="635"/>
      <c r="N535" s="635"/>
      <c r="O535" s="636"/>
      <c r="P535" s="635"/>
      <c r="Q535" s="636"/>
      <c r="R535" s="636"/>
      <c r="S535" s="635"/>
      <c r="T535" s="707"/>
      <c r="U535" s="707"/>
      <c r="V535" s="707"/>
      <c r="W535" s="636"/>
      <c r="X535" s="636"/>
      <c r="Y535" s="707"/>
      <c r="Z535" s="635"/>
      <c r="AA535" s="707"/>
      <c r="AB535" s="707"/>
    </row>
    <row r="536" spans="1:28" x14ac:dyDescent="0.25">
      <c r="A536" s="23"/>
      <c r="B536" s="24"/>
      <c r="C536" s="25"/>
      <c r="D536" s="27"/>
      <c r="E536" s="27"/>
      <c r="F536" s="28"/>
      <c r="G536" s="27"/>
      <c r="H536" s="180"/>
      <c r="I536" s="27"/>
      <c r="J536" s="738"/>
      <c r="K536" s="635"/>
      <c r="L536" s="635"/>
      <c r="M536" s="635"/>
      <c r="N536" s="635"/>
      <c r="O536" s="636"/>
      <c r="P536" s="635"/>
      <c r="Q536" s="636"/>
      <c r="R536" s="636"/>
      <c r="S536" s="635"/>
      <c r="T536" s="707"/>
      <c r="U536" s="707"/>
      <c r="V536" s="707"/>
      <c r="W536" s="636"/>
      <c r="X536" s="636"/>
      <c r="Y536" s="707"/>
      <c r="Z536" s="635"/>
      <c r="AA536" s="707"/>
      <c r="AB536" s="707"/>
    </row>
    <row r="537" spans="1:28" x14ac:dyDescent="0.25">
      <c r="A537" s="23"/>
      <c r="B537" s="24"/>
      <c r="C537" s="25"/>
      <c r="D537" s="27"/>
      <c r="E537" s="27"/>
      <c r="F537" s="28"/>
      <c r="G537" s="27"/>
      <c r="H537" s="180"/>
      <c r="I537" s="27"/>
      <c r="J537" s="738"/>
      <c r="K537" s="635"/>
      <c r="L537" s="635"/>
      <c r="M537" s="635"/>
      <c r="N537" s="635"/>
      <c r="O537" s="636"/>
      <c r="P537" s="635"/>
      <c r="Q537" s="636"/>
      <c r="R537" s="636"/>
      <c r="S537" s="635"/>
      <c r="T537" s="707"/>
      <c r="U537" s="707"/>
      <c r="V537" s="707"/>
      <c r="W537" s="636"/>
      <c r="X537" s="636"/>
      <c r="Y537" s="707"/>
      <c r="Z537" s="635"/>
      <c r="AA537" s="707"/>
      <c r="AB537" s="707"/>
    </row>
    <row r="538" spans="1:28" x14ac:dyDescent="0.25">
      <c r="A538" s="23"/>
      <c r="B538" s="24"/>
      <c r="C538" s="25"/>
      <c r="D538" s="27"/>
      <c r="E538" s="27"/>
      <c r="F538" s="28"/>
      <c r="G538" s="27"/>
      <c r="H538" s="180"/>
      <c r="I538" s="27"/>
      <c r="J538" s="738"/>
      <c r="K538" s="635"/>
      <c r="L538" s="635"/>
      <c r="M538" s="635"/>
      <c r="N538" s="635"/>
      <c r="O538" s="636"/>
      <c r="P538" s="635"/>
      <c r="Q538" s="636"/>
      <c r="R538" s="636"/>
      <c r="S538" s="635"/>
      <c r="T538" s="707"/>
      <c r="U538" s="707"/>
      <c r="V538" s="707"/>
      <c r="W538" s="636"/>
      <c r="X538" s="636"/>
      <c r="Y538" s="707"/>
      <c r="Z538" s="635"/>
      <c r="AA538" s="707"/>
      <c r="AB538" s="707"/>
    </row>
    <row r="539" spans="1:28" x14ac:dyDescent="0.25">
      <c r="A539" s="23"/>
      <c r="B539" s="24"/>
      <c r="C539" s="25"/>
      <c r="D539" s="27"/>
      <c r="E539" s="27"/>
      <c r="F539" s="28"/>
      <c r="G539" s="27"/>
      <c r="H539" s="180"/>
      <c r="I539" s="27"/>
      <c r="J539" s="738"/>
      <c r="K539" s="635"/>
      <c r="L539" s="635"/>
      <c r="M539" s="635"/>
      <c r="N539" s="635"/>
      <c r="O539" s="636"/>
      <c r="P539" s="635"/>
      <c r="Q539" s="636"/>
      <c r="R539" s="636"/>
      <c r="S539" s="635"/>
      <c r="T539" s="707"/>
      <c r="U539" s="707"/>
      <c r="V539" s="707"/>
      <c r="W539" s="636"/>
      <c r="X539" s="636"/>
      <c r="Y539" s="707"/>
      <c r="Z539" s="635"/>
      <c r="AA539" s="707"/>
      <c r="AB539" s="707"/>
    </row>
    <row r="540" spans="1:28" x14ac:dyDescent="0.25">
      <c r="A540" s="23"/>
      <c r="B540" s="24"/>
      <c r="C540" s="25"/>
      <c r="D540" s="27"/>
      <c r="E540" s="27"/>
      <c r="F540" s="28"/>
      <c r="G540" s="27"/>
      <c r="H540" s="180"/>
      <c r="I540" s="27"/>
      <c r="J540" s="738"/>
      <c r="K540" s="635"/>
      <c r="L540" s="635"/>
      <c r="M540" s="635"/>
      <c r="N540" s="635"/>
      <c r="O540" s="636"/>
      <c r="P540" s="635"/>
      <c r="Q540" s="636"/>
      <c r="R540" s="636"/>
      <c r="S540" s="635"/>
      <c r="T540" s="707"/>
      <c r="U540" s="707"/>
      <c r="V540" s="707"/>
      <c r="W540" s="636"/>
      <c r="X540" s="636"/>
      <c r="Y540" s="707"/>
      <c r="Z540" s="635"/>
      <c r="AA540" s="707"/>
      <c r="AB540" s="707"/>
    </row>
    <row r="541" spans="1:28" x14ac:dyDescent="0.25">
      <c r="A541" s="23"/>
      <c r="B541" s="24"/>
      <c r="C541" s="25"/>
      <c r="D541" s="27"/>
      <c r="E541" s="27"/>
      <c r="F541" s="28"/>
      <c r="G541" s="27"/>
      <c r="H541" s="180"/>
      <c r="I541" s="27"/>
      <c r="J541" s="738"/>
      <c r="K541" s="635"/>
      <c r="L541" s="635"/>
      <c r="M541" s="635"/>
      <c r="N541" s="635"/>
      <c r="O541" s="636"/>
      <c r="P541" s="635"/>
      <c r="Q541" s="636"/>
      <c r="R541" s="636"/>
      <c r="S541" s="635"/>
      <c r="T541" s="707"/>
      <c r="U541" s="707"/>
      <c r="V541" s="707"/>
      <c r="W541" s="636"/>
      <c r="X541" s="636"/>
      <c r="Y541" s="707"/>
      <c r="Z541" s="635"/>
      <c r="AA541" s="707"/>
      <c r="AB541" s="707"/>
    </row>
    <row r="542" spans="1:28" x14ac:dyDescent="0.25">
      <c r="A542" s="23"/>
      <c r="B542" s="24"/>
      <c r="C542" s="25"/>
      <c r="D542" s="27"/>
      <c r="E542" s="27"/>
      <c r="F542" s="28"/>
      <c r="G542" s="27"/>
      <c r="H542" s="180"/>
      <c r="I542" s="27"/>
      <c r="J542" s="738"/>
      <c r="K542" s="635"/>
      <c r="L542" s="635"/>
      <c r="M542" s="635"/>
      <c r="N542" s="635"/>
      <c r="O542" s="636"/>
      <c r="P542" s="635"/>
      <c r="Q542" s="636"/>
      <c r="R542" s="636"/>
      <c r="S542" s="635"/>
      <c r="T542" s="707"/>
      <c r="U542" s="707"/>
      <c r="V542" s="707"/>
      <c r="W542" s="636"/>
      <c r="X542" s="636"/>
      <c r="Y542" s="707"/>
      <c r="Z542" s="635"/>
      <c r="AA542" s="707"/>
      <c r="AB542" s="707"/>
    </row>
    <row r="543" spans="1:28" x14ac:dyDescent="0.25">
      <c r="A543" s="23"/>
      <c r="B543" s="24"/>
      <c r="C543" s="25"/>
      <c r="D543" s="27"/>
      <c r="E543" s="27"/>
      <c r="F543" s="28"/>
      <c r="G543" s="27"/>
      <c r="H543" s="180"/>
      <c r="I543" s="27"/>
      <c r="J543" s="738"/>
      <c r="K543" s="635"/>
      <c r="L543" s="635"/>
      <c r="M543" s="635"/>
      <c r="N543" s="635"/>
      <c r="O543" s="636"/>
      <c r="P543" s="635"/>
      <c r="Q543" s="636"/>
      <c r="R543" s="636"/>
      <c r="S543" s="635"/>
      <c r="T543" s="707"/>
      <c r="U543" s="707"/>
      <c r="V543" s="707"/>
      <c r="W543" s="636"/>
      <c r="X543" s="636"/>
      <c r="Y543" s="707"/>
      <c r="Z543" s="635"/>
      <c r="AA543" s="707"/>
      <c r="AB543" s="707"/>
    </row>
    <row r="544" spans="1:28" x14ac:dyDescent="0.25">
      <c r="A544" s="23"/>
      <c r="B544" s="24"/>
      <c r="C544" s="25"/>
      <c r="D544" s="27"/>
      <c r="E544" s="27"/>
      <c r="F544" s="28"/>
      <c r="G544" s="27"/>
      <c r="H544" s="180"/>
      <c r="I544" s="27"/>
      <c r="J544" s="738"/>
      <c r="K544" s="635"/>
      <c r="L544" s="635"/>
      <c r="M544" s="635"/>
      <c r="N544" s="635"/>
      <c r="O544" s="636"/>
      <c r="P544" s="635"/>
      <c r="Q544" s="636"/>
      <c r="R544" s="636"/>
      <c r="S544" s="635"/>
      <c r="T544" s="707"/>
      <c r="U544" s="707"/>
      <c r="V544" s="707"/>
      <c r="W544" s="636"/>
      <c r="X544" s="636"/>
      <c r="Y544" s="707"/>
      <c r="Z544" s="635"/>
      <c r="AA544" s="707"/>
      <c r="AB544" s="707"/>
    </row>
    <row r="545" spans="1:28" x14ac:dyDescent="0.25">
      <c r="A545" s="23"/>
      <c r="B545" s="24"/>
      <c r="C545" s="25"/>
      <c r="D545" s="27"/>
      <c r="E545" s="27"/>
      <c r="F545" s="28"/>
      <c r="G545" s="27"/>
      <c r="H545" s="180"/>
      <c r="I545" s="27"/>
      <c r="J545" s="738"/>
      <c r="K545" s="635"/>
      <c r="L545" s="635"/>
      <c r="M545" s="635"/>
      <c r="N545" s="635"/>
      <c r="O545" s="636"/>
      <c r="P545" s="635"/>
      <c r="Q545" s="636"/>
      <c r="R545" s="636"/>
      <c r="S545" s="635"/>
      <c r="T545" s="707"/>
      <c r="U545" s="707"/>
      <c r="V545" s="707"/>
      <c r="W545" s="636"/>
      <c r="X545" s="636"/>
      <c r="Y545" s="707"/>
      <c r="Z545" s="635"/>
      <c r="AA545" s="707"/>
      <c r="AB545" s="707"/>
    </row>
    <row r="546" spans="1:28" x14ac:dyDescent="0.25">
      <c r="A546" s="23"/>
      <c r="B546" s="24"/>
      <c r="C546" s="25"/>
      <c r="D546" s="27"/>
      <c r="E546" s="27"/>
      <c r="F546" s="28"/>
      <c r="G546" s="27"/>
      <c r="H546" s="180"/>
      <c r="I546" s="27"/>
      <c r="J546" s="738"/>
      <c r="K546" s="635"/>
      <c r="L546" s="635"/>
      <c r="M546" s="635"/>
      <c r="N546" s="635"/>
      <c r="O546" s="636"/>
      <c r="P546" s="635"/>
      <c r="Q546" s="636"/>
      <c r="R546" s="636"/>
      <c r="S546" s="635"/>
      <c r="T546" s="707"/>
      <c r="U546" s="707"/>
      <c r="V546" s="707"/>
      <c r="W546" s="636"/>
      <c r="X546" s="636"/>
      <c r="Y546" s="707"/>
      <c r="Z546" s="635"/>
      <c r="AA546" s="707"/>
      <c r="AB546" s="707"/>
    </row>
    <row r="547" spans="1:28" x14ac:dyDescent="0.25">
      <c r="A547" s="23"/>
      <c r="B547" s="24"/>
      <c r="C547" s="25"/>
      <c r="D547" s="27"/>
      <c r="E547" s="27"/>
      <c r="F547" s="28"/>
      <c r="G547" s="27"/>
      <c r="H547" s="180"/>
      <c r="I547" s="27"/>
      <c r="J547" s="738"/>
      <c r="K547" s="635"/>
      <c r="L547" s="635"/>
      <c r="M547" s="635"/>
      <c r="N547" s="635"/>
      <c r="O547" s="636"/>
      <c r="P547" s="635"/>
      <c r="Q547" s="636"/>
      <c r="R547" s="636"/>
      <c r="S547" s="635"/>
      <c r="T547" s="707"/>
      <c r="U547" s="707"/>
      <c r="V547" s="707"/>
      <c r="W547" s="636"/>
      <c r="X547" s="636"/>
      <c r="Y547" s="707"/>
      <c r="Z547" s="635"/>
      <c r="AA547" s="707"/>
      <c r="AB547" s="707"/>
    </row>
    <row r="548" spans="1:28" x14ac:dyDescent="0.25">
      <c r="A548" s="23"/>
      <c r="B548" s="24"/>
      <c r="C548" s="25"/>
      <c r="D548" s="27"/>
      <c r="E548" s="27"/>
      <c r="F548" s="28"/>
      <c r="G548" s="27"/>
      <c r="H548" s="180"/>
      <c r="I548" s="27"/>
      <c r="J548" s="738"/>
      <c r="K548" s="635"/>
      <c r="L548" s="635"/>
      <c r="M548" s="635"/>
      <c r="N548" s="635"/>
      <c r="O548" s="636"/>
      <c r="P548" s="635"/>
      <c r="Q548" s="636"/>
      <c r="R548" s="636"/>
      <c r="S548" s="635"/>
      <c r="T548" s="707"/>
      <c r="U548" s="707"/>
      <c r="V548" s="707"/>
      <c r="W548" s="636"/>
      <c r="X548" s="636"/>
      <c r="Y548" s="707"/>
      <c r="Z548" s="635"/>
      <c r="AA548" s="707"/>
      <c r="AB548" s="707"/>
    </row>
    <row r="549" spans="1:28" x14ac:dyDescent="0.25">
      <c r="A549" s="23"/>
      <c r="B549" s="24"/>
      <c r="C549" s="25"/>
      <c r="D549" s="27"/>
      <c r="E549" s="27"/>
      <c r="F549" s="28"/>
      <c r="G549" s="27"/>
      <c r="H549" s="180"/>
      <c r="I549" s="27"/>
      <c r="J549" s="738"/>
      <c r="K549" s="635"/>
      <c r="L549" s="635"/>
      <c r="M549" s="635"/>
      <c r="N549" s="635"/>
      <c r="O549" s="636"/>
      <c r="P549" s="635"/>
      <c r="Q549" s="636"/>
      <c r="R549" s="636"/>
      <c r="S549" s="635"/>
      <c r="T549" s="707"/>
      <c r="U549" s="707"/>
      <c r="V549" s="707"/>
      <c r="W549" s="636"/>
      <c r="X549" s="636"/>
      <c r="Y549" s="707"/>
      <c r="Z549" s="635"/>
      <c r="AA549" s="707"/>
      <c r="AB549" s="707"/>
    </row>
    <row r="550" spans="1:28" x14ac:dyDescent="0.25">
      <c r="A550" s="23"/>
      <c r="B550" s="24"/>
      <c r="C550" s="25"/>
      <c r="D550" s="27"/>
      <c r="E550" s="27"/>
      <c r="F550" s="28"/>
      <c r="G550" s="27"/>
      <c r="H550" s="180"/>
      <c r="I550" s="27"/>
      <c r="J550" s="738"/>
      <c r="K550" s="635"/>
      <c r="L550" s="635"/>
      <c r="M550" s="635"/>
      <c r="N550" s="635"/>
      <c r="O550" s="636"/>
      <c r="P550" s="635"/>
      <c r="Q550" s="636"/>
      <c r="R550" s="636"/>
      <c r="S550" s="635"/>
      <c r="T550" s="707"/>
      <c r="U550" s="707"/>
      <c r="V550" s="707"/>
      <c r="W550" s="636"/>
      <c r="X550" s="636"/>
      <c r="Y550" s="707"/>
      <c r="Z550" s="635"/>
      <c r="AA550" s="707"/>
      <c r="AB550" s="707"/>
    </row>
    <row r="551" spans="1:28" x14ac:dyDescent="0.25">
      <c r="A551" s="23"/>
      <c r="B551" s="24"/>
      <c r="C551" s="25"/>
      <c r="D551" s="27"/>
      <c r="E551" s="27"/>
      <c r="F551" s="28"/>
      <c r="G551" s="27"/>
      <c r="H551" s="180"/>
      <c r="I551" s="27"/>
      <c r="J551" s="738"/>
      <c r="K551" s="635"/>
      <c r="L551" s="635"/>
      <c r="M551" s="635"/>
      <c r="N551" s="635"/>
      <c r="O551" s="636"/>
      <c r="P551" s="635"/>
      <c r="Q551" s="636"/>
      <c r="R551" s="636"/>
      <c r="S551" s="635"/>
      <c r="T551" s="707"/>
      <c r="U551" s="707"/>
      <c r="V551" s="707"/>
      <c r="W551" s="636"/>
      <c r="X551" s="636"/>
      <c r="Y551" s="707"/>
      <c r="Z551" s="635"/>
      <c r="AA551" s="707"/>
      <c r="AB551" s="707"/>
    </row>
    <row r="552" spans="1:28" x14ac:dyDescent="0.25">
      <c r="A552" s="23"/>
      <c r="B552" s="24"/>
      <c r="C552" s="25"/>
      <c r="D552" s="27"/>
      <c r="E552" s="27"/>
      <c r="F552" s="28"/>
      <c r="G552" s="27"/>
      <c r="H552" s="180"/>
      <c r="I552" s="27"/>
      <c r="J552" s="738"/>
      <c r="K552" s="635"/>
      <c r="L552" s="635"/>
      <c r="M552" s="635"/>
      <c r="N552" s="635"/>
      <c r="O552" s="636"/>
      <c r="P552" s="635"/>
      <c r="Q552" s="636"/>
      <c r="R552" s="636"/>
      <c r="S552" s="635"/>
      <c r="T552" s="707"/>
      <c r="U552" s="707"/>
      <c r="V552" s="707"/>
      <c r="W552" s="636"/>
      <c r="X552" s="636"/>
      <c r="Y552" s="707"/>
      <c r="Z552" s="635"/>
      <c r="AA552" s="707"/>
      <c r="AB552" s="707"/>
    </row>
    <row r="553" spans="1:28" x14ac:dyDescent="0.25">
      <c r="A553" s="23"/>
      <c r="B553" s="24"/>
      <c r="C553" s="25"/>
      <c r="D553" s="27"/>
      <c r="E553" s="27"/>
      <c r="F553" s="28"/>
      <c r="G553" s="27"/>
      <c r="H553" s="180"/>
      <c r="I553" s="27"/>
      <c r="J553" s="738"/>
      <c r="K553" s="635"/>
      <c r="L553" s="635"/>
      <c r="M553" s="635"/>
      <c r="N553" s="635"/>
      <c r="O553" s="636"/>
      <c r="P553" s="635"/>
      <c r="Q553" s="636"/>
      <c r="R553" s="636"/>
      <c r="S553" s="635"/>
      <c r="T553" s="707"/>
      <c r="U553" s="707"/>
      <c r="V553" s="707"/>
      <c r="W553" s="636"/>
      <c r="X553" s="636"/>
      <c r="Y553" s="707"/>
      <c r="Z553" s="635"/>
      <c r="AA553" s="707"/>
      <c r="AB553" s="707"/>
    </row>
    <row r="554" spans="1:28" x14ac:dyDescent="0.25">
      <c r="A554" s="23"/>
      <c r="B554" s="24"/>
      <c r="C554" s="25"/>
      <c r="D554" s="27"/>
      <c r="E554" s="27"/>
      <c r="F554" s="28"/>
      <c r="G554" s="27"/>
      <c r="H554" s="180"/>
      <c r="I554" s="27"/>
      <c r="J554" s="738"/>
      <c r="K554" s="635"/>
      <c r="L554" s="635"/>
      <c r="M554" s="635"/>
      <c r="N554" s="635"/>
      <c r="O554" s="636"/>
      <c r="P554" s="635"/>
      <c r="Q554" s="636"/>
      <c r="R554" s="636"/>
      <c r="S554" s="635"/>
      <c r="T554" s="707"/>
      <c r="U554" s="707"/>
      <c r="V554" s="707"/>
      <c r="W554" s="636"/>
      <c r="X554" s="636"/>
      <c r="Y554" s="707"/>
      <c r="Z554" s="635"/>
      <c r="AA554" s="707"/>
      <c r="AB554" s="707"/>
    </row>
    <row r="555" spans="1:28" x14ac:dyDescent="0.25">
      <c r="A555" s="23"/>
      <c r="B555" s="24"/>
      <c r="C555" s="25"/>
      <c r="D555" s="27"/>
      <c r="E555" s="27"/>
      <c r="F555" s="28"/>
      <c r="G555" s="27"/>
      <c r="H555" s="180"/>
      <c r="I555" s="27"/>
      <c r="J555" s="738"/>
      <c r="K555" s="635"/>
      <c r="L555" s="635"/>
      <c r="M555" s="635"/>
      <c r="N555" s="635"/>
      <c r="O555" s="636"/>
      <c r="P555" s="635"/>
      <c r="Q555" s="636"/>
      <c r="R555" s="636"/>
      <c r="S555" s="635"/>
      <c r="T555" s="707"/>
      <c r="U555" s="707"/>
      <c r="V555" s="707"/>
      <c r="W555" s="636"/>
      <c r="X555" s="636"/>
      <c r="Y555" s="707"/>
      <c r="Z555" s="635"/>
      <c r="AA555" s="707"/>
      <c r="AB555" s="707"/>
    </row>
    <row r="556" spans="1:28" x14ac:dyDescent="0.25">
      <c r="A556" s="23"/>
      <c r="B556" s="24"/>
      <c r="C556" s="25"/>
      <c r="D556" s="27"/>
      <c r="E556" s="27"/>
      <c r="F556" s="28"/>
      <c r="G556" s="27"/>
      <c r="H556" s="180"/>
      <c r="I556" s="27"/>
      <c r="J556" s="738"/>
      <c r="K556" s="635"/>
      <c r="L556" s="635"/>
      <c r="M556" s="635"/>
      <c r="N556" s="635"/>
      <c r="O556" s="636"/>
      <c r="P556" s="635"/>
      <c r="Q556" s="636"/>
      <c r="R556" s="636"/>
      <c r="S556" s="635"/>
      <c r="T556" s="707"/>
      <c r="U556" s="707"/>
      <c r="V556" s="707"/>
      <c r="W556" s="636"/>
      <c r="X556" s="636"/>
      <c r="Y556" s="707"/>
      <c r="Z556" s="635"/>
      <c r="AA556" s="707"/>
      <c r="AB556" s="707"/>
    </row>
    <row r="557" spans="1:28" x14ac:dyDescent="0.25">
      <c r="A557" s="23"/>
      <c r="B557" s="24"/>
      <c r="C557" s="25"/>
      <c r="D557" s="27"/>
      <c r="E557" s="27"/>
      <c r="F557" s="28"/>
      <c r="G557" s="27"/>
      <c r="H557" s="180"/>
      <c r="I557" s="27"/>
      <c r="J557" s="738"/>
      <c r="K557" s="635"/>
      <c r="L557" s="635"/>
      <c r="M557" s="635"/>
      <c r="N557" s="635"/>
      <c r="O557" s="636"/>
      <c r="P557" s="635"/>
      <c r="Q557" s="636"/>
      <c r="R557" s="636"/>
      <c r="S557" s="635"/>
      <c r="T557" s="707"/>
      <c r="U557" s="707"/>
      <c r="V557" s="707"/>
      <c r="W557" s="636"/>
      <c r="X557" s="636"/>
      <c r="Y557" s="707"/>
      <c r="Z557" s="635"/>
      <c r="AA557" s="707"/>
      <c r="AB557" s="707"/>
    </row>
    <row r="558" spans="1:28" x14ac:dyDescent="0.25">
      <c r="A558" s="23"/>
      <c r="B558" s="24"/>
      <c r="C558" s="25"/>
      <c r="D558" s="27"/>
      <c r="E558" s="27"/>
      <c r="F558" s="28"/>
      <c r="G558" s="27"/>
      <c r="H558" s="180"/>
      <c r="I558" s="27"/>
      <c r="J558" s="738"/>
      <c r="K558" s="635"/>
      <c r="L558" s="635"/>
      <c r="M558" s="635"/>
      <c r="N558" s="635"/>
      <c r="O558" s="636"/>
      <c r="P558" s="635"/>
      <c r="Q558" s="636"/>
      <c r="R558" s="636"/>
      <c r="S558" s="635"/>
      <c r="T558" s="707"/>
      <c r="U558" s="707"/>
      <c r="V558" s="707"/>
      <c r="W558" s="636"/>
      <c r="X558" s="636"/>
      <c r="Y558" s="707"/>
      <c r="Z558" s="635"/>
      <c r="AA558" s="707"/>
      <c r="AB558" s="707"/>
    </row>
    <row r="559" spans="1:28" x14ac:dyDescent="0.25">
      <c r="A559" s="23"/>
      <c r="B559" s="24"/>
      <c r="C559" s="25"/>
      <c r="D559" s="27"/>
      <c r="E559" s="27"/>
      <c r="F559" s="28"/>
      <c r="G559" s="27"/>
      <c r="H559" s="180"/>
      <c r="I559" s="27"/>
      <c r="J559" s="738"/>
      <c r="K559" s="635"/>
      <c r="L559" s="635"/>
      <c r="M559" s="635"/>
      <c r="N559" s="635"/>
      <c r="O559" s="636"/>
      <c r="P559" s="635"/>
      <c r="Q559" s="636"/>
      <c r="R559" s="636"/>
      <c r="S559" s="635"/>
      <c r="T559" s="707"/>
      <c r="U559" s="707"/>
      <c r="V559" s="707"/>
      <c r="W559" s="636"/>
      <c r="X559" s="636"/>
      <c r="Y559" s="707"/>
      <c r="Z559" s="635"/>
      <c r="AA559" s="707"/>
      <c r="AB559" s="707"/>
    </row>
    <row r="560" spans="1:28" x14ac:dyDescent="0.25">
      <c r="A560" s="23"/>
      <c r="B560" s="24"/>
      <c r="C560" s="25"/>
      <c r="D560" s="27"/>
      <c r="E560" s="27"/>
      <c r="F560" s="28"/>
      <c r="G560" s="27"/>
      <c r="H560" s="180"/>
      <c r="I560" s="27"/>
      <c r="J560" s="738"/>
      <c r="K560" s="635"/>
      <c r="L560" s="635"/>
      <c r="M560" s="635"/>
      <c r="N560" s="635"/>
      <c r="O560" s="636"/>
      <c r="P560" s="635"/>
      <c r="Q560" s="636"/>
      <c r="R560" s="636"/>
      <c r="S560" s="635"/>
      <c r="T560" s="707"/>
      <c r="U560" s="707"/>
      <c r="V560" s="707"/>
      <c r="W560" s="636"/>
      <c r="X560" s="636"/>
      <c r="Y560" s="707"/>
      <c r="Z560" s="635"/>
      <c r="AA560" s="707"/>
      <c r="AB560" s="707"/>
    </row>
    <row r="561" spans="1:28" x14ac:dyDescent="0.25">
      <c r="A561" s="23"/>
      <c r="B561" s="24"/>
      <c r="C561" s="25"/>
      <c r="D561" s="27"/>
      <c r="E561" s="27"/>
      <c r="F561" s="28"/>
      <c r="G561" s="27"/>
      <c r="H561" s="180"/>
      <c r="I561" s="27"/>
      <c r="J561" s="738"/>
      <c r="K561" s="635"/>
      <c r="L561" s="635"/>
      <c r="M561" s="635"/>
      <c r="N561" s="635"/>
      <c r="O561" s="636"/>
      <c r="P561" s="635"/>
      <c r="Q561" s="636"/>
      <c r="R561" s="636"/>
      <c r="S561" s="635"/>
      <c r="T561" s="707"/>
      <c r="U561" s="707"/>
      <c r="V561" s="707"/>
      <c r="W561" s="636"/>
      <c r="X561" s="636"/>
      <c r="Y561" s="707"/>
      <c r="Z561" s="635"/>
      <c r="AA561" s="707"/>
      <c r="AB561" s="707"/>
    </row>
    <row r="562" spans="1:28" x14ac:dyDescent="0.25">
      <c r="A562" s="23"/>
      <c r="B562" s="24"/>
      <c r="C562" s="25"/>
      <c r="D562" s="27"/>
      <c r="E562" s="27"/>
      <c r="F562" s="28"/>
      <c r="G562" s="27"/>
      <c r="H562" s="180"/>
      <c r="I562" s="27"/>
      <c r="J562" s="738"/>
      <c r="K562" s="635"/>
      <c r="L562" s="635"/>
      <c r="M562" s="635"/>
      <c r="N562" s="635"/>
      <c r="O562" s="636"/>
      <c r="P562" s="635"/>
      <c r="Q562" s="636"/>
      <c r="R562" s="636"/>
      <c r="S562" s="635"/>
      <c r="T562" s="707"/>
      <c r="U562" s="707"/>
      <c r="V562" s="707"/>
      <c r="W562" s="636"/>
      <c r="X562" s="636"/>
      <c r="Y562" s="707"/>
      <c r="Z562" s="635"/>
      <c r="AA562" s="707"/>
      <c r="AB562" s="707"/>
    </row>
    <row r="563" spans="1:28" x14ac:dyDescent="0.25">
      <c r="A563" s="23"/>
      <c r="B563" s="24"/>
      <c r="C563" s="25"/>
      <c r="D563" s="27"/>
      <c r="E563" s="27"/>
      <c r="F563" s="28"/>
      <c r="G563" s="27"/>
      <c r="H563" s="180"/>
      <c r="I563" s="27"/>
      <c r="J563" s="738"/>
      <c r="K563" s="635"/>
      <c r="L563" s="635"/>
      <c r="M563" s="635"/>
      <c r="N563" s="635"/>
      <c r="O563" s="636"/>
      <c r="P563" s="635"/>
      <c r="Q563" s="636"/>
      <c r="R563" s="636"/>
      <c r="S563" s="635"/>
      <c r="T563" s="707"/>
      <c r="U563" s="707"/>
      <c r="V563" s="707"/>
      <c r="W563" s="636"/>
      <c r="X563" s="636"/>
      <c r="Y563" s="707"/>
      <c r="Z563" s="635"/>
      <c r="AA563" s="707"/>
      <c r="AB563" s="707"/>
    </row>
    <row r="564" spans="1:28" x14ac:dyDescent="0.25">
      <c r="A564" s="23"/>
      <c r="B564" s="24"/>
      <c r="C564" s="25"/>
      <c r="D564" s="27"/>
      <c r="E564" s="27"/>
      <c r="F564" s="28"/>
      <c r="G564" s="27"/>
      <c r="H564" s="180"/>
      <c r="I564" s="27"/>
      <c r="J564" s="738"/>
      <c r="K564" s="635"/>
      <c r="L564" s="635"/>
      <c r="M564" s="635"/>
      <c r="N564" s="635"/>
      <c r="O564" s="636"/>
      <c r="P564" s="635"/>
      <c r="Q564" s="636"/>
      <c r="R564" s="636"/>
      <c r="S564" s="635"/>
      <c r="T564" s="707"/>
      <c r="U564" s="707"/>
      <c r="V564" s="707"/>
      <c r="W564" s="636"/>
      <c r="X564" s="636"/>
      <c r="Y564" s="707"/>
      <c r="Z564" s="635"/>
      <c r="AA564" s="707"/>
      <c r="AB564" s="707"/>
    </row>
    <row r="565" spans="1:28" x14ac:dyDescent="0.25">
      <c r="A565" s="23"/>
      <c r="B565" s="24"/>
      <c r="C565" s="25"/>
      <c r="D565" s="27"/>
      <c r="E565" s="27"/>
      <c r="F565" s="28"/>
      <c r="G565" s="27"/>
      <c r="H565" s="180"/>
      <c r="I565" s="27"/>
      <c r="J565" s="738"/>
      <c r="K565" s="635"/>
      <c r="L565" s="635"/>
      <c r="M565" s="635"/>
      <c r="N565" s="635"/>
      <c r="O565" s="636"/>
      <c r="P565" s="635"/>
      <c r="Q565" s="636"/>
      <c r="R565" s="636"/>
      <c r="S565" s="635"/>
      <c r="T565" s="707"/>
      <c r="U565" s="707"/>
      <c r="V565" s="707"/>
      <c r="W565" s="636"/>
      <c r="X565" s="636"/>
      <c r="Y565" s="707"/>
      <c r="Z565" s="635"/>
      <c r="AA565" s="707"/>
      <c r="AB565" s="707"/>
    </row>
    <row r="566" spans="1:28" x14ac:dyDescent="0.25">
      <c r="A566" s="23"/>
      <c r="B566" s="24"/>
      <c r="C566" s="25"/>
      <c r="D566" s="27"/>
      <c r="E566" s="27"/>
      <c r="F566" s="28"/>
      <c r="G566" s="27"/>
      <c r="H566" s="180"/>
      <c r="I566" s="27"/>
      <c r="J566" s="738"/>
      <c r="K566" s="635"/>
      <c r="L566" s="635"/>
      <c r="M566" s="635"/>
      <c r="N566" s="635"/>
      <c r="O566" s="636"/>
      <c r="P566" s="635"/>
      <c r="Q566" s="636"/>
      <c r="R566" s="636"/>
      <c r="S566" s="635"/>
      <c r="T566" s="707"/>
      <c r="U566" s="707"/>
      <c r="V566" s="707"/>
      <c r="W566" s="636"/>
      <c r="X566" s="636"/>
      <c r="Y566" s="707"/>
      <c r="Z566" s="635"/>
      <c r="AA566" s="707"/>
      <c r="AB566" s="707"/>
    </row>
    <row r="567" spans="1:28" x14ac:dyDescent="0.25">
      <c r="A567" s="23"/>
      <c r="B567" s="24"/>
      <c r="C567" s="25"/>
      <c r="D567" s="27"/>
      <c r="E567" s="27"/>
      <c r="F567" s="28"/>
      <c r="G567" s="27"/>
      <c r="H567" s="180"/>
      <c r="I567" s="27"/>
      <c r="J567" s="738"/>
      <c r="K567" s="635"/>
      <c r="L567" s="635"/>
      <c r="M567" s="635"/>
      <c r="N567" s="635"/>
      <c r="O567" s="636"/>
      <c r="P567" s="635"/>
      <c r="Q567" s="636"/>
      <c r="R567" s="636"/>
      <c r="S567" s="635"/>
      <c r="T567" s="707"/>
      <c r="U567" s="707"/>
      <c r="V567" s="707"/>
      <c r="W567" s="636"/>
      <c r="X567" s="636"/>
      <c r="Y567" s="707"/>
      <c r="Z567" s="635"/>
      <c r="AA567" s="707"/>
      <c r="AB567" s="707"/>
    </row>
    <row r="568" spans="1:28" x14ac:dyDescent="0.25">
      <c r="A568" s="23"/>
      <c r="B568" s="24"/>
      <c r="C568" s="25"/>
      <c r="D568" s="27"/>
      <c r="E568" s="27"/>
      <c r="F568" s="28"/>
      <c r="G568" s="27"/>
      <c r="H568" s="180"/>
      <c r="I568" s="27"/>
      <c r="J568" s="738"/>
      <c r="K568" s="635"/>
      <c r="L568" s="635"/>
      <c r="M568" s="635"/>
      <c r="N568" s="635"/>
      <c r="O568" s="636"/>
      <c r="P568" s="635"/>
      <c r="Q568" s="636"/>
      <c r="R568" s="636"/>
      <c r="S568" s="635"/>
      <c r="T568" s="707"/>
      <c r="U568" s="707"/>
      <c r="V568" s="707"/>
      <c r="W568" s="636"/>
      <c r="X568" s="636"/>
      <c r="Y568" s="707"/>
      <c r="Z568" s="635"/>
      <c r="AA568" s="707"/>
      <c r="AB568" s="707"/>
    </row>
    <row r="569" spans="1:28" x14ac:dyDescent="0.25">
      <c r="A569" s="23"/>
      <c r="B569" s="24"/>
      <c r="C569" s="25"/>
      <c r="D569" s="27"/>
      <c r="E569" s="27"/>
      <c r="F569" s="28"/>
      <c r="G569" s="27"/>
      <c r="H569" s="180"/>
      <c r="I569" s="27"/>
      <c r="J569" s="738"/>
      <c r="K569" s="635"/>
      <c r="L569" s="635"/>
      <c r="M569" s="635"/>
      <c r="N569" s="635"/>
      <c r="O569" s="636"/>
      <c r="P569" s="635"/>
      <c r="Q569" s="636"/>
      <c r="R569" s="636"/>
      <c r="S569" s="635"/>
      <c r="T569" s="707"/>
      <c r="U569" s="707"/>
      <c r="V569" s="707"/>
      <c r="W569" s="636"/>
      <c r="X569" s="636"/>
      <c r="Y569" s="707"/>
      <c r="Z569" s="635"/>
      <c r="AA569" s="707"/>
      <c r="AB569" s="707"/>
    </row>
    <row r="570" spans="1:28" x14ac:dyDescent="0.25">
      <c r="A570" s="23"/>
      <c r="B570" s="24"/>
      <c r="C570" s="25"/>
      <c r="D570" s="27"/>
      <c r="E570" s="27"/>
      <c r="F570" s="28"/>
      <c r="G570" s="27"/>
      <c r="H570" s="180"/>
      <c r="I570" s="27"/>
      <c r="J570" s="738"/>
      <c r="K570" s="635"/>
      <c r="L570" s="635"/>
      <c r="M570" s="635"/>
      <c r="N570" s="635"/>
      <c r="O570" s="636"/>
      <c r="P570" s="635"/>
      <c r="Q570" s="636"/>
      <c r="R570" s="636"/>
      <c r="S570" s="635"/>
      <c r="T570" s="707"/>
      <c r="U570" s="707"/>
      <c r="V570" s="707"/>
      <c r="W570" s="636"/>
      <c r="X570" s="636"/>
      <c r="Y570" s="707"/>
      <c r="Z570" s="635"/>
      <c r="AA570" s="707"/>
      <c r="AB570" s="707"/>
    </row>
    <row r="571" spans="1:28" x14ac:dyDescent="0.25">
      <c r="A571" s="23"/>
      <c r="B571" s="24"/>
      <c r="C571" s="25"/>
      <c r="D571" s="27"/>
      <c r="E571" s="27"/>
      <c r="F571" s="28"/>
      <c r="G571" s="27"/>
      <c r="H571" s="180"/>
      <c r="I571" s="27"/>
      <c r="J571" s="738"/>
      <c r="K571" s="635"/>
      <c r="L571" s="635"/>
      <c r="M571" s="635"/>
      <c r="N571" s="635"/>
      <c r="O571" s="636"/>
      <c r="P571" s="635"/>
      <c r="Q571" s="636"/>
      <c r="R571" s="636"/>
      <c r="S571" s="635"/>
      <c r="T571" s="707"/>
      <c r="U571" s="707"/>
      <c r="V571" s="707"/>
      <c r="W571" s="636"/>
      <c r="X571" s="636"/>
      <c r="Y571" s="707"/>
      <c r="Z571" s="635"/>
      <c r="AA571" s="707"/>
      <c r="AB571" s="707"/>
    </row>
    <row r="572" spans="1:28" x14ac:dyDescent="0.25">
      <c r="A572" s="23"/>
      <c r="B572" s="24"/>
      <c r="C572" s="25"/>
      <c r="D572" s="27"/>
      <c r="E572" s="27"/>
      <c r="F572" s="28"/>
      <c r="G572" s="27"/>
      <c r="H572" s="180"/>
      <c r="I572" s="27"/>
      <c r="J572" s="738"/>
      <c r="K572" s="635"/>
      <c r="L572" s="635"/>
      <c r="M572" s="635"/>
      <c r="N572" s="635"/>
      <c r="O572" s="636"/>
      <c r="P572" s="635"/>
      <c r="Q572" s="636"/>
      <c r="R572" s="636"/>
      <c r="S572" s="635"/>
      <c r="T572" s="707"/>
      <c r="U572" s="707"/>
      <c r="V572" s="707"/>
      <c r="W572" s="636"/>
      <c r="X572" s="636"/>
      <c r="Y572" s="707"/>
      <c r="Z572" s="635"/>
      <c r="AA572" s="707"/>
      <c r="AB572" s="707"/>
    </row>
    <row r="573" spans="1:28" x14ac:dyDescent="0.25">
      <c r="A573" s="23"/>
      <c r="B573" s="24"/>
      <c r="C573" s="25"/>
      <c r="D573" s="27"/>
      <c r="E573" s="27"/>
      <c r="F573" s="28"/>
      <c r="G573" s="27"/>
      <c r="H573" s="180"/>
      <c r="I573" s="27"/>
      <c r="J573" s="738"/>
      <c r="K573" s="635"/>
      <c r="L573" s="635"/>
      <c r="M573" s="635"/>
      <c r="N573" s="635"/>
      <c r="O573" s="636"/>
      <c r="P573" s="635"/>
      <c r="Q573" s="636"/>
      <c r="R573" s="636"/>
      <c r="S573" s="635"/>
      <c r="T573" s="707"/>
      <c r="U573" s="707"/>
      <c r="V573" s="707"/>
      <c r="W573" s="636"/>
      <c r="X573" s="636"/>
      <c r="Y573" s="707"/>
      <c r="Z573" s="635"/>
      <c r="AA573" s="707"/>
      <c r="AB573" s="707"/>
    </row>
    <row r="574" spans="1:28" x14ac:dyDescent="0.25">
      <c r="A574" s="23"/>
      <c r="B574" s="24"/>
      <c r="C574" s="25"/>
      <c r="D574" s="27"/>
      <c r="E574" s="27"/>
      <c r="F574" s="28"/>
      <c r="G574" s="27"/>
      <c r="H574" s="180"/>
      <c r="I574" s="27"/>
      <c r="J574" s="738"/>
      <c r="K574" s="635"/>
      <c r="L574" s="635"/>
      <c r="M574" s="635"/>
      <c r="N574" s="635"/>
      <c r="O574" s="636"/>
      <c r="P574" s="635"/>
      <c r="Q574" s="636"/>
      <c r="R574" s="636"/>
      <c r="S574" s="635"/>
      <c r="T574" s="707"/>
      <c r="U574" s="707"/>
      <c r="V574" s="707"/>
      <c r="W574" s="636"/>
      <c r="X574" s="636"/>
      <c r="Y574" s="707"/>
      <c r="Z574" s="635"/>
      <c r="AA574" s="707"/>
      <c r="AB574" s="707"/>
    </row>
    <row r="575" spans="1:28" x14ac:dyDescent="0.25">
      <c r="A575" s="23"/>
      <c r="B575" s="24"/>
      <c r="C575" s="25"/>
      <c r="D575" s="27"/>
      <c r="E575" s="27"/>
      <c r="F575" s="28"/>
      <c r="G575" s="27"/>
      <c r="H575" s="180"/>
      <c r="I575" s="27"/>
      <c r="J575" s="738"/>
      <c r="K575" s="635"/>
      <c r="L575" s="635"/>
      <c r="M575" s="635"/>
      <c r="N575" s="635"/>
      <c r="O575" s="636"/>
      <c r="P575" s="635"/>
      <c r="Q575" s="636"/>
      <c r="R575" s="636"/>
      <c r="S575" s="635"/>
      <c r="T575" s="707"/>
      <c r="U575" s="707"/>
      <c r="V575" s="707"/>
      <c r="W575" s="636"/>
      <c r="X575" s="636"/>
      <c r="Y575" s="707"/>
      <c r="Z575" s="635"/>
      <c r="AA575" s="707"/>
      <c r="AB575" s="707"/>
    </row>
    <row r="576" spans="1:28" x14ac:dyDescent="0.25">
      <c r="A576" s="23"/>
      <c r="B576" s="24"/>
      <c r="C576" s="25"/>
      <c r="D576" s="27"/>
      <c r="E576" s="27"/>
      <c r="F576" s="28"/>
      <c r="G576" s="27"/>
      <c r="H576" s="180"/>
      <c r="I576" s="27"/>
      <c r="J576" s="738"/>
      <c r="K576" s="635"/>
      <c r="L576" s="635"/>
      <c r="M576" s="635"/>
      <c r="N576" s="635"/>
      <c r="O576" s="636"/>
      <c r="P576" s="635"/>
      <c r="Q576" s="636"/>
      <c r="R576" s="636"/>
      <c r="S576" s="635"/>
      <c r="T576" s="707"/>
      <c r="U576" s="707"/>
      <c r="V576" s="707"/>
      <c r="W576" s="636"/>
      <c r="X576" s="636"/>
      <c r="Y576" s="707"/>
      <c r="Z576" s="635"/>
      <c r="AA576" s="707"/>
      <c r="AB576" s="707"/>
    </row>
    <row r="577" spans="1:28" x14ac:dyDescent="0.25">
      <c r="A577" s="23"/>
      <c r="B577" s="24"/>
      <c r="C577" s="25"/>
      <c r="D577" s="27"/>
      <c r="E577" s="27"/>
      <c r="F577" s="28"/>
      <c r="G577" s="27"/>
      <c r="H577" s="180"/>
      <c r="I577" s="27"/>
      <c r="J577" s="738"/>
      <c r="K577" s="635"/>
      <c r="L577" s="635"/>
      <c r="M577" s="635"/>
      <c r="N577" s="635"/>
      <c r="O577" s="636"/>
      <c r="P577" s="635"/>
      <c r="Q577" s="636"/>
      <c r="R577" s="636"/>
      <c r="S577" s="635"/>
      <c r="T577" s="707"/>
      <c r="U577" s="707"/>
      <c r="V577" s="707"/>
      <c r="W577" s="636"/>
      <c r="X577" s="636"/>
      <c r="Y577" s="707"/>
      <c r="Z577" s="635"/>
      <c r="AA577" s="707"/>
      <c r="AB577" s="707"/>
    </row>
    <row r="578" spans="1:28" x14ac:dyDescent="0.25">
      <c r="A578" s="23"/>
      <c r="B578" s="24"/>
      <c r="C578" s="25"/>
      <c r="D578" s="27"/>
      <c r="E578" s="27"/>
      <c r="F578" s="28"/>
      <c r="G578" s="27"/>
      <c r="H578" s="180"/>
      <c r="I578" s="27"/>
      <c r="J578" s="738"/>
      <c r="K578" s="635"/>
      <c r="L578" s="635"/>
      <c r="M578" s="635"/>
      <c r="N578" s="635"/>
      <c r="O578" s="636"/>
      <c r="P578" s="635"/>
      <c r="Q578" s="636"/>
      <c r="R578" s="636"/>
      <c r="S578" s="635"/>
      <c r="T578" s="707"/>
      <c r="U578" s="707"/>
      <c r="V578" s="707"/>
      <c r="W578" s="636"/>
      <c r="X578" s="636"/>
      <c r="Y578" s="707"/>
      <c r="Z578" s="635"/>
      <c r="AA578" s="707"/>
      <c r="AB578" s="707"/>
    </row>
    <row r="579" spans="1:28" x14ac:dyDescent="0.25">
      <c r="A579" s="23"/>
      <c r="B579" s="24"/>
      <c r="C579" s="25"/>
      <c r="D579" s="27"/>
      <c r="E579" s="27"/>
      <c r="F579" s="28"/>
      <c r="G579" s="27"/>
      <c r="H579" s="180"/>
      <c r="I579" s="27"/>
      <c r="J579" s="738"/>
      <c r="K579" s="635"/>
      <c r="L579" s="635"/>
      <c r="M579" s="635"/>
      <c r="N579" s="635"/>
      <c r="O579" s="636"/>
      <c r="P579" s="635"/>
      <c r="Q579" s="636"/>
      <c r="R579" s="636"/>
      <c r="S579" s="635"/>
      <c r="T579" s="707"/>
      <c r="U579" s="707"/>
      <c r="V579" s="707"/>
      <c r="W579" s="636"/>
      <c r="X579" s="636"/>
      <c r="Y579" s="707"/>
      <c r="Z579" s="635"/>
      <c r="AA579" s="707"/>
      <c r="AB579" s="707"/>
    </row>
    <row r="580" spans="1:28" x14ac:dyDescent="0.25">
      <c r="A580" s="23"/>
      <c r="B580" s="24"/>
      <c r="C580" s="25"/>
      <c r="D580" s="27"/>
      <c r="E580" s="27"/>
      <c r="F580" s="28"/>
      <c r="G580" s="27"/>
      <c r="H580" s="180"/>
      <c r="I580" s="27"/>
      <c r="J580" s="738"/>
      <c r="K580" s="635"/>
      <c r="L580" s="635"/>
      <c r="M580" s="635"/>
      <c r="N580" s="635"/>
      <c r="O580" s="636"/>
      <c r="P580" s="635"/>
      <c r="Q580" s="636"/>
      <c r="R580" s="636"/>
      <c r="S580" s="635"/>
      <c r="T580" s="707"/>
      <c r="U580" s="707"/>
      <c r="V580" s="707"/>
      <c r="W580" s="636"/>
      <c r="X580" s="636"/>
      <c r="Y580" s="707"/>
      <c r="Z580" s="635"/>
      <c r="AA580" s="707"/>
      <c r="AB580" s="707"/>
    </row>
    <row r="581" spans="1:28" x14ac:dyDescent="0.25">
      <c r="A581" s="23"/>
      <c r="B581" s="24"/>
      <c r="C581" s="25"/>
      <c r="D581" s="27"/>
      <c r="E581" s="27"/>
      <c r="F581" s="28"/>
      <c r="G581" s="27"/>
      <c r="H581" s="180"/>
      <c r="I581" s="27"/>
      <c r="J581" s="738"/>
      <c r="K581" s="635"/>
      <c r="L581" s="635"/>
      <c r="M581" s="635"/>
      <c r="N581" s="635"/>
      <c r="O581" s="636"/>
      <c r="P581" s="635"/>
      <c r="Q581" s="636"/>
      <c r="R581" s="636"/>
      <c r="S581" s="635"/>
      <c r="T581" s="707"/>
      <c r="U581" s="707"/>
      <c r="V581" s="707"/>
      <c r="W581" s="636"/>
      <c r="X581" s="636"/>
      <c r="Y581" s="707"/>
      <c r="Z581" s="635"/>
      <c r="AA581" s="707"/>
      <c r="AB581" s="707"/>
    </row>
    <row r="582" spans="1:28" x14ac:dyDescent="0.25">
      <c r="A582" s="23"/>
      <c r="B582" s="24"/>
      <c r="C582" s="25"/>
      <c r="D582" s="27"/>
      <c r="E582" s="27"/>
      <c r="F582" s="28"/>
      <c r="G582" s="27"/>
      <c r="H582" s="180"/>
      <c r="I582" s="27"/>
      <c r="J582" s="738"/>
      <c r="K582" s="635"/>
      <c r="L582" s="635"/>
      <c r="M582" s="635"/>
      <c r="N582" s="635"/>
      <c r="O582" s="636"/>
      <c r="P582" s="635"/>
      <c r="Q582" s="636"/>
      <c r="R582" s="636"/>
      <c r="S582" s="635"/>
      <c r="T582" s="707"/>
      <c r="U582" s="707"/>
      <c r="V582" s="707"/>
      <c r="W582" s="636"/>
      <c r="X582" s="636"/>
      <c r="Y582" s="707"/>
      <c r="Z582" s="635"/>
      <c r="AA582" s="707"/>
      <c r="AB582" s="707"/>
    </row>
    <row r="583" spans="1:28" x14ac:dyDescent="0.25">
      <c r="A583" s="23"/>
      <c r="B583" s="24"/>
      <c r="C583" s="25"/>
      <c r="D583" s="27"/>
      <c r="E583" s="27"/>
      <c r="F583" s="28"/>
      <c r="G583" s="27"/>
      <c r="H583" s="180"/>
      <c r="I583" s="27"/>
      <c r="J583" s="738"/>
      <c r="K583" s="635"/>
      <c r="L583" s="635"/>
      <c r="M583" s="635"/>
      <c r="N583" s="635"/>
      <c r="O583" s="636"/>
      <c r="P583" s="635"/>
      <c r="Q583" s="636"/>
      <c r="R583" s="636"/>
      <c r="S583" s="635"/>
      <c r="T583" s="707"/>
      <c r="U583" s="707"/>
      <c r="V583" s="707"/>
      <c r="W583" s="636"/>
      <c r="X583" s="636"/>
      <c r="Y583" s="707"/>
      <c r="Z583" s="635"/>
      <c r="AA583" s="707"/>
      <c r="AB583" s="707"/>
    </row>
    <row r="584" spans="1:28" x14ac:dyDescent="0.25">
      <c r="A584" s="23"/>
      <c r="B584" s="24"/>
      <c r="C584" s="25"/>
      <c r="D584" s="27"/>
      <c r="E584" s="27"/>
      <c r="F584" s="28"/>
      <c r="G584" s="27"/>
      <c r="H584" s="180"/>
      <c r="I584" s="27"/>
      <c r="J584" s="738"/>
      <c r="K584" s="635"/>
      <c r="L584" s="635"/>
      <c r="M584" s="635"/>
      <c r="N584" s="635"/>
      <c r="O584" s="636"/>
      <c r="P584" s="635"/>
      <c r="Q584" s="636"/>
      <c r="R584" s="636"/>
      <c r="S584" s="635"/>
      <c r="T584" s="707"/>
      <c r="U584" s="707"/>
      <c r="V584" s="707"/>
      <c r="W584" s="636"/>
      <c r="X584" s="636"/>
      <c r="Y584" s="707"/>
      <c r="Z584" s="635"/>
      <c r="AA584" s="707"/>
      <c r="AB584" s="707"/>
    </row>
    <row r="585" spans="1:28" x14ac:dyDescent="0.25">
      <c r="A585" s="23"/>
      <c r="B585" s="24"/>
      <c r="C585" s="25"/>
      <c r="D585" s="27"/>
      <c r="E585" s="27"/>
      <c r="F585" s="28"/>
      <c r="G585" s="27"/>
      <c r="H585" s="180"/>
      <c r="I585" s="27"/>
      <c r="J585" s="738"/>
      <c r="K585" s="635"/>
      <c r="L585" s="635"/>
      <c r="M585" s="635"/>
      <c r="N585" s="635"/>
      <c r="O585" s="636"/>
      <c r="P585" s="635"/>
      <c r="Q585" s="636"/>
      <c r="R585" s="636"/>
      <c r="S585" s="635"/>
      <c r="T585" s="707"/>
      <c r="U585" s="707"/>
      <c r="V585" s="707"/>
      <c r="W585" s="636"/>
      <c r="X585" s="636"/>
      <c r="Y585" s="707"/>
      <c r="Z585" s="635"/>
      <c r="AA585" s="707"/>
      <c r="AB585" s="707"/>
    </row>
    <row r="586" spans="1:28" x14ac:dyDescent="0.25">
      <c r="A586" s="23"/>
      <c r="B586" s="24"/>
      <c r="C586" s="25"/>
      <c r="D586" s="27"/>
      <c r="E586" s="27"/>
      <c r="F586" s="28"/>
      <c r="G586" s="27"/>
      <c r="H586" s="180"/>
      <c r="I586" s="27"/>
      <c r="J586" s="738"/>
      <c r="K586" s="635"/>
      <c r="L586" s="635"/>
      <c r="M586" s="635"/>
      <c r="N586" s="635"/>
      <c r="O586" s="636"/>
      <c r="P586" s="635"/>
      <c r="Q586" s="636"/>
      <c r="R586" s="636"/>
      <c r="S586" s="635"/>
      <c r="T586" s="707"/>
      <c r="U586" s="707"/>
      <c r="V586" s="707"/>
      <c r="W586" s="636"/>
      <c r="X586" s="636"/>
      <c r="Y586" s="707"/>
      <c r="Z586" s="635"/>
      <c r="AA586" s="707"/>
      <c r="AB586" s="707"/>
    </row>
    <row r="587" spans="1:28" x14ac:dyDescent="0.25">
      <c r="A587" s="23"/>
      <c r="B587" s="24"/>
      <c r="C587" s="25"/>
      <c r="D587" s="27"/>
      <c r="E587" s="27"/>
      <c r="F587" s="28"/>
      <c r="G587" s="27"/>
      <c r="H587" s="180"/>
      <c r="I587" s="27"/>
      <c r="J587" s="738"/>
      <c r="K587" s="635"/>
      <c r="L587" s="635"/>
      <c r="M587" s="635"/>
      <c r="N587" s="635"/>
      <c r="O587" s="636"/>
      <c r="P587" s="635"/>
      <c r="Q587" s="636"/>
      <c r="R587" s="636"/>
      <c r="S587" s="635"/>
      <c r="T587" s="707"/>
      <c r="U587" s="707"/>
      <c r="V587" s="707"/>
      <c r="W587" s="636"/>
      <c r="X587" s="636"/>
      <c r="Y587" s="707"/>
      <c r="Z587" s="635"/>
      <c r="AA587" s="707"/>
      <c r="AB587" s="707"/>
    </row>
    <row r="588" spans="1:28" x14ac:dyDescent="0.25">
      <c r="A588" s="23"/>
      <c r="B588" s="24"/>
      <c r="C588" s="25"/>
      <c r="D588" s="27"/>
      <c r="E588" s="27"/>
      <c r="F588" s="28"/>
      <c r="G588" s="27"/>
      <c r="H588" s="180"/>
      <c r="I588" s="27"/>
      <c r="J588" s="738"/>
      <c r="K588" s="635"/>
      <c r="L588" s="635"/>
      <c r="M588" s="635"/>
      <c r="N588" s="635"/>
      <c r="O588" s="636"/>
      <c r="P588" s="635"/>
      <c r="Q588" s="636"/>
      <c r="R588" s="636"/>
      <c r="S588" s="635"/>
      <c r="T588" s="707"/>
      <c r="U588" s="707"/>
      <c r="V588" s="707"/>
      <c r="W588" s="636"/>
      <c r="X588" s="636"/>
      <c r="Y588" s="707"/>
      <c r="Z588" s="635"/>
      <c r="AA588" s="707"/>
      <c r="AB588" s="707"/>
    </row>
    <row r="589" spans="1:28" x14ac:dyDescent="0.25">
      <c r="A589" s="23"/>
      <c r="B589" s="24"/>
      <c r="C589" s="25"/>
      <c r="D589" s="27"/>
      <c r="E589" s="27"/>
      <c r="F589" s="28"/>
      <c r="G589" s="27"/>
      <c r="H589" s="180"/>
      <c r="I589" s="27"/>
      <c r="J589" s="738"/>
      <c r="K589" s="635"/>
      <c r="L589" s="635"/>
      <c r="M589" s="635"/>
      <c r="N589" s="635"/>
      <c r="O589" s="636"/>
      <c r="P589" s="635"/>
      <c r="Q589" s="636"/>
      <c r="R589" s="636"/>
      <c r="S589" s="635"/>
      <c r="T589" s="707"/>
      <c r="U589" s="707"/>
      <c r="V589" s="707"/>
      <c r="W589" s="636"/>
      <c r="X589" s="636"/>
      <c r="Y589" s="707"/>
      <c r="Z589" s="635"/>
      <c r="AA589" s="707"/>
      <c r="AB589" s="707"/>
    </row>
    <row r="590" spans="1:28" x14ac:dyDescent="0.25">
      <c r="A590" s="23"/>
      <c r="B590" s="24"/>
      <c r="C590" s="25"/>
      <c r="D590" s="27"/>
      <c r="E590" s="27"/>
      <c r="F590" s="28"/>
      <c r="G590" s="27"/>
      <c r="H590" s="180"/>
      <c r="I590" s="27"/>
      <c r="J590" s="738"/>
      <c r="K590" s="635"/>
      <c r="L590" s="635"/>
      <c r="M590" s="635"/>
      <c r="N590" s="635"/>
      <c r="O590" s="636"/>
      <c r="P590" s="635"/>
      <c r="Q590" s="636"/>
      <c r="R590" s="636"/>
      <c r="S590" s="635"/>
      <c r="T590" s="707"/>
      <c r="U590" s="707"/>
      <c r="V590" s="707"/>
      <c r="W590" s="636"/>
      <c r="X590" s="636"/>
      <c r="Y590" s="707"/>
      <c r="Z590" s="635"/>
      <c r="AA590" s="707"/>
      <c r="AB590" s="707"/>
    </row>
    <row r="591" spans="1:28" x14ac:dyDescent="0.25">
      <c r="A591" s="23"/>
      <c r="B591" s="24"/>
      <c r="C591" s="25"/>
      <c r="D591" s="27"/>
      <c r="E591" s="27"/>
      <c r="F591" s="28"/>
      <c r="G591" s="27"/>
      <c r="H591" s="180"/>
      <c r="I591" s="27"/>
      <c r="J591" s="738"/>
      <c r="K591" s="635"/>
      <c r="L591" s="635"/>
      <c r="M591" s="635"/>
      <c r="N591" s="635"/>
      <c r="O591" s="636"/>
      <c r="P591" s="635"/>
      <c r="Q591" s="636"/>
      <c r="R591" s="636"/>
      <c r="S591" s="635"/>
      <c r="T591" s="707"/>
      <c r="U591" s="707"/>
      <c r="V591" s="707"/>
      <c r="W591" s="636"/>
      <c r="X591" s="636"/>
      <c r="Y591" s="707"/>
      <c r="Z591" s="635"/>
      <c r="AA591" s="707"/>
      <c r="AB591" s="707"/>
    </row>
    <row r="592" spans="1:28" x14ac:dyDescent="0.25">
      <c r="A592" s="23"/>
      <c r="B592" s="24"/>
      <c r="C592" s="25"/>
      <c r="D592" s="27"/>
      <c r="E592" s="27"/>
      <c r="F592" s="28"/>
      <c r="G592" s="27"/>
      <c r="H592" s="180"/>
      <c r="I592" s="27"/>
      <c r="J592" s="738"/>
      <c r="K592" s="635"/>
      <c r="L592" s="635"/>
      <c r="M592" s="635"/>
      <c r="N592" s="635"/>
      <c r="O592" s="636"/>
      <c r="P592" s="635"/>
      <c r="Q592" s="636"/>
      <c r="R592" s="636"/>
      <c r="S592" s="635"/>
      <c r="T592" s="707"/>
      <c r="U592" s="707"/>
      <c r="V592" s="707"/>
      <c r="W592" s="636"/>
      <c r="X592" s="636"/>
      <c r="Y592" s="707"/>
      <c r="Z592" s="635"/>
      <c r="AA592" s="707"/>
      <c r="AB592" s="707"/>
    </row>
    <row r="593" spans="1:28" x14ac:dyDescent="0.25">
      <c r="A593" s="23"/>
      <c r="B593" s="24"/>
      <c r="C593" s="25"/>
      <c r="D593" s="27"/>
      <c r="E593" s="27"/>
      <c r="F593" s="28"/>
      <c r="G593" s="27"/>
      <c r="H593" s="180"/>
      <c r="I593" s="27"/>
      <c r="J593" s="738"/>
      <c r="K593" s="635"/>
      <c r="L593" s="635"/>
      <c r="M593" s="635"/>
      <c r="N593" s="635"/>
      <c r="O593" s="636"/>
      <c r="P593" s="635"/>
      <c r="Q593" s="636"/>
      <c r="R593" s="636"/>
      <c r="S593" s="635"/>
      <c r="T593" s="707"/>
      <c r="U593" s="707"/>
      <c r="V593" s="707"/>
      <c r="W593" s="636"/>
      <c r="X593" s="636"/>
      <c r="Y593" s="707"/>
      <c r="Z593" s="635"/>
      <c r="AA593" s="707"/>
      <c r="AB593" s="707"/>
    </row>
    <row r="594" spans="1:28" x14ac:dyDescent="0.25">
      <c r="A594" s="23"/>
      <c r="B594" s="24"/>
      <c r="C594" s="25"/>
      <c r="D594" s="27"/>
      <c r="E594" s="27"/>
      <c r="F594" s="28"/>
      <c r="G594" s="27"/>
      <c r="H594" s="180"/>
      <c r="I594" s="27"/>
      <c r="J594" s="738"/>
      <c r="K594" s="635"/>
      <c r="L594" s="635"/>
      <c r="M594" s="635"/>
      <c r="N594" s="635"/>
      <c r="O594" s="636"/>
      <c r="P594" s="635"/>
      <c r="Q594" s="636"/>
      <c r="R594" s="636"/>
      <c r="S594" s="635"/>
      <c r="T594" s="707"/>
      <c r="U594" s="707"/>
      <c r="V594" s="707"/>
      <c r="W594" s="636"/>
      <c r="X594" s="636"/>
      <c r="Y594" s="707"/>
      <c r="Z594" s="635"/>
      <c r="AA594" s="707"/>
      <c r="AB594" s="707"/>
    </row>
    <row r="595" spans="1:28" x14ac:dyDescent="0.25">
      <c r="A595" s="23"/>
      <c r="B595" s="24"/>
      <c r="C595" s="25"/>
      <c r="D595" s="27"/>
      <c r="E595" s="27"/>
      <c r="F595" s="28"/>
      <c r="G595" s="27"/>
      <c r="H595" s="180"/>
      <c r="I595" s="27"/>
      <c r="J595" s="738"/>
      <c r="K595" s="635"/>
      <c r="L595" s="635"/>
      <c r="M595" s="635"/>
      <c r="N595" s="635"/>
      <c r="O595" s="636"/>
      <c r="P595" s="635"/>
      <c r="Q595" s="636"/>
      <c r="R595" s="636"/>
      <c r="S595" s="635"/>
      <c r="T595" s="707"/>
      <c r="U595" s="707"/>
      <c r="V595" s="707"/>
      <c r="W595" s="636"/>
      <c r="X595" s="636"/>
      <c r="Y595" s="707"/>
      <c r="Z595" s="635"/>
      <c r="AA595" s="707"/>
      <c r="AB595" s="707"/>
    </row>
    <row r="596" spans="1:28" x14ac:dyDescent="0.25">
      <c r="A596" s="23"/>
      <c r="B596" s="24"/>
      <c r="C596" s="25"/>
      <c r="D596" s="27"/>
      <c r="E596" s="27"/>
      <c r="F596" s="28"/>
      <c r="G596" s="27"/>
      <c r="H596" s="180"/>
      <c r="I596" s="27"/>
      <c r="J596" s="738"/>
      <c r="K596" s="635"/>
      <c r="L596" s="635"/>
      <c r="M596" s="635"/>
      <c r="N596" s="635"/>
      <c r="O596" s="636"/>
      <c r="P596" s="635"/>
      <c r="Q596" s="636"/>
      <c r="R596" s="636"/>
      <c r="S596" s="635"/>
      <c r="T596" s="707"/>
      <c r="U596" s="707"/>
      <c r="V596" s="707"/>
      <c r="W596" s="636"/>
      <c r="X596" s="636"/>
      <c r="Y596" s="707"/>
      <c r="Z596" s="635"/>
      <c r="AA596" s="707"/>
      <c r="AB596" s="707"/>
    </row>
    <row r="597" spans="1:28" x14ac:dyDescent="0.25">
      <c r="A597" s="23"/>
      <c r="B597" s="24"/>
      <c r="C597" s="25"/>
      <c r="D597" s="27"/>
      <c r="E597" s="27"/>
      <c r="F597" s="28"/>
      <c r="G597" s="27"/>
      <c r="H597" s="180"/>
      <c r="I597" s="27"/>
      <c r="J597" s="738"/>
      <c r="K597" s="635"/>
      <c r="L597" s="635"/>
      <c r="M597" s="635"/>
      <c r="N597" s="635"/>
      <c r="O597" s="636"/>
      <c r="P597" s="635"/>
      <c r="Q597" s="636"/>
      <c r="R597" s="636"/>
      <c r="S597" s="635"/>
      <c r="T597" s="707"/>
      <c r="U597" s="707"/>
      <c r="V597" s="707"/>
      <c r="W597" s="636"/>
      <c r="X597" s="636"/>
      <c r="Y597" s="707"/>
      <c r="Z597" s="635"/>
      <c r="AA597" s="707"/>
      <c r="AB597" s="707"/>
    </row>
    <row r="598" spans="1:28" x14ac:dyDescent="0.25">
      <c r="A598" s="23"/>
      <c r="B598" s="24"/>
      <c r="C598" s="25"/>
      <c r="D598" s="27"/>
      <c r="E598" s="27"/>
      <c r="F598" s="28"/>
      <c r="G598" s="27"/>
      <c r="H598" s="180"/>
      <c r="I598" s="27"/>
      <c r="J598" s="738"/>
      <c r="K598" s="635"/>
      <c r="L598" s="635"/>
      <c r="M598" s="635"/>
      <c r="N598" s="635"/>
      <c r="O598" s="636"/>
      <c r="P598" s="635"/>
      <c r="Q598" s="636"/>
      <c r="R598" s="636"/>
      <c r="S598" s="635"/>
      <c r="T598" s="707"/>
      <c r="U598" s="707"/>
      <c r="V598" s="707"/>
      <c r="W598" s="636"/>
      <c r="X598" s="636"/>
      <c r="Y598" s="707"/>
      <c r="Z598" s="635"/>
      <c r="AA598" s="707"/>
      <c r="AB598" s="707"/>
    </row>
    <row r="599" spans="1:28" x14ac:dyDescent="0.25">
      <c r="A599" s="23"/>
      <c r="B599" s="24"/>
      <c r="C599" s="25"/>
      <c r="D599" s="27"/>
      <c r="E599" s="27"/>
      <c r="F599" s="28"/>
      <c r="G599" s="27"/>
      <c r="H599" s="180"/>
      <c r="I599" s="27"/>
      <c r="J599" s="738"/>
      <c r="K599" s="635"/>
      <c r="L599" s="635"/>
      <c r="M599" s="635"/>
      <c r="N599" s="635"/>
      <c r="O599" s="636"/>
      <c r="P599" s="635"/>
      <c r="Q599" s="636"/>
      <c r="R599" s="636"/>
      <c r="S599" s="635"/>
      <c r="T599" s="707"/>
      <c r="U599" s="707"/>
      <c r="V599" s="707"/>
      <c r="W599" s="636"/>
      <c r="X599" s="636"/>
      <c r="Y599" s="707"/>
      <c r="Z599" s="635"/>
      <c r="AA599" s="707"/>
      <c r="AB599" s="707"/>
    </row>
    <row r="600" spans="1:28" x14ac:dyDescent="0.25">
      <c r="A600" s="23"/>
      <c r="B600" s="24"/>
      <c r="C600" s="25"/>
      <c r="D600" s="27"/>
      <c r="E600" s="27"/>
      <c r="F600" s="28"/>
      <c r="G600" s="27"/>
      <c r="H600" s="180"/>
      <c r="I600" s="27"/>
      <c r="J600" s="738"/>
      <c r="K600" s="635"/>
      <c r="L600" s="635"/>
      <c r="M600" s="635"/>
      <c r="N600" s="635"/>
      <c r="O600" s="636"/>
      <c r="P600" s="635"/>
      <c r="Q600" s="636"/>
      <c r="R600" s="636"/>
      <c r="S600" s="635"/>
      <c r="T600" s="707"/>
      <c r="U600" s="707"/>
      <c r="V600" s="707"/>
      <c r="W600" s="636"/>
      <c r="X600" s="636"/>
      <c r="Y600" s="707"/>
      <c r="Z600" s="635"/>
      <c r="AA600" s="707"/>
      <c r="AB600" s="707"/>
    </row>
    <row r="601" spans="1:28" x14ac:dyDescent="0.25">
      <c r="A601" s="23"/>
      <c r="B601" s="24"/>
      <c r="C601" s="25"/>
      <c r="D601" s="27"/>
      <c r="E601" s="27"/>
      <c r="F601" s="28"/>
      <c r="G601" s="27"/>
      <c r="H601" s="180"/>
      <c r="I601" s="27"/>
      <c r="J601" s="738"/>
      <c r="K601" s="635"/>
      <c r="L601" s="635"/>
      <c r="M601" s="635"/>
      <c r="N601" s="635"/>
      <c r="O601" s="636"/>
      <c r="P601" s="635"/>
      <c r="Q601" s="636"/>
      <c r="R601" s="636"/>
      <c r="S601" s="635"/>
      <c r="T601" s="707"/>
      <c r="U601" s="707"/>
      <c r="V601" s="707"/>
      <c r="W601" s="636"/>
      <c r="X601" s="636"/>
      <c r="Y601" s="707"/>
      <c r="Z601" s="635"/>
      <c r="AA601" s="707"/>
      <c r="AB601" s="707"/>
    </row>
    <row r="602" spans="1:28" x14ac:dyDescent="0.25">
      <c r="A602" s="23"/>
      <c r="B602" s="24"/>
      <c r="C602" s="25"/>
      <c r="D602" s="27"/>
      <c r="E602" s="27"/>
      <c r="F602" s="28"/>
      <c r="G602" s="27"/>
      <c r="H602" s="180"/>
      <c r="I602" s="27"/>
      <c r="J602" s="738"/>
      <c r="K602" s="635"/>
      <c r="L602" s="635"/>
      <c r="M602" s="635"/>
      <c r="N602" s="635"/>
      <c r="O602" s="636"/>
      <c r="P602" s="635"/>
      <c r="Q602" s="636"/>
      <c r="R602" s="636"/>
      <c r="S602" s="635"/>
      <c r="T602" s="707"/>
      <c r="U602" s="707"/>
      <c r="V602" s="707"/>
      <c r="W602" s="636"/>
      <c r="X602" s="636"/>
      <c r="Y602" s="707"/>
      <c r="Z602" s="635"/>
      <c r="AA602" s="707"/>
      <c r="AB602" s="707"/>
    </row>
    <row r="603" spans="1:28" x14ac:dyDescent="0.25">
      <c r="A603" s="23"/>
      <c r="B603" s="24"/>
      <c r="C603" s="25"/>
      <c r="D603" s="27"/>
      <c r="E603" s="27"/>
      <c r="F603" s="28"/>
      <c r="G603" s="27"/>
      <c r="H603" s="180"/>
      <c r="I603" s="27"/>
      <c r="J603" s="738"/>
      <c r="K603" s="635"/>
      <c r="L603" s="635"/>
      <c r="M603" s="635"/>
      <c r="N603" s="635"/>
      <c r="O603" s="636"/>
      <c r="P603" s="635"/>
      <c r="Q603" s="636"/>
      <c r="R603" s="636"/>
      <c r="S603" s="635"/>
      <c r="T603" s="707"/>
      <c r="U603" s="707"/>
      <c r="V603" s="707"/>
      <c r="W603" s="636"/>
      <c r="X603" s="636"/>
      <c r="Y603" s="707"/>
      <c r="Z603" s="635"/>
      <c r="AA603" s="707"/>
      <c r="AB603" s="707"/>
    </row>
    <row r="604" spans="1:28" x14ac:dyDescent="0.25">
      <c r="A604" s="23"/>
      <c r="B604" s="24"/>
      <c r="C604" s="25"/>
      <c r="D604" s="27"/>
      <c r="E604" s="27"/>
      <c r="F604" s="28"/>
      <c r="G604" s="27"/>
      <c r="H604" s="180"/>
      <c r="I604" s="27"/>
      <c r="J604" s="738"/>
      <c r="K604" s="635"/>
      <c r="L604" s="635"/>
      <c r="M604" s="635"/>
      <c r="N604" s="635"/>
      <c r="O604" s="636"/>
      <c r="P604" s="635"/>
      <c r="Q604" s="636"/>
      <c r="R604" s="636"/>
      <c r="S604" s="635"/>
      <c r="T604" s="707"/>
      <c r="U604" s="707"/>
      <c r="V604" s="707"/>
      <c r="W604" s="636"/>
      <c r="X604" s="636"/>
      <c r="Y604" s="707"/>
      <c r="Z604" s="635"/>
      <c r="AA604" s="707"/>
      <c r="AB604" s="707"/>
    </row>
    <row r="605" spans="1:28" x14ac:dyDescent="0.25">
      <c r="A605" s="23"/>
      <c r="B605" s="24"/>
      <c r="C605" s="25"/>
      <c r="D605" s="27"/>
      <c r="E605" s="27"/>
      <c r="F605" s="28"/>
      <c r="G605" s="27"/>
      <c r="H605" s="180"/>
      <c r="I605" s="27"/>
      <c r="J605" s="738"/>
      <c r="K605" s="635"/>
      <c r="L605" s="635"/>
      <c r="M605" s="635"/>
      <c r="N605" s="635"/>
      <c r="O605" s="636"/>
      <c r="P605" s="635"/>
      <c r="Q605" s="636"/>
      <c r="R605" s="636"/>
      <c r="S605" s="635"/>
      <c r="T605" s="707"/>
      <c r="U605" s="707"/>
      <c r="V605" s="707"/>
      <c r="W605" s="636"/>
      <c r="X605" s="636"/>
      <c r="Y605" s="707"/>
      <c r="Z605" s="635"/>
      <c r="AA605" s="707"/>
      <c r="AB605" s="707"/>
    </row>
    <row r="606" spans="1:28" x14ac:dyDescent="0.25">
      <c r="A606" s="23"/>
      <c r="B606" s="24"/>
      <c r="C606" s="25"/>
      <c r="D606" s="27"/>
      <c r="E606" s="27"/>
      <c r="F606" s="28"/>
      <c r="G606" s="27"/>
      <c r="H606" s="180"/>
      <c r="I606" s="27"/>
      <c r="J606" s="738"/>
      <c r="K606" s="635"/>
      <c r="L606" s="635"/>
      <c r="M606" s="635"/>
      <c r="N606" s="635"/>
      <c r="O606" s="636"/>
      <c r="P606" s="635"/>
      <c r="Q606" s="636"/>
      <c r="R606" s="636"/>
      <c r="S606" s="635"/>
      <c r="T606" s="707"/>
      <c r="U606" s="707"/>
      <c r="V606" s="707"/>
      <c r="W606" s="636"/>
      <c r="X606" s="636"/>
      <c r="Y606" s="707"/>
      <c r="Z606" s="635"/>
      <c r="AA606" s="707"/>
      <c r="AB606" s="707"/>
    </row>
    <row r="607" spans="1:28" x14ac:dyDescent="0.25">
      <c r="A607" s="23"/>
      <c r="B607" s="24"/>
      <c r="C607" s="25"/>
      <c r="D607" s="27"/>
      <c r="E607" s="27"/>
      <c r="F607" s="28"/>
      <c r="G607" s="27"/>
      <c r="H607" s="180"/>
      <c r="I607" s="27"/>
      <c r="J607" s="738"/>
      <c r="K607" s="635"/>
      <c r="L607" s="635"/>
      <c r="M607" s="635"/>
      <c r="N607" s="635"/>
      <c r="O607" s="636"/>
      <c r="P607" s="635"/>
      <c r="Q607" s="636"/>
      <c r="R607" s="636"/>
      <c r="S607" s="635"/>
      <c r="T607" s="707"/>
      <c r="U607" s="707"/>
      <c r="V607" s="707"/>
      <c r="W607" s="636"/>
      <c r="X607" s="636"/>
      <c r="Y607" s="707"/>
      <c r="Z607" s="635"/>
      <c r="AA607" s="707"/>
      <c r="AB607" s="707"/>
    </row>
    <row r="608" spans="1:28" x14ac:dyDescent="0.25">
      <c r="A608" s="23"/>
      <c r="B608" s="24"/>
      <c r="C608" s="25"/>
      <c r="D608" s="27"/>
      <c r="E608" s="27"/>
      <c r="F608" s="28"/>
      <c r="G608" s="27"/>
      <c r="H608" s="180"/>
      <c r="I608" s="27"/>
      <c r="J608" s="738"/>
      <c r="K608" s="635"/>
      <c r="L608" s="635"/>
      <c r="M608" s="635"/>
      <c r="N608" s="635"/>
      <c r="O608" s="636"/>
      <c r="P608" s="635"/>
      <c r="Q608" s="636"/>
      <c r="R608" s="636"/>
      <c r="S608" s="635"/>
      <c r="T608" s="707"/>
      <c r="U608" s="707"/>
      <c r="V608" s="707"/>
      <c r="W608" s="636"/>
      <c r="X608" s="636"/>
      <c r="Y608" s="707"/>
      <c r="Z608" s="635"/>
      <c r="AA608" s="707"/>
      <c r="AB608" s="707"/>
    </row>
    <row r="609" spans="1:28" x14ac:dyDescent="0.25">
      <c r="A609" s="23"/>
      <c r="B609" s="24"/>
      <c r="C609" s="25"/>
      <c r="D609" s="27"/>
      <c r="E609" s="27"/>
      <c r="F609" s="28"/>
      <c r="G609" s="27"/>
      <c r="H609" s="180"/>
      <c r="I609" s="27"/>
      <c r="J609" s="738"/>
      <c r="K609" s="635"/>
      <c r="L609" s="635"/>
      <c r="M609" s="635"/>
      <c r="N609" s="635"/>
      <c r="O609" s="636"/>
      <c r="P609" s="635"/>
      <c r="Q609" s="636"/>
      <c r="R609" s="636"/>
      <c r="S609" s="635"/>
      <c r="T609" s="707"/>
      <c r="U609" s="707"/>
      <c r="V609" s="707"/>
      <c r="W609" s="636"/>
      <c r="X609" s="636"/>
      <c r="Y609" s="707"/>
      <c r="Z609" s="635"/>
      <c r="AA609" s="707"/>
      <c r="AB609" s="707"/>
    </row>
    <row r="610" spans="1:28" x14ac:dyDescent="0.25">
      <c r="A610" s="23"/>
      <c r="B610" s="24"/>
      <c r="C610" s="25"/>
      <c r="D610" s="27"/>
      <c r="E610" s="27"/>
      <c r="F610" s="28"/>
      <c r="G610" s="27"/>
      <c r="H610" s="180"/>
      <c r="I610" s="27"/>
      <c r="J610" s="738"/>
      <c r="K610" s="635"/>
      <c r="L610" s="635"/>
      <c r="M610" s="635"/>
      <c r="N610" s="635"/>
      <c r="O610" s="636"/>
      <c r="P610" s="635"/>
      <c r="Q610" s="636"/>
      <c r="R610" s="636"/>
      <c r="S610" s="635"/>
      <c r="T610" s="707"/>
      <c r="U610" s="707"/>
      <c r="V610" s="707"/>
      <c r="W610" s="636"/>
      <c r="X610" s="636"/>
      <c r="Y610" s="707"/>
      <c r="Z610" s="635"/>
      <c r="AA610" s="707"/>
      <c r="AB610" s="707"/>
    </row>
    <row r="611" spans="1:28" x14ac:dyDescent="0.25">
      <c r="A611" s="23"/>
      <c r="B611" s="24"/>
      <c r="C611" s="25"/>
      <c r="D611" s="27"/>
      <c r="E611" s="27"/>
      <c r="F611" s="28"/>
      <c r="G611" s="27"/>
      <c r="H611" s="180"/>
      <c r="I611" s="27"/>
      <c r="J611" s="738"/>
      <c r="K611" s="635"/>
      <c r="L611" s="635"/>
      <c r="M611" s="635"/>
      <c r="N611" s="635"/>
      <c r="O611" s="636"/>
      <c r="P611" s="635"/>
      <c r="Q611" s="636"/>
      <c r="R611" s="636"/>
      <c r="S611" s="635"/>
      <c r="T611" s="707"/>
      <c r="U611" s="707"/>
      <c r="V611" s="707"/>
      <c r="W611" s="636"/>
      <c r="X611" s="636"/>
      <c r="Y611" s="707"/>
      <c r="Z611" s="635"/>
      <c r="AA611" s="707"/>
      <c r="AB611" s="707"/>
    </row>
    <row r="612" spans="1:28" x14ac:dyDescent="0.25">
      <c r="A612" s="23"/>
      <c r="B612" s="24"/>
      <c r="C612" s="25"/>
      <c r="D612" s="27"/>
      <c r="E612" s="27"/>
      <c r="F612" s="28"/>
      <c r="G612" s="27"/>
      <c r="H612" s="180"/>
      <c r="I612" s="27"/>
      <c r="J612" s="738"/>
      <c r="K612" s="635"/>
      <c r="L612" s="635"/>
      <c r="M612" s="635"/>
      <c r="N612" s="635"/>
      <c r="O612" s="636"/>
      <c r="P612" s="635"/>
      <c r="Q612" s="636"/>
      <c r="R612" s="636"/>
      <c r="S612" s="635"/>
      <c r="T612" s="707"/>
      <c r="U612" s="707"/>
      <c r="V612" s="707"/>
      <c r="W612" s="636"/>
      <c r="X612" s="636"/>
      <c r="Y612" s="707"/>
      <c r="Z612" s="635"/>
      <c r="AA612" s="707"/>
      <c r="AB612" s="707"/>
    </row>
    <row r="613" spans="1:28" x14ac:dyDescent="0.25">
      <c r="A613" s="23"/>
      <c r="B613" s="24"/>
      <c r="C613" s="25"/>
      <c r="D613" s="27"/>
      <c r="E613" s="27"/>
      <c r="F613" s="28"/>
      <c r="G613" s="27"/>
      <c r="H613" s="180"/>
      <c r="I613" s="27"/>
      <c r="J613" s="738"/>
      <c r="K613" s="635"/>
      <c r="L613" s="635"/>
      <c r="M613" s="635"/>
      <c r="N613" s="635"/>
      <c r="O613" s="636"/>
      <c r="P613" s="635"/>
      <c r="Q613" s="636"/>
      <c r="R613" s="636"/>
      <c r="S613" s="635"/>
      <c r="T613" s="707"/>
      <c r="U613" s="707"/>
      <c r="V613" s="707"/>
      <c r="W613" s="636"/>
      <c r="X613" s="636"/>
      <c r="Y613" s="707"/>
      <c r="Z613" s="635"/>
      <c r="AA613" s="707"/>
      <c r="AB613" s="707"/>
    </row>
    <row r="614" spans="1:28" x14ac:dyDescent="0.25">
      <c r="A614" s="23"/>
      <c r="B614" s="24"/>
      <c r="C614" s="25"/>
      <c r="D614" s="27"/>
      <c r="E614" s="27"/>
      <c r="F614" s="28"/>
      <c r="G614" s="27"/>
      <c r="H614" s="180"/>
      <c r="I614" s="27"/>
      <c r="J614" s="738"/>
      <c r="K614" s="635"/>
      <c r="L614" s="635"/>
      <c r="M614" s="635"/>
      <c r="N614" s="635"/>
      <c r="O614" s="636"/>
      <c r="P614" s="635"/>
      <c r="Q614" s="636"/>
      <c r="R614" s="636"/>
      <c r="S614" s="635"/>
      <c r="T614" s="707"/>
      <c r="U614" s="707"/>
      <c r="V614" s="707"/>
      <c r="W614" s="636"/>
      <c r="X614" s="636"/>
      <c r="Y614" s="707"/>
      <c r="Z614" s="635"/>
      <c r="AA614" s="707"/>
      <c r="AB614" s="707"/>
    </row>
    <row r="615" spans="1:28" x14ac:dyDescent="0.25">
      <c r="A615" s="23"/>
      <c r="B615" s="24"/>
      <c r="C615" s="25"/>
      <c r="D615" s="27"/>
      <c r="E615" s="27"/>
      <c r="F615" s="28"/>
      <c r="G615" s="27"/>
      <c r="H615" s="180"/>
      <c r="I615" s="27"/>
      <c r="J615" s="738"/>
      <c r="K615" s="635"/>
      <c r="L615" s="635"/>
      <c r="M615" s="635"/>
      <c r="N615" s="635"/>
      <c r="O615" s="636"/>
      <c r="P615" s="635"/>
      <c r="Q615" s="636"/>
      <c r="R615" s="636"/>
      <c r="S615" s="635"/>
      <c r="T615" s="707"/>
      <c r="U615" s="707"/>
      <c r="V615" s="707"/>
      <c r="W615" s="636"/>
      <c r="X615" s="636"/>
      <c r="Y615" s="707"/>
      <c r="Z615" s="635"/>
      <c r="AA615" s="707"/>
      <c r="AB615" s="707"/>
    </row>
    <row r="616" spans="1:28" x14ac:dyDescent="0.25">
      <c r="A616" s="23"/>
      <c r="B616" s="24"/>
      <c r="C616" s="25"/>
      <c r="D616" s="27"/>
      <c r="E616" s="27"/>
      <c r="F616" s="28"/>
      <c r="G616" s="27"/>
      <c r="H616" s="180"/>
      <c r="I616" s="27"/>
      <c r="J616" s="738"/>
      <c r="K616" s="635"/>
      <c r="L616" s="635"/>
      <c r="M616" s="635"/>
      <c r="N616" s="635"/>
      <c r="O616" s="636"/>
      <c r="P616" s="635"/>
      <c r="Q616" s="636"/>
      <c r="R616" s="636"/>
      <c r="S616" s="635"/>
      <c r="T616" s="707"/>
      <c r="U616" s="707"/>
      <c r="V616" s="707"/>
      <c r="W616" s="636"/>
      <c r="X616" s="636"/>
      <c r="Y616" s="707"/>
      <c r="Z616" s="635"/>
      <c r="AA616" s="707"/>
      <c r="AB616" s="707"/>
    </row>
    <row r="617" spans="1:28" x14ac:dyDescent="0.25">
      <c r="A617" s="23"/>
      <c r="B617" s="24"/>
      <c r="C617" s="25"/>
      <c r="D617" s="27"/>
      <c r="E617" s="27"/>
      <c r="F617" s="28"/>
      <c r="G617" s="27"/>
      <c r="H617" s="180"/>
      <c r="I617" s="27"/>
      <c r="J617" s="738"/>
      <c r="K617" s="635"/>
      <c r="L617" s="635"/>
      <c r="M617" s="635"/>
      <c r="N617" s="635"/>
      <c r="O617" s="636"/>
      <c r="P617" s="635"/>
      <c r="Q617" s="636"/>
      <c r="R617" s="636"/>
      <c r="S617" s="635"/>
      <c r="T617" s="707"/>
      <c r="U617" s="707"/>
      <c r="V617" s="707"/>
      <c r="W617" s="636"/>
      <c r="X617" s="636"/>
      <c r="Y617" s="707"/>
      <c r="Z617" s="635"/>
      <c r="AA617" s="707"/>
      <c r="AB617" s="707"/>
    </row>
    <row r="618" spans="1:28" x14ac:dyDescent="0.25">
      <c r="A618" s="23"/>
      <c r="B618" s="24"/>
      <c r="C618" s="25"/>
      <c r="D618" s="27"/>
      <c r="E618" s="27"/>
      <c r="F618" s="28"/>
      <c r="G618" s="27"/>
      <c r="H618" s="180"/>
      <c r="I618" s="27"/>
      <c r="J618" s="738"/>
      <c r="K618" s="635"/>
      <c r="L618" s="635"/>
      <c r="M618" s="635"/>
      <c r="N618" s="635"/>
      <c r="O618" s="636"/>
      <c r="P618" s="635"/>
      <c r="Q618" s="636"/>
      <c r="R618" s="636"/>
      <c r="S618" s="635"/>
      <c r="T618" s="707"/>
      <c r="U618" s="707"/>
      <c r="V618" s="707"/>
      <c r="W618" s="636"/>
      <c r="X618" s="636"/>
      <c r="Y618" s="707"/>
      <c r="Z618" s="635"/>
      <c r="AA618" s="707"/>
      <c r="AB618" s="707"/>
    </row>
    <row r="619" spans="1:28" x14ac:dyDescent="0.25">
      <c r="A619" s="23"/>
      <c r="B619" s="24"/>
      <c r="C619" s="25"/>
      <c r="D619" s="27"/>
      <c r="E619" s="27"/>
      <c r="F619" s="28"/>
      <c r="G619" s="27"/>
      <c r="H619" s="180"/>
      <c r="I619" s="27"/>
      <c r="J619" s="738"/>
      <c r="K619" s="635"/>
      <c r="L619" s="635"/>
      <c r="M619" s="635"/>
      <c r="N619" s="635"/>
      <c r="O619" s="636"/>
      <c r="P619" s="635"/>
      <c r="Q619" s="636"/>
      <c r="R619" s="636"/>
      <c r="S619" s="635"/>
      <c r="T619" s="707"/>
      <c r="U619" s="707"/>
      <c r="V619" s="707"/>
      <c r="W619" s="636"/>
      <c r="X619" s="636"/>
      <c r="Y619" s="707"/>
      <c r="Z619" s="635"/>
      <c r="AA619" s="707"/>
      <c r="AB619" s="707"/>
    </row>
    <row r="620" spans="1:28" x14ac:dyDescent="0.25">
      <c r="A620" s="23"/>
      <c r="B620" s="24"/>
      <c r="C620" s="25"/>
      <c r="D620" s="27"/>
      <c r="E620" s="27"/>
      <c r="F620" s="28"/>
      <c r="G620" s="27"/>
      <c r="H620" s="180"/>
      <c r="I620" s="27"/>
      <c r="J620" s="738"/>
      <c r="K620" s="635"/>
      <c r="L620" s="635"/>
      <c r="M620" s="635"/>
      <c r="N620" s="635"/>
      <c r="O620" s="636"/>
      <c r="P620" s="635"/>
      <c r="Q620" s="636"/>
      <c r="R620" s="636"/>
      <c r="S620" s="635"/>
      <c r="T620" s="707"/>
      <c r="U620" s="707"/>
      <c r="V620" s="707"/>
      <c r="W620" s="636"/>
      <c r="X620" s="636"/>
      <c r="Y620" s="707"/>
      <c r="Z620" s="635"/>
      <c r="AA620" s="707"/>
      <c r="AB620" s="707"/>
    </row>
    <row r="621" spans="1:28" x14ac:dyDescent="0.25">
      <c r="A621" s="23"/>
      <c r="B621" s="24"/>
      <c r="C621" s="25"/>
      <c r="D621" s="27"/>
      <c r="E621" s="27"/>
      <c r="F621" s="28"/>
      <c r="G621" s="27"/>
      <c r="H621" s="180"/>
      <c r="I621" s="27"/>
      <c r="J621" s="738"/>
      <c r="K621" s="635"/>
      <c r="L621" s="635"/>
      <c r="M621" s="635"/>
      <c r="N621" s="635"/>
      <c r="O621" s="636"/>
      <c r="P621" s="635"/>
      <c r="Q621" s="636"/>
      <c r="R621" s="636"/>
      <c r="S621" s="635"/>
      <c r="T621" s="707"/>
      <c r="U621" s="707"/>
      <c r="V621" s="707"/>
      <c r="W621" s="636"/>
      <c r="X621" s="636"/>
      <c r="Y621" s="707"/>
      <c r="Z621" s="635"/>
      <c r="AA621" s="707"/>
      <c r="AB621" s="707"/>
    </row>
    <row r="622" spans="1:28" x14ac:dyDescent="0.25">
      <c r="A622" s="23"/>
      <c r="B622" s="24"/>
      <c r="C622" s="25"/>
      <c r="D622" s="27"/>
      <c r="E622" s="27"/>
      <c r="F622" s="28"/>
      <c r="G622" s="27"/>
      <c r="H622" s="180"/>
      <c r="I622" s="27"/>
      <c r="J622" s="738"/>
      <c r="K622" s="635"/>
      <c r="L622" s="635"/>
      <c r="M622" s="635"/>
      <c r="N622" s="635"/>
      <c r="O622" s="636"/>
      <c r="P622" s="635"/>
      <c r="Q622" s="636"/>
      <c r="R622" s="636"/>
      <c r="S622" s="635"/>
      <c r="T622" s="707"/>
      <c r="U622" s="707"/>
      <c r="V622" s="707"/>
      <c r="W622" s="636"/>
      <c r="X622" s="636"/>
      <c r="Y622" s="707"/>
      <c r="Z622" s="635"/>
      <c r="AA622" s="707"/>
      <c r="AB622" s="707"/>
    </row>
    <row r="623" spans="1:28" x14ac:dyDescent="0.25">
      <c r="A623" s="23"/>
      <c r="B623" s="24"/>
      <c r="C623" s="25"/>
      <c r="D623" s="27"/>
      <c r="E623" s="27"/>
      <c r="F623" s="28"/>
      <c r="G623" s="27"/>
      <c r="H623" s="180"/>
      <c r="I623" s="27"/>
      <c r="J623" s="738"/>
      <c r="K623" s="635"/>
      <c r="L623" s="635"/>
      <c r="M623" s="635"/>
      <c r="N623" s="635"/>
      <c r="O623" s="636"/>
      <c r="P623" s="635"/>
      <c r="Q623" s="636"/>
      <c r="R623" s="636"/>
      <c r="S623" s="635"/>
      <c r="T623" s="707"/>
      <c r="U623" s="707"/>
      <c r="V623" s="707"/>
      <c r="W623" s="636"/>
      <c r="X623" s="636"/>
      <c r="Y623" s="707"/>
      <c r="Z623" s="635"/>
      <c r="AA623" s="707"/>
      <c r="AB623" s="707"/>
    </row>
    <row r="624" spans="1:28" x14ac:dyDescent="0.25">
      <c r="A624" s="23"/>
      <c r="B624" s="24"/>
      <c r="C624" s="25"/>
      <c r="D624" s="27"/>
      <c r="E624" s="27"/>
      <c r="F624" s="28"/>
      <c r="G624" s="27"/>
      <c r="H624" s="180"/>
      <c r="I624" s="27"/>
      <c r="J624" s="738"/>
      <c r="K624" s="635"/>
      <c r="L624" s="635"/>
      <c r="M624" s="635"/>
      <c r="N624" s="635"/>
      <c r="O624" s="636"/>
      <c r="P624" s="635"/>
      <c r="Q624" s="636"/>
      <c r="R624" s="636"/>
      <c r="S624" s="635"/>
      <c r="T624" s="707"/>
      <c r="U624" s="707"/>
      <c r="V624" s="707"/>
      <c r="W624" s="636"/>
      <c r="X624" s="636"/>
      <c r="Y624" s="707"/>
      <c r="Z624" s="635"/>
      <c r="AA624" s="707"/>
      <c r="AB624" s="707"/>
    </row>
    <row r="625" spans="1:28" x14ac:dyDescent="0.25">
      <c r="A625" s="23"/>
      <c r="B625" s="24"/>
      <c r="C625" s="25"/>
      <c r="D625" s="27"/>
      <c r="E625" s="27"/>
      <c r="F625" s="28"/>
      <c r="G625" s="27"/>
      <c r="H625" s="180"/>
      <c r="I625" s="27"/>
      <c r="J625" s="738"/>
      <c r="K625" s="635"/>
      <c r="L625" s="635"/>
      <c r="M625" s="635"/>
      <c r="N625" s="635"/>
      <c r="O625" s="636"/>
      <c r="P625" s="635"/>
      <c r="Q625" s="636"/>
      <c r="R625" s="636"/>
      <c r="S625" s="635"/>
      <c r="T625" s="707"/>
      <c r="U625" s="707"/>
      <c r="V625" s="707"/>
      <c r="W625" s="636"/>
      <c r="X625" s="636"/>
      <c r="Y625" s="707"/>
      <c r="Z625" s="635"/>
      <c r="AA625" s="707"/>
      <c r="AB625" s="707"/>
    </row>
    <row r="626" spans="1:28" x14ac:dyDescent="0.25">
      <c r="A626" s="23"/>
      <c r="B626" s="24"/>
      <c r="C626" s="25"/>
      <c r="D626" s="27"/>
      <c r="E626" s="27"/>
      <c r="F626" s="28"/>
      <c r="G626" s="27"/>
      <c r="H626" s="180"/>
      <c r="I626" s="27"/>
      <c r="J626" s="738"/>
      <c r="K626" s="635"/>
      <c r="L626" s="635"/>
      <c r="M626" s="635"/>
      <c r="N626" s="635"/>
      <c r="O626" s="636"/>
      <c r="P626" s="635"/>
      <c r="Q626" s="636"/>
      <c r="R626" s="636"/>
      <c r="S626" s="635"/>
      <c r="T626" s="707"/>
      <c r="U626" s="707"/>
      <c r="V626" s="707"/>
      <c r="W626" s="636"/>
      <c r="X626" s="636"/>
      <c r="Y626" s="707"/>
      <c r="Z626" s="635"/>
      <c r="AA626" s="707"/>
      <c r="AB626" s="707"/>
    </row>
    <row r="627" spans="1:28" x14ac:dyDescent="0.25">
      <c r="A627" s="23"/>
      <c r="B627" s="24"/>
      <c r="C627" s="25"/>
      <c r="D627" s="27"/>
      <c r="E627" s="27"/>
      <c r="F627" s="28"/>
      <c r="G627" s="27"/>
      <c r="H627" s="180"/>
      <c r="I627" s="27"/>
      <c r="J627" s="738"/>
      <c r="K627" s="635"/>
      <c r="L627" s="635"/>
      <c r="M627" s="635"/>
      <c r="N627" s="635"/>
      <c r="O627" s="636"/>
      <c r="P627" s="635"/>
      <c r="Q627" s="636"/>
      <c r="R627" s="636"/>
      <c r="S627" s="635"/>
      <c r="T627" s="707"/>
      <c r="U627" s="707"/>
      <c r="V627" s="707"/>
      <c r="W627" s="636"/>
      <c r="X627" s="636"/>
      <c r="Y627" s="707"/>
      <c r="Z627" s="635"/>
      <c r="AA627" s="707"/>
      <c r="AB627" s="707"/>
    </row>
    <row r="628" spans="1:28" x14ac:dyDescent="0.25">
      <c r="A628" s="23"/>
      <c r="B628" s="24"/>
      <c r="C628" s="25"/>
      <c r="D628" s="27"/>
      <c r="E628" s="27"/>
      <c r="F628" s="28"/>
      <c r="G628" s="27"/>
      <c r="H628" s="180"/>
      <c r="I628" s="27"/>
      <c r="J628" s="738"/>
      <c r="K628" s="635"/>
      <c r="L628" s="635"/>
      <c r="M628" s="635"/>
      <c r="N628" s="635"/>
      <c r="O628" s="636"/>
      <c r="P628" s="635"/>
      <c r="Q628" s="636"/>
      <c r="R628" s="636"/>
      <c r="S628" s="635"/>
      <c r="T628" s="707"/>
      <c r="U628" s="707"/>
      <c r="V628" s="707"/>
      <c r="W628" s="636"/>
      <c r="X628" s="636"/>
      <c r="Y628" s="707"/>
      <c r="Z628" s="635"/>
      <c r="AA628" s="707"/>
      <c r="AB628" s="707"/>
    </row>
    <row r="629" spans="1:28" x14ac:dyDescent="0.25">
      <c r="A629" s="23"/>
      <c r="B629" s="24"/>
      <c r="C629" s="25"/>
      <c r="D629" s="27"/>
      <c r="E629" s="27"/>
      <c r="F629" s="28"/>
      <c r="G629" s="27"/>
      <c r="H629" s="180"/>
      <c r="I629" s="27"/>
      <c r="J629" s="738"/>
      <c r="K629" s="635"/>
      <c r="L629" s="635"/>
      <c r="M629" s="635"/>
      <c r="N629" s="635"/>
      <c r="O629" s="636"/>
      <c r="P629" s="635"/>
      <c r="Q629" s="636"/>
      <c r="R629" s="636"/>
      <c r="S629" s="635"/>
      <c r="T629" s="707"/>
      <c r="U629" s="707"/>
      <c r="V629" s="707"/>
      <c r="W629" s="636"/>
      <c r="X629" s="636"/>
      <c r="Y629" s="707"/>
      <c r="Z629" s="635"/>
      <c r="AA629" s="707"/>
      <c r="AB629" s="707"/>
    </row>
    <row r="630" spans="1:28" x14ac:dyDescent="0.25">
      <c r="A630" s="23"/>
      <c r="B630" s="24"/>
      <c r="C630" s="25"/>
      <c r="D630" s="27"/>
      <c r="E630" s="27"/>
      <c r="F630" s="28"/>
      <c r="G630" s="27"/>
      <c r="H630" s="180"/>
      <c r="I630" s="27"/>
      <c r="J630" s="738"/>
      <c r="K630" s="635"/>
      <c r="L630" s="635"/>
      <c r="M630" s="635"/>
      <c r="N630" s="635"/>
      <c r="O630" s="636"/>
      <c r="P630" s="635"/>
      <c r="Q630" s="636"/>
      <c r="R630" s="636"/>
      <c r="S630" s="635"/>
      <c r="T630" s="707"/>
      <c r="U630" s="707"/>
      <c r="V630" s="707"/>
      <c r="W630" s="636"/>
      <c r="X630" s="636"/>
      <c r="Y630" s="707"/>
      <c r="Z630" s="635"/>
      <c r="AA630" s="707"/>
      <c r="AB630" s="707"/>
    </row>
    <row r="631" spans="1:28" x14ac:dyDescent="0.25">
      <c r="A631" s="23"/>
      <c r="B631" s="24"/>
      <c r="C631" s="25"/>
      <c r="D631" s="27"/>
      <c r="E631" s="27"/>
      <c r="F631" s="28"/>
      <c r="G631" s="27"/>
      <c r="H631" s="180"/>
      <c r="I631" s="27"/>
      <c r="J631" s="738"/>
      <c r="K631" s="635"/>
      <c r="L631" s="635"/>
      <c r="M631" s="635"/>
      <c r="N631" s="635"/>
      <c r="O631" s="636"/>
      <c r="P631" s="635"/>
      <c r="Q631" s="636"/>
      <c r="R631" s="636"/>
      <c r="S631" s="635"/>
      <c r="T631" s="707"/>
      <c r="U631" s="707"/>
      <c r="V631" s="707"/>
      <c r="W631" s="636"/>
      <c r="X631" s="636"/>
      <c r="Y631" s="707"/>
      <c r="Z631" s="635"/>
      <c r="AA631" s="707"/>
      <c r="AB631" s="707"/>
    </row>
    <row r="632" spans="1:28" x14ac:dyDescent="0.25">
      <c r="A632" s="23"/>
      <c r="B632" s="24"/>
      <c r="C632" s="25"/>
      <c r="D632" s="27"/>
      <c r="E632" s="27"/>
      <c r="F632" s="28"/>
      <c r="G632" s="27"/>
      <c r="H632" s="180"/>
      <c r="I632" s="27"/>
      <c r="J632" s="738"/>
      <c r="K632" s="635"/>
      <c r="L632" s="635"/>
      <c r="M632" s="635"/>
      <c r="N632" s="635"/>
      <c r="O632" s="636"/>
      <c r="P632" s="635"/>
      <c r="Q632" s="636"/>
      <c r="R632" s="636"/>
      <c r="S632" s="635"/>
      <c r="T632" s="707"/>
      <c r="U632" s="707"/>
      <c r="V632" s="707"/>
      <c r="W632" s="636"/>
      <c r="X632" s="636"/>
      <c r="Y632" s="707"/>
      <c r="Z632" s="635"/>
      <c r="AA632" s="707"/>
      <c r="AB632" s="707"/>
    </row>
    <row r="633" spans="1:28" x14ac:dyDescent="0.25">
      <c r="A633" s="23"/>
      <c r="B633" s="24"/>
      <c r="C633" s="25"/>
      <c r="D633" s="27"/>
      <c r="E633" s="27"/>
      <c r="F633" s="28"/>
      <c r="G633" s="27"/>
      <c r="H633" s="180"/>
      <c r="I633" s="27"/>
      <c r="J633" s="738"/>
      <c r="K633" s="635"/>
      <c r="L633" s="635"/>
      <c r="M633" s="635"/>
      <c r="N633" s="635"/>
      <c r="O633" s="636"/>
      <c r="P633" s="635"/>
      <c r="Q633" s="636"/>
      <c r="R633" s="636"/>
      <c r="S633" s="635"/>
      <c r="T633" s="707"/>
      <c r="U633" s="707"/>
      <c r="V633" s="707"/>
      <c r="W633" s="636"/>
      <c r="X633" s="636"/>
      <c r="Y633" s="707"/>
      <c r="Z633" s="635"/>
      <c r="AA633" s="707"/>
      <c r="AB633" s="707"/>
    </row>
    <row r="634" spans="1:28" x14ac:dyDescent="0.25">
      <c r="A634" s="23"/>
      <c r="B634" s="24"/>
      <c r="C634" s="25"/>
      <c r="D634" s="27"/>
      <c r="E634" s="27"/>
      <c r="F634" s="28"/>
      <c r="G634" s="27"/>
      <c r="H634" s="180"/>
      <c r="I634" s="27"/>
      <c r="J634" s="738"/>
      <c r="K634" s="635"/>
      <c r="L634" s="635"/>
      <c r="M634" s="635"/>
      <c r="N634" s="635"/>
      <c r="O634" s="636"/>
      <c r="P634" s="635"/>
      <c r="Q634" s="636"/>
      <c r="R634" s="636"/>
      <c r="S634" s="635"/>
      <c r="T634" s="707"/>
      <c r="U634" s="707"/>
      <c r="V634" s="707"/>
      <c r="W634" s="636"/>
      <c r="X634" s="636"/>
      <c r="Y634" s="707"/>
      <c r="Z634" s="635"/>
      <c r="AA634" s="707"/>
      <c r="AB634" s="707"/>
    </row>
    <row r="635" spans="1:28" x14ac:dyDescent="0.25">
      <c r="A635" s="23"/>
      <c r="B635" s="24"/>
      <c r="C635" s="25"/>
      <c r="D635" s="27"/>
      <c r="E635" s="27"/>
      <c r="F635" s="28"/>
      <c r="G635" s="27"/>
      <c r="H635" s="180"/>
      <c r="I635" s="27"/>
      <c r="J635" s="738"/>
      <c r="K635" s="635"/>
      <c r="L635" s="635"/>
      <c r="M635" s="635"/>
      <c r="N635" s="635"/>
      <c r="O635" s="636"/>
      <c r="P635" s="635"/>
      <c r="Q635" s="636"/>
      <c r="R635" s="636"/>
      <c r="S635" s="635"/>
      <c r="T635" s="707"/>
      <c r="U635" s="707"/>
      <c r="V635" s="707"/>
      <c r="W635" s="636"/>
      <c r="X635" s="636"/>
      <c r="Y635" s="707"/>
      <c r="Z635" s="635"/>
      <c r="AA635" s="707"/>
      <c r="AB635" s="707"/>
    </row>
    <row r="636" spans="1:28" x14ac:dyDescent="0.25">
      <c r="A636" s="23"/>
      <c r="B636" s="24"/>
      <c r="C636" s="25"/>
      <c r="D636" s="27"/>
      <c r="E636" s="27"/>
      <c r="F636" s="28"/>
      <c r="G636" s="27"/>
      <c r="H636" s="180"/>
      <c r="I636" s="27"/>
      <c r="J636" s="738"/>
      <c r="K636" s="635"/>
      <c r="L636" s="635"/>
      <c r="M636" s="635"/>
      <c r="N636" s="635"/>
      <c r="O636" s="636"/>
      <c r="P636" s="635"/>
      <c r="Q636" s="636"/>
      <c r="R636" s="636"/>
      <c r="S636" s="635"/>
      <c r="T636" s="707"/>
      <c r="U636" s="707"/>
      <c r="V636" s="707"/>
      <c r="W636" s="636"/>
      <c r="X636" s="636"/>
      <c r="Y636" s="707"/>
      <c r="Z636" s="635"/>
      <c r="AA636" s="707"/>
      <c r="AB636" s="707"/>
    </row>
    <row r="637" spans="1:28" x14ac:dyDescent="0.25">
      <c r="A637" s="23"/>
      <c r="B637" s="24"/>
      <c r="C637" s="25"/>
      <c r="D637" s="27"/>
      <c r="E637" s="27"/>
      <c r="F637" s="28"/>
      <c r="G637" s="27"/>
      <c r="H637" s="180"/>
      <c r="I637" s="27"/>
      <c r="J637" s="738"/>
      <c r="K637" s="635"/>
      <c r="L637" s="635"/>
      <c r="M637" s="635"/>
      <c r="N637" s="635"/>
      <c r="O637" s="636"/>
      <c r="P637" s="635"/>
      <c r="Q637" s="636"/>
      <c r="R637" s="636"/>
      <c r="S637" s="635"/>
      <c r="T637" s="707"/>
      <c r="U637" s="707"/>
      <c r="V637" s="707"/>
      <c r="W637" s="636"/>
      <c r="X637" s="636"/>
      <c r="Y637" s="707"/>
      <c r="Z637" s="635"/>
      <c r="AA637" s="707"/>
      <c r="AB637" s="707"/>
    </row>
    <row r="638" spans="1:28" x14ac:dyDescent="0.25">
      <c r="A638" s="23"/>
      <c r="B638" s="24"/>
      <c r="C638" s="25"/>
      <c r="D638" s="27"/>
      <c r="E638" s="27"/>
      <c r="F638" s="28"/>
      <c r="G638" s="27"/>
      <c r="H638" s="180"/>
      <c r="I638" s="27"/>
      <c r="J638" s="738"/>
      <c r="K638" s="635"/>
      <c r="L638" s="635"/>
      <c r="M638" s="635"/>
      <c r="N638" s="635"/>
      <c r="O638" s="636"/>
      <c r="P638" s="635"/>
      <c r="Q638" s="636"/>
      <c r="R638" s="636"/>
      <c r="S638" s="635"/>
      <c r="T638" s="707"/>
      <c r="U638" s="707"/>
      <c r="V638" s="707"/>
      <c r="W638" s="636"/>
      <c r="X638" s="636"/>
      <c r="Y638" s="707"/>
      <c r="Z638" s="635"/>
      <c r="AA638" s="707"/>
      <c r="AB638" s="707"/>
    </row>
    <row r="639" spans="1:28" x14ac:dyDescent="0.25">
      <c r="A639" s="23"/>
      <c r="B639" s="24"/>
      <c r="C639" s="25"/>
      <c r="D639" s="27"/>
      <c r="E639" s="27"/>
      <c r="F639" s="28"/>
      <c r="G639" s="27"/>
      <c r="H639" s="180"/>
      <c r="I639" s="27"/>
      <c r="J639" s="738"/>
      <c r="K639" s="635"/>
      <c r="L639" s="635"/>
      <c r="M639" s="635"/>
      <c r="N639" s="635"/>
      <c r="O639" s="636"/>
      <c r="P639" s="635"/>
      <c r="Q639" s="636"/>
      <c r="R639" s="636"/>
      <c r="S639" s="635"/>
      <c r="T639" s="707"/>
      <c r="U639" s="707"/>
      <c r="V639" s="707"/>
      <c r="W639" s="636"/>
      <c r="X639" s="636"/>
      <c r="Y639" s="707"/>
      <c r="Z639" s="635"/>
      <c r="AA639" s="707"/>
      <c r="AB639" s="707"/>
    </row>
    <row r="640" spans="1:28" x14ac:dyDescent="0.25">
      <c r="A640" s="23"/>
      <c r="B640" s="24"/>
      <c r="C640" s="25"/>
      <c r="D640" s="27"/>
      <c r="E640" s="27"/>
      <c r="F640" s="28"/>
      <c r="G640" s="27"/>
      <c r="H640" s="180"/>
      <c r="I640" s="27"/>
      <c r="J640" s="738"/>
      <c r="K640" s="635"/>
      <c r="L640" s="635"/>
      <c r="M640" s="635"/>
      <c r="N640" s="635"/>
      <c r="O640" s="636"/>
      <c r="P640" s="635"/>
      <c r="Q640" s="636"/>
      <c r="R640" s="636"/>
      <c r="S640" s="635"/>
      <c r="T640" s="707"/>
      <c r="U640" s="707"/>
      <c r="V640" s="707"/>
      <c r="W640" s="636"/>
      <c r="X640" s="636"/>
      <c r="Y640" s="707"/>
      <c r="Z640" s="635"/>
      <c r="AA640" s="707"/>
      <c r="AB640" s="707"/>
    </row>
    <row r="641" spans="1:28" x14ac:dyDescent="0.25">
      <c r="A641" s="23"/>
      <c r="B641" s="24"/>
      <c r="C641" s="25"/>
      <c r="D641" s="27"/>
      <c r="E641" s="27"/>
      <c r="F641" s="28"/>
      <c r="G641" s="27"/>
      <c r="H641" s="180"/>
      <c r="I641" s="27"/>
      <c r="J641" s="738"/>
      <c r="K641" s="635"/>
      <c r="L641" s="635"/>
      <c r="M641" s="635"/>
      <c r="N641" s="635"/>
      <c r="O641" s="636"/>
      <c r="P641" s="635"/>
      <c r="Q641" s="636"/>
      <c r="R641" s="636"/>
      <c r="S641" s="635"/>
      <c r="T641" s="707"/>
      <c r="U641" s="707"/>
      <c r="V641" s="707"/>
      <c r="W641" s="636"/>
      <c r="X641" s="636"/>
      <c r="Y641" s="707"/>
      <c r="Z641" s="635"/>
      <c r="AA641" s="707"/>
      <c r="AB641" s="707"/>
    </row>
    <row r="642" spans="1:28" x14ac:dyDescent="0.25">
      <c r="A642" s="23"/>
      <c r="B642" s="24"/>
      <c r="C642" s="25"/>
      <c r="D642" s="27"/>
      <c r="E642" s="27"/>
      <c r="F642" s="28"/>
      <c r="G642" s="27"/>
      <c r="H642" s="180"/>
      <c r="I642" s="27"/>
      <c r="J642" s="738"/>
      <c r="K642" s="635"/>
      <c r="L642" s="635"/>
      <c r="M642" s="635"/>
      <c r="N642" s="635"/>
      <c r="O642" s="636"/>
      <c r="P642" s="635"/>
      <c r="Q642" s="636"/>
      <c r="R642" s="636"/>
      <c r="S642" s="635"/>
      <c r="T642" s="707"/>
      <c r="U642" s="707"/>
      <c r="V642" s="707"/>
      <c r="W642" s="636"/>
      <c r="X642" s="636"/>
      <c r="Y642" s="707"/>
      <c r="Z642" s="635"/>
      <c r="AA642" s="707"/>
      <c r="AB642" s="707"/>
    </row>
    <row r="643" spans="1:28" x14ac:dyDescent="0.25">
      <c r="A643" s="23"/>
      <c r="B643" s="24"/>
      <c r="C643" s="25"/>
      <c r="D643" s="27"/>
      <c r="E643" s="27"/>
      <c r="F643" s="28"/>
      <c r="G643" s="27"/>
      <c r="H643" s="180"/>
      <c r="I643" s="27"/>
      <c r="J643" s="738"/>
      <c r="K643" s="635"/>
      <c r="L643" s="635"/>
      <c r="M643" s="635"/>
      <c r="N643" s="635"/>
      <c r="O643" s="636"/>
      <c r="P643" s="635"/>
      <c r="Q643" s="636"/>
      <c r="R643" s="636"/>
      <c r="S643" s="635"/>
      <c r="T643" s="707"/>
      <c r="U643" s="707"/>
      <c r="V643" s="707"/>
      <c r="W643" s="636"/>
      <c r="X643" s="636"/>
      <c r="Y643" s="707"/>
      <c r="Z643" s="635"/>
      <c r="AA643" s="707"/>
      <c r="AB643" s="707"/>
    </row>
    <row r="644" spans="1:28" x14ac:dyDescent="0.25">
      <c r="A644" s="23"/>
      <c r="B644" s="24"/>
      <c r="C644" s="25"/>
      <c r="D644" s="27"/>
      <c r="E644" s="27"/>
      <c r="F644" s="28"/>
      <c r="G644" s="27"/>
      <c r="H644" s="180"/>
      <c r="I644" s="27"/>
      <c r="J644" s="738"/>
      <c r="K644" s="635"/>
      <c r="L644" s="635"/>
      <c r="M644" s="635"/>
      <c r="N644" s="635"/>
      <c r="O644" s="636"/>
      <c r="P644" s="635"/>
      <c r="Q644" s="636"/>
      <c r="R644" s="636"/>
      <c r="S644" s="635"/>
      <c r="T644" s="707"/>
      <c r="U644" s="707"/>
      <c r="V644" s="707"/>
      <c r="W644" s="636"/>
      <c r="X644" s="636"/>
      <c r="Y644" s="707"/>
      <c r="Z644" s="635"/>
      <c r="AA644" s="707"/>
      <c r="AB644" s="707"/>
    </row>
    <row r="645" spans="1:28" x14ac:dyDescent="0.25">
      <c r="A645" s="23"/>
      <c r="B645" s="24"/>
      <c r="C645" s="25"/>
      <c r="D645" s="27"/>
      <c r="E645" s="27"/>
      <c r="F645" s="28"/>
      <c r="G645" s="27"/>
      <c r="H645" s="180"/>
      <c r="I645" s="27"/>
      <c r="J645" s="738"/>
      <c r="K645" s="635"/>
      <c r="L645" s="635"/>
      <c r="M645" s="635"/>
      <c r="N645" s="635"/>
      <c r="O645" s="636"/>
      <c r="P645" s="635"/>
      <c r="Q645" s="636"/>
      <c r="R645" s="636"/>
      <c r="S645" s="635"/>
      <c r="T645" s="707"/>
      <c r="U645" s="707"/>
      <c r="V645" s="707"/>
      <c r="W645" s="636"/>
      <c r="X645" s="636"/>
      <c r="Y645" s="707"/>
      <c r="Z645" s="635"/>
      <c r="AA645" s="707"/>
      <c r="AB645" s="707"/>
    </row>
    <row r="646" spans="1:28" x14ac:dyDescent="0.25">
      <c r="A646" s="23"/>
      <c r="B646" s="24"/>
      <c r="C646" s="25"/>
      <c r="D646" s="27"/>
      <c r="E646" s="27"/>
      <c r="F646" s="28"/>
      <c r="G646" s="27"/>
      <c r="H646" s="180"/>
      <c r="I646" s="27"/>
      <c r="J646" s="738"/>
      <c r="K646" s="635"/>
      <c r="L646" s="635"/>
      <c r="M646" s="635"/>
      <c r="N646" s="635"/>
      <c r="O646" s="636"/>
      <c r="P646" s="635"/>
      <c r="Q646" s="636"/>
      <c r="R646" s="636"/>
      <c r="S646" s="635"/>
      <c r="T646" s="707"/>
      <c r="U646" s="707"/>
      <c r="V646" s="707"/>
      <c r="W646" s="636"/>
      <c r="X646" s="636"/>
      <c r="Y646" s="707"/>
      <c r="Z646" s="635"/>
      <c r="AA646" s="707"/>
      <c r="AB646" s="707"/>
    </row>
    <row r="647" spans="1:28" x14ac:dyDescent="0.25">
      <c r="A647" s="23"/>
      <c r="B647" s="24"/>
      <c r="C647" s="25"/>
      <c r="D647" s="27"/>
      <c r="E647" s="27"/>
      <c r="F647" s="28"/>
      <c r="G647" s="27"/>
      <c r="H647" s="180"/>
      <c r="I647" s="27"/>
      <c r="J647" s="738"/>
      <c r="K647" s="635"/>
      <c r="L647" s="635"/>
      <c r="M647" s="635"/>
      <c r="N647" s="635"/>
      <c r="O647" s="636"/>
      <c r="P647" s="635"/>
      <c r="Q647" s="636"/>
      <c r="R647" s="636"/>
      <c r="S647" s="635"/>
      <c r="T647" s="707"/>
      <c r="U647" s="707"/>
      <c r="V647" s="707"/>
      <c r="W647" s="636"/>
      <c r="X647" s="636"/>
      <c r="Y647" s="707"/>
      <c r="Z647" s="635"/>
      <c r="AA647" s="707"/>
      <c r="AB647" s="707"/>
    </row>
    <row r="648" spans="1:28" x14ac:dyDescent="0.25">
      <c r="A648" s="23"/>
      <c r="B648" s="24"/>
      <c r="C648" s="25"/>
      <c r="D648" s="27"/>
      <c r="E648" s="27"/>
      <c r="F648" s="28"/>
      <c r="G648" s="27"/>
      <c r="H648" s="180"/>
      <c r="I648" s="27"/>
      <c r="J648" s="738"/>
      <c r="K648" s="635"/>
      <c r="L648" s="635"/>
      <c r="M648" s="635"/>
      <c r="N648" s="635"/>
      <c r="O648" s="636"/>
      <c r="P648" s="635"/>
      <c r="Q648" s="636"/>
      <c r="R648" s="636"/>
      <c r="S648" s="635"/>
      <c r="T648" s="707"/>
      <c r="U648" s="707"/>
      <c r="V648" s="707"/>
      <c r="W648" s="636"/>
      <c r="X648" s="636"/>
      <c r="Y648" s="707"/>
      <c r="Z648" s="635"/>
      <c r="AA648" s="707"/>
      <c r="AB648" s="707"/>
    </row>
    <row r="649" spans="1:28" x14ac:dyDescent="0.25">
      <c r="A649" s="23"/>
      <c r="B649" s="24"/>
      <c r="C649" s="25"/>
      <c r="D649" s="27"/>
      <c r="E649" s="27"/>
      <c r="F649" s="28"/>
      <c r="G649" s="27"/>
      <c r="H649" s="180"/>
      <c r="I649" s="27"/>
      <c r="J649" s="738"/>
      <c r="K649" s="635"/>
      <c r="L649" s="635"/>
      <c r="M649" s="635"/>
      <c r="N649" s="635"/>
      <c r="O649" s="636"/>
      <c r="P649" s="635"/>
      <c r="Q649" s="636"/>
      <c r="R649" s="636"/>
      <c r="S649" s="635"/>
      <c r="T649" s="707"/>
      <c r="U649" s="707"/>
      <c r="V649" s="707"/>
      <c r="W649" s="636"/>
      <c r="X649" s="636"/>
      <c r="Y649" s="707"/>
      <c r="Z649" s="635"/>
      <c r="AA649" s="707"/>
      <c r="AB649" s="707"/>
    </row>
    <row r="650" spans="1:28" x14ac:dyDescent="0.25">
      <c r="A650" s="23"/>
      <c r="B650" s="24"/>
      <c r="C650" s="25"/>
      <c r="D650" s="27"/>
      <c r="E650" s="27"/>
      <c r="F650" s="28"/>
      <c r="G650" s="27"/>
      <c r="H650" s="180"/>
      <c r="I650" s="27"/>
      <c r="J650" s="738"/>
      <c r="K650" s="635"/>
      <c r="L650" s="635"/>
      <c r="M650" s="635"/>
      <c r="N650" s="635"/>
      <c r="O650" s="636"/>
      <c r="P650" s="635"/>
      <c r="Q650" s="636"/>
      <c r="R650" s="636"/>
      <c r="S650" s="635"/>
      <c r="T650" s="707"/>
      <c r="U650" s="707"/>
      <c r="V650" s="707"/>
      <c r="W650" s="636"/>
      <c r="X650" s="636"/>
      <c r="Y650" s="707"/>
      <c r="Z650" s="635"/>
      <c r="AA650" s="707"/>
      <c r="AB650" s="707"/>
    </row>
    <row r="651" spans="1:28" x14ac:dyDescent="0.25">
      <c r="A651" s="23"/>
      <c r="B651" s="24"/>
      <c r="C651" s="25"/>
      <c r="D651" s="27"/>
      <c r="E651" s="27"/>
      <c r="F651" s="28"/>
      <c r="G651" s="27"/>
      <c r="H651" s="180"/>
      <c r="I651" s="27"/>
      <c r="J651" s="738"/>
      <c r="K651" s="635"/>
      <c r="L651" s="635"/>
      <c r="M651" s="635"/>
      <c r="N651" s="635"/>
      <c r="O651" s="636"/>
      <c r="P651" s="635"/>
      <c r="Q651" s="636"/>
      <c r="R651" s="636"/>
      <c r="S651" s="635"/>
      <c r="T651" s="707"/>
      <c r="U651" s="707"/>
      <c r="V651" s="707"/>
      <c r="W651" s="636"/>
      <c r="X651" s="636"/>
      <c r="Y651" s="707"/>
      <c r="Z651" s="635"/>
      <c r="AA651" s="707"/>
      <c r="AB651" s="707"/>
    </row>
    <row r="652" spans="1:28" x14ac:dyDescent="0.25">
      <c r="A652" s="23"/>
      <c r="B652" s="24"/>
      <c r="C652" s="25"/>
      <c r="D652" s="27"/>
      <c r="E652" s="27"/>
      <c r="F652" s="28"/>
      <c r="G652" s="27"/>
      <c r="H652" s="180"/>
      <c r="I652" s="27"/>
      <c r="J652" s="738"/>
      <c r="K652" s="635"/>
      <c r="L652" s="635"/>
      <c r="M652" s="635"/>
      <c r="N652" s="635"/>
      <c r="O652" s="636"/>
      <c r="P652" s="635"/>
      <c r="Q652" s="636"/>
      <c r="R652" s="636"/>
      <c r="S652" s="635"/>
      <c r="T652" s="707"/>
      <c r="U652" s="707"/>
      <c r="V652" s="707"/>
      <c r="W652" s="636"/>
      <c r="X652" s="636"/>
      <c r="Y652" s="707"/>
      <c r="Z652" s="635"/>
      <c r="AA652" s="707"/>
      <c r="AB652" s="707"/>
    </row>
    <row r="653" spans="1:28" x14ac:dyDescent="0.25">
      <c r="A653" s="23"/>
      <c r="B653" s="24"/>
      <c r="C653" s="25"/>
      <c r="D653" s="27"/>
      <c r="E653" s="27"/>
      <c r="F653" s="28"/>
      <c r="G653" s="27"/>
      <c r="H653" s="180"/>
      <c r="I653" s="27"/>
      <c r="J653" s="738"/>
      <c r="K653" s="635"/>
      <c r="L653" s="635"/>
      <c r="M653" s="635"/>
      <c r="N653" s="635"/>
      <c r="O653" s="636"/>
      <c r="P653" s="635"/>
      <c r="Q653" s="636"/>
      <c r="R653" s="636"/>
      <c r="S653" s="635"/>
      <c r="T653" s="707"/>
      <c r="U653" s="707"/>
      <c r="V653" s="707"/>
      <c r="W653" s="636"/>
      <c r="X653" s="636"/>
      <c r="Y653" s="707"/>
      <c r="Z653" s="635"/>
      <c r="AA653" s="707"/>
      <c r="AB653" s="707"/>
    </row>
    <row r="654" spans="1:28" x14ac:dyDescent="0.25">
      <c r="A654" s="23"/>
      <c r="B654" s="24"/>
      <c r="C654" s="25"/>
      <c r="D654" s="27"/>
      <c r="E654" s="27"/>
      <c r="F654" s="28"/>
      <c r="G654" s="27"/>
      <c r="H654" s="180"/>
      <c r="I654" s="27"/>
      <c r="J654" s="738"/>
      <c r="K654" s="635"/>
      <c r="L654" s="635"/>
      <c r="M654" s="635"/>
      <c r="N654" s="635"/>
      <c r="O654" s="636"/>
      <c r="P654" s="635"/>
      <c r="Q654" s="636"/>
      <c r="R654" s="636"/>
      <c r="S654" s="635"/>
      <c r="T654" s="707"/>
      <c r="U654" s="707"/>
      <c r="V654" s="707"/>
      <c r="W654" s="636"/>
      <c r="X654" s="636"/>
      <c r="Y654" s="707"/>
      <c r="Z654" s="635"/>
      <c r="AA654" s="707"/>
      <c r="AB654" s="707"/>
    </row>
    <row r="655" spans="1:28" x14ac:dyDescent="0.25">
      <c r="A655" s="23"/>
      <c r="B655" s="24"/>
      <c r="C655" s="25"/>
      <c r="D655" s="27"/>
      <c r="E655" s="27"/>
      <c r="F655" s="28"/>
      <c r="G655" s="27"/>
      <c r="H655" s="180"/>
      <c r="I655" s="27"/>
      <c r="J655" s="738"/>
      <c r="K655" s="635"/>
      <c r="L655" s="635"/>
      <c r="M655" s="635"/>
      <c r="N655" s="635"/>
      <c r="O655" s="636"/>
      <c r="P655" s="635"/>
      <c r="Q655" s="636"/>
      <c r="R655" s="636"/>
      <c r="S655" s="635"/>
      <c r="T655" s="707"/>
      <c r="U655" s="707"/>
      <c r="V655" s="707"/>
      <c r="W655" s="636"/>
      <c r="X655" s="636"/>
      <c r="Y655" s="707"/>
      <c r="Z655" s="635"/>
      <c r="AA655" s="707"/>
      <c r="AB655" s="707"/>
    </row>
    <row r="656" spans="1:28" x14ac:dyDescent="0.25">
      <c r="A656" s="23"/>
      <c r="B656" s="24"/>
      <c r="C656" s="25"/>
      <c r="D656" s="27"/>
      <c r="E656" s="27"/>
      <c r="F656" s="28"/>
      <c r="G656" s="27"/>
      <c r="H656" s="180"/>
      <c r="I656" s="27"/>
      <c r="J656" s="738"/>
      <c r="K656" s="635"/>
      <c r="L656" s="635"/>
      <c r="M656" s="635"/>
      <c r="N656" s="635"/>
      <c r="O656" s="636"/>
      <c r="P656" s="635"/>
      <c r="Q656" s="636"/>
      <c r="R656" s="636"/>
      <c r="S656" s="635"/>
      <c r="T656" s="707"/>
      <c r="U656" s="707"/>
      <c r="V656" s="707"/>
      <c r="W656" s="636"/>
      <c r="X656" s="636"/>
      <c r="Y656" s="707"/>
      <c r="Z656" s="635"/>
      <c r="AA656" s="707"/>
      <c r="AB656" s="707"/>
    </row>
    <row r="657" spans="1:28" x14ac:dyDescent="0.25">
      <c r="A657" s="23"/>
      <c r="B657" s="24"/>
      <c r="C657" s="25"/>
      <c r="D657" s="27"/>
      <c r="E657" s="27"/>
      <c r="F657" s="28"/>
      <c r="G657" s="27"/>
      <c r="H657" s="180"/>
      <c r="I657" s="27"/>
      <c r="J657" s="738"/>
      <c r="K657" s="635"/>
      <c r="L657" s="635"/>
      <c r="M657" s="635"/>
      <c r="N657" s="635"/>
      <c r="O657" s="636"/>
      <c r="P657" s="635"/>
      <c r="Q657" s="636"/>
      <c r="R657" s="636"/>
      <c r="S657" s="635"/>
      <c r="T657" s="707"/>
      <c r="U657" s="707"/>
      <c r="V657" s="707"/>
      <c r="W657" s="636"/>
      <c r="X657" s="636"/>
      <c r="Y657" s="707"/>
      <c r="Z657" s="635"/>
      <c r="AA657" s="707"/>
      <c r="AB657" s="707"/>
    </row>
    <row r="658" spans="1:28" x14ac:dyDescent="0.25">
      <c r="A658" s="23"/>
      <c r="B658" s="24"/>
      <c r="C658" s="25"/>
      <c r="D658" s="27"/>
      <c r="E658" s="27"/>
      <c r="F658" s="28"/>
      <c r="G658" s="27"/>
      <c r="H658" s="180"/>
      <c r="I658" s="27"/>
      <c r="J658" s="738"/>
      <c r="K658" s="635"/>
      <c r="L658" s="635"/>
      <c r="M658" s="635"/>
      <c r="N658" s="635"/>
      <c r="O658" s="636"/>
      <c r="P658" s="635"/>
      <c r="Q658" s="636"/>
      <c r="R658" s="636"/>
      <c r="S658" s="635"/>
      <c r="T658" s="707"/>
      <c r="U658" s="707"/>
      <c r="V658" s="707"/>
      <c r="W658" s="636"/>
      <c r="X658" s="636"/>
      <c r="Y658" s="707"/>
      <c r="Z658" s="635"/>
      <c r="AA658" s="707"/>
      <c r="AB658" s="707"/>
    </row>
    <row r="659" spans="1:28" x14ac:dyDescent="0.25">
      <c r="A659" s="23"/>
      <c r="B659" s="24"/>
      <c r="C659" s="25"/>
      <c r="D659" s="27"/>
      <c r="E659" s="27"/>
      <c r="F659" s="28"/>
      <c r="G659" s="27"/>
      <c r="H659" s="180"/>
      <c r="I659" s="27"/>
      <c r="J659" s="738"/>
      <c r="K659" s="635"/>
      <c r="L659" s="635"/>
      <c r="M659" s="635"/>
      <c r="N659" s="635"/>
      <c r="O659" s="636"/>
      <c r="P659" s="635"/>
      <c r="Q659" s="636"/>
      <c r="R659" s="636"/>
      <c r="S659" s="635"/>
      <c r="T659" s="707"/>
      <c r="U659" s="707"/>
      <c r="V659" s="707"/>
      <c r="W659" s="636"/>
      <c r="X659" s="636"/>
      <c r="Y659" s="707"/>
      <c r="Z659" s="635"/>
      <c r="AA659" s="707"/>
      <c r="AB659" s="707"/>
    </row>
    <row r="660" spans="1:28" x14ac:dyDescent="0.25">
      <c r="A660" s="23"/>
      <c r="B660" s="24"/>
      <c r="C660" s="25"/>
      <c r="D660" s="27"/>
      <c r="E660" s="27"/>
      <c r="F660" s="28"/>
      <c r="G660" s="27"/>
      <c r="H660" s="180"/>
      <c r="I660" s="27"/>
      <c r="J660" s="738"/>
      <c r="K660" s="635"/>
      <c r="L660" s="635"/>
      <c r="M660" s="635"/>
      <c r="N660" s="635"/>
      <c r="O660" s="636"/>
      <c r="P660" s="635"/>
      <c r="Q660" s="636"/>
      <c r="R660" s="636"/>
      <c r="S660" s="635"/>
      <c r="T660" s="707"/>
      <c r="U660" s="707"/>
      <c r="V660" s="707"/>
      <c r="W660" s="636"/>
      <c r="X660" s="636"/>
      <c r="Y660" s="707"/>
      <c r="Z660" s="635"/>
      <c r="AA660" s="707"/>
      <c r="AB660" s="707"/>
    </row>
    <row r="661" spans="1:28" x14ac:dyDescent="0.25">
      <c r="A661" s="23"/>
      <c r="B661" s="24"/>
      <c r="C661" s="25"/>
      <c r="D661" s="27"/>
      <c r="E661" s="27"/>
      <c r="F661" s="28"/>
      <c r="G661" s="27"/>
      <c r="H661" s="180"/>
      <c r="I661" s="27"/>
      <c r="J661" s="738"/>
      <c r="K661" s="635"/>
      <c r="L661" s="635"/>
      <c r="M661" s="635"/>
      <c r="N661" s="635"/>
      <c r="O661" s="636"/>
      <c r="P661" s="635"/>
      <c r="Q661" s="636"/>
      <c r="R661" s="636"/>
      <c r="S661" s="635"/>
      <c r="T661" s="707"/>
      <c r="U661" s="707"/>
      <c r="V661" s="707"/>
      <c r="W661" s="636"/>
      <c r="X661" s="636"/>
      <c r="Y661" s="707"/>
      <c r="Z661" s="635"/>
      <c r="AA661" s="707"/>
      <c r="AB661" s="707"/>
    </row>
    <row r="662" spans="1:28" x14ac:dyDescent="0.25">
      <c r="A662" s="23"/>
      <c r="B662" s="24"/>
      <c r="C662" s="25"/>
      <c r="D662" s="27"/>
      <c r="E662" s="27"/>
      <c r="F662" s="28"/>
      <c r="G662" s="27"/>
      <c r="H662" s="180"/>
      <c r="I662" s="27"/>
      <c r="J662" s="738"/>
      <c r="K662" s="635"/>
      <c r="L662" s="635"/>
      <c r="M662" s="635"/>
      <c r="N662" s="635"/>
      <c r="O662" s="636"/>
      <c r="P662" s="635"/>
      <c r="Q662" s="636"/>
      <c r="R662" s="636"/>
      <c r="S662" s="635"/>
      <c r="T662" s="707"/>
      <c r="U662" s="707"/>
      <c r="V662" s="707"/>
      <c r="W662" s="636"/>
      <c r="X662" s="636"/>
      <c r="Y662" s="707"/>
      <c r="Z662" s="635"/>
      <c r="AA662" s="707"/>
      <c r="AB662" s="707"/>
    </row>
    <row r="663" spans="1:28" x14ac:dyDescent="0.25">
      <c r="A663" s="23"/>
      <c r="B663" s="24"/>
      <c r="C663" s="25"/>
      <c r="D663" s="27"/>
      <c r="E663" s="27"/>
      <c r="F663" s="28"/>
      <c r="G663" s="27"/>
      <c r="H663" s="180"/>
      <c r="I663" s="27"/>
      <c r="J663" s="738"/>
      <c r="K663" s="635"/>
      <c r="L663" s="635"/>
      <c r="M663" s="635"/>
      <c r="N663" s="635"/>
      <c r="O663" s="636"/>
      <c r="P663" s="635"/>
      <c r="Q663" s="636"/>
      <c r="R663" s="636"/>
      <c r="S663" s="635"/>
      <c r="T663" s="707"/>
      <c r="U663" s="707"/>
      <c r="V663" s="707"/>
      <c r="W663" s="636"/>
      <c r="X663" s="636"/>
      <c r="Y663" s="707"/>
      <c r="Z663" s="635"/>
      <c r="AA663" s="707"/>
      <c r="AB663" s="707"/>
    </row>
    <row r="664" spans="1:28" x14ac:dyDescent="0.25">
      <c r="A664" s="23"/>
      <c r="B664" s="24"/>
      <c r="C664" s="25"/>
      <c r="D664" s="27"/>
      <c r="E664" s="27"/>
      <c r="F664" s="28"/>
      <c r="G664" s="27"/>
      <c r="H664" s="180"/>
      <c r="I664" s="27"/>
      <c r="J664" s="738"/>
      <c r="K664" s="635"/>
      <c r="L664" s="635"/>
      <c r="M664" s="635"/>
      <c r="N664" s="635"/>
      <c r="O664" s="636"/>
      <c r="P664" s="635"/>
      <c r="Q664" s="636"/>
      <c r="R664" s="636"/>
      <c r="S664" s="635"/>
      <c r="T664" s="707"/>
      <c r="U664" s="707"/>
      <c r="V664" s="707"/>
      <c r="W664" s="636"/>
      <c r="X664" s="636"/>
      <c r="Y664" s="707"/>
      <c r="Z664" s="635"/>
      <c r="AA664" s="707"/>
      <c r="AB664" s="707"/>
    </row>
    <row r="665" spans="1:28" x14ac:dyDescent="0.25">
      <c r="A665" s="23"/>
      <c r="B665" s="24"/>
      <c r="C665" s="25"/>
      <c r="D665" s="27"/>
      <c r="E665" s="27"/>
      <c r="F665" s="28"/>
      <c r="G665" s="27"/>
      <c r="H665" s="180"/>
      <c r="I665" s="27"/>
      <c r="J665" s="738"/>
      <c r="K665" s="635"/>
      <c r="L665" s="635"/>
      <c r="M665" s="635"/>
      <c r="N665" s="635"/>
      <c r="O665" s="636"/>
      <c r="P665" s="635"/>
      <c r="Q665" s="636"/>
      <c r="R665" s="636"/>
      <c r="S665" s="635"/>
      <c r="T665" s="707"/>
      <c r="U665" s="707"/>
      <c r="V665" s="707"/>
      <c r="W665" s="636"/>
      <c r="X665" s="636"/>
      <c r="Y665" s="707"/>
      <c r="Z665" s="635"/>
      <c r="AA665" s="707"/>
      <c r="AB665" s="707"/>
    </row>
    <row r="666" spans="1:28" x14ac:dyDescent="0.25">
      <c r="A666" s="23"/>
      <c r="B666" s="24"/>
      <c r="C666" s="25"/>
      <c r="D666" s="27"/>
      <c r="E666" s="27"/>
      <c r="F666" s="28"/>
      <c r="G666" s="27"/>
      <c r="H666" s="180"/>
      <c r="I666" s="27"/>
      <c r="J666" s="738"/>
      <c r="K666" s="635"/>
      <c r="L666" s="635"/>
      <c r="M666" s="635"/>
      <c r="N666" s="635"/>
      <c r="O666" s="636"/>
      <c r="P666" s="635"/>
      <c r="Q666" s="636"/>
      <c r="R666" s="636"/>
      <c r="S666" s="635"/>
      <c r="T666" s="707"/>
      <c r="U666" s="707"/>
      <c r="V666" s="707"/>
      <c r="W666" s="636"/>
      <c r="X666" s="636"/>
      <c r="Y666" s="707"/>
      <c r="Z666" s="635"/>
      <c r="AA666" s="707"/>
      <c r="AB666" s="707"/>
    </row>
    <row r="667" spans="1:28" x14ac:dyDescent="0.25">
      <c r="A667" s="23"/>
      <c r="B667" s="24"/>
      <c r="C667" s="25"/>
      <c r="D667" s="27"/>
      <c r="E667" s="27"/>
      <c r="F667" s="28"/>
      <c r="G667" s="27"/>
      <c r="H667" s="180"/>
      <c r="I667" s="27"/>
      <c r="J667" s="738"/>
      <c r="K667" s="635"/>
      <c r="L667" s="635"/>
      <c r="M667" s="635"/>
      <c r="N667" s="635"/>
      <c r="O667" s="636"/>
      <c r="P667" s="635"/>
      <c r="Q667" s="636"/>
      <c r="R667" s="636"/>
      <c r="S667" s="635"/>
      <c r="T667" s="707"/>
      <c r="U667" s="707"/>
      <c r="V667" s="707"/>
      <c r="W667" s="636"/>
      <c r="X667" s="636"/>
      <c r="Y667" s="707"/>
      <c r="Z667" s="635"/>
      <c r="AA667" s="707"/>
      <c r="AB667" s="707"/>
    </row>
    <row r="668" spans="1:28" x14ac:dyDescent="0.25">
      <c r="A668" s="23"/>
      <c r="B668" s="24"/>
      <c r="C668" s="25"/>
      <c r="D668" s="27"/>
      <c r="E668" s="27"/>
      <c r="F668" s="28"/>
      <c r="G668" s="27"/>
      <c r="H668" s="180"/>
      <c r="I668" s="27"/>
      <c r="J668" s="738"/>
      <c r="K668" s="635"/>
      <c r="L668" s="635"/>
      <c r="M668" s="635"/>
      <c r="N668" s="635"/>
      <c r="O668" s="636"/>
      <c r="P668" s="635"/>
      <c r="Q668" s="636"/>
      <c r="R668" s="636"/>
      <c r="S668" s="635"/>
      <c r="T668" s="707"/>
      <c r="U668" s="707"/>
      <c r="V668" s="707"/>
      <c r="W668" s="636"/>
      <c r="X668" s="636"/>
      <c r="Y668" s="707"/>
      <c r="Z668" s="635"/>
      <c r="AA668" s="707"/>
      <c r="AB668" s="707"/>
    </row>
    <row r="669" spans="1:28" x14ac:dyDescent="0.25">
      <c r="A669" s="23"/>
      <c r="B669" s="24"/>
      <c r="C669" s="25"/>
      <c r="D669" s="27"/>
      <c r="E669" s="27"/>
      <c r="F669" s="28"/>
      <c r="G669" s="27"/>
      <c r="H669" s="180"/>
      <c r="I669" s="27"/>
      <c r="J669" s="738"/>
      <c r="K669" s="635"/>
      <c r="L669" s="635"/>
      <c r="M669" s="635"/>
      <c r="N669" s="635"/>
      <c r="O669" s="636"/>
      <c r="P669" s="635"/>
      <c r="Q669" s="636"/>
      <c r="R669" s="636"/>
      <c r="S669" s="635"/>
      <c r="T669" s="707"/>
      <c r="U669" s="707"/>
      <c r="V669" s="707"/>
      <c r="W669" s="636"/>
      <c r="X669" s="636"/>
      <c r="Y669" s="707"/>
      <c r="Z669" s="635"/>
      <c r="AA669" s="707"/>
      <c r="AB669" s="707"/>
    </row>
    <row r="670" spans="1:28" x14ac:dyDescent="0.25">
      <c r="A670" s="23"/>
      <c r="B670" s="24"/>
      <c r="C670" s="25"/>
      <c r="D670" s="27"/>
      <c r="E670" s="27"/>
      <c r="F670" s="28"/>
      <c r="G670" s="27"/>
      <c r="H670" s="180"/>
      <c r="I670" s="27"/>
      <c r="J670" s="738"/>
      <c r="K670" s="635"/>
      <c r="L670" s="635"/>
      <c r="M670" s="635"/>
      <c r="N670" s="635"/>
      <c r="O670" s="636"/>
      <c r="P670" s="635"/>
      <c r="Q670" s="636"/>
      <c r="R670" s="636"/>
      <c r="S670" s="635"/>
      <c r="T670" s="707"/>
      <c r="U670" s="707"/>
      <c r="V670" s="707"/>
      <c r="W670" s="636"/>
      <c r="X670" s="636"/>
      <c r="Y670" s="707"/>
      <c r="Z670" s="635"/>
      <c r="AA670" s="707"/>
      <c r="AB670" s="707"/>
    </row>
    <row r="671" spans="1:28" x14ac:dyDescent="0.25">
      <c r="A671" s="23"/>
      <c r="B671" s="24"/>
      <c r="C671" s="25"/>
      <c r="D671" s="27"/>
      <c r="E671" s="27"/>
      <c r="F671" s="28"/>
      <c r="G671" s="27"/>
      <c r="H671" s="180"/>
      <c r="I671" s="27"/>
      <c r="J671" s="738"/>
      <c r="K671" s="635"/>
      <c r="L671" s="635"/>
      <c r="M671" s="635"/>
      <c r="N671" s="635"/>
      <c r="O671" s="636"/>
      <c r="P671" s="635"/>
      <c r="Q671" s="636"/>
      <c r="R671" s="636"/>
      <c r="S671" s="635"/>
      <c r="T671" s="707"/>
      <c r="U671" s="707"/>
      <c r="V671" s="707"/>
      <c r="W671" s="636"/>
      <c r="X671" s="636"/>
      <c r="Y671" s="707"/>
      <c r="Z671" s="635"/>
      <c r="AA671" s="707"/>
      <c r="AB671" s="707"/>
    </row>
    <row r="672" spans="1:28" x14ac:dyDescent="0.25">
      <c r="A672" s="23"/>
      <c r="B672" s="24"/>
      <c r="C672" s="25"/>
      <c r="D672" s="27"/>
      <c r="E672" s="27"/>
      <c r="F672" s="28"/>
      <c r="G672" s="27"/>
      <c r="H672" s="180"/>
      <c r="I672" s="27"/>
      <c r="J672" s="738"/>
      <c r="K672" s="635"/>
      <c r="L672" s="635"/>
      <c r="M672" s="635"/>
      <c r="N672" s="635"/>
      <c r="O672" s="636"/>
      <c r="P672" s="635"/>
      <c r="Q672" s="636"/>
      <c r="R672" s="636"/>
      <c r="S672" s="635"/>
      <c r="T672" s="707"/>
      <c r="U672" s="707"/>
      <c r="V672" s="707"/>
      <c r="W672" s="636"/>
      <c r="X672" s="636"/>
      <c r="Y672" s="707"/>
      <c r="Z672" s="635"/>
      <c r="AA672" s="707"/>
      <c r="AB672" s="707"/>
    </row>
    <row r="673" spans="1:28" x14ac:dyDescent="0.25">
      <c r="A673" s="23"/>
      <c r="B673" s="24"/>
      <c r="C673" s="25"/>
      <c r="D673" s="27"/>
      <c r="E673" s="27"/>
      <c r="F673" s="28"/>
      <c r="G673" s="27"/>
      <c r="H673" s="180"/>
      <c r="I673" s="27"/>
      <c r="J673" s="738"/>
      <c r="K673" s="635"/>
      <c r="L673" s="635"/>
      <c r="M673" s="635"/>
      <c r="N673" s="635"/>
      <c r="O673" s="636"/>
      <c r="P673" s="635"/>
      <c r="Q673" s="636"/>
      <c r="R673" s="636"/>
      <c r="S673" s="635"/>
      <c r="T673" s="707"/>
      <c r="U673" s="707"/>
      <c r="V673" s="707"/>
      <c r="W673" s="636"/>
      <c r="X673" s="636"/>
      <c r="Y673" s="707"/>
      <c r="Z673" s="635"/>
      <c r="AA673" s="707"/>
      <c r="AB673" s="707"/>
    </row>
    <row r="674" spans="1:28" x14ac:dyDescent="0.25">
      <c r="A674" s="23"/>
      <c r="B674" s="24"/>
      <c r="C674" s="25"/>
      <c r="D674" s="27"/>
      <c r="E674" s="27"/>
      <c r="F674" s="28"/>
      <c r="G674" s="27"/>
      <c r="H674" s="180"/>
      <c r="I674" s="27"/>
      <c r="J674" s="738"/>
      <c r="K674" s="635"/>
      <c r="L674" s="635"/>
      <c r="M674" s="635"/>
      <c r="N674" s="635"/>
      <c r="O674" s="636"/>
      <c r="P674" s="635"/>
      <c r="Q674" s="636"/>
      <c r="R674" s="636"/>
      <c r="S674" s="635"/>
      <c r="T674" s="707"/>
      <c r="U674" s="707"/>
      <c r="V674" s="707"/>
      <c r="W674" s="636"/>
      <c r="X674" s="636"/>
      <c r="Y674" s="707"/>
      <c r="Z674" s="635"/>
      <c r="AA674" s="707"/>
      <c r="AB674" s="707"/>
    </row>
    <row r="675" spans="1:28" x14ac:dyDescent="0.25">
      <c r="A675" s="23"/>
      <c r="B675" s="24"/>
      <c r="C675" s="25"/>
      <c r="D675" s="27"/>
      <c r="E675" s="27"/>
      <c r="F675" s="28"/>
      <c r="G675" s="27"/>
      <c r="H675" s="180"/>
      <c r="I675" s="27"/>
      <c r="J675" s="738"/>
      <c r="K675" s="635"/>
      <c r="L675" s="635"/>
      <c r="M675" s="635"/>
      <c r="N675" s="635"/>
      <c r="O675" s="636"/>
      <c r="P675" s="635"/>
      <c r="Q675" s="636"/>
      <c r="R675" s="636"/>
      <c r="S675" s="635"/>
      <c r="T675" s="707"/>
      <c r="U675" s="707"/>
      <c r="V675" s="707"/>
      <c r="W675" s="636"/>
      <c r="X675" s="636"/>
      <c r="Y675" s="707"/>
      <c r="Z675" s="635"/>
      <c r="AA675" s="707"/>
      <c r="AB675" s="707"/>
    </row>
    <row r="676" spans="1:28" x14ac:dyDescent="0.25">
      <c r="A676" s="23"/>
      <c r="B676" s="24"/>
      <c r="C676" s="25"/>
      <c r="D676" s="27"/>
      <c r="E676" s="27"/>
      <c r="F676" s="28"/>
      <c r="G676" s="27"/>
      <c r="H676" s="180"/>
      <c r="I676" s="27"/>
      <c r="J676" s="738"/>
      <c r="K676" s="635"/>
      <c r="L676" s="635"/>
      <c r="M676" s="635"/>
      <c r="N676" s="635"/>
      <c r="O676" s="636"/>
      <c r="P676" s="635"/>
      <c r="Q676" s="636"/>
      <c r="R676" s="636"/>
      <c r="S676" s="635"/>
      <c r="T676" s="707"/>
      <c r="U676" s="707"/>
      <c r="V676" s="707"/>
      <c r="W676" s="636"/>
      <c r="X676" s="636"/>
      <c r="Y676" s="707"/>
      <c r="Z676" s="635"/>
      <c r="AA676" s="707"/>
      <c r="AB676" s="707"/>
    </row>
    <row r="677" spans="1:28" x14ac:dyDescent="0.25">
      <c r="A677" s="23"/>
      <c r="B677" s="24"/>
      <c r="C677" s="25"/>
      <c r="D677" s="27"/>
      <c r="E677" s="27"/>
      <c r="F677" s="28"/>
      <c r="G677" s="27"/>
      <c r="H677" s="180"/>
      <c r="I677" s="27"/>
      <c r="J677" s="738"/>
      <c r="K677" s="635"/>
      <c r="L677" s="635"/>
      <c r="M677" s="635"/>
      <c r="N677" s="635"/>
      <c r="O677" s="636"/>
      <c r="P677" s="635"/>
      <c r="Q677" s="636"/>
      <c r="R677" s="636"/>
      <c r="S677" s="635"/>
      <c r="T677" s="707"/>
      <c r="U677" s="707"/>
      <c r="V677" s="707"/>
      <c r="W677" s="636"/>
      <c r="X677" s="636"/>
      <c r="Y677" s="707"/>
      <c r="Z677" s="635"/>
      <c r="AA677" s="707"/>
      <c r="AB677" s="707"/>
    </row>
    <row r="678" spans="1:28" x14ac:dyDescent="0.25">
      <c r="A678" s="23"/>
      <c r="B678" s="24"/>
      <c r="C678" s="25"/>
      <c r="D678" s="27"/>
      <c r="E678" s="27"/>
      <c r="F678" s="28"/>
      <c r="G678" s="27"/>
      <c r="H678" s="180"/>
      <c r="I678" s="27"/>
      <c r="J678" s="738"/>
      <c r="K678" s="635"/>
      <c r="L678" s="635"/>
      <c r="M678" s="635"/>
      <c r="N678" s="635"/>
      <c r="O678" s="636"/>
      <c r="P678" s="635"/>
      <c r="Q678" s="636"/>
      <c r="R678" s="636"/>
      <c r="S678" s="635"/>
      <c r="T678" s="707"/>
      <c r="U678" s="707"/>
      <c r="V678" s="707"/>
      <c r="W678" s="636"/>
      <c r="X678" s="636"/>
      <c r="Y678" s="707"/>
      <c r="Z678" s="635"/>
      <c r="AA678" s="707"/>
      <c r="AB678" s="707"/>
    </row>
    <row r="679" spans="1:28" x14ac:dyDescent="0.25">
      <c r="A679" s="23"/>
      <c r="B679" s="24"/>
      <c r="C679" s="25"/>
      <c r="D679" s="27"/>
      <c r="E679" s="27"/>
      <c r="F679" s="28"/>
      <c r="G679" s="27"/>
      <c r="H679" s="180"/>
      <c r="I679" s="27"/>
      <c r="J679" s="738"/>
      <c r="K679" s="635"/>
      <c r="L679" s="635"/>
      <c r="M679" s="635"/>
      <c r="N679" s="635"/>
      <c r="O679" s="636"/>
      <c r="P679" s="635"/>
      <c r="Q679" s="636"/>
      <c r="R679" s="636"/>
      <c r="S679" s="635"/>
      <c r="T679" s="707"/>
      <c r="U679" s="707"/>
      <c r="V679" s="707"/>
      <c r="W679" s="636"/>
      <c r="X679" s="636"/>
      <c r="Y679" s="707"/>
      <c r="Z679" s="635"/>
      <c r="AA679" s="707"/>
      <c r="AB679" s="707"/>
    </row>
    <row r="680" spans="1:28" x14ac:dyDescent="0.25">
      <c r="A680" s="23"/>
      <c r="B680" s="24"/>
      <c r="C680" s="25"/>
      <c r="D680" s="27"/>
      <c r="E680" s="27"/>
      <c r="F680" s="28"/>
      <c r="G680" s="27"/>
      <c r="H680" s="180"/>
      <c r="I680" s="27"/>
      <c r="J680" s="738"/>
      <c r="K680" s="635"/>
      <c r="L680" s="635"/>
      <c r="M680" s="635"/>
      <c r="N680" s="635"/>
      <c r="O680" s="636"/>
      <c r="P680" s="635"/>
      <c r="Q680" s="636"/>
      <c r="R680" s="636"/>
      <c r="S680" s="635"/>
      <c r="T680" s="707"/>
      <c r="U680" s="707"/>
      <c r="V680" s="707"/>
      <c r="W680" s="636"/>
      <c r="X680" s="636"/>
      <c r="Y680" s="707"/>
      <c r="Z680" s="635"/>
      <c r="AA680" s="707"/>
      <c r="AB680" s="707"/>
    </row>
    <row r="681" spans="1:28" x14ac:dyDescent="0.25">
      <c r="A681" s="23"/>
      <c r="B681" s="24"/>
      <c r="C681" s="25"/>
      <c r="D681" s="27"/>
      <c r="E681" s="27"/>
      <c r="F681" s="28"/>
      <c r="G681" s="27"/>
      <c r="H681" s="180"/>
      <c r="I681" s="27"/>
      <c r="J681" s="738"/>
      <c r="K681" s="635"/>
      <c r="L681" s="635"/>
      <c r="M681" s="635"/>
      <c r="N681" s="635"/>
      <c r="O681" s="636"/>
      <c r="P681" s="635"/>
      <c r="Q681" s="636"/>
      <c r="R681" s="636"/>
      <c r="S681" s="635"/>
      <c r="T681" s="707"/>
      <c r="U681" s="707"/>
      <c r="V681" s="707"/>
      <c r="W681" s="636"/>
      <c r="X681" s="636"/>
      <c r="Y681" s="707"/>
      <c r="Z681" s="635"/>
      <c r="AA681" s="707"/>
      <c r="AB681" s="707"/>
    </row>
    <row r="682" spans="1:28" x14ac:dyDescent="0.25">
      <c r="A682" s="23"/>
      <c r="B682" s="24"/>
      <c r="C682" s="25"/>
      <c r="D682" s="27"/>
      <c r="E682" s="27"/>
      <c r="F682" s="28"/>
      <c r="G682" s="27"/>
      <c r="H682" s="180"/>
      <c r="I682" s="27"/>
      <c r="J682" s="738"/>
      <c r="K682" s="635"/>
      <c r="L682" s="635"/>
      <c r="M682" s="635"/>
      <c r="N682" s="635"/>
      <c r="O682" s="636"/>
      <c r="P682" s="635"/>
      <c r="Q682" s="636"/>
      <c r="R682" s="636"/>
      <c r="S682" s="635"/>
      <c r="T682" s="707"/>
      <c r="U682" s="707"/>
      <c r="V682" s="707"/>
      <c r="W682" s="636"/>
      <c r="X682" s="636"/>
      <c r="Y682" s="707"/>
      <c r="Z682" s="635"/>
      <c r="AA682" s="707"/>
      <c r="AB682" s="707"/>
    </row>
    <row r="683" spans="1:28" x14ac:dyDescent="0.25">
      <c r="A683" s="23"/>
      <c r="B683" s="24"/>
      <c r="C683" s="25"/>
      <c r="D683" s="27"/>
      <c r="E683" s="27"/>
      <c r="F683" s="28"/>
      <c r="G683" s="27"/>
      <c r="H683" s="180"/>
      <c r="I683" s="27"/>
      <c r="J683" s="738"/>
      <c r="K683" s="635"/>
      <c r="L683" s="635"/>
      <c r="M683" s="635"/>
      <c r="N683" s="635"/>
      <c r="O683" s="636"/>
      <c r="P683" s="635"/>
      <c r="Q683" s="636"/>
      <c r="R683" s="636"/>
      <c r="S683" s="635"/>
      <c r="T683" s="707"/>
      <c r="U683" s="707"/>
      <c r="V683" s="707"/>
      <c r="W683" s="636"/>
      <c r="X683" s="636"/>
      <c r="Y683" s="707"/>
      <c r="Z683" s="635"/>
      <c r="AA683" s="707"/>
      <c r="AB683" s="707"/>
    </row>
    <row r="684" spans="1:28" x14ac:dyDescent="0.25">
      <c r="A684" s="23"/>
      <c r="B684" s="24"/>
      <c r="C684" s="25"/>
      <c r="D684" s="27"/>
      <c r="E684" s="27"/>
      <c r="F684" s="28"/>
      <c r="G684" s="27"/>
      <c r="H684" s="180"/>
      <c r="I684" s="27"/>
      <c r="J684" s="738"/>
      <c r="K684" s="635"/>
      <c r="L684" s="635"/>
      <c r="M684" s="635"/>
      <c r="N684" s="635"/>
      <c r="O684" s="636"/>
      <c r="P684" s="635"/>
      <c r="Q684" s="636"/>
      <c r="R684" s="636"/>
      <c r="S684" s="635"/>
      <c r="T684" s="707"/>
      <c r="U684" s="707"/>
      <c r="V684" s="707"/>
      <c r="W684" s="636"/>
      <c r="X684" s="636"/>
      <c r="Y684" s="707"/>
      <c r="Z684" s="635"/>
      <c r="AA684" s="707"/>
      <c r="AB684" s="707"/>
    </row>
    <row r="685" spans="1:28" x14ac:dyDescent="0.25">
      <c r="A685" s="23"/>
      <c r="B685" s="24"/>
      <c r="C685" s="25"/>
      <c r="D685" s="27"/>
      <c r="E685" s="27"/>
      <c r="F685" s="28"/>
      <c r="G685" s="27"/>
      <c r="H685" s="180"/>
      <c r="I685" s="27"/>
      <c r="J685" s="738"/>
      <c r="K685" s="635"/>
      <c r="L685" s="635"/>
      <c r="M685" s="635"/>
      <c r="N685" s="635"/>
      <c r="O685" s="636"/>
      <c r="P685" s="635"/>
      <c r="Q685" s="636"/>
      <c r="R685" s="636"/>
      <c r="S685" s="635"/>
      <c r="T685" s="707"/>
      <c r="U685" s="707"/>
      <c r="V685" s="707"/>
      <c r="W685" s="636"/>
      <c r="X685" s="636"/>
      <c r="Y685" s="707"/>
      <c r="Z685" s="635"/>
      <c r="AA685" s="707"/>
      <c r="AB685" s="707"/>
    </row>
    <row r="686" spans="1:28" x14ac:dyDescent="0.25">
      <c r="A686" s="23"/>
      <c r="B686" s="24"/>
      <c r="C686" s="25"/>
      <c r="D686" s="27"/>
      <c r="E686" s="27"/>
      <c r="F686" s="28"/>
      <c r="G686" s="27"/>
      <c r="H686" s="180"/>
      <c r="I686" s="27"/>
      <c r="J686" s="738"/>
      <c r="K686" s="635"/>
      <c r="L686" s="635"/>
      <c r="M686" s="635"/>
      <c r="N686" s="635"/>
      <c r="O686" s="636"/>
      <c r="P686" s="635"/>
      <c r="Q686" s="636"/>
      <c r="R686" s="636"/>
      <c r="S686" s="635"/>
      <c r="T686" s="707"/>
      <c r="U686" s="707"/>
      <c r="V686" s="707"/>
      <c r="W686" s="636"/>
      <c r="X686" s="636"/>
      <c r="Y686" s="707"/>
      <c r="Z686" s="635"/>
      <c r="AA686" s="707"/>
      <c r="AB686" s="707"/>
    </row>
    <row r="687" spans="1:28" x14ac:dyDescent="0.25">
      <c r="A687" s="23"/>
      <c r="B687" s="24"/>
      <c r="C687" s="25"/>
      <c r="D687" s="27"/>
      <c r="E687" s="27"/>
      <c r="F687" s="28"/>
      <c r="G687" s="27"/>
      <c r="H687" s="180"/>
      <c r="I687" s="27"/>
      <c r="J687" s="738"/>
      <c r="K687" s="635"/>
      <c r="L687" s="635"/>
      <c r="M687" s="635"/>
      <c r="N687" s="635"/>
      <c r="O687" s="636"/>
      <c r="P687" s="635"/>
      <c r="Q687" s="636"/>
      <c r="R687" s="636"/>
      <c r="S687" s="635"/>
      <c r="T687" s="707"/>
      <c r="U687" s="707"/>
      <c r="V687" s="707"/>
      <c r="W687" s="636"/>
      <c r="X687" s="636"/>
      <c r="Y687" s="707"/>
      <c r="Z687" s="635"/>
      <c r="AA687" s="707"/>
      <c r="AB687" s="707"/>
    </row>
    <row r="688" spans="1:28" x14ac:dyDescent="0.25">
      <c r="A688" s="23"/>
      <c r="B688" s="24"/>
      <c r="C688" s="25"/>
      <c r="D688" s="27"/>
      <c r="E688" s="27"/>
      <c r="F688" s="28"/>
      <c r="G688" s="27"/>
      <c r="H688" s="180"/>
      <c r="I688" s="27"/>
      <c r="J688" s="738"/>
      <c r="K688" s="635"/>
      <c r="L688" s="635"/>
      <c r="M688" s="635"/>
      <c r="N688" s="635"/>
      <c r="O688" s="636"/>
      <c r="P688" s="635"/>
      <c r="Q688" s="636"/>
      <c r="R688" s="636"/>
      <c r="S688" s="635"/>
      <c r="T688" s="707"/>
      <c r="U688" s="707"/>
      <c r="V688" s="707"/>
      <c r="W688" s="636"/>
      <c r="X688" s="636"/>
      <c r="Y688" s="707"/>
      <c r="Z688" s="635"/>
      <c r="AA688" s="707"/>
      <c r="AB688" s="707"/>
    </row>
    <row r="689" spans="1:28" x14ac:dyDescent="0.25">
      <c r="A689" s="23"/>
      <c r="B689" s="24"/>
      <c r="C689" s="25"/>
      <c r="D689" s="27"/>
      <c r="E689" s="27"/>
      <c r="F689" s="28"/>
      <c r="G689" s="27"/>
      <c r="H689" s="180"/>
      <c r="I689" s="27"/>
      <c r="J689" s="738"/>
      <c r="K689" s="635"/>
      <c r="L689" s="635"/>
      <c r="M689" s="635"/>
      <c r="N689" s="635"/>
      <c r="O689" s="636"/>
      <c r="P689" s="635"/>
      <c r="Q689" s="636"/>
      <c r="R689" s="636"/>
      <c r="S689" s="635"/>
      <c r="T689" s="707"/>
      <c r="U689" s="707"/>
      <c r="V689" s="707"/>
      <c r="W689" s="636"/>
      <c r="X689" s="636"/>
      <c r="Y689" s="707"/>
      <c r="Z689" s="635"/>
      <c r="AA689" s="707"/>
      <c r="AB689" s="707"/>
    </row>
    <row r="690" spans="1:28" x14ac:dyDescent="0.25">
      <c r="A690" s="23"/>
      <c r="B690" s="24"/>
      <c r="C690" s="25"/>
      <c r="D690" s="27"/>
      <c r="E690" s="27"/>
      <c r="F690" s="28"/>
      <c r="G690" s="27"/>
      <c r="H690" s="180"/>
      <c r="I690" s="27"/>
      <c r="J690" s="738"/>
      <c r="K690" s="635"/>
      <c r="L690" s="635"/>
      <c r="M690" s="635"/>
      <c r="N690" s="635"/>
      <c r="O690" s="636"/>
      <c r="P690" s="635"/>
      <c r="Q690" s="636"/>
      <c r="R690" s="636"/>
      <c r="S690" s="635"/>
      <c r="T690" s="707"/>
      <c r="U690" s="707"/>
      <c r="V690" s="707"/>
      <c r="W690" s="636"/>
      <c r="X690" s="636"/>
      <c r="Y690" s="707"/>
      <c r="Z690" s="635"/>
      <c r="AA690" s="707"/>
      <c r="AB690" s="707"/>
    </row>
    <row r="691" spans="1:28" x14ac:dyDescent="0.25">
      <c r="A691" s="23"/>
      <c r="B691" s="24"/>
      <c r="C691" s="25"/>
      <c r="D691" s="27"/>
      <c r="E691" s="27"/>
      <c r="F691" s="28"/>
      <c r="G691" s="27"/>
      <c r="H691" s="180"/>
      <c r="I691" s="27"/>
      <c r="J691" s="738"/>
      <c r="K691" s="635"/>
      <c r="L691" s="635"/>
      <c r="M691" s="635"/>
      <c r="N691" s="635"/>
      <c r="O691" s="636"/>
      <c r="P691" s="635"/>
      <c r="Q691" s="636"/>
      <c r="R691" s="636"/>
      <c r="S691" s="635"/>
      <c r="T691" s="707"/>
      <c r="U691" s="707"/>
      <c r="V691" s="707"/>
      <c r="W691" s="636"/>
      <c r="X691" s="636"/>
      <c r="Y691" s="707"/>
      <c r="Z691" s="635"/>
      <c r="AA691" s="707"/>
      <c r="AB691" s="707"/>
    </row>
    <row r="692" spans="1:28" x14ac:dyDescent="0.25">
      <c r="A692" s="23"/>
      <c r="B692" s="24"/>
      <c r="C692" s="25"/>
      <c r="D692" s="27"/>
      <c r="E692" s="27"/>
      <c r="F692" s="28"/>
      <c r="G692" s="27"/>
      <c r="H692" s="180"/>
      <c r="I692" s="27"/>
      <c r="J692" s="738"/>
      <c r="K692" s="635"/>
      <c r="L692" s="635"/>
      <c r="M692" s="635"/>
      <c r="N692" s="635"/>
      <c r="O692" s="636"/>
      <c r="P692" s="635"/>
      <c r="Q692" s="636"/>
      <c r="R692" s="636"/>
      <c r="S692" s="635"/>
      <c r="T692" s="707"/>
      <c r="U692" s="707"/>
      <c r="V692" s="707"/>
      <c r="W692" s="636"/>
      <c r="X692" s="636"/>
      <c r="Y692" s="707"/>
      <c r="Z692" s="635"/>
      <c r="AA692" s="707"/>
      <c r="AB692" s="707"/>
    </row>
    <row r="693" spans="1:28" x14ac:dyDescent="0.25">
      <c r="A693" s="23"/>
      <c r="B693" s="24"/>
      <c r="C693" s="25"/>
      <c r="D693" s="27"/>
      <c r="E693" s="27"/>
      <c r="F693" s="28"/>
      <c r="G693" s="27"/>
      <c r="H693" s="180"/>
      <c r="I693" s="27"/>
      <c r="J693" s="738"/>
      <c r="K693" s="635"/>
      <c r="L693" s="635"/>
      <c r="M693" s="635"/>
      <c r="N693" s="635"/>
      <c r="O693" s="636"/>
      <c r="P693" s="635"/>
      <c r="Q693" s="636"/>
      <c r="R693" s="636"/>
      <c r="S693" s="635"/>
      <c r="T693" s="707"/>
      <c r="U693" s="707"/>
      <c r="V693" s="707"/>
      <c r="W693" s="636"/>
      <c r="X693" s="636"/>
      <c r="Y693" s="707"/>
      <c r="Z693" s="635"/>
      <c r="AA693" s="707"/>
      <c r="AB693" s="707"/>
    </row>
    <row r="694" spans="1:28" x14ac:dyDescent="0.25">
      <c r="A694" s="23"/>
      <c r="B694" s="24"/>
      <c r="C694" s="25"/>
      <c r="D694" s="27"/>
      <c r="E694" s="27"/>
      <c r="F694" s="28"/>
      <c r="G694" s="27"/>
      <c r="H694" s="180"/>
      <c r="I694" s="27"/>
      <c r="J694" s="738"/>
      <c r="K694" s="635"/>
      <c r="L694" s="635"/>
      <c r="M694" s="635"/>
      <c r="N694" s="635"/>
      <c r="O694" s="636"/>
      <c r="P694" s="635"/>
      <c r="Q694" s="636"/>
      <c r="R694" s="636"/>
      <c r="S694" s="635"/>
      <c r="T694" s="707"/>
      <c r="U694" s="707"/>
      <c r="V694" s="707"/>
      <c r="W694" s="636"/>
      <c r="X694" s="636"/>
      <c r="Y694" s="707"/>
      <c r="Z694" s="635"/>
      <c r="AA694" s="707"/>
      <c r="AB694" s="707"/>
    </row>
    <row r="695" spans="1:28" x14ac:dyDescent="0.25">
      <c r="A695" s="23"/>
      <c r="B695" s="24"/>
      <c r="C695" s="25"/>
      <c r="D695" s="27"/>
      <c r="E695" s="27"/>
      <c r="F695" s="28"/>
      <c r="G695" s="27"/>
      <c r="H695" s="180"/>
      <c r="I695" s="27"/>
      <c r="J695" s="738"/>
      <c r="K695" s="635"/>
      <c r="L695" s="635"/>
      <c r="M695" s="635"/>
      <c r="N695" s="635"/>
      <c r="O695" s="636"/>
      <c r="P695" s="635"/>
      <c r="Q695" s="636"/>
      <c r="R695" s="636"/>
      <c r="S695" s="635"/>
      <c r="T695" s="707"/>
      <c r="U695" s="707"/>
      <c r="V695" s="707"/>
      <c r="W695" s="636"/>
      <c r="X695" s="636"/>
      <c r="Y695" s="707"/>
      <c r="Z695" s="635"/>
      <c r="AA695" s="707"/>
      <c r="AB695" s="707"/>
    </row>
    <row r="696" spans="1:28" x14ac:dyDescent="0.25">
      <c r="A696" s="23"/>
      <c r="B696" s="24"/>
      <c r="C696" s="25"/>
      <c r="D696" s="27"/>
      <c r="E696" s="27"/>
      <c r="F696" s="28"/>
      <c r="G696" s="27"/>
      <c r="H696" s="180"/>
      <c r="I696" s="27"/>
      <c r="J696" s="738"/>
      <c r="K696" s="635"/>
      <c r="L696" s="635"/>
      <c r="M696" s="635"/>
      <c r="N696" s="635"/>
      <c r="O696" s="636"/>
      <c r="P696" s="635"/>
      <c r="Q696" s="636"/>
      <c r="R696" s="636"/>
      <c r="S696" s="635"/>
      <c r="T696" s="707"/>
      <c r="U696" s="707"/>
      <c r="V696" s="707"/>
      <c r="W696" s="636"/>
      <c r="X696" s="636"/>
      <c r="Y696" s="707"/>
      <c r="Z696" s="635"/>
      <c r="AA696" s="707"/>
      <c r="AB696" s="707"/>
    </row>
    <row r="697" spans="1:28" x14ac:dyDescent="0.25">
      <c r="A697" s="23"/>
      <c r="B697" s="24"/>
      <c r="C697" s="25"/>
      <c r="D697" s="27"/>
      <c r="E697" s="27"/>
      <c r="F697" s="28"/>
      <c r="G697" s="27"/>
      <c r="H697" s="180"/>
      <c r="I697" s="27"/>
      <c r="J697" s="738"/>
      <c r="K697" s="635"/>
      <c r="L697" s="635"/>
      <c r="M697" s="635"/>
      <c r="N697" s="635"/>
      <c r="O697" s="636"/>
      <c r="P697" s="635"/>
      <c r="Q697" s="636"/>
      <c r="R697" s="636"/>
      <c r="S697" s="635"/>
      <c r="T697" s="707"/>
      <c r="U697" s="707"/>
      <c r="V697" s="707"/>
      <c r="W697" s="636"/>
      <c r="X697" s="636"/>
      <c r="Y697" s="707"/>
      <c r="Z697" s="635"/>
      <c r="AA697" s="707"/>
      <c r="AB697" s="707"/>
    </row>
    <row r="698" spans="1:28" x14ac:dyDescent="0.25">
      <c r="A698" s="23"/>
      <c r="B698" s="24"/>
      <c r="C698" s="25"/>
      <c r="D698" s="27"/>
      <c r="E698" s="27"/>
      <c r="F698" s="28"/>
      <c r="G698" s="27"/>
      <c r="H698" s="180"/>
      <c r="I698" s="27"/>
      <c r="J698" s="738"/>
      <c r="K698" s="635"/>
      <c r="L698" s="635"/>
      <c r="M698" s="635"/>
      <c r="N698" s="635"/>
      <c r="O698" s="636"/>
      <c r="P698" s="635"/>
      <c r="Q698" s="636"/>
      <c r="R698" s="636"/>
      <c r="S698" s="635"/>
      <c r="T698" s="707"/>
      <c r="U698" s="707"/>
      <c r="V698" s="707"/>
      <c r="W698" s="636"/>
      <c r="X698" s="636"/>
      <c r="Y698" s="707"/>
      <c r="Z698" s="635"/>
      <c r="AA698" s="707"/>
      <c r="AB698" s="707"/>
    </row>
    <row r="699" spans="1:28" x14ac:dyDescent="0.25">
      <c r="A699" s="23"/>
      <c r="B699" s="24"/>
      <c r="C699" s="25"/>
      <c r="D699" s="27"/>
      <c r="E699" s="27"/>
      <c r="F699" s="28"/>
      <c r="G699" s="27"/>
      <c r="H699" s="180"/>
      <c r="I699" s="27"/>
      <c r="J699" s="738"/>
      <c r="K699" s="635"/>
      <c r="L699" s="635"/>
      <c r="M699" s="635"/>
      <c r="N699" s="635"/>
      <c r="O699" s="636"/>
      <c r="P699" s="635"/>
      <c r="Q699" s="636"/>
      <c r="R699" s="636"/>
      <c r="S699" s="635"/>
      <c r="T699" s="707"/>
      <c r="U699" s="707"/>
      <c r="V699" s="707"/>
      <c r="W699" s="636"/>
      <c r="X699" s="636"/>
      <c r="Y699" s="707"/>
      <c r="Z699" s="635"/>
      <c r="AA699" s="707"/>
      <c r="AB699" s="707"/>
    </row>
    <row r="700" spans="1:28" x14ac:dyDescent="0.25">
      <c r="A700" s="23"/>
      <c r="B700" s="24"/>
      <c r="C700" s="25"/>
      <c r="D700" s="27"/>
      <c r="E700" s="27"/>
      <c r="F700" s="28"/>
      <c r="G700" s="27"/>
      <c r="H700" s="180"/>
      <c r="I700" s="27"/>
      <c r="J700" s="738"/>
      <c r="K700" s="635"/>
      <c r="L700" s="635"/>
      <c r="M700" s="635"/>
      <c r="N700" s="635"/>
      <c r="O700" s="636"/>
      <c r="P700" s="635"/>
      <c r="Q700" s="636"/>
      <c r="R700" s="636"/>
      <c r="S700" s="635"/>
      <c r="T700" s="707"/>
      <c r="U700" s="707"/>
      <c r="V700" s="707"/>
      <c r="W700" s="636"/>
      <c r="X700" s="636"/>
      <c r="Y700" s="707"/>
      <c r="Z700" s="635"/>
      <c r="AA700" s="707"/>
      <c r="AB700" s="707"/>
    </row>
    <row r="701" spans="1:28" x14ac:dyDescent="0.25">
      <c r="A701" s="23"/>
      <c r="B701" s="24"/>
      <c r="C701" s="25"/>
      <c r="D701" s="27"/>
      <c r="E701" s="27"/>
      <c r="F701" s="28"/>
      <c r="G701" s="27"/>
      <c r="H701" s="180"/>
      <c r="I701" s="27"/>
      <c r="J701" s="738"/>
      <c r="K701" s="635"/>
      <c r="L701" s="635"/>
      <c r="M701" s="635"/>
      <c r="N701" s="635"/>
      <c r="O701" s="636"/>
      <c r="P701" s="635"/>
      <c r="Q701" s="636"/>
      <c r="R701" s="636"/>
      <c r="S701" s="635"/>
      <c r="T701" s="707"/>
      <c r="U701" s="707"/>
      <c r="V701" s="707"/>
      <c r="W701" s="636"/>
      <c r="X701" s="636"/>
      <c r="Y701" s="707"/>
      <c r="Z701" s="635"/>
      <c r="AA701" s="707"/>
      <c r="AB701" s="707"/>
    </row>
    <row r="702" spans="1:28" x14ac:dyDescent="0.25">
      <c r="A702" s="23"/>
      <c r="B702" s="24"/>
      <c r="C702" s="25"/>
      <c r="D702" s="27"/>
      <c r="E702" s="27"/>
      <c r="F702" s="28"/>
      <c r="G702" s="27"/>
      <c r="H702" s="180"/>
      <c r="I702" s="27"/>
      <c r="J702" s="738"/>
      <c r="K702" s="635"/>
      <c r="L702" s="635"/>
      <c r="M702" s="635"/>
      <c r="N702" s="635"/>
      <c r="O702" s="636"/>
      <c r="P702" s="635"/>
      <c r="Q702" s="636"/>
      <c r="R702" s="636"/>
      <c r="S702" s="635"/>
      <c r="T702" s="707"/>
      <c r="U702" s="707"/>
      <c r="V702" s="707"/>
      <c r="W702" s="636"/>
      <c r="X702" s="636"/>
      <c r="Y702" s="707"/>
      <c r="Z702" s="635"/>
      <c r="AA702" s="707"/>
      <c r="AB702" s="707"/>
    </row>
    <row r="703" spans="1:28" x14ac:dyDescent="0.25">
      <c r="A703" s="23"/>
      <c r="B703" s="24"/>
      <c r="C703" s="25"/>
      <c r="D703" s="27"/>
      <c r="E703" s="27"/>
      <c r="F703" s="28"/>
      <c r="G703" s="27"/>
      <c r="H703" s="180"/>
      <c r="I703" s="27"/>
      <c r="J703" s="738"/>
      <c r="K703" s="635"/>
      <c r="L703" s="635"/>
      <c r="M703" s="635"/>
      <c r="N703" s="635"/>
      <c r="O703" s="636"/>
      <c r="P703" s="635"/>
      <c r="Q703" s="636"/>
      <c r="R703" s="636"/>
      <c r="S703" s="635"/>
      <c r="T703" s="707"/>
      <c r="U703" s="707"/>
      <c r="V703" s="707"/>
      <c r="W703" s="636"/>
      <c r="X703" s="636"/>
      <c r="Y703" s="707"/>
      <c r="Z703" s="635"/>
      <c r="AA703" s="707"/>
      <c r="AB703" s="707"/>
    </row>
    <row r="704" spans="1:28" x14ac:dyDescent="0.25">
      <c r="A704" s="23"/>
      <c r="B704" s="24"/>
      <c r="C704" s="25"/>
      <c r="D704" s="27"/>
      <c r="E704" s="27"/>
      <c r="F704" s="28"/>
      <c r="G704" s="27"/>
      <c r="H704" s="180"/>
      <c r="I704" s="27"/>
      <c r="J704" s="738"/>
      <c r="K704" s="635"/>
      <c r="L704" s="635"/>
      <c r="M704" s="635"/>
      <c r="N704" s="635"/>
      <c r="O704" s="636"/>
      <c r="P704" s="635"/>
      <c r="Q704" s="636"/>
      <c r="R704" s="636"/>
      <c r="S704" s="635"/>
      <c r="T704" s="707"/>
      <c r="U704" s="707"/>
      <c r="V704" s="707"/>
      <c r="W704" s="636"/>
      <c r="X704" s="636"/>
      <c r="Y704" s="707"/>
      <c r="Z704" s="635"/>
      <c r="AA704" s="707"/>
      <c r="AB704" s="707"/>
    </row>
    <row r="705" spans="1:28" x14ac:dyDescent="0.25">
      <c r="A705" s="23"/>
      <c r="B705" s="24"/>
      <c r="C705" s="25"/>
      <c r="D705" s="27"/>
      <c r="E705" s="27"/>
      <c r="F705" s="28"/>
      <c r="G705" s="27"/>
      <c r="H705" s="180"/>
      <c r="I705" s="27"/>
      <c r="J705" s="738"/>
      <c r="K705" s="635"/>
      <c r="L705" s="635"/>
      <c r="M705" s="635"/>
      <c r="N705" s="635"/>
      <c r="O705" s="636"/>
      <c r="P705" s="635"/>
      <c r="Q705" s="636"/>
      <c r="R705" s="636"/>
      <c r="S705" s="635"/>
      <c r="T705" s="707"/>
      <c r="U705" s="707"/>
      <c r="V705" s="707"/>
      <c r="W705" s="636"/>
      <c r="X705" s="636"/>
      <c r="Y705" s="707"/>
      <c r="Z705" s="635"/>
      <c r="AA705" s="707"/>
      <c r="AB705" s="707"/>
    </row>
    <row r="706" spans="1:28" x14ac:dyDescent="0.25">
      <c r="A706" s="23"/>
      <c r="B706" s="24"/>
      <c r="C706" s="25"/>
      <c r="D706" s="27"/>
      <c r="E706" s="27"/>
      <c r="F706" s="28"/>
      <c r="G706" s="27"/>
      <c r="H706" s="180"/>
      <c r="I706" s="27"/>
      <c r="J706" s="738"/>
      <c r="K706" s="635"/>
      <c r="L706" s="635"/>
      <c r="M706" s="635"/>
      <c r="N706" s="635"/>
      <c r="O706" s="636"/>
      <c r="P706" s="635"/>
      <c r="Q706" s="636"/>
      <c r="R706" s="636"/>
      <c r="S706" s="635"/>
      <c r="T706" s="707"/>
      <c r="U706" s="707"/>
      <c r="V706" s="707"/>
      <c r="W706" s="636"/>
      <c r="X706" s="636"/>
      <c r="Y706" s="707"/>
      <c r="Z706" s="635"/>
      <c r="AA706" s="707"/>
      <c r="AB706" s="707"/>
    </row>
    <row r="707" spans="1:28" x14ac:dyDescent="0.25">
      <c r="A707" s="23"/>
      <c r="B707" s="24"/>
      <c r="C707" s="25"/>
      <c r="D707" s="27"/>
      <c r="E707" s="27"/>
      <c r="F707" s="28"/>
      <c r="G707" s="27"/>
      <c r="H707" s="180"/>
      <c r="I707" s="27"/>
      <c r="J707" s="738"/>
      <c r="K707" s="635"/>
      <c r="L707" s="635"/>
      <c r="M707" s="635"/>
      <c r="N707" s="635"/>
      <c r="O707" s="636"/>
      <c r="P707" s="635"/>
      <c r="Q707" s="636"/>
      <c r="R707" s="636"/>
      <c r="S707" s="635"/>
      <c r="T707" s="707"/>
      <c r="U707" s="707"/>
      <c r="V707" s="707"/>
      <c r="W707" s="636"/>
      <c r="X707" s="636"/>
      <c r="Y707" s="707"/>
      <c r="Z707" s="635"/>
      <c r="AA707" s="707"/>
      <c r="AB707" s="707"/>
    </row>
    <row r="708" spans="1:28" x14ac:dyDescent="0.25">
      <c r="A708" s="23"/>
      <c r="B708" s="24"/>
      <c r="C708" s="25"/>
      <c r="D708" s="27"/>
      <c r="E708" s="27"/>
      <c r="F708" s="28"/>
      <c r="G708" s="27"/>
      <c r="H708" s="180"/>
      <c r="I708" s="27"/>
      <c r="J708" s="738"/>
      <c r="K708" s="635"/>
      <c r="L708" s="635"/>
      <c r="M708" s="635"/>
      <c r="N708" s="635"/>
      <c r="O708" s="636"/>
      <c r="P708" s="635"/>
      <c r="Q708" s="636"/>
      <c r="R708" s="636"/>
      <c r="S708" s="635"/>
      <c r="T708" s="707"/>
      <c r="U708" s="707"/>
      <c r="V708" s="707"/>
      <c r="W708" s="636"/>
      <c r="X708" s="636"/>
      <c r="Y708" s="707"/>
      <c r="Z708" s="635"/>
      <c r="AA708" s="707"/>
      <c r="AB708" s="707"/>
    </row>
    <row r="709" spans="1:28" x14ac:dyDescent="0.25">
      <c r="A709" s="23"/>
      <c r="B709" s="24"/>
      <c r="C709" s="25"/>
      <c r="D709" s="27"/>
      <c r="E709" s="27"/>
      <c r="F709" s="28"/>
      <c r="G709" s="27"/>
      <c r="H709" s="180"/>
      <c r="I709" s="27"/>
      <c r="J709" s="738"/>
      <c r="K709" s="635"/>
      <c r="L709" s="635"/>
      <c r="M709" s="635"/>
      <c r="N709" s="635"/>
      <c r="O709" s="636"/>
      <c r="P709" s="635"/>
      <c r="Q709" s="636"/>
      <c r="R709" s="636"/>
      <c r="S709" s="635"/>
      <c r="T709" s="707"/>
      <c r="U709" s="707"/>
      <c r="V709" s="707"/>
      <c r="W709" s="636"/>
      <c r="X709" s="636"/>
      <c r="Y709" s="707"/>
      <c r="Z709" s="635"/>
      <c r="AA709" s="707"/>
      <c r="AB709" s="707"/>
    </row>
    <row r="710" spans="1:28" x14ac:dyDescent="0.25">
      <c r="A710" s="23"/>
      <c r="B710" s="24"/>
      <c r="C710" s="25"/>
      <c r="D710" s="27"/>
      <c r="E710" s="27"/>
      <c r="F710" s="28"/>
      <c r="G710" s="27"/>
      <c r="H710" s="180"/>
      <c r="I710" s="27"/>
      <c r="J710" s="738"/>
      <c r="K710" s="635"/>
      <c r="L710" s="635"/>
      <c r="M710" s="635"/>
      <c r="N710" s="635"/>
      <c r="O710" s="636"/>
      <c r="P710" s="635"/>
      <c r="Q710" s="636"/>
      <c r="R710" s="636"/>
      <c r="S710" s="635"/>
      <c r="T710" s="707"/>
      <c r="U710" s="707"/>
      <c r="V710" s="707"/>
      <c r="W710" s="636"/>
      <c r="X710" s="636"/>
      <c r="Y710" s="707"/>
      <c r="Z710" s="635"/>
      <c r="AA710" s="707"/>
      <c r="AB710" s="707"/>
    </row>
    <row r="711" spans="1:28" x14ac:dyDescent="0.25">
      <c r="A711" s="23"/>
      <c r="B711" s="24"/>
      <c r="C711" s="25"/>
      <c r="D711" s="27"/>
      <c r="E711" s="27"/>
      <c r="F711" s="28"/>
      <c r="G711" s="27"/>
      <c r="H711" s="180"/>
      <c r="I711" s="27"/>
      <c r="J711" s="738"/>
      <c r="K711" s="635"/>
      <c r="L711" s="635"/>
      <c r="M711" s="635"/>
      <c r="N711" s="635"/>
      <c r="O711" s="636"/>
      <c r="P711" s="635"/>
      <c r="Q711" s="636"/>
      <c r="R711" s="636"/>
      <c r="S711" s="635"/>
      <c r="T711" s="707"/>
      <c r="U711" s="707"/>
      <c r="V711" s="707"/>
      <c r="W711" s="636"/>
      <c r="X711" s="636"/>
      <c r="Y711" s="707"/>
      <c r="Z711" s="635"/>
      <c r="AA711" s="707"/>
      <c r="AB711" s="707"/>
    </row>
    <row r="712" spans="1:28" x14ac:dyDescent="0.25">
      <c r="A712" s="23"/>
      <c r="B712" s="24"/>
      <c r="C712" s="25"/>
      <c r="D712" s="27"/>
      <c r="E712" s="27"/>
      <c r="F712" s="28"/>
      <c r="G712" s="27"/>
      <c r="H712" s="180"/>
      <c r="I712" s="27"/>
      <c r="J712" s="738"/>
      <c r="K712" s="635"/>
      <c r="L712" s="635"/>
      <c r="M712" s="635"/>
      <c r="N712" s="635"/>
      <c r="O712" s="636"/>
      <c r="P712" s="635"/>
      <c r="Q712" s="636"/>
      <c r="R712" s="636"/>
      <c r="S712" s="635"/>
      <c r="T712" s="707"/>
      <c r="U712" s="707"/>
      <c r="V712" s="707"/>
      <c r="W712" s="636"/>
      <c r="X712" s="636"/>
      <c r="Y712" s="707"/>
      <c r="Z712" s="635"/>
      <c r="AA712" s="707"/>
      <c r="AB712" s="707"/>
    </row>
    <row r="713" spans="1:28" x14ac:dyDescent="0.25">
      <c r="A713" s="23"/>
      <c r="B713" s="24"/>
      <c r="C713" s="25"/>
      <c r="D713" s="27"/>
      <c r="E713" s="27"/>
      <c r="F713" s="28"/>
      <c r="G713" s="27"/>
      <c r="H713" s="180"/>
      <c r="I713" s="27"/>
      <c r="J713" s="738"/>
      <c r="K713" s="635"/>
      <c r="L713" s="635"/>
      <c r="M713" s="635"/>
      <c r="N713" s="635"/>
      <c r="O713" s="636"/>
      <c r="P713" s="635"/>
      <c r="Q713" s="636"/>
      <c r="R713" s="636"/>
      <c r="S713" s="635"/>
      <c r="T713" s="707"/>
      <c r="U713" s="707"/>
      <c r="V713" s="707"/>
      <c r="W713" s="636"/>
      <c r="X713" s="636"/>
      <c r="Y713" s="707"/>
      <c r="Z713" s="635"/>
      <c r="AA713" s="707"/>
      <c r="AB713" s="707"/>
    </row>
    <row r="714" spans="1:28" x14ac:dyDescent="0.25">
      <c r="A714" s="23"/>
      <c r="B714" s="24"/>
      <c r="C714" s="25"/>
      <c r="D714" s="27"/>
      <c r="E714" s="27"/>
      <c r="F714" s="28"/>
      <c r="G714" s="27"/>
      <c r="H714" s="180"/>
      <c r="I714" s="27"/>
      <c r="J714" s="738"/>
      <c r="K714" s="635"/>
      <c r="L714" s="635"/>
      <c r="M714" s="635"/>
      <c r="N714" s="635"/>
      <c r="O714" s="636"/>
      <c r="P714" s="635"/>
      <c r="Q714" s="636"/>
      <c r="R714" s="636"/>
      <c r="S714" s="635"/>
      <c r="T714" s="707"/>
      <c r="U714" s="707"/>
      <c r="V714" s="707"/>
      <c r="W714" s="636"/>
      <c r="X714" s="636"/>
      <c r="Y714" s="707"/>
      <c r="Z714" s="635"/>
      <c r="AA714" s="707"/>
      <c r="AB714" s="707"/>
    </row>
    <row r="715" spans="1:28" x14ac:dyDescent="0.25">
      <c r="A715" s="23"/>
      <c r="B715" s="24"/>
      <c r="C715" s="25"/>
      <c r="D715" s="27"/>
      <c r="E715" s="27"/>
      <c r="F715" s="28"/>
      <c r="G715" s="27"/>
      <c r="H715" s="180"/>
      <c r="I715" s="27"/>
      <c r="J715" s="738"/>
      <c r="K715" s="635"/>
      <c r="L715" s="635"/>
      <c r="M715" s="635"/>
      <c r="N715" s="635"/>
      <c r="O715" s="636"/>
      <c r="P715" s="635"/>
      <c r="Q715" s="636"/>
      <c r="R715" s="636"/>
      <c r="S715" s="635"/>
      <c r="T715" s="707"/>
      <c r="U715" s="707"/>
      <c r="V715" s="707"/>
      <c r="W715" s="636"/>
      <c r="X715" s="636"/>
      <c r="Y715" s="707"/>
      <c r="Z715" s="635"/>
      <c r="AA715" s="707"/>
      <c r="AB715" s="707"/>
    </row>
    <row r="716" spans="1:28" x14ac:dyDescent="0.25">
      <c r="A716" s="23"/>
      <c r="B716" s="24"/>
      <c r="C716" s="25"/>
      <c r="D716" s="27"/>
      <c r="E716" s="27"/>
      <c r="F716" s="28"/>
      <c r="G716" s="27"/>
      <c r="H716" s="180"/>
      <c r="I716" s="27"/>
      <c r="J716" s="738"/>
      <c r="K716" s="635"/>
      <c r="L716" s="635"/>
      <c r="M716" s="635"/>
      <c r="N716" s="635"/>
      <c r="O716" s="636"/>
      <c r="P716" s="635"/>
      <c r="Q716" s="636"/>
      <c r="R716" s="636"/>
      <c r="S716" s="635"/>
      <c r="T716" s="707"/>
      <c r="U716" s="707"/>
      <c r="V716" s="707"/>
      <c r="W716" s="636"/>
      <c r="X716" s="636"/>
      <c r="Y716" s="707"/>
      <c r="Z716" s="635"/>
      <c r="AA716" s="707"/>
      <c r="AB716" s="707"/>
    </row>
    <row r="717" spans="1:28" x14ac:dyDescent="0.25">
      <c r="A717" s="23"/>
      <c r="B717" s="24"/>
      <c r="C717" s="25"/>
      <c r="D717" s="27"/>
      <c r="E717" s="27"/>
      <c r="F717" s="28"/>
      <c r="G717" s="27"/>
      <c r="H717" s="180"/>
      <c r="I717" s="27"/>
      <c r="J717" s="738"/>
      <c r="K717" s="635"/>
      <c r="L717" s="635"/>
      <c r="M717" s="635"/>
      <c r="N717" s="635"/>
      <c r="O717" s="636"/>
      <c r="P717" s="635"/>
      <c r="Q717" s="636"/>
      <c r="R717" s="636"/>
      <c r="S717" s="635"/>
      <c r="T717" s="707"/>
      <c r="U717" s="707"/>
      <c r="V717" s="707"/>
      <c r="W717" s="636"/>
      <c r="X717" s="636"/>
      <c r="Y717" s="707"/>
      <c r="Z717" s="635"/>
      <c r="AA717" s="707"/>
      <c r="AB717" s="707"/>
    </row>
    <row r="718" spans="1:28" x14ac:dyDescent="0.25">
      <c r="A718" s="23"/>
      <c r="B718" s="24"/>
      <c r="C718" s="25"/>
      <c r="D718" s="27"/>
      <c r="E718" s="27"/>
      <c r="F718" s="28"/>
      <c r="G718" s="27"/>
      <c r="H718" s="180"/>
      <c r="I718" s="27"/>
      <c r="J718" s="738"/>
      <c r="K718" s="635"/>
      <c r="L718" s="635"/>
      <c r="M718" s="635"/>
      <c r="N718" s="635"/>
      <c r="O718" s="636"/>
      <c r="P718" s="635"/>
      <c r="Q718" s="636"/>
      <c r="R718" s="636"/>
      <c r="S718" s="635"/>
      <c r="T718" s="707"/>
      <c r="U718" s="707"/>
      <c r="V718" s="707"/>
      <c r="W718" s="636"/>
      <c r="X718" s="636"/>
      <c r="Y718" s="707"/>
      <c r="Z718" s="635"/>
      <c r="AA718" s="707"/>
      <c r="AB718" s="707"/>
    </row>
    <row r="719" spans="1:28" x14ac:dyDescent="0.25">
      <c r="A719" s="23"/>
      <c r="B719" s="24"/>
      <c r="C719" s="25"/>
      <c r="D719" s="27"/>
      <c r="E719" s="27"/>
      <c r="F719" s="28"/>
      <c r="G719" s="27"/>
      <c r="H719" s="180"/>
      <c r="I719" s="27"/>
      <c r="J719" s="738"/>
      <c r="K719" s="635"/>
      <c r="L719" s="635"/>
      <c r="M719" s="635"/>
      <c r="N719" s="635"/>
      <c r="O719" s="636"/>
      <c r="P719" s="635"/>
      <c r="Q719" s="636"/>
      <c r="R719" s="636"/>
      <c r="S719" s="635"/>
      <c r="T719" s="707"/>
      <c r="U719" s="707"/>
      <c r="V719" s="707"/>
      <c r="W719" s="636"/>
      <c r="X719" s="636"/>
      <c r="Y719" s="707"/>
      <c r="Z719" s="635"/>
      <c r="AA719" s="707"/>
      <c r="AB719" s="707"/>
    </row>
    <row r="720" spans="1:28" x14ac:dyDescent="0.25">
      <c r="A720" s="23"/>
      <c r="B720" s="24"/>
      <c r="C720" s="25"/>
      <c r="D720" s="27"/>
      <c r="E720" s="27"/>
      <c r="F720" s="28"/>
      <c r="G720" s="27"/>
      <c r="H720" s="180"/>
      <c r="I720" s="27"/>
      <c r="J720" s="738"/>
      <c r="K720" s="635"/>
      <c r="L720" s="635"/>
      <c r="M720" s="635"/>
      <c r="N720" s="635"/>
      <c r="O720" s="636"/>
      <c r="P720" s="635"/>
      <c r="Q720" s="636"/>
      <c r="R720" s="636"/>
      <c r="S720" s="635"/>
      <c r="T720" s="707"/>
      <c r="U720" s="707"/>
      <c r="V720" s="707"/>
      <c r="W720" s="636"/>
      <c r="X720" s="636"/>
      <c r="Y720" s="707"/>
      <c r="Z720" s="635"/>
      <c r="AA720" s="707"/>
      <c r="AB720" s="707"/>
    </row>
    <row r="721" spans="1:28" x14ac:dyDescent="0.25">
      <c r="A721" s="23"/>
      <c r="B721" s="24"/>
      <c r="C721" s="25"/>
      <c r="D721" s="27"/>
      <c r="E721" s="27"/>
      <c r="F721" s="28"/>
      <c r="G721" s="27"/>
      <c r="H721" s="180"/>
      <c r="I721" s="27"/>
      <c r="J721" s="738"/>
      <c r="K721" s="635"/>
      <c r="L721" s="635"/>
      <c r="M721" s="635"/>
      <c r="N721" s="635"/>
      <c r="O721" s="636"/>
      <c r="P721" s="635"/>
      <c r="Q721" s="636"/>
      <c r="R721" s="636"/>
      <c r="S721" s="635"/>
      <c r="T721" s="707"/>
      <c r="U721" s="707"/>
      <c r="V721" s="707"/>
      <c r="W721" s="636"/>
      <c r="X721" s="636"/>
      <c r="Y721" s="707"/>
      <c r="Z721" s="635"/>
      <c r="AA721" s="707"/>
      <c r="AB721" s="707"/>
    </row>
    <row r="722" spans="1:28" x14ac:dyDescent="0.25">
      <c r="A722" s="23"/>
      <c r="B722" s="24"/>
      <c r="C722" s="25"/>
      <c r="D722" s="27"/>
      <c r="E722" s="27"/>
      <c r="F722" s="28"/>
      <c r="G722" s="27"/>
      <c r="H722" s="180"/>
      <c r="I722" s="27"/>
      <c r="J722" s="738"/>
      <c r="K722" s="635"/>
      <c r="L722" s="635"/>
      <c r="M722" s="635"/>
      <c r="N722" s="635"/>
      <c r="O722" s="636"/>
      <c r="P722" s="635"/>
      <c r="Q722" s="636"/>
      <c r="R722" s="636"/>
      <c r="S722" s="635"/>
      <c r="T722" s="707"/>
      <c r="U722" s="707"/>
      <c r="V722" s="707"/>
      <c r="W722" s="636"/>
      <c r="X722" s="636"/>
      <c r="Y722" s="707"/>
      <c r="Z722" s="635"/>
      <c r="AA722" s="707"/>
      <c r="AB722" s="707"/>
    </row>
    <row r="723" spans="1:28" x14ac:dyDescent="0.25">
      <c r="A723" s="23"/>
      <c r="B723" s="24"/>
      <c r="C723" s="25"/>
      <c r="D723" s="27"/>
      <c r="E723" s="27"/>
      <c r="F723" s="28"/>
      <c r="G723" s="27"/>
      <c r="H723" s="180"/>
      <c r="I723" s="27"/>
      <c r="J723" s="738"/>
      <c r="K723" s="635"/>
      <c r="L723" s="635"/>
      <c r="M723" s="635"/>
      <c r="N723" s="635"/>
      <c r="O723" s="636"/>
      <c r="P723" s="635"/>
      <c r="Q723" s="636"/>
      <c r="R723" s="636"/>
      <c r="S723" s="635"/>
      <c r="T723" s="707"/>
      <c r="U723" s="707"/>
      <c r="V723" s="707"/>
      <c r="W723" s="636"/>
      <c r="X723" s="636"/>
      <c r="Y723" s="707"/>
      <c r="Z723" s="635"/>
      <c r="AA723" s="707"/>
      <c r="AB723" s="707"/>
    </row>
    <row r="724" spans="1:28" x14ac:dyDescent="0.25">
      <c r="A724" s="23"/>
      <c r="B724" s="24"/>
      <c r="C724" s="25"/>
      <c r="D724" s="27"/>
      <c r="E724" s="27"/>
      <c r="F724" s="28"/>
      <c r="G724" s="27"/>
      <c r="H724" s="180"/>
      <c r="I724" s="27"/>
      <c r="J724" s="738"/>
      <c r="K724" s="635"/>
      <c r="L724" s="635"/>
      <c r="M724" s="635"/>
      <c r="N724" s="635"/>
      <c r="O724" s="636"/>
      <c r="P724" s="635"/>
      <c r="Q724" s="636"/>
      <c r="R724" s="636"/>
      <c r="S724" s="635"/>
      <c r="T724" s="707"/>
      <c r="U724" s="707"/>
      <c r="V724" s="707"/>
      <c r="W724" s="636"/>
      <c r="X724" s="636"/>
      <c r="Y724" s="707"/>
      <c r="Z724" s="635"/>
      <c r="AA724" s="707"/>
      <c r="AB724" s="707"/>
    </row>
    <row r="725" spans="1:28" x14ac:dyDescent="0.25">
      <c r="A725" s="23"/>
      <c r="B725" s="24"/>
      <c r="C725" s="25"/>
      <c r="D725" s="27"/>
      <c r="E725" s="27"/>
      <c r="F725" s="28"/>
      <c r="G725" s="27"/>
      <c r="H725" s="180"/>
      <c r="I725" s="27"/>
      <c r="J725" s="738"/>
      <c r="K725" s="635"/>
      <c r="L725" s="635"/>
      <c r="M725" s="635"/>
      <c r="N725" s="635"/>
      <c r="O725" s="636"/>
      <c r="P725" s="635"/>
      <c r="Q725" s="636"/>
      <c r="R725" s="636"/>
      <c r="S725" s="635"/>
      <c r="T725" s="707"/>
      <c r="U725" s="707"/>
      <c r="V725" s="707"/>
      <c r="W725" s="636"/>
      <c r="X725" s="636"/>
      <c r="Y725" s="707"/>
      <c r="Z725" s="635"/>
      <c r="AA725" s="707"/>
      <c r="AB725" s="707"/>
    </row>
    <row r="726" spans="1:28" x14ac:dyDescent="0.25">
      <c r="A726" s="23"/>
      <c r="B726" s="24"/>
      <c r="C726" s="25"/>
      <c r="D726" s="27"/>
      <c r="E726" s="27"/>
      <c r="F726" s="28"/>
      <c r="G726" s="27"/>
      <c r="H726" s="180"/>
      <c r="I726" s="27"/>
      <c r="J726" s="738"/>
      <c r="K726" s="635"/>
      <c r="L726" s="635"/>
      <c r="M726" s="635"/>
      <c r="N726" s="635"/>
      <c r="O726" s="636"/>
      <c r="P726" s="635"/>
      <c r="Q726" s="636"/>
      <c r="R726" s="636"/>
      <c r="S726" s="635"/>
      <c r="T726" s="707"/>
      <c r="U726" s="707"/>
      <c r="V726" s="707"/>
      <c r="W726" s="636"/>
      <c r="X726" s="636"/>
      <c r="Y726" s="707"/>
      <c r="Z726" s="635"/>
      <c r="AA726" s="707"/>
      <c r="AB726" s="707"/>
    </row>
    <row r="727" spans="1:28" x14ac:dyDescent="0.25">
      <c r="A727" s="23"/>
      <c r="B727" s="24"/>
      <c r="C727" s="25"/>
      <c r="D727" s="27"/>
      <c r="E727" s="27"/>
      <c r="F727" s="28"/>
      <c r="G727" s="27"/>
      <c r="H727" s="180"/>
      <c r="I727" s="27"/>
      <c r="J727" s="738"/>
      <c r="K727" s="635"/>
      <c r="L727" s="635"/>
      <c r="M727" s="635"/>
      <c r="N727" s="635"/>
      <c r="O727" s="636"/>
      <c r="P727" s="635"/>
      <c r="Q727" s="636"/>
      <c r="R727" s="636"/>
      <c r="S727" s="635"/>
      <c r="T727" s="707"/>
      <c r="U727" s="707"/>
      <c r="V727" s="707"/>
      <c r="W727" s="636"/>
      <c r="X727" s="636"/>
      <c r="Y727" s="707"/>
      <c r="Z727" s="635"/>
      <c r="AA727" s="707"/>
      <c r="AB727" s="707"/>
    </row>
    <row r="728" spans="1:28" x14ac:dyDescent="0.25">
      <c r="A728" s="23"/>
      <c r="B728" s="24"/>
      <c r="C728" s="25"/>
      <c r="D728" s="27"/>
      <c r="E728" s="27"/>
      <c r="F728" s="28"/>
      <c r="G728" s="27"/>
      <c r="H728" s="180"/>
      <c r="I728" s="27"/>
      <c r="J728" s="738"/>
      <c r="K728" s="635"/>
      <c r="L728" s="635"/>
      <c r="M728" s="635"/>
      <c r="N728" s="635"/>
      <c r="O728" s="636"/>
      <c r="P728" s="635"/>
      <c r="Q728" s="636"/>
      <c r="R728" s="636"/>
      <c r="S728" s="635"/>
      <c r="T728" s="707"/>
      <c r="U728" s="707"/>
      <c r="V728" s="707"/>
      <c r="W728" s="636"/>
      <c r="X728" s="636"/>
      <c r="Y728" s="707"/>
      <c r="Z728" s="635"/>
      <c r="AA728" s="707"/>
      <c r="AB728" s="707"/>
    </row>
    <row r="729" spans="1:28" x14ac:dyDescent="0.25">
      <c r="A729" s="23"/>
      <c r="B729" s="24"/>
      <c r="C729" s="25"/>
      <c r="D729" s="27"/>
      <c r="E729" s="27"/>
      <c r="F729" s="28"/>
      <c r="G729" s="27"/>
      <c r="H729" s="180"/>
      <c r="I729" s="27"/>
      <c r="J729" s="738"/>
      <c r="K729" s="635"/>
      <c r="L729" s="635"/>
      <c r="M729" s="635"/>
      <c r="N729" s="635"/>
      <c r="O729" s="636"/>
      <c r="P729" s="635"/>
      <c r="Q729" s="636"/>
      <c r="R729" s="636"/>
      <c r="S729" s="635"/>
      <c r="T729" s="707"/>
      <c r="U729" s="707"/>
      <c r="V729" s="707"/>
      <c r="W729" s="636"/>
      <c r="X729" s="636"/>
      <c r="Y729" s="707"/>
      <c r="Z729" s="635"/>
      <c r="AA729" s="707"/>
      <c r="AB729" s="707"/>
    </row>
    <row r="730" spans="1:28" x14ac:dyDescent="0.25">
      <c r="A730" s="23"/>
      <c r="B730" s="24"/>
      <c r="C730" s="25"/>
      <c r="D730" s="27"/>
      <c r="E730" s="27"/>
      <c r="F730" s="28"/>
      <c r="G730" s="27"/>
      <c r="H730" s="180"/>
      <c r="I730" s="27"/>
      <c r="J730" s="738"/>
      <c r="K730" s="635"/>
      <c r="L730" s="635"/>
      <c r="M730" s="635"/>
      <c r="N730" s="635"/>
      <c r="O730" s="636"/>
      <c r="P730" s="635"/>
      <c r="Q730" s="636"/>
      <c r="R730" s="636"/>
      <c r="S730" s="635"/>
      <c r="T730" s="707"/>
      <c r="U730" s="707"/>
      <c r="V730" s="707"/>
      <c r="W730" s="636"/>
      <c r="X730" s="636"/>
      <c r="Y730" s="707"/>
      <c r="Z730" s="635"/>
      <c r="AA730" s="707"/>
      <c r="AB730" s="707"/>
    </row>
    <row r="731" spans="1:28" x14ac:dyDescent="0.25">
      <c r="A731" s="23"/>
      <c r="B731" s="24"/>
      <c r="C731" s="25"/>
      <c r="D731" s="27"/>
      <c r="E731" s="27"/>
      <c r="F731" s="28"/>
      <c r="G731" s="27"/>
      <c r="H731" s="180"/>
      <c r="I731" s="27"/>
      <c r="J731" s="738"/>
      <c r="K731" s="635"/>
      <c r="L731" s="635"/>
      <c r="M731" s="635"/>
      <c r="N731" s="635"/>
      <c r="O731" s="636"/>
      <c r="P731" s="635"/>
      <c r="Q731" s="636"/>
      <c r="R731" s="636"/>
      <c r="S731" s="635"/>
      <c r="T731" s="707"/>
      <c r="U731" s="707"/>
      <c r="V731" s="707"/>
      <c r="W731" s="636"/>
      <c r="X731" s="636"/>
      <c r="Y731" s="707"/>
      <c r="Z731" s="635"/>
      <c r="AA731" s="707"/>
      <c r="AB731" s="707"/>
    </row>
    <row r="732" spans="1:28" x14ac:dyDescent="0.25">
      <c r="A732" s="23"/>
      <c r="B732" s="24"/>
      <c r="C732" s="25"/>
      <c r="D732" s="27"/>
      <c r="E732" s="27"/>
      <c r="F732" s="28"/>
      <c r="G732" s="27"/>
      <c r="H732" s="180"/>
      <c r="I732" s="27"/>
      <c r="J732" s="738"/>
      <c r="K732" s="635"/>
      <c r="L732" s="635"/>
      <c r="M732" s="635"/>
      <c r="N732" s="635"/>
      <c r="O732" s="636"/>
      <c r="P732" s="635"/>
      <c r="Q732" s="636"/>
      <c r="R732" s="636"/>
      <c r="S732" s="635"/>
      <c r="T732" s="707"/>
      <c r="U732" s="707"/>
      <c r="V732" s="707"/>
      <c r="W732" s="636"/>
      <c r="X732" s="636"/>
      <c r="Y732" s="707"/>
      <c r="Z732" s="635"/>
      <c r="AA732" s="707"/>
      <c r="AB732" s="707"/>
    </row>
    <row r="733" spans="1:28" x14ac:dyDescent="0.25">
      <c r="A733" s="23"/>
      <c r="B733" s="24"/>
      <c r="C733" s="25"/>
      <c r="D733" s="27"/>
      <c r="E733" s="27"/>
      <c r="F733" s="28"/>
      <c r="G733" s="27"/>
      <c r="H733" s="180"/>
      <c r="I733" s="27"/>
      <c r="J733" s="738"/>
      <c r="K733" s="635"/>
      <c r="L733" s="635"/>
      <c r="M733" s="635"/>
      <c r="N733" s="635"/>
      <c r="O733" s="636"/>
      <c r="P733" s="635"/>
      <c r="Q733" s="636"/>
      <c r="R733" s="636"/>
      <c r="S733" s="635"/>
      <c r="T733" s="707"/>
      <c r="U733" s="707"/>
      <c r="V733" s="707"/>
      <c r="W733" s="636"/>
      <c r="X733" s="636"/>
      <c r="Y733" s="707"/>
      <c r="Z733" s="635"/>
      <c r="AA733" s="707"/>
      <c r="AB733" s="707"/>
    </row>
    <row r="734" spans="1:28" x14ac:dyDescent="0.25">
      <c r="A734" s="23"/>
      <c r="B734" s="24"/>
      <c r="C734" s="25"/>
      <c r="D734" s="27"/>
      <c r="E734" s="27"/>
      <c r="F734" s="28"/>
      <c r="G734" s="27"/>
      <c r="H734" s="180"/>
      <c r="I734" s="27"/>
      <c r="J734" s="738"/>
      <c r="K734" s="635"/>
      <c r="L734" s="635"/>
      <c r="M734" s="635"/>
      <c r="N734" s="635"/>
      <c r="O734" s="636"/>
      <c r="P734" s="635"/>
      <c r="Q734" s="636"/>
      <c r="R734" s="636"/>
      <c r="S734" s="635"/>
      <c r="T734" s="707"/>
      <c r="U734" s="707"/>
      <c r="V734" s="707"/>
      <c r="W734" s="636"/>
      <c r="X734" s="636"/>
      <c r="Y734" s="707"/>
      <c r="Z734" s="635"/>
      <c r="AA734" s="707"/>
      <c r="AB734" s="707"/>
    </row>
    <row r="735" spans="1:28" x14ac:dyDescent="0.25">
      <c r="A735" s="23"/>
      <c r="B735" s="24"/>
      <c r="C735" s="25"/>
      <c r="D735" s="27"/>
      <c r="E735" s="27"/>
      <c r="F735" s="28"/>
      <c r="G735" s="27"/>
      <c r="H735" s="180"/>
      <c r="I735" s="27"/>
      <c r="J735" s="738"/>
      <c r="K735" s="635"/>
      <c r="L735" s="635"/>
      <c r="M735" s="635"/>
      <c r="N735" s="635"/>
      <c r="O735" s="636"/>
      <c r="P735" s="635"/>
      <c r="Q735" s="636"/>
      <c r="R735" s="636"/>
      <c r="S735" s="635"/>
      <c r="T735" s="707"/>
      <c r="U735" s="707"/>
      <c r="V735" s="707"/>
      <c r="W735" s="636"/>
      <c r="X735" s="636"/>
      <c r="Y735" s="707"/>
      <c r="Z735" s="635"/>
      <c r="AA735" s="707"/>
      <c r="AB735" s="707"/>
    </row>
    <row r="736" spans="1:28" x14ac:dyDescent="0.25">
      <c r="A736" s="23"/>
      <c r="B736" s="24"/>
      <c r="C736" s="25"/>
      <c r="D736" s="27"/>
      <c r="E736" s="27"/>
      <c r="F736" s="28"/>
      <c r="G736" s="27"/>
      <c r="H736" s="180"/>
      <c r="I736" s="27"/>
      <c r="J736" s="738"/>
      <c r="K736" s="635"/>
      <c r="L736" s="635"/>
      <c r="M736" s="635"/>
      <c r="N736" s="635"/>
      <c r="O736" s="636"/>
      <c r="P736" s="635"/>
      <c r="Q736" s="636"/>
      <c r="R736" s="636"/>
      <c r="S736" s="635"/>
      <c r="T736" s="707"/>
      <c r="U736" s="707"/>
      <c r="V736" s="707"/>
      <c r="W736" s="636"/>
      <c r="X736" s="636"/>
      <c r="Y736" s="707"/>
      <c r="Z736" s="635"/>
      <c r="AA736" s="707"/>
      <c r="AB736" s="707"/>
    </row>
    <row r="737" spans="1:28" x14ac:dyDescent="0.25">
      <c r="A737" s="23"/>
      <c r="B737" s="24"/>
      <c r="C737" s="25"/>
      <c r="D737" s="27"/>
      <c r="E737" s="27"/>
      <c r="F737" s="28"/>
      <c r="G737" s="27"/>
      <c r="H737" s="180"/>
      <c r="I737" s="27"/>
      <c r="J737" s="738"/>
      <c r="K737" s="635"/>
      <c r="L737" s="635"/>
      <c r="M737" s="635"/>
      <c r="N737" s="635"/>
      <c r="O737" s="636"/>
      <c r="P737" s="635"/>
      <c r="Q737" s="636"/>
      <c r="R737" s="636"/>
      <c r="S737" s="635"/>
      <c r="T737" s="707"/>
      <c r="U737" s="707"/>
      <c r="V737" s="707"/>
      <c r="W737" s="636"/>
      <c r="X737" s="636"/>
      <c r="Y737" s="707"/>
      <c r="Z737" s="635"/>
      <c r="AA737" s="707"/>
      <c r="AB737" s="707"/>
    </row>
    <row r="738" spans="1:28" x14ac:dyDescent="0.25">
      <c r="A738" s="23"/>
      <c r="B738" s="24"/>
      <c r="C738" s="25"/>
      <c r="D738" s="27"/>
      <c r="E738" s="27"/>
      <c r="F738" s="28"/>
      <c r="G738" s="27"/>
      <c r="H738" s="180"/>
      <c r="I738" s="27"/>
      <c r="J738" s="738"/>
      <c r="K738" s="635"/>
      <c r="L738" s="635"/>
      <c r="M738" s="635"/>
      <c r="N738" s="635"/>
      <c r="O738" s="636"/>
      <c r="P738" s="635"/>
      <c r="Q738" s="636"/>
      <c r="R738" s="636"/>
      <c r="S738" s="635"/>
      <c r="T738" s="707"/>
      <c r="U738" s="707"/>
      <c r="V738" s="707"/>
      <c r="W738" s="636"/>
      <c r="X738" s="636"/>
      <c r="Y738" s="707"/>
      <c r="Z738" s="635"/>
      <c r="AA738" s="707"/>
      <c r="AB738" s="707"/>
    </row>
    <row r="739" spans="1:28" x14ac:dyDescent="0.25">
      <c r="A739" s="23"/>
      <c r="B739" s="24"/>
      <c r="C739" s="25"/>
      <c r="D739" s="27"/>
      <c r="E739" s="27"/>
      <c r="F739" s="28"/>
      <c r="G739" s="27"/>
      <c r="H739" s="180"/>
      <c r="I739" s="27"/>
      <c r="J739" s="738"/>
      <c r="K739" s="635"/>
      <c r="L739" s="635"/>
      <c r="M739" s="635"/>
      <c r="N739" s="635"/>
      <c r="O739" s="636"/>
      <c r="P739" s="635"/>
      <c r="Q739" s="636"/>
      <c r="R739" s="636"/>
      <c r="S739" s="635"/>
      <c r="T739" s="707"/>
      <c r="U739" s="707"/>
      <c r="V739" s="707"/>
      <c r="W739" s="636"/>
      <c r="X739" s="636"/>
      <c r="Y739" s="707"/>
      <c r="Z739" s="635"/>
      <c r="AA739" s="707"/>
      <c r="AB739" s="707"/>
    </row>
    <row r="740" spans="1:28" x14ac:dyDescent="0.25">
      <c r="A740" s="23"/>
      <c r="B740" s="24"/>
      <c r="C740" s="25"/>
      <c r="D740" s="27"/>
      <c r="E740" s="27"/>
      <c r="F740" s="28"/>
      <c r="G740" s="27"/>
      <c r="H740" s="180"/>
      <c r="I740" s="27"/>
      <c r="J740" s="738"/>
      <c r="K740" s="635"/>
      <c r="L740" s="635"/>
      <c r="M740" s="635"/>
      <c r="N740" s="635"/>
      <c r="O740" s="636"/>
      <c r="P740" s="635"/>
      <c r="Q740" s="636"/>
      <c r="R740" s="636"/>
      <c r="S740" s="635"/>
      <c r="T740" s="707"/>
      <c r="U740" s="707"/>
      <c r="V740" s="707"/>
      <c r="W740" s="636"/>
      <c r="X740" s="636"/>
      <c r="Y740" s="707"/>
      <c r="Z740" s="635"/>
      <c r="AA740" s="707"/>
      <c r="AB740" s="707"/>
    </row>
    <row r="741" spans="1:28" x14ac:dyDescent="0.25">
      <c r="A741" s="23"/>
      <c r="B741" s="24"/>
      <c r="C741" s="25"/>
      <c r="D741" s="27"/>
      <c r="E741" s="27"/>
      <c r="F741" s="28"/>
      <c r="G741" s="27"/>
      <c r="H741" s="180"/>
      <c r="I741" s="27"/>
      <c r="J741" s="738"/>
      <c r="K741" s="635"/>
      <c r="L741" s="635"/>
      <c r="M741" s="635"/>
      <c r="N741" s="635"/>
      <c r="O741" s="636"/>
      <c r="P741" s="635"/>
      <c r="Q741" s="636"/>
      <c r="R741" s="636"/>
      <c r="S741" s="635"/>
      <c r="T741" s="707"/>
      <c r="U741" s="707"/>
      <c r="V741" s="707"/>
      <c r="W741" s="636"/>
      <c r="X741" s="636"/>
      <c r="Y741" s="707"/>
      <c r="Z741" s="635"/>
      <c r="AA741" s="707"/>
      <c r="AB741" s="707"/>
    </row>
    <row r="742" spans="1:28" x14ac:dyDescent="0.25">
      <c r="A742" s="23"/>
      <c r="B742" s="24"/>
      <c r="C742" s="25"/>
      <c r="D742" s="27"/>
      <c r="E742" s="27"/>
      <c r="F742" s="28"/>
      <c r="G742" s="27"/>
      <c r="H742" s="180"/>
      <c r="I742" s="27"/>
      <c r="J742" s="738"/>
      <c r="K742" s="635"/>
      <c r="L742" s="635"/>
      <c r="M742" s="635"/>
      <c r="N742" s="635"/>
      <c r="O742" s="636"/>
      <c r="P742" s="635"/>
      <c r="Q742" s="636"/>
      <c r="R742" s="636"/>
      <c r="S742" s="635"/>
      <c r="T742" s="707"/>
      <c r="U742" s="707"/>
      <c r="V742" s="707"/>
      <c r="W742" s="636"/>
      <c r="X742" s="636"/>
      <c r="Y742" s="707"/>
      <c r="Z742" s="635"/>
      <c r="AA742" s="707"/>
      <c r="AB742" s="707"/>
    </row>
    <row r="743" spans="1:28" x14ac:dyDescent="0.25">
      <c r="A743" s="23"/>
      <c r="B743" s="24"/>
      <c r="C743" s="25"/>
      <c r="D743" s="27"/>
      <c r="E743" s="27"/>
      <c r="F743" s="28"/>
      <c r="G743" s="27"/>
      <c r="H743" s="180"/>
      <c r="I743" s="27"/>
      <c r="J743" s="738"/>
      <c r="K743" s="635"/>
      <c r="L743" s="635"/>
      <c r="M743" s="635"/>
      <c r="N743" s="635"/>
      <c r="O743" s="636"/>
      <c r="P743" s="635"/>
      <c r="Q743" s="636"/>
      <c r="R743" s="636"/>
      <c r="S743" s="635"/>
      <c r="T743" s="707"/>
      <c r="U743" s="707"/>
      <c r="V743" s="707"/>
      <c r="W743" s="636"/>
      <c r="X743" s="636"/>
      <c r="Y743" s="707"/>
      <c r="Z743" s="635"/>
      <c r="AA743" s="707"/>
      <c r="AB743" s="707"/>
    </row>
    <row r="744" spans="1:28" x14ac:dyDescent="0.25">
      <c r="A744" s="23"/>
      <c r="B744" s="24"/>
      <c r="C744" s="25"/>
      <c r="D744" s="27"/>
      <c r="E744" s="27"/>
      <c r="F744" s="28"/>
      <c r="G744" s="27"/>
      <c r="H744" s="180"/>
      <c r="I744" s="27"/>
      <c r="J744" s="738"/>
      <c r="K744" s="635"/>
      <c r="L744" s="635"/>
      <c r="M744" s="635"/>
      <c r="N744" s="635"/>
      <c r="O744" s="636"/>
      <c r="P744" s="635"/>
      <c r="Q744" s="636"/>
      <c r="R744" s="636"/>
      <c r="S744" s="635"/>
      <c r="T744" s="707"/>
      <c r="U744" s="707"/>
      <c r="V744" s="707"/>
      <c r="W744" s="636"/>
      <c r="X744" s="636"/>
      <c r="Y744" s="707"/>
      <c r="Z744" s="635"/>
      <c r="AA744" s="707"/>
      <c r="AB744" s="707"/>
    </row>
    <row r="745" spans="1:28" x14ac:dyDescent="0.25">
      <c r="A745" s="23"/>
      <c r="B745" s="24"/>
      <c r="C745" s="25"/>
      <c r="D745" s="27"/>
      <c r="E745" s="27"/>
      <c r="F745" s="28"/>
      <c r="G745" s="27"/>
      <c r="H745" s="180"/>
      <c r="I745" s="27"/>
      <c r="J745" s="738"/>
      <c r="K745" s="635"/>
      <c r="L745" s="635"/>
      <c r="M745" s="635"/>
      <c r="N745" s="635"/>
      <c r="O745" s="636"/>
      <c r="P745" s="635"/>
      <c r="Q745" s="636"/>
      <c r="R745" s="636"/>
      <c r="S745" s="635"/>
      <c r="T745" s="707"/>
      <c r="U745" s="707"/>
      <c r="V745" s="707"/>
      <c r="W745" s="636"/>
      <c r="X745" s="636"/>
      <c r="Y745" s="707"/>
      <c r="Z745" s="635"/>
      <c r="AA745" s="707"/>
      <c r="AB745" s="707"/>
    </row>
    <row r="746" spans="1:28" x14ac:dyDescent="0.25">
      <c r="A746" s="23"/>
      <c r="B746" s="24"/>
      <c r="C746" s="25"/>
      <c r="D746" s="27"/>
      <c r="E746" s="27"/>
      <c r="F746" s="28"/>
      <c r="G746" s="27"/>
      <c r="H746" s="180"/>
      <c r="I746" s="27"/>
      <c r="J746" s="738"/>
      <c r="K746" s="635"/>
      <c r="L746" s="635"/>
      <c r="M746" s="635"/>
      <c r="N746" s="635"/>
      <c r="O746" s="636"/>
      <c r="P746" s="635"/>
      <c r="Q746" s="636"/>
      <c r="R746" s="636"/>
      <c r="S746" s="635"/>
      <c r="T746" s="707"/>
      <c r="U746" s="707"/>
      <c r="V746" s="707"/>
      <c r="W746" s="636"/>
      <c r="X746" s="636"/>
      <c r="Y746" s="707"/>
      <c r="Z746" s="635"/>
      <c r="AA746" s="707"/>
      <c r="AB746" s="707"/>
    </row>
    <row r="747" spans="1:28" x14ac:dyDescent="0.25">
      <c r="A747" s="23"/>
      <c r="B747" s="24"/>
      <c r="C747" s="25"/>
      <c r="D747" s="27"/>
      <c r="E747" s="27"/>
      <c r="F747" s="28"/>
      <c r="G747" s="27"/>
      <c r="H747" s="180"/>
      <c r="I747" s="27"/>
      <c r="J747" s="738"/>
      <c r="K747" s="635"/>
      <c r="L747" s="635"/>
      <c r="M747" s="635"/>
      <c r="N747" s="635"/>
      <c r="O747" s="636"/>
      <c r="P747" s="635"/>
      <c r="Q747" s="636"/>
      <c r="R747" s="636"/>
      <c r="S747" s="635"/>
      <c r="T747" s="707"/>
      <c r="U747" s="707"/>
      <c r="V747" s="707"/>
      <c r="W747" s="636"/>
      <c r="X747" s="636"/>
      <c r="Y747" s="707"/>
      <c r="Z747" s="635"/>
      <c r="AA747" s="707"/>
      <c r="AB747" s="707"/>
    </row>
    <row r="748" spans="1:28" x14ac:dyDescent="0.25">
      <c r="A748" s="23"/>
      <c r="B748" s="24"/>
      <c r="C748" s="25"/>
      <c r="D748" s="27"/>
      <c r="E748" s="27"/>
      <c r="F748" s="28"/>
      <c r="G748" s="27"/>
      <c r="H748" s="180"/>
      <c r="I748" s="27"/>
      <c r="J748" s="738"/>
      <c r="K748" s="635"/>
      <c r="L748" s="635"/>
      <c r="M748" s="635"/>
      <c r="N748" s="635"/>
      <c r="O748" s="636"/>
      <c r="P748" s="635"/>
      <c r="Q748" s="636"/>
      <c r="R748" s="636"/>
      <c r="S748" s="635"/>
      <c r="T748" s="707"/>
      <c r="U748" s="707"/>
      <c r="V748" s="707"/>
      <c r="W748" s="636"/>
      <c r="X748" s="636"/>
      <c r="Y748" s="707"/>
      <c r="Z748" s="635"/>
      <c r="AA748" s="707"/>
      <c r="AB748" s="707"/>
    </row>
    <row r="749" spans="1:28" x14ac:dyDescent="0.25">
      <c r="A749" s="23"/>
      <c r="B749" s="24"/>
      <c r="C749" s="25"/>
      <c r="D749" s="27"/>
      <c r="E749" s="27"/>
      <c r="F749" s="28"/>
      <c r="G749" s="27"/>
      <c r="H749" s="180"/>
      <c r="I749" s="27"/>
      <c r="J749" s="738"/>
      <c r="K749" s="635"/>
      <c r="L749" s="635"/>
      <c r="M749" s="635"/>
      <c r="N749" s="635"/>
      <c r="O749" s="636"/>
      <c r="P749" s="635"/>
      <c r="Q749" s="636"/>
      <c r="R749" s="636"/>
      <c r="S749" s="635"/>
      <c r="T749" s="707"/>
      <c r="U749" s="707"/>
      <c r="V749" s="707"/>
      <c r="W749" s="636"/>
      <c r="X749" s="636"/>
      <c r="Y749" s="707"/>
      <c r="Z749" s="635"/>
      <c r="AA749" s="707"/>
      <c r="AB749" s="707"/>
    </row>
    <row r="750" spans="1:28" x14ac:dyDescent="0.25">
      <c r="A750" s="23"/>
      <c r="B750" s="24"/>
      <c r="C750" s="25"/>
      <c r="D750" s="27"/>
      <c r="E750" s="27"/>
      <c r="F750" s="28"/>
      <c r="G750" s="27"/>
      <c r="H750" s="180"/>
      <c r="I750" s="27"/>
      <c r="J750" s="738"/>
      <c r="K750" s="635"/>
      <c r="L750" s="635"/>
      <c r="M750" s="635"/>
      <c r="N750" s="635"/>
      <c r="O750" s="636"/>
      <c r="P750" s="635"/>
      <c r="Q750" s="636"/>
      <c r="R750" s="636"/>
      <c r="S750" s="635"/>
      <c r="T750" s="707"/>
      <c r="U750" s="707"/>
      <c r="V750" s="707"/>
      <c r="W750" s="636"/>
      <c r="X750" s="636"/>
      <c r="Y750" s="707"/>
      <c r="Z750" s="635"/>
      <c r="AA750" s="707"/>
      <c r="AB750" s="707"/>
    </row>
    <row r="751" spans="1:28" x14ac:dyDescent="0.25">
      <c r="A751" s="23"/>
      <c r="B751" s="24"/>
      <c r="C751" s="25"/>
      <c r="D751" s="27"/>
      <c r="E751" s="27"/>
      <c r="F751" s="28"/>
      <c r="G751" s="27"/>
      <c r="H751" s="180"/>
      <c r="I751" s="27"/>
      <c r="J751" s="738"/>
      <c r="K751" s="635"/>
      <c r="L751" s="635"/>
      <c r="M751" s="635"/>
      <c r="N751" s="635"/>
      <c r="O751" s="636"/>
      <c r="P751" s="635"/>
      <c r="Q751" s="636"/>
      <c r="R751" s="636"/>
      <c r="S751" s="635"/>
      <c r="T751" s="707"/>
      <c r="U751" s="707"/>
      <c r="V751" s="707"/>
      <c r="W751" s="636"/>
      <c r="X751" s="636"/>
      <c r="Y751" s="707"/>
      <c r="Z751" s="635"/>
      <c r="AA751" s="707"/>
      <c r="AB751" s="707"/>
    </row>
    <row r="752" spans="1:28" x14ac:dyDescent="0.25">
      <c r="A752" s="23"/>
      <c r="B752" s="24"/>
      <c r="C752" s="25"/>
      <c r="D752" s="27"/>
      <c r="E752" s="27"/>
      <c r="F752" s="28"/>
      <c r="G752" s="27"/>
      <c r="H752" s="180"/>
      <c r="I752" s="27"/>
      <c r="J752" s="738"/>
      <c r="K752" s="635"/>
      <c r="L752" s="635"/>
      <c r="M752" s="635"/>
      <c r="N752" s="635"/>
      <c r="O752" s="636"/>
      <c r="P752" s="635"/>
      <c r="Q752" s="636"/>
      <c r="R752" s="636"/>
      <c r="S752" s="635"/>
      <c r="T752" s="707"/>
      <c r="U752" s="707"/>
      <c r="V752" s="707"/>
      <c r="W752" s="636"/>
      <c r="X752" s="636"/>
      <c r="Y752" s="707"/>
      <c r="Z752" s="635"/>
      <c r="AA752" s="707"/>
      <c r="AB752" s="707"/>
    </row>
    <row r="753" spans="1:28" x14ac:dyDescent="0.25">
      <c r="A753" s="23"/>
      <c r="B753" s="24"/>
      <c r="C753" s="25"/>
      <c r="D753" s="27"/>
      <c r="E753" s="27"/>
      <c r="F753" s="28"/>
      <c r="G753" s="27"/>
      <c r="H753" s="180"/>
      <c r="I753" s="27"/>
      <c r="J753" s="738"/>
      <c r="K753" s="635"/>
      <c r="L753" s="635"/>
      <c r="M753" s="635"/>
      <c r="N753" s="635"/>
      <c r="O753" s="636"/>
      <c r="P753" s="635"/>
      <c r="Q753" s="636"/>
      <c r="R753" s="636"/>
      <c r="S753" s="635"/>
      <c r="T753" s="707"/>
      <c r="U753" s="707"/>
      <c r="V753" s="707"/>
      <c r="W753" s="636"/>
      <c r="X753" s="636"/>
      <c r="Y753" s="707"/>
      <c r="Z753" s="635"/>
      <c r="AA753" s="707"/>
      <c r="AB753" s="707"/>
    </row>
    <row r="754" spans="1:28" x14ac:dyDescent="0.25">
      <c r="A754" s="23"/>
      <c r="B754" s="24"/>
      <c r="C754" s="25"/>
      <c r="D754" s="27"/>
      <c r="E754" s="27"/>
      <c r="F754" s="28"/>
      <c r="G754" s="27"/>
      <c r="H754" s="180"/>
      <c r="I754" s="27"/>
      <c r="J754" s="738"/>
      <c r="K754" s="635"/>
      <c r="L754" s="635"/>
      <c r="M754" s="635"/>
      <c r="N754" s="635"/>
      <c r="O754" s="636"/>
      <c r="P754" s="635"/>
      <c r="Q754" s="636"/>
      <c r="R754" s="636"/>
      <c r="S754" s="635"/>
      <c r="T754" s="707"/>
      <c r="U754" s="707"/>
      <c r="V754" s="707"/>
      <c r="W754" s="636"/>
      <c r="X754" s="636"/>
      <c r="Y754" s="707"/>
      <c r="Z754" s="635"/>
      <c r="AA754" s="707"/>
      <c r="AB754" s="707"/>
    </row>
    <row r="755" spans="1:28" x14ac:dyDescent="0.25">
      <c r="A755" s="23"/>
      <c r="B755" s="24"/>
      <c r="C755" s="25"/>
      <c r="D755" s="27"/>
      <c r="E755" s="27"/>
      <c r="F755" s="28"/>
      <c r="G755" s="27"/>
      <c r="H755" s="180"/>
      <c r="I755" s="27"/>
      <c r="J755" s="738"/>
      <c r="K755" s="635"/>
      <c r="L755" s="635"/>
      <c r="M755" s="635"/>
      <c r="N755" s="635"/>
      <c r="O755" s="636"/>
      <c r="P755" s="635"/>
      <c r="Q755" s="636"/>
      <c r="R755" s="636"/>
      <c r="S755" s="635"/>
      <c r="T755" s="707"/>
      <c r="U755" s="707"/>
      <c r="V755" s="707"/>
      <c r="W755" s="636"/>
      <c r="X755" s="636"/>
      <c r="Y755" s="707"/>
      <c r="Z755" s="635"/>
      <c r="AA755" s="707"/>
      <c r="AB755" s="707"/>
    </row>
    <row r="756" spans="1:28" x14ac:dyDescent="0.25">
      <c r="A756" s="23"/>
      <c r="B756" s="24"/>
      <c r="C756" s="25"/>
      <c r="D756" s="27"/>
      <c r="E756" s="27"/>
      <c r="F756" s="28"/>
      <c r="G756" s="27"/>
      <c r="H756" s="180"/>
      <c r="I756" s="27"/>
      <c r="J756" s="738"/>
      <c r="K756" s="635"/>
      <c r="L756" s="635"/>
      <c r="M756" s="635"/>
      <c r="N756" s="635"/>
      <c r="O756" s="636"/>
      <c r="P756" s="635"/>
      <c r="Q756" s="636"/>
      <c r="R756" s="636"/>
      <c r="S756" s="635"/>
      <c r="T756" s="707"/>
      <c r="U756" s="707"/>
      <c r="V756" s="707"/>
      <c r="W756" s="636"/>
      <c r="X756" s="636"/>
      <c r="Y756" s="707"/>
      <c r="Z756" s="635"/>
      <c r="AA756" s="707"/>
      <c r="AB756" s="707"/>
    </row>
    <row r="757" spans="1:28" x14ac:dyDescent="0.25">
      <c r="A757" s="23"/>
      <c r="B757" s="24"/>
      <c r="C757" s="25"/>
      <c r="D757" s="27"/>
      <c r="E757" s="27"/>
      <c r="F757" s="28"/>
      <c r="G757" s="27"/>
      <c r="H757" s="180"/>
      <c r="I757" s="27"/>
      <c r="J757" s="738"/>
      <c r="K757" s="635"/>
      <c r="L757" s="635"/>
      <c r="M757" s="635"/>
      <c r="N757" s="635"/>
      <c r="O757" s="636"/>
      <c r="P757" s="635"/>
      <c r="Q757" s="636"/>
      <c r="R757" s="636"/>
      <c r="S757" s="635"/>
      <c r="T757" s="707"/>
      <c r="U757" s="707"/>
      <c r="V757" s="707"/>
      <c r="W757" s="636"/>
      <c r="X757" s="636"/>
      <c r="Y757" s="707"/>
      <c r="Z757" s="635"/>
      <c r="AA757" s="707"/>
      <c r="AB757" s="707"/>
    </row>
    <row r="758" spans="1:28" x14ac:dyDescent="0.25">
      <c r="A758" s="23"/>
      <c r="B758" s="24"/>
      <c r="C758" s="25"/>
      <c r="D758" s="27"/>
      <c r="E758" s="27"/>
      <c r="F758" s="28"/>
      <c r="G758" s="27"/>
      <c r="H758" s="180"/>
      <c r="I758" s="27"/>
      <c r="J758" s="738"/>
      <c r="K758" s="635"/>
      <c r="L758" s="635"/>
      <c r="M758" s="635"/>
      <c r="N758" s="635"/>
      <c r="O758" s="636"/>
      <c r="P758" s="635"/>
      <c r="Q758" s="636"/>
      <c r="R758" s="636"/>
      <c r="S758" s="635"/>
      <c r="T758" s="707"/>
      <c r="U758" s="707"/>
      <c r="V758" s="707"/>
      <c r="W758" s="636"/>
      <c r="X758" s="636"/>
      <c r="Y758" s="707"/>
      <c r="Z758" s="635"/>
      <c r="AA758" s="707"/>
      <c r="AB758" s="707"/>
    </row>
    <row r="759" spans="1:28" x14ac:dyDescent="0.25">
      <c r="A759" s="23"/>
      <c r="B759" s="24"/>
      <c r="C759" s="25"/>
      <c r="D759" s="27"/>
      <c r="E759" s="27"/>
      <c r="F759" s="28"/>
      <c r="G759" s="27"/>
      <c r="H759" s="180"/>
      <c r="I759" s="27"/>
      <c r="J759" s="738"/>
      <c r="K759" s="635"/>
      <c r="L759" s="635"/>
      <c r="M759" s="635"/>
      <c r="N759" s="635"/>
      <c r="O759" s="636"/>
      <c r="P759" s="635"/>
      <c r="Q759" s="636"/>
      <c r="R759" s="636"/>
      <c r="S759" s="635"/>
      <c r="T759" s="707"/>
      <c r="U759" s="707"/>
      <c r="V759" s="707"/>
      <c r="W759" s="636"/>
      <c r="X759" s="636"/>
      <c r="Y759" s="707"/>
      <c r="Z759" s="635"/>
      <c r="AA759" s="707"/>
      <c r="AB759" s="707"/>
    </row>
    <row r="760" spans="1:28" x14ac:dyDescent="0.25">
      <c r="A760" s="23"/>
      <c r="B760" s="24"/>
      <c r="C760" s="25"/>
      <c r="D760" s="27"/>
      <c r="E760" s="27"/>
      <c r="F760" s="28"/>
      <c r="G760" s="27"/>
      <c r="H760" s="180"/>
      <c r="I760" s="27"/>
      <c r="J760" s="738"/>
      <c r="K760" s="635"/>
      <c r="L760" s="635"/>
      <c r="M760" s="635"/>
      <c r="N760" s="635"/>
      <c r="O760" s="636"/>
      <c r="P760" s="635"/>
      <c r="Q760" s="636"/>
      <c r="R760" s="636"/>
      <c r="S760" s="635"/>
      <c r="T760" s="707"/>
      <c r="U760" s="707"/>
      <c r="V760" s="707"/>
      <c r="W760" s="636"/>
      <c r="X760" s="636"/>
      <c r="Y760" s="707"/>
      <c r="Z760" s="635"/>
      <c r="AA760" s="707"/>
      <c r="AB760" s="707"/>
    </row>
    <row r="761" spans="1:28" x14ac:dyDescent="0.25">
      <c r="A761" s="23"/>
      <c r="B761" s="24"/>
      <c r="C761" s="25"/>
      <c r="D761" s="27"/>
      <c r="E761" s="27"/>
      <c r="F761" s="28"/>
      <c r="G761" s="27"/>
      <c r="H761" s="180"/>
      <c r="I761" s="27"/>
      <c r="J761" s="738"/>
      <c r="K761" s="635"/>
      <c r="L761" s="635"/>
      <c r="M761" s="635"/>
      <c r="N761" s="635"/>
      <c r="O761" s="636"/>
      <c r="P761" s="635"/>
      <c r="Q761" s="636"/>
      <c r="R761" s="636"/>
      <c r="S761" s="635"/>
      <c r="T761" s="707"/>
      <c r="U761" s="707"/>
      <c r="V761" s="707"/>
      <c r="W761" s="636"/>
      <c r="X761" s="636"/>
      <c r="Y761" s="707"/>
      <c r="Z761" s="635"/>
      <c r="AA761" s="707"/>
      <c r="AB761" s="707"/>
    </row>
    <row r="762" spans="1:28" x14ac:dyDescent="0.25">
      <c r="A762" s="23"/>
      <c r="B762" s="24"/>
      <c r="C762" s="25"/>
      <c r="D762" s="27"/>
      <c r="E762" s="27"/>
      <c r="F762" s="28"/>
      <c r="G762" s="27"/>
      <c r="H762" s="180"/>
      <c r="I762" s="27"/>
      <c r="J762" s="738"/>
      <c r="K762" s="635"/>
      <c r="L762" s="635"/>
      <c r="M762" s="635"/>
      <c r="N762" s="635"/>
      <c r="O762" s="636"/>
      <c r="P762" s="635"/>
      <c r="Q762" s="636"/>
      <c r="R762" s="636"/>
      <c r="S762" s="635"/>
      <c r="T762" s="707"/>
      <c r="U762" s="707"/>
      <c r="V762" s="707"/>
      <c r="W762" s="636"/>
      <c r="X762" s="636"/>
      <c r="Y762" s="707"/>
      <c r="Z762" s="635"/>
      <c r="AA762" s="707"/>
      <c r="AB762" s="707"/>
    </row>
    <row r="763" spans="1:28" x14ac:dyDescent="0.25">
      <c r="A763" s="23"/>
      <c r="B763" s="24"/>
      <c r="C763" s="25"/>
      <c r="D763" s="27"/>
      <c r="E763" s="27"/>
      <c r="F763" s="28"/>
      <c r="G763" s="27"/>
      <c r="H763" s="180"/>
      <c r="I763" s="27"/>
      <c r="J763" s="738"/>
      <c r="K763" s="635"/>
      <c r="L763" s="635"/>
      <c r="M763" s="635"/>
      <c r="N763" s="635"/>
      <c r="O763" s="636"/>
      <c r="P763" s="635"/>
      <c r="Q763" s="636"/>
      <c r="R763" s="636"/>
      <c r="S763" s="635"/>
      <c r="T763" s="707"/>
      <c r="U763" s="707"/>
      <c r="V763" s="707"/>
      <c r="W763" s="636"/>
      <c r="X763" s="636"/>
      <c r="Y763" s="707"/>
      <c r="Z763" s="635"/>
      <c r="AA763" s="707"/>
      <c r="AB763" s="707"/>
    </row>
    <row r="764" spans="1:28" x14ac:dyDescent="0.25">
      <c r="A764" s="23"/>
      <c r="B764" s="24"/>
      <c r="C764" s="25"/>
      <c r="D764" s="27"/>
      <c r="E764" s="27"/>
      <c r="F764" s="28"/>
      <c r="G764" s="27"/>
      <c r="H764" s="180"/>
      <c r="I764" s="27"/>
      <c r="J764" s="738"/>
      <c r="K764" s="635"/>
      <c r="L764" s="635"/>
      <c r="M764" s="635"/>
      <c r="N764" s="635"/>
      <c r="O764" s="636"/>
      <c r="P764" s="635"/>
      <c r="Q764" s="636"/>
      <c r="R764" s="636"/>
      <c r="S764" s="635"/>
      <c r="T764" s="707"/>
      <c r="U764" s="707"/>
      <c r="V764" s="707"/>
      <c r="W764" s="636"/>
      <c r="X764" s="636"/>
      <c r="Y764" s="707"/>
      <c r="Z764" s="635"/>
      <c r="AA764" s="707"/>
      <c r="AB764" s="707"/>
    </row>
  </sheetData>
  <sheetProtection password="CA23" sheet="1" objects="1" scenarios="1"/>
  <dataValidations count="2">
    <dataValidation type="list" allowBlank="1" showInputMessage="1" showErrorMessage="1" sqref="C6:C7 C9 C11">
      <formula1>$H$6:$H$11</formula1>
    </dataValidation>
    <dataValidation type="list" allowBlank="1" showInputMessage="1" showErrorMessage="1" sqref="O11">
      <formula1>true_False</formula1>
    </dataValidation>
  </dataValidations>
  <pageMargins left="0.7" right="0.7" top="0.75" bottom="0.75" header="0.3" footer="0.3"/>
  <drawing r:id="rId1"/>
  <legacyDrawing r:id="rId2"/>
  <controls>
    <mc:AlternateContent xmlns:mc="http://schemas.openxmlformats.org/markup-compatibility/2006">
      <mc:Choice Requires="x14">
        <control shapeId="40966" r:id="rId3" name="CommandButton1">
          <controlPr defaultSize="0" autoLine="0" autoPict="0" r:id="rId4">
            <anchor moveWithCells="1">
              <from>
                <xdr:col>3</xdr:col>
                <xdr:colOff>22860</xdr:colOff>
                <xdr:row>2</xdr:row>
                <xdr:rowOff>83820</xdr:rowOff>
              </from>
              <to>
                <xdr:col>4</xdr:col>
                <xdr:colOff>533400</xdr:colOff>
                <xdr:row>4</xdr:row>
                <xdr:rowOff>0</xdr:rowOff>
              </to>
            </anchor>
          </controlPr>
        </control>
      </mc:Choice>
      <mc:Fallback>
        <control shapeId="40966" r:id="rId3"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00B050"/>
  </sheetPr>
  <dimension ref="A1:AD200"/>
  <sheetViews>
    <sheetView topLeftCell="C1" workbookViewId="0">
      <selection activeCell="N14" sqref="N14:N18"/>
    </sheetView>
  </sheetViews>
  <sheetFormatPr defaultColWidth="9.109375" defaultRowHeight="13.2" x14ac:dyDescent="0.25"/>
  <cols>
    <col min="1" max="1" width="9.109375" style="191"/>
    <col min="2" max="2" width="20.5546875" style="191" customWidth="1"/>
    <col min="3" max="16384" width="9.109375" style="191"/>
  </cols>
  <sheetData>
    <row r="1" spans="1:30" ht="15.6" x14ac:dyDescent="0.3">
      <c r="A1" s="192" t="s">
        <v>1117</v>
      </c>
      <c r="N1" s="634"/>
      <c r="S1" s="634"/>
    </row>
    <row r="2" spans="1:30" ht="16.8" x14ac:dyDescent="0.3">
      <c r="A2" s="619" t="s">
        <v>94</v>
      </c>
      <c r="B2" s="620" t="str">
        <f>Weather_Site!D2</f>
        <v>Nicholson Street Melbourne</v>
      </c>
      <c r="C2" s="620"/>
      <c r="D2" s="620"/>
      <c r="E2" s="620"/>
      <c r="H2" s="676"/>
      <c r="I2" s="391"/>
      <c r="J2" s="676"/>
      <c r="N2" s="634"/>
      <c r="S2" s="634"/>
    </row>
    <row r="3" spans="1:30" ht="13.8" x14ac:dyDescent="0.25">
      <c r="L3" s="677" t="s">
        <v>1087</v>
      </c>
      <c r="N3" s="634"/>
      <c r="R3" s="677" t="s">
        <v>1108</v>
      </c>
      <c r="S3" s="634"/>
    </row>
    <row r="4" spans="1:30" x14ac:dyDescent="0.25">
      <c r="A4" s="621" t="s">
        <v>35</v>
      </c>
      <c r="B4" s="622"/>
      <c r="C4" s="623">
        <f>Weather_Site!D6</f>
        <v>0</v>
      </c>
      <c r="L4" s="678" t="s">
        <v>1088</v>
      </c>
      <c r="M4" s="679"/>
      <c r="N4" s="680"/>
      <c r="O4" s="679"/>
      <c r="P4" s="418">
        <v>50</v>
      </c>
      <c r="R4" s="681" t="s">
        <v>1106</v>
      </c>
      <c r="S4" s="668"/>
      <c r="T4" s="682"/>
      <c r="U4" s="682"/>
      <c r="V4" s="682">
        <f>Weather_Site!K12</f>
        <v>110</v>
      </c>
      <c r="W4" s="683" t="s">
        <v>1109</v>
      </c>
    </row>
    <row r="5" spans="1:30" x14ac:dyDescent="0.25">
      <c r="A5" s="624"/>
      <c r="B5" s="625"/>
      <c r="C5" s="626" t="s">
        <v>246</v>
      </c>
      <c r="D5" s="627" t="s">
        <v>245</v>
      </c>
      <c r="E5" s="628" t="s">
        <v>221</v>
      </c>
      <c r="F5" s="628"/>
      <c r="G5" s="628"/>
      <c r="H5" s="629" t="s">
        <v>247</v>
      </c>
      <c r="I5" s="626" t="s">
        <v>248</v>
      </c>
      <c r="L5" s="678" t="s">
        <v>718</v>
      </c>
      <c r="M5" s="679"/>
      <c r="N5" s="684"/>
      <c r="O5" s="685"/>
      <c r="P5" s="418">
        <v>50</v>
      </c>
      <c r="R5" s="681" t="s">
        <v>1107</v>
      </c>
      <c r="S5" s="668"/>
      <c r="T5" s="682"/>
      <c r="U5" s="682"/>
      <c r="V5" s="682">
        <f>Weather_Site!D7</f>
        <v>330</v>
      </c>
      <c r="W5" s="683" t="s">
        <v>1109</v>
      </c>
    </row>
    <row r="6" spans="1:30" x14ac:dyDescent="0.25">
      <c r="A6" s="630" t="s">
        <v>208</v>
      </c>
      <c r="B6" s="631"/>
      <c r="C6" s="206" t="s">
        <v>253</v>
      </c>
      <c r="D6" s="668">
        <f>IF(C6="Low",1,IF(C6="Moderate",2,IF(C6="High",3,IF(C6="Very High",3.5,IF(C6="Extreme",4,0)))))</f>
        <v>4</v>
      </c>
      <c r="E6" s="668">
        <f>IF(D6=4,20,IF(D6=3.5,14,IF(D6=3,12,IF(D6=2,8,IF(D6=1,4,0)))))</f>
        <v>20</v>
      </c>
      <c r="H6" s="632" t="s">
        <v>249</v>
      </c>
      <c r="I6" s="633" t="s">
        <v>268</v>
      </c>
      <c r="L6" s="678" t="s">
        <v>1141</v>
      </c>
      <c r="M6" s="679"/>
      <c r="N6" s="684"/>
      <c r="O6" s="685"/>
      <c r="P6" s="418">
        <v>30</v>
      </c>
      <c r="R6" s="678" t="s">
        <v>1106</v>
      </c>
      <c r="S6" s="680"/>
      <c r="T6" s="679"/>
      <c r="U6" s="679"/>
      <c r="V6" s="418">
        <v>110</v>
      </c>
      <c r="W6" s="686" t="s">
        <v>1110</v>
      </c>
      <c r="X6" s="687"/>
    </row>
    <row r="7" spans="1:30" x14ac:dyDescent="0.25">
      <c r="A7" s="630" t="s">
        <v>209</v>
      </c>
      <c r="B7" s="631"/>
      <c r="C7" s="206" t="s">
        <v>253</v>
      </c>
      <c r="D7" s="668">
        <f>IF(C7="Low",1,IF(C7="Moderate",2,IF(C7="High",3,IF(C7="Very High",3.5,IF(C7="Extreme",4,0)))))</f>
        <v>4</v>
      </c>
      <c r="E7" s="668">
        <f>IF(D7=4,4,IF(D7=3.5,3.5,IF(D7=3,3,IF(D7=2,2,IF(D7=1,1,0)))))</f>
        <v>4</v>
      </c>
      <c r="H7" s="632" t="s">
        <v>788</v>
      </c>
      <c r="I7" s="633" t="s">
        <v>255</v>
      </c>
      <c r="L7" s="681" t="s">
        <v>1139</v>
      </c>
      <c r="M7" s="682"/>
      <c r="N7" s="688"/>
      <c r="O7" s="689"/>
      <c r="P7" s="690">
        <f>(0.488623-0.00334694*P4-0.00202058*P5)*((-0.001*P6+0.33)/0.33)</f>
        <v>0.20022454545454546</v>
      </c>
      <c r="R7" s="678" t="s">
        <v>1107</v>
      </c>
      <c r="S7" s="680"/>
      <c r="T7" s="679"/>
      <c r="U7" s="679"/>
      <c r="V7" s="418">
        <v>120</v>
      </c>
      <c r="W7" s="691" t="s">
        <v>1110</v>
      </c>
      <c r="X7" s="687"/>
    </row>
    <row r="8" spans="1:30" x14ac:dyDescent="0.25">
      <c r="A8" s="630" t="s">
        <v>210</v>
      </c>
      <c r="B8" s="631"/>
      <c r="C8" s="206">
        <v>50</v>
      </c>
      <c r="D8" s="207"/>
      <c r="E8" s="207"/>
      <c r="H8" s="632" t="s">
        <v>250</v>
      </c>
      <c r="I8" s="633" t="s">
        <v>256</v>
      </c>
      <c r="L8" s="681" t="s">
        <v>1089</v>
      </c>
      <c r="M8" s="682"/>
      <c r="N8" s="688"/>
      <c r="O8" s="689"/>
      <c r="P8" s="692">
        <f>1/P7</f>
        <v>4.9943926591508623</v>
      </c>
      <c r="R8" s="693" t="s">
        <v>1120</v>
      </c>
      <c r="S8" s="694"/>
      <c r="T8" s="694"/>
      <c r="U8" s="685"/>
      <c r="V8" s="418">
        <v>15</v>
      </c>
      <c r="W8" s="691" t="s">
        <v>1110</v>
      </c>
      <c r="X8" s="687"/>
    </row>
    <row r="9" spans="1:30" x14ac:dyDescent="0.25">
      <c r="A9" s="630" t="s">
        <v>220</v>
      </c>
      <c r="B9" s="631"/>
      <c r="C9" s="206" t="s">
        <v>250</v>
      </c>
      <c r="D9" s="668">
        <f>IF(C9="Low",1,IF(C9="Moderate",2,IF(C9="High",3,IF(C9="Very High",3.5,IF(C9="Extreme",4,0)))))</f>
        <v>2</v>
      </c>
      <c r="E9" s="668">
        <f>IF(D9=4,6,IF(D9=3.5,4,IF(D9=3,3,IF(D9=2,2,IF(D9=1,1,0)))))</f>
        <v>2</v>
      </c>
      <c r="H9" s="632" t="s">
        <v>251</v>
      </c>
      <c r="I9" s="633" t="s">
        <v>257</v>
      </c>
      <c r="N9" s="634"/>
      <c r="R9" s="695" t="s">
        <v>1111</v>
      </c>
      <c r="S9" s="696">
        <f>(0.0046*$O$10^2-0.0079*$O$10-0.0175)*$V$6+(-0.9167*$O$10^2+1.5833*$O$10+13.5)</f>
        <v>4.8789999999999969</v>
      </c>
      <c r="T9" s="683" t="s">
        <v>1114</v>
      </c>
    </row>
    <row r="10" spans="1:30" x14ac:dyDescent="0.25">
      <c r="A10" s="697" t="s">
        <v>1091</v>
      </c>
      <c r="B10" s="631"/>
      <c r="C10" s="206">
        <v>2</v>
      </c>
      <c r="D10" s="207"/>
      <c r="E10" s="207"/>
      <c r="F10" s="634" t="s">
        <v>222</v>
      </c>
      <c r="H10" s="632" t="s">
        <v>252</v>
      </c>
      <c r="I10" s="633" t="s">
        <v>258</v>
      </c>
      <c r="L10" s="747" t="s">
        <v>1140</v>
      </c>
      <c r="M10" s="699"/>
      <c r="N10" s="700"/>
      <c r="O10" s="671">
        <v>5</v>
      </c>
      <c r="R10" s="681" t="s">
        <v>1112</v>
      </c>
      <c r="S10" s="668">
        <f>IF(OR($V$7&lt;90,$V$7&gt;225),0,IF($V$8&lt;10,0,(-0.000000002204*$V$7^4+0.000000995*$V$7^3+0.00006335*$V$7^2-0.04895*$V$7+1.8)))</f>
        <v>-1.8994214399999996</v>
      </c>
      <c r="T10" s="683" t="s">
        <v>1113</v>
      </c>
    </row>
    <row r="11" spans="1:30" x14ac:dyDescent="0.25">
      <c r="A11" s="630" t="s">
        <v>213</v>
      </c>
      <c r="B11" s="631"/>
      <c r="C11" s="206" t="s">
        <v>252</v>
      </c>
      <c r="D11" s="668">
        <f>IF(C11="Low",1,IF(C11="Moderate",2,IF(C11="High",3,IF(C11="Very High",3.5,IF(C11="Extreme",4,0)))))</f>
        <v>3.5</v>
      </c>
      <c r="E11" s="668">
        <f>IF(D11=4,7,IF(D11=3.5,6,IF(D11=3,5,IF(D11=2,2,IF(D11=1,1,0)))))</f>
        <v>6</v>
      </c>
      <c r="F11" s="668">
        <f>E6+E7+E9+E11</f>
        <v>32</v>
      </c>
      <c r="H11" s="632" t="s">
        <v>253</v>
      </c>
      <c r="I11" s="633" t="s">
        <v>259</v>
      </c>
      <c r="L11" s="698" t="s">
        <v>673</v>
      </c>
      <c r="M11" s="699"/>
      <c r="N11" s="700"/>
      <c r="O11" s="178" t="b">
        <v>1</v>
      </c>
      <c r="S11" s="634"/>
    </row>
    <row r="12" spans="1:30" x14ac:dyDescent="0.25">
      <c r="N12" s="634"/>
      <c r="S12" s="634"/>
      <c r="Y12" s="701"/>
      <c r="Z12" s="701"/>
      <c r="AA12" s="701"/>
      <c r="AB12" s="701"/>
      <c r="AC12" s="701"/>
      <c r="AD12" s="701"/>
    </row>
    <row r="13" spans="1:30" ht="93" x14ac:dyDescent="0.3">
      <c r="A13" s="26" t="s">
        <v>28</v>
      </c>
      <c r="B13" s="26" t="s">
        <v>32</v>
      </c>
      <c r="C13" s="26" t="s">
        <v>27</v>
      </c>
      <c r="D13" s="26" t="s">
        <v>18</v>
      </c>
      <c r="E13" s="26" t="s">
        <v>19</v>
      </c>
      <c r="F13" s="26" t="s">
        <v>24</v>
      </c>
      <c r="G13" s="26" t="s">
        <v>20</v>
      </c>
      <c r="H13" s="328" t="s">
        <v>35</v>
      </c>
      <c r="I13" s="669" t="s">
        <v>1096</v>
      </c>
      <c r="J13" s="669" t="s">
        <v>113</v>
      </c>
      <c r="K13" s="669" t="s">
        <v>217</v>
      </c>
      <c r="L13" s="669" t="s">
        <v>218</v>
      </c>
      <c r="M13" s="669" t="s">
        <v>219</v>
      </c>
      <c r="N13" s="670" t="s">
        <v>206</v>
      </c>
      <c r="O13" s="669" t="s">
        <v>1118</v>
      </c>
      <c r="P13" s="702" t="s">
        <v>1092</v>
      </c>
      <c r="Q13" s="669" t="s">
        <v>1115</v>
      </c>
      <c r="R13" s="669" t="s">
        <v>1116</v>
      </c>
      <c r="S13" s="669" t="s">
        <v>1119</v>
      </c>
      <c r="T13" s="669" t="s">
        <v>1103</v>
      </c>
      <c r="U13" s="669" t="s">
        <v>1097</v>
      </c>
      <c r="V13" s="669" t="s">
        <v>1098</v>
      </c>
      <c r="W13" s="669" t="s">
        <v>1099</v>
      </c>
      <c r="X13" s="669" t="s">
        <v>1101</v>
      </c>
      <c r="Y13" s="669" t="s">
        <v>1102</v>
      </c>
      <c r="Z13" s="669" t="s">
        <v>1100</v>
      </c>
      <c r="AA13" s="669" t="s">
        <v>1104</v>
      </c>
      <c r="AB13" s="669" t="s">
        <v>1105</v>
      </c>
      <c r="AC13" s="669" t="s">
        <v>45</v>
      </c>
    </row>
    <row r="14" spans="1:30" x14ac:dyDescent="0.25">
      <c r="A14" s="23" t="str">
        <f>Weather_Site!A12</f>
        <v>Sun</v>
      </c>
      <c r="B14" s="24">
        <f>Weather_Site!B12</f>
        <v>44549</v>
      </c>
      <c r="C14" s="25">
        <f>Weather_Site!C12</f>
        <v>0.16666666666666666</v>
      </c>
      <c r="D14" s="27">
        <f>Weather_Site!D12</f>
        <v>23.9</v>
      </c>
      <c r="E14" s="27">
        <f>Weather_Site!E12</f>
        <v>24.2</v>
      </c>
      <c r="F14" s="28">
        <f>Weather_Site!F12</f>
        <v>36</v>
      </c>
      <c r="G14" s="27">
        <f>Weather_Site!G12</f>
        <v>16</v>
      </c>
      <c r="H14" s="180">
        <f>C$4</f>
        <v>0</v>
      </c>
      <c r="I14" s="703">
        <f>G14/$O$10</f>
        <v>3.2</v>
      </c>
      <c r="J14" s="742">
        <f>IF(Weather_Site!M12&lt;180,Weather_Site!M12+180,Weather_Site!M12-180)</f>
        <v>216</v>
      </c>
      <c r="K14" s="635">
        <f>2.76+0.124*E14-0.0187*D14</f>
        <v>5.3138699999999996</v>
      </c>
      <c r="L14" s="635">
        <f>3.6+0.169*E14-0.045*D14</f>
        <v>6.6143000000000001</v>
      </c>
      <c r="M14" s="635">
        <f>3.08+0.198*E14-0.0483*D14</f>
        <v>6.7172299999999998</v>
      </c>
      <c r="N14" s="704">
        <f>IF(AND(OR(MONTH(B14)&gt;10,MONTH(B14)&lt;3),AND(HOUR(C14)&gt;=13,HOUR(C14)&lt;=17)),K14,IF(OR(HOUR(C14)&lt;8,HOUR(C14)&gt;=20),M14,L14))</f>
        <v>6.7172299999999998</v>
      </c>
      <c r="O14" s="636">
        <f>IF(M14&lt;=4.1,1,IF(M14&gt;=24,0,(0.9082+0.1206*M14-0.03106*M14^2+0.001853*M14^3-0.00003467*M14^4)))</f>
        <v>0.8078732889411081</v>
      </c>
      <c r="P14" s="705">
        <f>IF($O$11,Weather_Site!H12,IF(0.191*(Weather_Site!K12+104)*(Weather_Site!J12+1)^1.5/(3.52*(Weather_Site!J12+1)^1.5+Weather_Site!I12-1)&gt;10, 10,0.191*(Weather_Site!K12+104)*(Weather_Site!J12+1)^1.5/(3.52*(Weather_Site!J12+1)^1.5+Weather_Site!I12-1)))</f>
        <v>8.6999999999999993</v>
      </c>
      <c r="Q14" s="743">
        <f t="shared" ref="Q14" si="0">P14*(MAX($S$9+$S$10,0)/10)</f>
        <v>2.5922333471999974</v>
      </c>
      <c r="R14" s="636">
        <f>1.008/(1+104.9*EXP(-0.9306*Q14))</f>
        <v>9.6926101633586892E-2</v>
      </c>
      <c r="S14" s="636">
        <f t="shared" ref="S14" si="1">O14*R14</f>
        <v>7.8304008510965958E-2</v>
      </c>
      <c r="T14" s="635">
        <f t="shared" ref="T14" si="2">MIN(IF(H14&gt;0,2^(H14/10),(2^(-H14/10))/(2*(2^(-H14/10))-1)),4)</f>
        <v>1</v>
      </c>
      <c r="U14" s="706">
        <f>IF(I14&gt;2,(0.03+0.05024*(I14-1)^0.92628*(($E$6+$E$7)/10)^0.79928)*1000*S14*T14,0.03*S14*T14*1000)</f>
        <v>18.789360045193302</v>
      </c>
      <c r="V14" s="707">
        <f>IF(I14&gt;2,(0.19591*(I14-1)^0.82569*(($E$6+$E$7)/10)^0.46722)*$C$10^0.495*1000*S14*T14,0.03*1000*S14*T14)</f>
        <v>62.406198338638454</v>
      </c>
      <c r="W14" s="707">
        <f t="shared" ref="W14" si="3">(0.05235*(G14)^1.19128)*1000*S14*T14</f>
        <v>111.4665947454275</v>
      </c>
      <c r="X14" s="708">
        <f>IF((E$6+E$7)&lt;1,0,1/(1+EXP(-(-23.9315+1.7033*I14+12.0822*S14+9.5236*($E$6+$E$7)))))</f>
        <v>1</v>
      </c>
      <c r="Y14" s="636">
        <f t="shared" ref="Y14" si="4">IF(V14&lt;300,0,1/(1+EXP(-(-32.3074+0.2951*G14+26.8734*S14))))</f>
        <v>0</v>
      </c>
      <c r="Z14" s="709">
        <f>IF(X14&lt;0.5,(U14*(1-X14)+V14*X14),(U14*(1-X14)+V14*X14*(1-Y14)+W14*Y14))</f>
        <v>62.406198338638454</v>
      </c>
      <c r="AA14" s="635">
        <f>0.0193*Z14^0.723*EXP(0.64*$C$10)*1.07</f>
        <v>1.4749852256325278</v>
      </c>
      <c r="AB14" s="709">
        <f t="shared" ref="AB14" si="5">(1/(0.2204*G14+1))*Z14</f>
        <v>13.787159406733483</v>
      </c>
      <c r="AC14" s="638">
        <f>18600*Z14/3600*F$11/10</f>
        <v>1031.7824791988223</v>
      </c>
    </row>
    <row r="15" spans="1:30" x14ac:dyDescent="0.25">
      <c r="A15" s="23" t="str">
        <f>Weather_Site!A13</f>
        <v>Sun</v>
      </c>
      <c r="B15" s="24">
        <f>Weather_Site!B13</f>
        <v>44549</v>
      </c>
      <c r="C15" s="25">
        <f>Weather_Site!C13</f>
        <v>0.20833333333333334</v>
      </c>
      <c r="D15" s="27">
        <f>Weather_Site!D13</f>
        <v>23.6</v>
      </c>
      <c r="E15" s="27">
        <f>Weather_Site!E13</f>
        <v>24.4</v>
      </c>
      <c r="F15" s="28">
        <f>Weather_Site!F13</f>
        <v>312</v>
      </c>
      <c r="G15" s="27">
        <f>Weather_Site!G13</f>
        <v>13</v>
      </c>
      <c r="H15" s="180">
        <f t="shared" ref="H15:H18" si="6">C$4</f>
        <v>0</v>
      </c>
      <c r="I15" s="703">
        <f t="shared" ref="I15:I18" si="7">G15/$O$10</f>
        <v>2.6</v>
      </c>
      <c r="J15" s="742">
        <f>IF(Weather_Site!M13&lt;180,Weather_Site!M13+180,Weather_Site!M13-180)</f>
        <v>132</v>
      </c>
      <c r="K15" s="635">
        <f t="shared" ref="K15:K18" si="8">2.76+0.124*E15-0.0187*D15</f>
        <v>5.3442799999999995</v>
      </c>
      <c r="L15" s="635">
        <f t="shared" ref="L15:L18" si="9">3.6+0.169*E15-0.045*D15</f>
        <v>6.6615999999999991</v>
      </c>
      <c r="M15" s="635">
        <f t="shared" ref="M15:M18" si="10">3.08+0.198*E15-0.0483*D15</f>
        <v>6.7713199999999993</v>
      </c>
      <c r="N15" s="704">
        <f t="shared" ref="N15:N18" si="11">IF(AND(OR(MONTH(B15)&gt;10,MONTH(B15)&lt;3),AND(HOUR(C15)&gt;=13,HOUR(C15)&lt;=17)),K15,IF(OR(HOUR(C15)&lt;8,HOUR(C15)&gt;=20),M15,L15))</f>
        <v>6.7713199999999993</v>
      </c>
      <c r="O15" s="636">
        <f t="shared" ref="O15:O18" si="12">IF(M15&lt;=4.1,1,IF(M15&gt;=24,0,(0.9082+0.1206*M15-0.03106*M15^2+0.001853*M15^3-0.00003467*M15^4)))</f>
        <v>0.8031110223095963</v>
      </c>
      <c r="P15" s="705">
        <f>IF($O$11,Weather_Site!H13,IF(0.191*(Weather_Site!K13+104)*(Weather_Site!J13+1)^1.5/(3.52*(Weather_Site!J13+1)^1.5+Weather_Site!I13-1)&gt;10, 10,0.191*(Weather_Site!K13+104)*(Weather_Site!J13+1)^1.5/(3.52*(Weather_Site!J13+1)^1.5+Weather_Site!I13-1)))</f>
        <v>8.6999999999999993</v>
      </c>
      <c r="Q15" s="743">
        <f t="shared" ref="Q15:Q18" si="13">P15*(MAX($S$9+$S$10,0)/10)</f>
        <v>2.5922333471999974</v>
      </c>
      <c r="R15" s="636">
        <f t="shared" ref="R15:R18" si="14">1.008/(1+104.9*EXP(-0.9306*Q15))</f>
        <v>9.6926101633586892E-2</v>
      </c>
      <c r="S15" s="636">
        <f t="shared" ref="S15:S18" si="15">O15*R15</f>
        <v>7.7842420571433799E-2</v>
      </c>
      <c r="T15" s="635">
        <f t="shared" ref="T15:T18" si="16">MIN(IF(H15&gt;0,2^(H15/10),(2^(-H15/10))/(2*(2^(-H15/10))-1)),4)</f>
        <v>1</v>
      </c>
      <c r="U15" s="706">
        <f t="shared" ref="U15:U18" si="17">IF(I15&gt;2,(0.03+0.05024*(I15-1)^0.92628*(($E$6+$E$7)/10)^0.79928)*1000*S15*T15,0.03*S15*T15*1000)</f>
        <v>14.503672177752607</v>
      </c>
      <c r="V15" s="707">
        <f t="shared" ref="V15:V18" si="18">IF(I15&gt;2,(0.19591*(I15-1)^0.82569*(($E$6+$E$7)/10)^0.46722)*$C$10^0.495*1000*S15*T15,0.03*1000*S15*T15)</f>
        <v>47.694127625686107</v>
      </c>
      <c r="W15" s="707">
        <f t="shared" ref="W15:W18" si="19">(0.05235*(G15)^1.19128)*1000*S15*T15</f>
        <v>86.526961848502822</v>
      </c>
      <c r="X15" s="708">
        <f t="shared" ref="X15:X18" si="20">IF((E$6+E$7)&lt;1,0,1/(1+EXP(-(-23.9315+1.7033*I15+12.0822*S15+9.5236*($E$6+$E$7)))))</f>
        <v>1</v>
      </c>
      <c r="Y15" s="636">
        <f t="shared" ref="Y15:Y18" si="21">IF(V15&lt;300,0,1/(1+EXP(-(-32.3074+0.2951*G15+26.8734*S15))))</f>
        <v>0</v>
      </c>
      <c r="Z15" s="709">
        <f t="shared" ref="Z15:Z18" si="22">IF(X15&lt;0.5,(U15*(1-X15)+V15*X15),(U15*(1-X15)+V15*X15*(1-Y15)+W15*Y15))</f>
        <v>47.694127625686107</v>
      </c>
      <c r="AA15" s="635">
        <f t="shared" ref="AA15:AA18" si="23">0.0193*Z15^0.723*EXP(0.64*$C$10)*1.07</f>
        <v>1.2144178809541324</v>
      </c>
      <c r="AB15" s="709">
        <f t="shared" ref="AB15:AB18" si="24">(1/(0.2204*G15+1))*Z15</f>
        <v>12.339368629226458</v>
      </c>
      <c r="AC15" s="638">
        <f t="shared" ref="AC15:AC18" si="25">18600*Z15/3600*F$11/10</f>
        <v>788.54291007801032</v>
      </c>
    </row>
    <row r="16" spans="1:30" x14ac:dyDescent="0.25">
      <c r="A16" s="23" t="str">
        <f>Weather_Site!A14</f>
        <v>Sun</v>
      </c>
      <c r="B16" s="24">
        <f>Weather_Site!B14</f>
        <v>44549</v>
      </c>
      <c r="C16" s="25">
        <f>Weather_Site!C14</f>
        <v>0.25</v>
      </c>
      <c r="D16" s="27">
        <f>Weather_Site!D14</f>
        <v>22.7</v>
      </c>
      <c r="E16" s="27">
        <f>Weather_Site!E14</f>
        <v>27.3</v>
      </c>
      <c r="F16" s="28">
        <f>Weather_Site!F14</f>
        <v>336</v>
      </c>
      <c r="G16" s="27">
        <f>Weather_Site!G14</f>
        <v>16</v>
      </c>
      <c r="H16" s="180">
        <f t="shared" si="6"/>
        <v>0</v>
      </c>
      <c r="I16" s="703">
        <f t="shared" si="7"/>
        <v>3.2</v>
      </c>
      <c r="J16" s="742">
        <f>IF(Weather_Site!M14&lt;180,Weather_Site!M14+180,Weather_Site!M14-180)</f>
        <v>156</v>
      </c>
      <c r="K16" s="635">
        <f t="shared" si="8"/>
        <v>5.7207100000000004</v>
      </c>
      <c r="L16" s="635">
        <f t="shared" si="9"/>
        <v>7.1922000000000015</v>
      </c>
      <c r="M16" s="635">
        <f t="shared" si="10"/>
        <v>7.3889899999999997</v>
      </c>
      <c r="N16" s="704">
        <f t="shared" si="11"/>
        <v>7.3889899999999997</v>
      </c>
      <c r="O16" s="636">
        <f t="shared" si="12"/>
        <v>0.74771137115488462</v>
      </c>
      <c r="P16" s="705">
        <f>IF($O$11,Weather_Site!H14,IF(0.191*(Weather_Site!K14+104)*(Weather_Site!J14+1)^1.5/(3.52*(Weather_Site!J14+1)^1.5+Weather_Site!I14-1)&gt;10, 10,0.191*(Weather_Site!K14+104)*(Weather_Site!J14+1)^1.5/(3.52*(Weather_Site!J14+1)^1.5+Weather_Site!I14-1)))</f>
        <v>8.6999999999999993</v>
      </c>
      <c r="Q16" s="743">
        <f t="shared" si="13"/>
        <v>2.5922333471999974</v>
      </c>
      <c r="R16" s="636">
        <f t="shared" si="14"/>
        <v>9.6926101633586892E-2</v>
      </c>
      <c r="S16" s="636">
        <f t="shared" si="15"/>
        <v>7.247274835314696E-2</v>
      </c>
      <c r="T16" s="635">
        <f t="shared" si="16"/>
        <v>1</v>
      </c>
      <c r="U16" s="706">
        <f t="shared" si="17"/>
        <v>17.390125846255607</v>
      </c>
      <c r="V16" s="707">
        <f t="shared" si="18"/>
        <v>57.758840114032495</v>
      </c>
      <c r="W16" s="707">
        <f t="shared" si="19"/>
        <v>103.16573345841253</v>
      </c>
      <c r="X16" s="708">
        <f t="shared" si="20"/>
        <v>1</v>
      </c>
      <c r="Y16" s="636">
        <f t="shared" si="21"/>
        <v>0</v>
      </c>
      <c r="Z16" s="709">
        <f t="shared" si="22"/>
        <v>57.758840114032495</v>
      </c>
      <c r="AA16" s="635">
        <f t="shared" si="23"/>
        <v>1.3947236735641697</v>
      </c>
      <c r="AB16" s="709">
        <f t="shared" si="24"/>
        <v>12.760436575210429</v>
      </c>
      <c r="AC16" s="638">
        <f t="shared" si="25"/>
        <v>954.94615655200391</v>
      </c>
    </row>
    <row r="17" spans="1:29" x14ac:dyDescent="0.25">
      <c r="A17" s="23" t="str">
        <f>Weather_Site!A15</f>
        <v>Sun</v>
      </c>
      <c r="B17" s="24">
        <f>Weather_Site!B15</f>
        <v>44549</v>
      </c>
      <c r="C17" s="25">
        <f>Weather_Site!C15</f>
        <v>0.29166666666666669</v>
      </c>
      <c r="D17" s="27">
        <f>Weather_Site!D15</f>
        <v>23</v>
      </c>
      <c r="E17" s="27">
        <f>Weather_Site!E15</f>
        <v>28.2</v>
      </c>
      <c r="F17" s="28">
        <f>Weather_Site!F15</f>
        <v>2</v>
      </c>
      <c r="G17" s="27">
        <f>Weather_Site!G15</f>
        <v>25</v>
      </c>
      <c r="H17" s="180">
        <f t="shared" si="6"/>
        <v>0</v>
      </c>
      <c r="I17" s="703">
        <f t="shared" si="7"/>
        <v>5</v>
      </c>
      <c r="J17" s="742">
        <f>IF(Weather_Site!M15&lt;180,Weather_Site!M15+180,Weather_Site!M15-180)</f>
        <v>182</v>
      </c>
      <c r="K17" s="635">
        <f t="shared" si="8"/>
        <v>5.8266999999999998</v>
      </c>
      <c r="L17" s="635">
        <f t="shared" si="9"/>
        <v>7.3308</v>
      </c>
      <c r="M17" s="635">
        <f t="shared" si="10"/>
        <v>7.5527000000000006</v>
      </c>
      <c r="N17" s="704">
        <f t="shared" si="11"/>
        <v>7.5527000000000006</v>
      </c>
      <c r="O17" s="636">
        <f t="shared" si="12"/>
        <v>0.73280688314218367</v>
      </c>
      <c r="P17" s="705">
        <f>IF($O$11,Weather_Site!H15,IF(0.191*(Weather_Site!K15+104)*(Weather_Site!J15+1)^1.5/(3.52*(Weather_Site!J15+1)^1.5+Weather_Site!I15-1)&gt;10, 10,0.191*(Weather_Site!K15+104)*(Weather_Site!J15+1)^1.5/(3.52*(Weather_Site!J15+1)^1.5+Weather_Site!I15-1)))</f>
        <v>8.6999999999999993</v>
      </c>
      <c r="Q17" s="743">
        <f t="shared" si="13"/>
        <v>2.5922333471999974</v>
      </c>
      <c r="R17" s="636">
        <f t="shared" si="14"/>
        <v>9.6926101633586892E-2</v>
      </c>
      <c r="S17" s="636">
        <f t="shared" si="15"/>
        <v>7.1028114433231329E-2</v>
      </c>
      <c r="T17" s="635">
        <f t="shared" si="16"/>
        <v>1</v>
      </c>
      <c r="U17" s="706">
        <f t="shared" si="17"/>
        <v>28.075700740145354</v>
      </c>
      <c r="V17" s="707">
        <f t="shared" si="18"/>
        <v>92.73719350997635</v>
      </c>
      <c r="W17" s="707">
        <f t="shared" si="19"/>
        <v>172.06199150034175</v>
      </c>
      <c r="X17" s="708">
        <f t="shared" si="20"/>
        <v>1</v>
      </c>
      <c r="Y17" s="636">
        <f t="shared" si="21"/>
        <v>0</v>
      </c>
      <c r="Z17" s="709">
        <f t="shared" si="22"/>
        <v>92.73719350997635</v>
      </c>
      <c r="AA17" s="635">
        <f t="shared" si="23"/>
        <v>1.9640956260801894</v>
      </c>
      <c r="AB17" s="709">
        <f t="shared" si="24"/>
        <v>14.245344625188379</v>
      </c>
      <c r="AC17" s="638">
        <f t="shared" si="25"/>
        <v>1533.2549326982758</v>
      </c>
    </row>
    <row r="18" spans="1:29" x14ac:dyDescent="0.25">
      <c r="A18" s="23" t="str">
        <f>Weather_Site!A16</f>
        <v>Sun</v>
      </c>
      <c r="B18" s="24">
        <f>Weather_Site!B16</f>
        <v>44549</v>
      </c>
      <c r="C18" s="25">
        <f>Weather_Site!C16</f>
        <v>0.33333333333333331</v>
      </c>
      <c r="D18" s="27">
        <f>Weather_Site!D16</f>
        <v>25.3</v>
      </c>
      <c r="E18" s="27">
        <f>Weather_Site!E16</f>
        <v>26</v>
      </c>
      <c r="F18" s="28">
        <f>Weather_Site!F16</f>
        <v>0</v>
      </c>
      <c r="G18" s="27">
        <f>Weather_Site!G16</f>
        <v>32</v>
      </c>
      <c r="H18" s="180">
        <f t="shared" si="6"/>
        <v>0</v>
      </c>
      <c r="I18" s="703">
        <f t="shared" si="7"/>
        <v>6.4</v>
      </c>
      <c r="J18" s="742">
        <f>IF(Weather_Site!M16&lt;180,Weather_Site!M16+180,Weather_Site!M16-180)</f>
        <v>180</v>
      </c>
      <c r="K18" s="635">
        <f t="shared" si="8"/>
        <v>5.5108899999999998</v>
      </c>
      <c r="L18" s="635">
        <f t="shared" si="9"/>
        <v>6.8554999999999993</v>
      </c>
      <c r="M18" s="635">
        <f t="shared" si="10"/>
        <v>7.0060100000000016</v>
      </c>
      <c r="N18" s="704">
        <f t="shared" si="11"/>
        <v>6.8554999999999993</v>
      </c>
      <c r="O18" s="636">
        <f t="shared" si="12"/>
        <v>0.78225885406876117</v>
      </c>
      <c r="P18" s="705">
        <f>IF($O$11,Weather_Site!H16,IF(0.191*(Weather_Site!K16+104)*(Weather_Site!J16+1)^1.5/(3.52*(Weather_Site!J16+1)^1.5+Weather_Site!I16-1)&gt;10, 10,0.191*(Weather_Site!K16+104)*(Weather_Site!J16+1)^1.5/(3.52*(Weather_Site!J16+1)^1.5+Weather_Site!I16-1)))</f>
        <v>8.6999999999999993</v>
      </c>
      <c r="Q18" s="743">
        <f t="shared" si="13"/>
        <v>2.5922333471999974</v>
      </c>
      <c r="R18" s="636">
        <f t="shared" si="14"/>
        <v>9.6926101633586892E-2</v>
      </c>
      <c r="S18" s="636">
        <f t="shared" si="15"/>
        <v>7.5821301193241958E-2</v>
      </c>
      <c r="T18" s="635">
        <f t="shared" si="16"/>
        <v>1</v>
      </c>
      <c r="U18" s="706">
        <f t="shared" si="17"/>
        <v>38.845719975849342</v>
      </c>
      <c r="V18" s="707">
        <f t="shared" si="18"/>
        <v>126.83239272202384</v>
      </c>
      <c r="W18" s="707">
        <f t="shared" si="19"/>
        <v>246.46938726400583</v>
      </c>
      <c r="X18" s="708">
        <f t="shared" si="20"/>
        <v>1</v>
      </c>
      <c r="Y18" s="636">
        <f t="shared" si="21"/>
        <v>0</v>
      </c>
      <c r="Z18" s="709">
        <f t="shared" si="22"/>
        <v>126.83239272202384</v>
      </c>
      <c r="AA18" s="635">
        <f t="shared" si="23"/>
        <v>2.46305124539357</v>
      </c>
      <c r="AB18" s="709">
        <f t="shared" si="24"/>
        <v>15.750098440545377</v>
      </c>
      <c r="AC18" s="638">
        <f t="shared" si="25"/>
        <v>2096.9622263374613</v>
      </c>
    </row>
    <row r="19" spans="1:29" x14ac:dyDescent="0.25">
      <c r="A19" s="45"/>
      <c r="B19" s="672"/>
      <c r="C19" s="673"/>
      <c r="D19" s="413"/>
      <c r="E19" s="413"/>
      <c r="F19" s="674"/>
      <c r="G19" s="413"/>
      <c r="H19" s="180"/>
      <c r="I19" s="710"/>
      <c r="J19" s="736"/>
      <c r="K19" s="711"/>
      <c r="L19" s="711"/>
      <c r="M19" s="711"/>
      <c r="N19" s="712"/>
      <c r="O19" s="713"/>
      <c r="P19" s="714"/>
      <c r="Q19" s="744"/>
      <c r="R19" s="713"/>
      <c r="S19" s="713"/>
      <c r="T19" s="711"/>
      <c r="U19" s="745"/>
      <c r="V19" s="716"/>
      <c r="W19" s="716"/>
      <c r="X19" s="717"/>
      <c r="Y19" s="713"/>
      <c r="Z19" s="746"/>
      <c r="AA19" s="711"/>
      <c r="AB19" s="741"/>
      <c r="AC19" s="720"/>
    </row>
    <row r="20" spans="1:29" x14ac:dyDescent="0.25">
      <c r="A20" s="45"/>
      <c r="B20" s="672"/>
      <c r="C20" s="673"/>
      <c r="D20" s="413"/>
      <c r="E20" s="413"/>
      <c r="F20" s="674"/>
      <c r="G20" s="413"/>
      <c r="H20" s="548"/>
      <c r="I20" s="413"/>
      <c r="J20" s="736"/>
      <c r="K20" s="711"/>
      <c r="L20" s="711"/>
      <c r="M20" s="711"/>
      <c r="N20" s="711"/>
      <c r="O20" s="713"/>
      <c r="P20" s="711"/>
      <c r="Q20" s="711"/>
      <c r="R20" s="713"/>
      <c r="S20" s="713"/>
      <c r="T20" s="711"/>
      <c r="U20" s="716"/>
      <c r="V20" s="716"/>
      <c r="W20" s="716"/>
      <c r="X20" s="717"/>
      <c r="Y20" s="713"/>
      <c r="Z20" s="710"/>
      <c r="AA20" s="711"/>
      <c r="AB20" s="716"/>
      <c r="AC20" s="719"/>
    </row>
    <row r="21" spans="1:29" x14ac:dyDescent="0.25">
      <c r="A21" s="45"/>
      <c r="B21" s="672"/>
      <c r="C21" s="673"/>
      <c r="D21" s="413"/>
      <c r="E21" s="413"/>
      <c r="F21" s="674"/>
      <c r="G21" s="413"/>
      <c r="H21" s="548"/>
      <c r="I21" s="413"/>
      <c r="J21" s="736"/>
      <c r="K21" s="711"/>
      <c r="L21" s="711"/>
      <c r="M21" s="711"/>
      <c r="N21" s="711"/>
      <c r="O21" s="713"/>
      <c r="P21" s="711"/>
      <c r="Q21" s="711"/>
      <c r="R21" s="713"/>
      <c r="S21" s="713"/>
      <c r="T21" s="711"/>
      <c r="U21" s="716"/>
      <c r="V21" s="716"/>
      <c r="W21" s="716"/>
      <c r="X21" s="717"/>
      <c r="Y21" s="713"/>
      <c r="Z21" s="710"/>
      <c r="AA21" s="711"/>
      <c r="AB21" s="716"/>
      <c r="AC21" s="719"/>
    </row>
    <row r="22" spans="1:29" x14ac:dyDescent="0.25">
      <c r="A22" s="45"/>
      <c r="B22" s="672"/>
      <c r="C22" s="673"/>
      <c r="D22" s="413"/>
      <c r="E22" s="413"/>
      <c r="F22" s="674"/>
      <c r="G22" s="413"/>
      <c r="H22" s="548"/>
      <c r="I22" s="413"/>
      <c r="J22" s="736"/>
      <c r="K22" s="711"/>
      <c r="L22" s="711"/>
      <c r="M22" s="711"/>
      <c r="N22" s="711"/>
      <c r="O22" s="713"/>
      <c r="P22" s="711"/>
      <c r="Q22" s="711"/>
      <c r="R22" s="713"/>
      <c r="S22" s="713"/>
      <c r="T22" s="711"/>
      <c r="U22" s="716"/>
      <c r="V22" s="716"/>
      <c r="W22" s="716"/>
      <c r="X22" s="717"/>
      <c r="Y22" s="713"/>
      <c r="Z22" s="710"/>
      <c r="AA22" s="711"/>
      <c r="AB22" s="716"/>
      <c r="AC22" s="719"/>
    </row>
    <row r="23" spans="1:29" x14ac:dyDescent="0.25">
      <c r="A23" s="45"/>
      <c r="B23" s="672"/>
      <c r="C23" s="673"/>
      <c r="D23" s="413"/>
      <c r="E23" s="413"/>
      <c r="F23" s="674"/>
      <c r="G23" s="413"/>
      <c r="H23" s="548"/>
      <c r="I23" s="413"/>
      <c r="J23" s="736"/>
      <c r="K23" s="711"/>
      <c r="L23" s="711"/>
      <c r="M23" s="711"/>
      <c r="N23" s="711"/>
      <c r="O23" s="713"/>
      <c r="P23" s="711"/>
      <c r="Q23" s="711"/>
      <c r="R23" s="713"/>
      <c r="S23" s="713"/>
      <c r="T23" s="711"/>
      <c r="U23" s="716"/>
      <c r="V23" s="716"/>
      <c r="W23" s="716"/>
      <c r="X23" s="717"/>
      <c r="Y23" s="713"/>
      <c r="Z23" s="710"/>
      <c r="AA23" s="711"/>
      <c r="AB23" s="716"/>
      <c r="AC23" s="719"/>
    </row>
    <row r="24" spans="1:29" x14ac:dyDescent="0.25">
      <c r="A24" s="23"/>
      <c r="B24" s="24"/>
      <c r="C24" s="25"/>
      <c r="D24" s="27"/>
      <c r="E24" s="27"/>
      <c r="F24" s="28"/>
      <c r="G24" s="27"/>
      <c r="H24" s="548"/>
      <c r="I24" s="27"/>
      <c r="J24" s="737"/>
      <c r="K24" s="635"/>
      <c r="L24" s="635"/>
      <c r="M24" s="635"/>
      <c r="N24" s="635"/>
      <c r="O24" s="636"/>
      <c r="P24" s="635"/>
      <c r="Q24" s="635"/>
      <c r="R24" s="636"/>
      <c r="S24" s="636"/>
      <c r="T24" s="635"/>
      <c r="U24" s="707"/>
      <c r="V24" s="707"/>
      <c r="W24" s="707"/>
      <c r="X24" s="708"/>
      <c r="Y24" s="636"/>
      <c r="Z24" s="637"/>
      <c r="AA24" s="635"/>
      <c r="AB24" s="707"/>
      <c r="AC24" s="644"/>
    </row>
    <row r="25" spans="1:29" x14ac:dyDescent="0.25">
      <c r="A25" s="23"/>
      <c r="B25" s="24"/>
      <c r="C25" s="25"/>
      <c r="D25" s="27"/>
      <c r="E25" s="27"/>
      <c r="F25" s="28"/>
      <c r="G25" s="27"/>
      <c r="H25" s="548"/>
      <c r="I25" s="27"/>
      <c r="J25" s="737"/>
      <c r="K25" s="635"/>
      <c r="L25" s="635"/>
      <c r="M25" s="635"/>
      <c r="N25" s="635"/>
      <c r="O25" s="636"/>
      <c r="P25" s="635"/>
      <c r="Q25" s="635"/>
      <c r="R25" s="636"/>
      <c r="S25" s="636"/>
      <c r="T25" s="635"/>
      <c r="U25" s="707"/>
      <c r="V25" s="707"/>
      <c r="W25" s="707"/>
      <c r="X25" s="708"/>
      <c r="Y25" s="636"/>
      <c r="Z25" s="637"/>
      <c r="AA25" s="635"/>
      <c r="AB25" s="707"/>
      <c r="AC25" s="644"/>
    </row>
    <row r="26" spans="1:29" x14ac:dyDescent="0.25">
      <c r="A26" s="23"/>
      <c r="B26" s="24"/>
      <c r="C26" s="25"/>
      <c r="D26" s="27"/>
      <c r="E26" s="27"/>
      <c r="F26" s="28"/>
      <c r="G26" s="27"/>
      <c r="H26" s="548"/>
      <c r="I26" s="27"/>
      <c r="J26" s="737"/>
      <c r="K26" s="635"/>
      <c r="L26" s="635"/>
      <c r="M26" s="635"/>
      <c r="N26" s="635"/>
      <c r="O26" s="636"/>
      <c r="P26" s="635"/>
      <c r="Q26" s="635"/>
      <c r="R26" s="636"/>
      <c r="S26" s="636"/>
      <c r="T26" s="635"/>
      <c r="U26" s="707"/>
      <c r="V26" s="707"/>
      <c r="W26" s="707"/>
      <c r="X26" s="708"/>
      <c r="Y26" s="636"/>
      <c r="Z26" s="637"/>
      <c r="AA26" s="635"/>
      <c r="AB26" s="707"/>
      <c r="AC26" s="644"/>
    </row>
    <row r="27" spans="1:29" x14ac:dyDescent="0.25">
      <c r="A27" s="23"/>
      <c r="B27" s="24"/>
      <c r="C27" s="25"/>
      <c r="D27" s="27"/>
      <c r="E27" s="27"/>
      <c r="F27" s="28"/>
      <c r="G27" s="27"/>
      <c r="H27" s="548"/>
      <c r="I27" s="27"/>
      <c r="J27" s="737"/>
      <c r="K27" s="635"/>
      <c r="L27" s="635"/>
      <c r="M27" s="635"/>
      <c r="N27" s="635"/>
      <c r="O27" s="636"/>
      <c r="P27" s="635"/>
      <c r="Q27" s="635"/>
      <c r="R27" s="636"/>
      <c r="S27" s="636"/>
      <c r="T27" s="635"/>
      <c r="U27" s="707"/>
      <c r="V27" s="707"/>
      <c r="W27" s="707"/>
      <c r="X27" s="708"/>
      <c r="Y27" s="636"/>
      <c r="Z27" s="637"/>
      <c r="AA27" s="635"/>
      <c r="AB27" s="707"/>
      <c r="AC27" s="644"/>
    </row>
    <row r="28" spans="1:29" x14ac:dyDescent="0.25">
      <c r="A28" s="23"/>
      <c r="B28" s="24"/>
      <c r="C28" s="25"/>
      <c r="D28" s="27"/>
      <c r="E28" s="27"/>
      <c r="F28" s="28"/>
      <c r="G28" s="27"/>
      <c r="H28" s="548"/>
      <c r="I28" s="27"/>
      <c r="J28" s="737"/>
      <c r="K28" s="635"/>
      <c r="L28" s="635"/>
      <c r="M28" s="635"/>
      <c r="N28" s="635"/>
      <c r="O28" s="636"/>
      <c r="P28" s="635"/>
      <c r="Q28" s="635"/>
      <c r="R28" s="636"/>
      <c r="S28" s="636"/>
      <c r="T28" s="635"/>
      <c r="U28" s="707"/>
      <c r="V28" s="707"/>
      <c r="W28" s="707"/>
      <c r="X28" s="708"/>
      <c r="Y28" s="636"/>
      <c r="Z28" s="637"/>
      <c r="AA28" s="635"/>
      <c r="AB28" s="707"/>
      <c r="AC28" s="644"/>
    </row>
    <row r="29" spans="1:29" x14ac:dyDescent="0.25">
      <c r="A29" s="45"/>
      <c r="B29" s="672"/>
      <c r="C29" s="673"/>
      <c r="D29" s="413"/>
      <c r="E29" s="413"/>
      <c r="F29" s="674"/>
      <c r="G29" s="413"/>
      <c r="H29" s="548"/>
      <c r="I29" s="413"/>
      <c r="J29" s="736"/>
      <c r="K29" s="711"/>
      <c r="L29" s="711"/>
      <c r="M29" s="711"/>
      <c r="N29" s="711"/>
      <c r="O29" s="713"/>
      <c r="P29" s="711"/>
      <c r="Q29" s="711"/>
      <c r="R29" s="713"/>
      <c r="S29" s="713"/>
      <c r="T29" s="711"/>
      <c r="U29" s="716"/>
      <c r="V29" s="716"/>
      <c r="W29" s="716"/>
      <c r="X29" s="717"/>
      <c r="Y29" s="713"/>
      <c r="Z29" s="710"/>
      <c r="AA29" s="711"/>
      <c r="AB29" s="716"/>
      <c r="AC29" s="719"/>
    </row>
    <row r="30" spans="1:29" x14ac:dyDescent="0.25">
      <c r="A30" s="45"/>
      <c r="B30" s="672"/>
      <c r="C30" s="673"/>
      <c r="D30" s="413"/>
      <c r="E30" s="413"/>
      <c r="F30" s="674"/>
      <c r="G30" s="413"/>
      <c r="H30" s="548"/>
      <c r="I30" s="413"/>
      <c r="J30" s="736"/>
      <c r="K30" s="711"/>
      <c r="L30" s="711"/>
      <c r="M30" s="711"/>
      <c r="N30" s="711"/>
      <c r="O30" s="713"/>
      <c r="P30" s="711"/>
      <c r="Q30" s="711"/>
      <c r="R30" s="713"/>
      <c r="S30" s="713"/>
      <c r="T30" s="711"/>
      <c r="U30" s="716"/>
      <c r="V30" s="716"/>
      <c r="W30" s="716"/>
      <c r="X30" s="717"/>
      <c r="Y30" s="713"/>
      <c r="Z30" s="710"/>
      <c r="AA30" s="711"/>
      <c r="AB30" s="716"/>
      <c r="AC30" s="719"/>
    </row>
    <row r="31" spans="1:29" x14ac:dyDescent="0.25">
      <c r="A31" s="45"/>
      <c r="B31" s="672"/>
      <c r="C31" s="673"/>
      <c r="D31" s="413"/>
      <c r="E31" s="413"/>
      <c r="F31" s="674"/>
      <c r="G31" s="413"/>
      <c r="H31" s="548"/>
      <c r="I31" s="413"/>
      <c r="J31" s="736"/>
      <c r="K31" s="711"/>
      <c r="L31" s="711"/>
      <c r="M31" s="711"/>
      <c r="N31" s="711"/>
      <c r="O31" s="713"/>
      <c r="P31" s="711"/>
      <c r="Q31" s="711"/>
      <c r="R31" s="713"/>
      <c r="S31" s="713"/>
      <c r="T31" s="711"/>
      <c r="U31" s="716"/>
      <c r="V31" s="716"/>
      <c r="W31" s="716"/>
      <c r="X31" s="713"/>
      <c r="Y31" s="713"/>
      <c r="Z31" s="710"/>
      <c r="AA31" s="711"/>
      <c r="AB31" s="716"/>
      <c r="AC31" s="719"/>
    </row>
    <row r="32" spans="1:29" x14ac:dyDescent="0.25">
      <c r="A32" s="45"/>
      <c r="B32" s="672"/>
      <c r="C32" s="673"/>
      <c r="D32" s="413"/>
      <c r="E32" s="413"/>
      <c r="F32" s="674"/>
      <c r="G32" s="413"/>
      <c r="H32" s="548"/>
      <c r="I32" s="413"/>
      <c r="J32" s="736"/>
      <c r="K32" s="711"/>
      <c r="L32" s="711"/>
      <c r="M32" s="711"/>
      <c r="N32" s="711"/>
      <c r="O32" s="713"/>
      <c r="P32" s="711"/>
      <c r="Q32" s="711"/>
      <c r="R32" s="713"/>
      <c r="S32" s="713"/>
      <c r="T32" s="711"/>
      <c r="U32" s="716"/>
      <c r="V32" s="716"/>
      <c r="W32" s="716"/>
      <c r="X32" s="713"/>
      <c r="Y32" s="713"/>
      <c r="Z32" s="710"/>
      <c r="AA32" s="711"/>
      <c r="AB32" s="716"/>
      <c r="AC32" s="719"/>
    </row>
    <row r="33" spans="1:29" x14ac:dyDescent="0.25">
      <c r="A33" s="45"/>
      <c r="B33" s="672"/>
      <c r="C33" s="673"/>
      <c r="D33" s="413"/>
      <c r="E33" s="413"/>
      <c r="F33" s="674"/>
      <c r="G33" s="413"/>
      <c r="H33" s="548"/>
      <c r="I33" s="413"/>
      <c r="J33" s="736"/>
      <c r="K33" s="711"/>
      <c r="L33" s="711"/>
      <c r="M33" s="711"/>
      <c r="N33" s="711"/>
      <c r="O33" s="713"/>
      <c r="P33" s="711"/>
      <c r="Q33" s="711"/>
      <c r="R33" s="713"/>
      <c r="S33" s="713"/>
      <c r="T33" s="711"/>
      <c r="U33" s="716"/>
      <c r="V33" s="716"/>
      <c r="W33" s="716"/>
      <c r="X33" s="713"/>
      <c r="Y33" s="713"/>
      <c r="Z33" s="710"/>
      <c r="AA33" s="711"/>
      <c r="AB33" s="716"/>
      <c r="AC33" s="719"/>
    </row>
    <row r="34" spans="1:29" x14ac:dyDescent="0.25">
      <c r="A34" s="23"/>
      <c r="B34" s="24"/>
      <c r="C34" s="25"/>
      <c r="D34" s="27"/>
      <c r="E34" s="27"/>
      <c r="F34" s="28"/>
      <c r="G34" s="27"/>
      <c r="H34" s="548"/>
      <c r="I34" s="27"/>
      <c r="J34" s="737"/>
      <c r="K34" s="635"/>
      <c r="L34" s="635"/>
      <c r="M34" s="635"/>
      <c r="N34" s="635"/>
      <c r="O34" s="636"/>
      <c r="P34" s="635"/>
      <c r="Q34" s="635"/>
      <c r="R34" s="636"/>
      <c r="S34" s="636"/>
      <c r="T34" s="635"/>
      <c r="U34" s="707"/>
      <c r="V34" s="707"/>
      <c r="W34" s="707"/>
      <c r="X34" s="636"/>
      <c r="Y34" s="636"/>
      <c r="Z34" s="637"/>
      <c r="AA34" s="635"/>
      <c r="AB34" s="707"/>
      <c r="AC34" s="644"/>
    </row>
    <row r="35" spans="1:29" x14ac:dyDescent="0.25">
      <c r="A35" s="23"/>
      <c r="B35" s="24"/>
      <c r="C35" s="25"/>
      <c r="D35" s="27"/>
      <c r="E35" s="27"/>
      <c r="F35" s="28"/>
      <c r="G35" s="27"/>
      <c r="H35" s="548"/>
      <c r="I35" s="27"/>
      <c r="J35" s="737"/>
      <c r="K35" s="635"/>
      <c r="L35" s="635"/>
      <c r="M35" s="635"/>
      <c r="N35" s="635"/>
      <c r="O35" s="636"/>
      <c r="P35" s="635"/>
      <c r="Q35" s="635"/>
      <c r="R35" s="636"/>
      <c r="S35" s="636"/>
      <c r="T35" s="635"/>
      <c r="U35" s="707"/>
      <c r="V35" s="707"/>
      <c r="W35" s="707"/>
      <c r="X35" s="636"/>
      <c r="Y35" s="636"/>
      <c r="Z35" s="637"/>
      <c r="AA35" s="635"/>
      <c r="AB35" s="707"/>
      <c r="AC35" s="644"/>
    </row>
    <row r="36" spans="1:29" x14ac:dyDescent="0.25">
      <c r="A36" s="23"/>
      <c r="B36" s="24"/>
      <c r="C36" s="25"/>
      <c r="D36" s="27"/>
      <c r="E36" s="27"/>
      <c r="F36" s="28"/>
      <c r="G36" s="27"/>
      <c r="H36" s="548"/>
      <c r="I36" s="27"/>
      <c r="J36" s="737"/>
      <c r="K36" s="635"/>
      <c r="L36" s="635"/>
      <c r="M36" s="635"/>
      <c r="N36" s="635"/>
      <c r="O36" s="636"/>
      <c r="P36" s="635"/>
      <c r="Q36" s="635"/>
      <c r="R36" s="636"/>
      <c r="S36" s="636"/>
      <c r="T36" s="635"/>
      <c r="U36" s="707"/>
      <c r="V36" s="707"/>
      <c r="W36" s="707"/>
      <c r="X36" s="636"/>
      <c r="Y36" s="636"/>
      <c r="Z36" s="637"/>
      <c r="AA36" s="635"/>
      <c r="AB36" s="707"/>
      <c r="AC36" s="644"/>
    </row>
    <row r="37" spans="1:29" x14ac:dyDescent="0.25">
      <c r="A37" s="23"/>
      <c r="B37" s="24"/>
      <c r="C37" s="25"/>
      <c r="D37" s="27"/>
      <c r="E37" s="27"/>
      <c r="F37" s="28"/>
      <c r="G37" s="27"/>
      <c r="H37" s="548"/>
      <c r="I37" s="27"/>
      <c r="J37" s="737"/>
      <c r="K37" s="635"/>
      <c r="L37" s="635"/>
      <c r="M37" s="635"/>
      <c r="N37" s="635"/>
      <c r="O37" s="636"/>
      <c r="P37" s="635"/>
      <c r="Q37" s="635"/>
      <c r="R37" s="636"/>
      <c r="S37" s="636"/>
      <c r="T37" s="635"/>
      <c r="U37" s="707"/>
      <c r="V37" s="707"/>
      <c r="W37" s="707"/>
      <c r="X37" s="636"/>
      <c r="Y37" s="636"/>
      <c r="Z37" s="637"/>
      <c r="AA37" s="635"/>
      <c r="AB37" s="707"/>
      <c r="AC37" s="644"/>
    </row>
    <row r="38" spans="1:29" x14ac:dyDescent="0.25">
      <c r="A38" s="23"/>
      <c r="B38" s="24"/>
      <c r="C38" s="25"/>
      <c r="D38" s="27"/>
      <c r="E38" s="27"/>
      <c r="F38" s="28"/>
      <c r="G38" s="27"/>
      <c r="H38" s="548"/>
      <c r="I38" s="27"/>
      <c r="J38" s="737"/>
      <c r="K38" s="635"/>
      <c r="L38" s="635"/>
      <c r="M38" s="635"/>
      <c r="N38" s="635"/>
      <c r="O38" s="636"/>
      <c r="P38" s="635"/>
      <c r="Q38" s="635"/>
      <c r="R38" s="636"/>
      <c r="S38" s="636"/>
      <c r="T38" s="635"/>
      <c r="U38" s="707"/>
      <c r="V38" s="707"/>
      <c r="W38" s="707"/>
      <c r="X38" s="636"/>
      <c r="Y38" s="636"/>
      <c r="Z38" s="637"/>
      <c r="AA38" s="635"/>
      <c r="AB38" s="707"/>
      <c r="AC38" s="644"/>
    </row>
    <row r="39" spans="1:29" x14ac:dyDescent="0.25">
      <c r="A39" s="45"/>
      <c r="B39" s="672"/>
      <c r="C39" s="673"/>
      <c r="D39" s="413"/>
      <c r="E39" s="413"/>
      <c r="F39" s="674"/>
      <c r="G39" s="413"/>
      <c r="H39" s="548"/>
      <c r="I39" s="413"/>
      <c r="J39" s="736"/>
      <c r="K39" s="711"/>
      <c r="L39" s="711"/>
      <c r="M39" s="711"/>
      <c r="N39" s="711"/>
      <c r="O39" s="713"/>
      <c r="P39" s="711"/>
      <c r="Q39" s="711"/>
      <c r="R39" s="713"/>
      <c r="S39" s="713"/>
      <c r="T39" s="711"/>
      <c r="U39" s="716"/>
      <c r="V39" s="716"/>
      <c r="W39" s="716"/>
      <c r="X39" s="713"/>
      <c r="Y39" s="713"/>
      <c r="Z39" s="710"/>
      <c r="AA39" s="711"/>
      <c r="AB39" s="716"/>
      <c r="AC39" s="719"/>
    </row>
    <row r="40" spans="1:29" x14ac:dyDescent="0.25">
      <c r="A40" s="45"/>
      <c r="B40" s="672"/>
      <c r="C40" s="673"/>
      <c r="D40" s="413"/>
      <c r="E40" s="413"/>
      <c r="F40" s="674"/>
      <c r="G40" s="413"/>
      <c r="H40" s="548"/>
      <c r="I40" s="413"/>
      <c r="J40" s="736"/>
      <c r="K40" s="711"/>
      <c r="L40" s="711"/>
      <c r="M40" s="711"/>
      <c r="N40" s="711"/>
      <c r="O40" s="713"/>
      <c r="P40" s="711"/>
      <c r="Q40" s="711"/>
      <c r="R40" s="713"/>
      <c r="S40" s="713"/>
      <c r="T40" s="711"/>
      <c r="U40" s="716"/>
      <c r="V40" s="716"/>
      <c r="W40" s="716"/>
      <c r="X40" s="713"/>
      <c r="Y40" s="713"/>
      <c r="Z40" s="710"/>
      <c r="AA40" s="711"/>
      <c r="AB40" s="716"/>
      <c r="AC40" s="719"/>
    </row>
    <row r="41" spans="1:29" x14ac:dyDescent="0.25">
      <c r="A41" s="45"/>
      <c r="B41" s="672"/>
      <c r="C41" s="673"/>
      <c r="D41" s="413"/>
      <c r="E41" s="413"/>
      <c r="F41" s="674"/>
      <c r="G41" s="413"/>
      <c r="H41" s="548"/>
      <c r="I41" s="413"/>
      <c r="J41" s="736"/>
      <c r="K41" s="711"/>
      <c r="L41" s="711"/>
      <c r="M41" s="711"/>
      <c r="N41" s="711"/>
      <c r="O41" s="713"/>
      <c r="P41" s="711"/>
      <c r="Q41" s="711"/>
      <c r="R41" s="713"/>
      <c r="S41" s="713"/>
      <c r="T41" s="711"/>
      <c r="U41" s="716"/>
      <c r="V41" s="716"/>
      <c r="W41" s="716"/>
      <c r="X41" s="713"/>
      <c r="Y41" s="713"/>
      <c r="Z41" s="710"/>
      <c r="AA41" s="711"/>
      <c r="AB41" s="716"/>
      <c r="AC41" s="719"/>
    </row>
    <row r="42" spans="1:29" x14ac:dyDescent="0.25">
      <c r="A42" s="45"/>
      <c r="B42" s="672"/>
      <c r="C42" s="673"/>
      <c r="D42" s="413"/>
      <c r="E42" s="413"/>
      <c r="F42" s="674"/>
      <c r="G42" s="413"/>
      <c r="H42" s="548"/>
      <c r="I42" s="413"/>
      <c r="J42" s="736"/>
      <c r="K42" s="711"/>
      <c r="L42" s="711"/>
      <c r="M42" s="711"/>
      <c r="N42" s="711"/>
      <c r="O42" s="713"/>
      <c r="P42" s="711"/>
      <c r="Q42" s="711"/>
      <c r="R42" s="713"/>
      <c r="S42" s="713"/>
      <c r="T42" s="711"/>
      <c r="U42" s="716"/>
      <c r="V42" s="716"/>
      <c r="W42" s="716"/>
      <c r="X42" s="713"/>
      <c r="Y42" s="713"/>
      <c r="Z42" s="710"/>
      <c r="AA42" s="711"/>
      <c r="AB42" s="716"/>
      <c r="AC42" s="719"/>
    </row>
    <row r="43" spans="1:29" x14ac:dyDescent="0.25">
      <c r="A43" s="45"/>
      <c r="B43" s="672"/>
      <c r="C43" s="673"/>
      <c r="D43" s="413"/>
      <c r="E43" s="413"/>
      <c r="F43" s="674"/>
      <c r="G43" s="413"/>
      <c r="H43" s="548"/>
      <c r="I43" s="413"/>
      <c r="J43" s="736"/>
      <c r="K43" s="711"/>
      <c r="L43" s="711"/>
      <c r="M43" s="711"/>
      <c r="N43" s="711"/>
      <c r="O43" s="713"/>
      <c r="P43" s="711"/>
      <c r="Q43" s="711"/>
      <c r="R43" s="713"/>
      <c r="S43" s="713"/>
      <c r="T43" s="711"/>
      <c r="U43" s="716"/>
      <c r="V43" s="716"/>
      <c r="W43" s="716"/>
      <c r="X43" s="713"/>
      <c r="Y43" s="713"/>
      <c r="Z43" s="710"/>
      <c r="AA43" s="711"/>
      <c r="AB43" s="716"/>
      <c r="AC43" s="719"/>
    </row>
    <row r="44" spans="1:29" x14ac:dyDescent="0.25">
      <c r="A44" s="23"/>
      <c r="B44" s="24"/>
      <c r="C44" s="25"/>
      <c r="D44" s="27"/>
      <c r="E44" s="27"/>
      <c r="F44" s="28"/>
      <c r="G44" s="27"/>
      <c r="H44" s="548"/>
      <c r="I44" s="27"/>
      <c r="J44" s="737"/>
      <c r="K44" s="635"/>
      <c r="L44" s="635"/>
      <c r="M44" s="635"/>
      <c r="N44" s="635"/>
      <c r="O44" s="636"/>
      <c r="P44" s="635"/>
      <c r="Q44" s="635"/>
      <c r="R44" s="636"/>
      <c r="S44" s="636"/>
      <c r="T44" s="635"/>
      <c r="U44" s="707"/>
      <c r="V44" s="707"/>
      <c r="W44" s="707"/>
      <c r="X44" s="636"/>
      <c r="Y44" s="636"/>
      <c r="Z44" s="637"/>
      <c r="AA44" s="635"/>
      <c r="AB44" s="707"/>
      <c r="AC44" s="644"/>
    </row>
    <row r="45" spans="1:29" x14ac:dyDescent="0.25">
      <c r="A45" s="23"/>
      <c r="B45" s="24"/>
      <c r="C45" s="25"/>
      <c r="D45" s="27"/>
      <c r="E45" s="27"/>
      <c r="F45" s="28"/>
      <c r="G45" s="27"/>
      <c r="H45" s="548"/>
      <c r="I45" s="27"/>
      <c r="J45" s="737"/>
      <c r="K45" s="635"/>
      <c r="L45" s="635"/>
      <c r="M45" s="635"/>
      <c r="N45" s="635"/>
      <c r="O45" s="636"/>
      <c r="P45" s="635"/>
      <c r="Q45" s="635"/>
      <c r="R45" s="636"/>
      <c r="S45" s="636"/>
      <c r="T45" s="635"/>
      <c r="U45" s="707"/>
      <c r="V45" s="707"/>
      <c r="W45" s="707"/>
      <c r="X45" s="636"/>
      <c r="Y45" s="636"/>
      <c r="Z45" s="637"/>
      <c r="AA45" s="635"/>
      <c r="AB45" s="707"/>
      <c r="AC45" s="644"/>
    </row>
    <row r="46" spans="1:29" x14ac:dyDescent="0.25">
      <c r="A46" s="23"/>
      <c r="B46" s="24"/>
      <c r="C46" s="25"/>
      <c r="D46" s="27"/>
      <c r="E46" s="27"/>
      <c r="F46" s="28"/>
      <c r="G46" s="27"/>
      <c r="H46" s="548"/>
      <c r="I46" s="27"/>
      <c r="J46" s="737"/>
      <c r="K46" s="635"/>
      <c r="L46" s="635"/>
      <c r="M46" s="635"/>
      <c r="N46" s="635"/>
      <c r="O46" s="636"/>
      <c r="P46" s="635"/>
      <c r="Q46" s="635"/>
      <c r="R46" s="636"/>
      <c r="S46" s="636"/>
      <c r="T46" s="635"/>
      <c r="U46" s="707"/>
      <c r="V46" s="707"/>
      <c r="W46" s="707"/>
      <c r="X46" s="636"/>
      <c r="Y46" s="636"/>
      <c r="Z46" s="637"/>
      <c r="AA46" s="635"/>
      <c r="AB46" s="707"/>
      <c r="AC46" s="644"/>
    </row>
    <row r="47" spans="1:29" x14ac:dyDescent="0.25">
      <c r="A47" s="23"/>
      <c r="B47" s="24"/>
      <c r="C47" s="25"/>
      <c r="D47" s="27"/>
      <c r="E47" s="27"/>
      <c r="F47" s="28"/>
      <c r="G47" s="27"/>
      <c r="H47" s="548"/>
      <c r="I47" s="27"/>
      <c r="J47" s="737"/>
      <c r="K47" s="635"/>
      <c r="L47" s="635"/>
      <c r="M47" s="635"/>
      <c r="N47" s="635"/>
      <c r="O47" s="636"/>
      <c r="P47" s="635"/>
      <c r="Q47" s="635"/>
      <c r="R47" s="636"/>
      <c r="S47" s="636"/>
      <c r="T47" s="635"/>
      <c r="U47" s="707"/>
      <c r="V47" s="707"/>
      <c r="W47" s="707"/>
      <c r="X47" s="636"/>
      <c r="Y47" s="636"/>
      <c r="Z47" s="637"/>
      <c r="AA47" s="635"/>
      <c r="AB47" s="707"/>
      <c r="AC47" s="644"/>
    </row>
    <row r="48" spans="1:29" x14ac:dyDescent="0.25">
      <c r="A48" s="23"/>
      <c r="B48" s="24"/>
      <c r="C48" s="25"/>
      <c r="D48" s="27"/>
      <c r="E48" s="27"/>
      <c r="F48" s="28"/>
      <c r="G48" s="27"/>
      <c r="H48" s="548"/>
      <c r="I48" s="27"/>
      <c r="J48" s="737"/>
      <c r="K48" s="635"/>
      <c r="L48" s="635"/>
      <c r="M48" s="635"/>
      <c r="N48" s="635"/>
      <c r="O48" s="636"/>
      <c r="P48" s="635"/>
      <c r="Q48" s="635"/>
      <c r="R48" s="636"/>
      <c r="S48" s="636"/>
      <c r="T48" s="635"/>
      <c r="U48" s="707"/>
      <c r="V48" s="707"/>
      <c r="W48" s="707"/>
      <c r="X48" s="636"/>
      <c r="Y48" s="636"/>
      <c r="Z48" s="637"/>
      <c r="AA48" s="635"/>
      <c r="AB48" s="707"/>
      <c r="AC48" s="644"/>
    </row>
    <row r="49" spans="1:29" x14ac:dyDescent="0.25">
      <c r="A49" s="45"/>
      <c r="B49" s="672"/>
      <c r="C49" s="673"/>
      <c r="D49" s="413"/>
      <c r="E49" s="413"/>
      <c r="F49" s="674"/>
      <c r="G49" s="413"/>
      <c r="H49" s="548"/>
      <c r="I49" s="413"/>
      <c r="J49" s="736"/>
      <c r="K49" s="711"/>
      <c r="L49" s="711"/>
      <c r="M49" s="711"/>
      <c r="N49" s="711"/>
      <c r="O49" s="713"/>
      <c r="P49" s="711"/>
      <c r="Q49" s="711"/>
      <c r="R49" s="713"/>
      <c r="S49" s="713"/>
      <c r="T49" s="711"/>
      <c r="U49" s="716"/>
      <c r="V49" s="716"/>
      <c r="W49" s="716"/>
      <c r="X49" s="713"/>
      <c r="Y49" s="713"/>
      <c r="Z49" s="710"/>
      <c r="AA49" s="711"/>
      <c r="AB49" s="716"/>
      <c r="AC49" s="719"/>
    </row>
    <row r="50" spans="1:29" x14ac:dyDescent="0.25">
      <c r="A50" s="45"/>
      <c r="B50" s="672"/>
      <c r="C50" s="673"/>
      <c r="D50" s="413"/>
      <c r="E50" s="413"/>
      <c r="F50" s="674"/>
      <c r="G50" s="413"/>
      <c r="H50" s="548"/>
      <c r="I50" s="413"/>
      <c r="J50" s="736"/>
      <c r="K50" s="711"/>
      <c r="L50" s="711"/>
      <c r="M50" s="711"/>
      <c r="N50" s="711"/>
      <c r="O50" s="713"/>
      <c r="P50" s="711"/>
      <c r="Q50" s="711"/>
      <c r="R50" s="713"/>
      <c r="S50" s="713"/>
      <c r="T50" s="711"/>
      <c r="U50" s="716"/>
      <c r="V50" s="716"/>
      <c r="W50" s="716"/>
      <c r="X50" s="713"/>
      <c r="Y50" s="713"/>
      <c r="Z50" s="710"/>
      <c r="AA50" s="711"/>
      <c r="AB50" s="716"/>
      <c r="AC50" s="719"/>
    </row>
    <row r="51" spans="1:29" x14ac:dyDescent="0.25">
      <c r="A51" s="45"/>
      <c r="B51" s="672"/>
      <c r="C51" s="673"/>
      <c r="D51" s="413"/>
      <c r="E51" s="413"/>
      <c r="F51" s="674"/>
      <c r="G51" s="413"/>
      <c r="H51" s="548"/>
      <c r="I51" s="413"/>
      <c r="J51" s="736"/>
      <c r="K51" s="711"/>
      <c r="L51" s="711"/>
      <c r="M51" s="711"/>
      <c r="N51" s="711"/>
      <c r="O51" s="713"/>
      <c r="P51" s="711"/>
      <c r="Q51" s="711"/>
      <c r="R51" s="713"/>
      <c r="S51" s="713"/>
      <c r="T51" s="711"/>
      <c r="U51" s="716"/>
      <c r="V51" s="716"/>
      <c r="W51" s="716"/>
      <c r="X51" s="713"/>
      <c r="Y51" s="713"/>
      <c r="Z51" s="710"/>
      <c r="AA51" s="711"/>
      <c r="AB51" s="716"/>
      <c r="AC51" s="719"/>
    </row>
    <row r="52" spans="1:29" x14ac:dyDescent="0.25">
      <c r="A52" s="45"/>
      <c r="B52" s="672"/>
      <c r="C52" s="673"/>
      <c r="D52" s="413"/>
      <c r="E52" s="413"/>
      <c r="F52" s="674"/>
      <c r="G52" s="413"/>
      <c r="H52" s="548"/>
      <c r="I52" s="413"/>
      <c r="J52" s="736"/>
      <c r="K52" s="711"/>
      <c r="L52" s="711"/>
      <c r="M52" s="711"/>
      <c r="N52" s="711"/>
      <c r="O52" s="713"/>
      <c r="P52" s="711"/>
      <c r="Q52" s="711"/>
      <c r="R52" s="713"/>
      <c r="S52" s="713"/>
      <c r="T52" s="711"/>
      <c r="U52" s="716"/>
      <c r="V52" s="716"/>
      <c r="W52" s="716"/>
      <c r="X52" s="713"/>
      <c r="Y52" s="713"/>
      <c r="Z52" s="710"/>
      <c r="AA52" s="711"/>
      <c r="AB52" s="716"/>
      <c r="AC52" s="719"/>
    </row>
    <row r="53" spans="1:29" x14ac:dyDescent="0.25">
      <c r="A53" s="45"/>
      <c r="B53" s="672"/>
      <c r="C53" s="673"/>
      <c r="D53" s="413"/>
      <c r="E53" s="413"/>
      <c r="F53" s="674"/>
      <c r="G53" s="413"/>
      <c r="H53" s="548"/>
      <c r="I53" s="413"/>
      <c r="J53" s="736"/>
      <c r="K53" s="711"/>
      <c r="L53" s="711"/>
      <c r="M53" s="711"/>
      <c r="N53" s="711"/>
      <c r="O53" s="713"/>
      <c r="P53" s="711"/>
      <c r="Q53" s="711"/>
      <c r="R53" s="713"/>
      <c r="S53" s="713"/>
      <c r="T53" s="711"/>
      <c r="U53" s="716"/>
      <c r="V53" s="716"/>
      <c r="W53" s="716"/>
      <c r="X53" s="713"/>
      <c r="Y53" s="713"/>
      <c r="Z53" s="710"/>
      <c r="AA53" s="711"/>
      <c r="AB53" s="716"/>
      <c r="AC53" s="719"/>
    </row>
    <row r="54" spans="1:29" x14ac:dyDescent="0.25">
      <c r="A54" s="23"/>
      <c r="B54" s="24"/>
      <c r="C54" s="25"/>
      <c r="D54" s="27"/>
      <c r="E54" s="27"/>
      <c r="F54" s="28"/>
      <c r="G54" s="27"/>
      <c r="H54" s="548"/>
      <c r="I54" s="27"/>
      <c r="J54" s="737"/>
      <c r="K54" s="635"/>
      <c r="L54" s="635"/>
      <c r="M54" s="635"/>
      <c r="N54" s="635"/>
      <c r="O54" s="636"/>
      <c r="P54" s="635"/>
      <c r="Q54" s="635"/>
      <c r="R54" s="636"/>
      <c r="S54" s="636"/>
      <c r="T54" s="635"/>
      <c r="U54" s="707"/>
      <c r="V54" s="707"/>
      <c r="W54" s="707"/>
      <c r="X54" s="636"/>
      <c r="Y54" s="636"/>
      <c r="Z54" s="637"/>
      <c r="AA54" s="635"/>
      <c r="AB54" s="707"/>
      <c r="AC54" s="644"/>
    </row>
    <row r="55" spans="1:29" x14ac:dyDescent="0.25">
      <c r="A55" s="23"/>
      <c r="B55" s="24"/>
      <c r="C55" s="25"/>
      <c r="D55" s="27"/>
      <c r="E55" s="27"/>
      <c r="F55" s="28"/>
      <c r="G55" s="27"/>
      <c r="H55" s="548"/>
      <c r="I55" s="27"/>
      <c r="J55" s="737"/>
      <c r="K55" s="635"/>
      <c r="L55" s="635"/>
      <c r="M55" s="635"/>
      <c r="N55" s="635"/>
      <c r="O55" s="636"/>
      <c r="P55" s="635"/>
      <c r="Q55" s="635"/>
      <c r="R55" s="636"/>
      <c r="S55" s="636"/>
      <c r="T55" s="635"/>
      <c r="U55" s="707"/>
      <c r="V55" s="707"/>
      <c r="W55" s="707"/>
      <c r="X55" s="636"/>
      <c r="Y55" s="636"/>
      <c r="Z55" s="637"/>
      <c r="AA55" s="635"/>
      <c r="AB55" s="707"/>
      <c r="AC55" s="644"/>
    </row>
    <row r="56" spans="1:29" x14ac:dyDescent="0.25">
      <c r="A56" s="23"/>
      <c r="B56" s="24"/>
      <c r="C56" s="25"/>
      <c r="D56" s="27"/>
      <c r="E56" s="27"/>
      <c r="F56" s="28"/>
      <c r="G56" s="27"/>
      <c r="H56" s="548"/>
      <c r="I56" s="27"/>
      <c r="J56" s="737"/>
      <c r="K56" s="635"/>
      <c r="L56" s="635"/>
      <c r="M56" s="635"/>
      <c r="N56" s="635"/>
      <c r="O56" s="636"/>
      <c r="P56" s="635"/>
      <c r="Q56" s="635"/>
      <c r="R56" s="636"/>
      <c r="S56" s="636"/>
      <c r="T56" s="635"/>
      <c r="U56" s="707"/>
      <c r="V56" s="707"/>
      <c r="W56" s="707"/>
      <c r="X56" s="636"/>
      <c r="Y56" s="636"/>
      <c r="Z56" s="637"/>
      <c r="AA56" s="635"/>
      <c r="AB56" s="707"/>
      <c r="AC56" s="644"/>
    </row>
    <row r="57" spans="1:29" x14ac:dyDescent="0.25">
      <c r="A57" s="23"/>
      <c r="B57" s="24"/>
      <c r="C57" s="25"/>
      <c r="D57" s="27"/>
      <c r="E57" s="27"/>
      <c r="F57" s="28"/>
      <c r="G57" s="27"/>
      <c r="H57" s="548"/>
      <c r="I57" s="27"/>
      <c r="J57" s="737"/>
      <c r="K57" s="635"/>
      <c r="L57" s="635"/>
      <c r="M57" s="635"/>
      <c r="N57" s="635"/>
      <c r="O57" s="636"/>
      <c r="P57" s="635"/>
      <c r="Q57" s="635"/>
      <c r="R57" s="636"/>
      <c r="S57" s="636"/>
      <c r="T57" s="635"/>
      <c r="U57" s="707"/>
      <c r="V57" s="707"/>
      <c r="W57" s="707"/>
      <c r="X57" s="636"/>
      <c r="Y57" s="636"/>
      <c r="Z57" s="637"/>
      <c r="AA57" s="635"/>
      <c r="AB57" s="707"/>
      <c r="AC57" s="644"/>
    </row>
    <row r="58" spans="1:29" x14ac:dyDescent="0.25">
      <c r="A58" s="23"/>
      <c r="B58" s="24"/>
      <c r="C58" s="25"/>
      <c r="D58" s="27"/>
      <c r="E58" s="27"/>
      <c r="F58" s="28"/>
      <c r="G58" s="27"/>
      <c r="H58" s="548"/>
      <c r="I58" s="27"/>
      <c r="J58" s="737"/>
      <c r="K58" s="635"/>
      <c r="L58" s="635"/>
      <c r="M58" s="635"/>
      <c r="N58" s="635"/>
      <c r="O58" s="636"/>
      <c r="P58" s="635"/>
      <c r="Q58" s="635"/>
      <c r="R58" s="636"/>
      <c r="S58" s="636"/>
      <c r="T58" s="635"/>
      <c r="U58" s="707"/>
      <c r="V58" s="707"/>
      <c r="W58" s="707"/>
      <c r="X58" s="636"/>
      <c r="Y58" s="636"/>
      <c r="Z58" s="637"/>
      <c r="AA58" s="635"/>
      <c r="AB58" s="707"/>
      <c r="AC58" s="644"/>
    </row>
    <row r="59" spans="1:29" x14ac:dyDescent="0.25">
      <c r="A59" s="45"/>
      <c r="B59" s="672"/>
      <c r="C59" s="673"/>
      <c r="D59" s="413"/>
      <c r="E59" s="413"/>
      <c r="F59" s="674"/>
      <c r="G59" s="413"/>
      <c r="H59" s="548"/>
      <c r="I59" s="413"/>
      <c r="J59" s="736"/>
      <c r="K59" s="711"/>
      <c r="L59" s="711"/>
      <c r="M59" s="711"/>
      <c r="N59" s="711"/>
      <c r="O59" s="713"/>
      <c r="P59" s="711"/>
      <c r="Q59" s="711"/>
      <c r="R59" s="713"/>
      <c r="S59" s="713"/>
      <c r="T59" s="711"/>
      <c r="U59" s="716"/>
      <c r="V59" s="716"/>
      <c r="W59" s="716"/>
      <c r="X59" s="713"/>
      <c r="Y59" s="713"/>
      <c r="Z59" s="710"/>
      <c r="AA59" s="711"/>
      <c r="AB59" s="716"/>
      <c r="AC59" s="719"/>
    </row>
    <row r="60" spans="1:29" x14ac:dyDescent="0.25">
      <c r="A60" s="45"/>
      <c r="B60" s="672"/>
      <c r="C60" s="673"/>
      <c r="D60" s="413"/>
      <c r="E60" s="413"/>
      <c r="F60" s="674"/>
      <c r="G60" s="413"/>
      <c r="H60" s="548"/>
      <c r="I60" s="413"/>
      <c r="J60" s="736"/>
      <c r="K60" s="711"/>
      <c r="L60" s="711"/>
      <c r="M60" s="711"/>
      <c r="N60" s="711"/>
      <c r="O60" s="713"/>
      <c r="P60" s="711"/>
      <c r="Q60" s="711"/>
      <c r="R60" s="713"/>
      <c r="S60" s="713"/>
      <c r="T60" s="711"/>
      <c r="U60" s="716"/>
      <c r="V60" s="716"/>
      <c r="W60" s="716"/>
      <c r="X60" s="713"/>
      <c r="Y60" s="713"/>
      <c r="Z60" s="710"/>
      <c r="AA60" s="711"/>
      <c r="AB60" s="716"/>
      <c r="AC60" s="719"/>
    </row>
    <row r="61" spans="1:29" x14ac:dyDescent="0.25">
      <c r="A61" s="45"/>
      <c r="B61" s="672"/>
      <c r="C61" s="673"/>
      <c r="D61" s="413"/>
      <c r="E61" s="413"/>
      <c r="F61" s="674"/>
      <c r="G61" s="413"/>
      <c r="H61" s="548"/>
      <c r="I61" s="413"/>
      <c r="J61" s="736"/>
      <c r="K61" s="711"/>
      <c r="L61" s="711"/>
      <c r="M61" s="711"/>
      <c r="N61" s="711"/>
      <c r="O61" s="713"/>
      <c r="P61" s="711"/>
      <c r="Q61" s="711"/>
      <c r="R61" s="713"/>
      <c r="S61" s="713"/>
      <c r="T61" s="711"/>
      <c r="U61" s="716"/>
      <c r="V61" s="716"/>
      <c r="W61" s="716"/>
      <c r="X61" s="713"/>
      <c r="Y61" s="713"/>
      <c r="Z61" s="710"/>
      <c r="AA61" s="711"/>
      <c r="AB61" s="716"/>
      <c r="AC61" s="719"/>
    </row>
    <row r="62" spans="1:29" x14ac:dyDescent="0.25">
      <c r="A62" s="45"/>
      <c r="B62" s="672"/>
      <c r="C62" s="673"/>
      <c r="D62" s="413"/>
      <c r="E62" s="413"/>
      <c r="F62" s="674"/>
      <c r="G62" s="413"/>
      <c r="H62" s="548"/>
      <c r="I62" s="413"/>
      <c r="J62" s="736"/>
      <c r="K62" s="711"/>
      <c r="L62" s="711"/>
      <c r="M62" s="711"/>
      <c r="N62" s="711"/>
      <c r="O62" s="713"/>
      <c r="P62" s="711"/>
      <c r="Q62" s="711"/>
      <c r="R62" s="713"/>
      <c r="S62" s="713"/>
      <c r="T62" s="711"/>
      <c r="U62" s="716"/>
      <c r="V62" s="716"/>
      <c r="W62" s="716"/>
      <c r="X62" s="713"/>
      <c r="Y62" s="713"/>
      <c r="Z62" s="710"/>
      <c r="AA62" s="711"/>
      <c r="AB62" s="716"/>
      <c r="AC62" s="719"/>
    </row>
    <row r="63" spans="1:29" x14ac:dyDescent="0.25">
      <c r="A63" s="45"/>
      <c r="B63" s="672"/>
      <c r="C63" s="673"/>
      <c r="D63" s="413"/>
      <c r="E63" s="413"/>
      <c r="F63" s="674"/>
      <c r="G63" s="413"/>
      <c r="H63" s="548"/>
      <c r="I63" s="413"/>
      <c r="J63" s="736"/>
      <c r="K63" s="711"/>
      <c r="L63" s="711"/>
      <c r="M63" s="711"/>
      <c r="N63" s="711"/>
      <c r="O63" s="713"/>
      <c r="P63" s="711"/>
      <c r="Q63" s="711"/>
      <c r="R63" s="713"/>
      <c r="S63" s="713"/>
      <c r="T63" s="711"/>
      <c r="U63" s="716"/>
      <c r="V63" s="716"/>
      <c r="W63" s="716"/>
      <c r="X63" s="713"/>
      <c r="Y63" s="713"/>
      <c r="Z63" s="710"/>
      <c r="AA63" s="711"/>
      <c r="AB63" s="716"/>
      <c r="AC63" s="719"/>
    </row>
    <row r="64" spans="1:29" x14ac:dyDescent="0.25">
      <c r="A64" s="23"/>
      <c r="B64" s="24"/>
      <c r="C64" s="25"/>
      <c r="D64" s="27"/>
      <c r="E64" s="27"/>
      <c r="F64" s="28"/>
      <c r="G64" s="27"/>
      <c r="H64" s="548"/>
      <c r="I64" s="27"/>
      <c r="J64" s="737"/>
      <c r="K64" s="635"/>
      <c r="L64" s="635"/>
      <c r="M64" s="635"/>
      <c r="N64" s="635"/>
      <c r="O64" s="636"/>
      <c r="P64" s="635"/>
      <c r="Q64" s="635"/>
      <c r="R64" s="636"/>
      <c r="S64" s="636"/>
      <c r="T64" s="635"/>
      <c r="U64" s="707"/>
      <c r="V64" s="707"/>
      <c r="W64" s="707"/>
      <c r="X64" s="636"/>
      <c r="Y64" s="636"/>
      <c r="Z64" s="637"/>
      <c r="AA64" s="635"/>
      <c r="AB64" s="707"/>
      <c r="AC64" s="644"/>
    </row>
    <row r="65" spans="1:29" x14ac:dyDescent="0.25">
      <c r="A65" s="23"/>
      <c r="B65" s="24"/>
      <c r="C65" s="25"/>
      <c r="D65" s="27"/>
      <c r="E65" s="27"/>
      <c r="F65" s="28"/>
      <c r="G65" s="27"/>
      <c r="H65" s="548"/>
      <c r="I65" s="27"/>
      <c r="J65" s="737"/>
      <c r="K65" s="635"/>
      <c r="L65" s="635"/>
      <c r="M65" s="635"/>
      <c r="N65" s="635"/>
      <c r="O65" s="636"/>
      <c r="P65" s="635"/>
      <c r="Q65" s="635"/>
      <c r="R65" s="636"/>
      <c r="S65" s="636"/>
      <c r="T65" s="635"/>
      <c r="U65" s="707"/>
      <c r="V65" s="707"/>
      <c r="W65" s="707"/>
      <c r="X65" s="636"/>
      <c r="Y65" s="636"/>
      <c r="Z65" s="637"/>
      <c r="AA65" s="635"/>
      <c r="AB65" s="707"/>
      <c r="AC65" s="644"/>
    </row>
    <row r="66" spans="1:29" x14ac:dyDescent="0.25">
      <c r="A66" s="23"/>
      <c r="B66" s="24"/>
      <c r="C66" s="25"/>
      <c r="D66" s="27"/>
      <c r="E66" s="27"/>
      <c r="F66" s="28"/>
      <c r="G66" s="27"/>
      <c r="H66" s="548"/>
      <c r="I66" s="27"/>
      <c r="J66" s="737"/>
      <c r="K66" s="635"/>
      <c r="L66" s="635"/>
      <c r="M66" s="635"/>
      <c r="N66" s="635"/>
      <c r="O66" s="636"/>
      <c r="P66" s="635"/>
      <c r="Q66" s="635"/>
      <c r="R66" s="636"/>
      <c r="S66" s="636"/>
      <c r="T66" s="635"/>
      <c r="U66" s="707"/>
      <c r="V66" s="707"/>
      <c r="W66" s="707"/>
      <c r="X66" s="636"/>
      <c r="Y66" s="636"/>
      <c r="Z66" s="637"/>
      <c r="AA66" s="635"/>
      <c r="AB66" s="707"/>
      <c r="AC66" s="644"/>
    </row>
    <row r="67" spans="1:29" x14ac:dyDescent="0.25">
      <c r="A67" s="23"/>
      <c r="B67" s="24"/>
      <c r="C67" s="25"/>
      <c r="D67" s="27"/>
      <c r="E67" s="27"/>
      <c r="F67" s="28"/>
      <c r="G67" s="27"/>
      <c r="H67" s="548"/>
      <c r="I67" s="27"/>
      <c r="J67" s="737"/>
      <c r="K67" s="635"/>
      <c r="L67" s="635"/>
      <c r="M67" s="635"/>
      <c r="N67" s="635"/>
      <c r="O67" s="636"/>
      <c r="P67" s="635"/>
      <c r="Q67" s="635"/>
      <c r="R67" s="636"/>
      <c r="S67" s="636"/>
      <c r="T67" s="635"/>
      <c r="U67" s="707"/>
      <c r="V67" s="707"/>
      <c r="W67" s="707"/>
      <c r="X67" s="636"/>
      <c r="Y67" s="636"/>
      <c r="Z67" s="637"/>
      <c r="AA67" s="635"/>
      <c r="AB67" s="707"/>
      <c r="AC67" s="644"/>
    </row>
    <row r="68" spans="1:29" x14ac:dyDescent="0.25">
      <c r="A68" s="23"/>
      <c r="B68" s="24"/>
      <c r="C68" s="25"/>
      <c r="D68" s="27"/>
      <c r="E68" s="27"/>
      <c r="F68" s="28"/>
      <c r="G68" s="27"/>
      <c r="H68" s="548"/>
      <c r="I68" s="27"/>
      <c r="J68" s="737"/>
      <c r="K68" s="635"/>
      <c r="L68" s="635"/>
      <c r="M68" s="635"/>
      <c r="N68" s="635"/>
      <c r="O68" s="636"/>
      <c r="P68" s="635"/>
      <c r="Q68" s="635"/>
      <c r="R68" s="636"/>
      <c r="S68" s="636"/>
      <c r="T68" s="635"/>
      <c r="U68" s="707"/>
      <c r="V68" s="707"/>
      <c r="W68" s="707"/>
      <c r="X68" s="636"/>
      <c r="Y68" s="636"/>
      <c r="Z68" s="637"/>
      <c r="AA68" s="635"/>
      <c r="AB68" s="707"/>
      <c r="AC68" s="644"/>
    </row>
    <row r="69" spans="1:29" x14ac:dyDescent="0.25">
      <c r="A69" s="45"/>
      <c r="B69" s="672"/>
      <c r="C69" s="673"/>
      <c r="D69" s="413"/>
      <c r="E69" s="413"/>
      <c r="F69" s="674"/>
      <c r="G69" s="413"/>
      <c r="H69" s="548"/>
      <c r="I69" s="413"/>
      <c r="J69" s="736"/>
      <c r="K69" s="711"/>
      <c r="L69" s="711"/>
      <c r="M69" s="711"/>
      <c r="N69" s="711"/>
      <c r="O69" s="713"/>
      <c r="P69" s="711"/>
      <c r="Q69" s="711"/>
      <c r="R69" s="713"/>
      <c r="S69" s="713"/>
      <c r="T69" s="711"/>
      <c r="U69" s="716"/>
      <c r="V69" s="716"/>
      <c r="W69" s="716"/>
      <c r="X69" s="713"/>
      <c r="Y69" s="713"/>
      <c r="Z69" s="710"/>
      <c r="AA69" s="711"/>
      <c r="AB69" s="716"/>
      <c r="AC69" s="719"/>
    </row>
    <row r="70" spans="1:29" x14ac:dyDescent="0.25">
      <c r="A70" s="45"/>
      <c r="B70" s="672"/>
      <c r="C70" s="673"/>
      <c r="D70" s="413"/>
      <c r="E70" s="413"/>
      <c r="F70" s="674"/>
      <c r="G70" s="413"/>
      <c r="H70" s="548"/>
      <c r="I70" s="413"/>
      <c r="J70" s="736"/>
      <c r="K70" s="711"/>
      <c r="L70" s="711"/>
      <c r="M70" s="711"/>
      <c r="N70" s="711"/>
      <c r="O70" s="713"/>
      <c r="P70" s="711"/>
      <c r="Q70" s="711"/>
      <c r="R70" s="713"/>
      <c r="S70" s="713"/>
      <c r="T70" s="711"/>
      <c r="U70" s="716"/>
      <c r="V70" s="716"/>
      <c r="W70" s="716"/>
      <c r="X70" s="713"/>
      <c r="Y70" s="713"/>
      <c r="Z70" s="710"/>
      <c r="AA70" s="711"/>
      <c r="AB70" s="716"/>
      <c r="AC70" s="719"/>
    </row>
    <row r="71" spans="1:29" x14ac:dyDescent="0.25">
      <c r="A71" s="45"/>
      <c r="B71" s="672"/>
      <c r="C71" s="673"/>
      <c r="D71" s="413"/>
      <c r="E71" s="413"/>
      <c r="F71" s="674"/>
      <c r="G71" s="413"/>
      <c r="H71" s="548"/>
      <c r="I71" s="413"/>
      <c r="J71" s="736"/>
      <c r="K71" s="711"/>
      <c r="L71" s="711"/>
      <c r="M71" s="711"/>
      <c r="N71" s="711"/>
      <c r="O71" s="713"/>
      <c r="P71" s="711"/>
      <c r="Q71" s="711"/>
      <c r="R71" s="713"/>
      <c r="S71" s="713"/>
      <c r="T71" s="711"/>
      <c r="U71" s="716"/>
      <c r="V71" s="716"/>
      <c r="W71" s="716"/>
      <c r="X71" s="713"/>
      <c r="Y71" s="713"/>
      <c r="Z71" s="710"/>
      <c r="AA71" s="711"/>
      <c r="AB71" s="716"/>
      <c r="AC71" s="719"/>
    </row>
    <row r="72" spans="1:29" x14ac:dyDescent="0.25">
      <c r="A72" s="45"/>
      <c r="B72" s="672"/>
      <c r="C72" s="673"/>
      <c r="D72" s="413"/>
      <c r="E72" s="413"/>
      <c r="F72" s="674"/>
      <c r="G72" s="413"/>
      <c r="H72" s="548"/>
      <c r="I72" s="413"/>
      <c r="J72" s="736"/>
      <c r="K72" s="711"/>
      <c r="L72" s="711"/>
      <c r="M72" s="711"/>
      <c r="N72" s="711"/>
      <c r="O72" s="713"/>
      <c r="P72" s="711"/>
      <c r="Q72" s="711"/>
      <c r="R72" s="713"/>
      <c r="S72" s="713"/>
      <c r="T72" s="711"/>
      <c r="U72" s="716"/>
      <c r="V72" s="716"/>
      <c r="W72" s="716"/>
      <c r="X72" s="713"/>
      <c r="Y72" s="713"/>
      <c r="Z72" s="710"/>
      <c r="AA72" s="711"/>
      <c r="AB72" s="716"/>
      <c r="AC72" s="719"/>
    </row>
    <row r="73" spans="1:29" x14ac:dyDescent="0.25">
      <c r="A73" s="45"/>
      <c r="B73" s="672"/>
      <c r="C73" s="673"/>
      <c r="D73" s="413"/>
      <c r="E73" s="413"/>
      <c r="F73" s="674"/>
      <c r="G73" s="413"/>
      <c r="H73" s="548"/>
      <c r="I73" s="413"/>
      <c r="J73" s="736"/>
      <c r="K73" s="711"/>
      <c r="L73" s="711"/>
      <c r="M73" s="711"/>
      <c r="N73" s="711"/>
      <c r="O73" s="713"/>
      <c r="P73" s="711"/>
      <c r="Q73" s="711"/>
      <c r="R73" s="713"/>
      <c r="S73" s="713"/>
      <c r="T73" s="711"/>
      <c r="U73" s="716"/>
      <c r="V73" s="716"/>
      <c r="W73" s="716"/>
      <c r="X73" s="713"/>
      <c r="Y73" s="713"/>
      <c r="Z73" s="710"/>
      <c r="AA73" s="711"/>
      <c r="AB73" s="716"/>
      <c r="AC73" s="719"/>
    </row>
    <row r="74" spans="1:29" x14ac:dyDescent="0.25">
      <c r="A74" s="23"/>
      <c r="B74" s="24"/>
      <c r="C74" s="25"/>
      <c r="D74" s="27"/>
      <c r="E74" s="27"/>
      <c r="F74" s="28"/>
      <c r="G74" s="27"/>
      <c r="H74" s="548"/>
      <c r="I74" s="27"/>
      <c r="J74" s="737"/>
      <c r="K74" s="635"/>
      <c r="L74" s="635"/>
      <c r="M74" s="635"/>
      <c r="N74" s="635"/>
      <c r="O74" s="636"/>
      <c r="P74" s="635"/>
      <c r="Q74" s="635"/>
      <c r="R74" s="636"/>
      <c r="S74" s="636"/>
      <c r="T74" s="635"/>
      <c r="U74" s="707"/>
      <c r="V74" s="707"/>
      <c r="W74" s="707"/>
      <c r="X74" s="636"/>
      <c r="Y74" s="636"/>
      <c r="Z74" s="637"/>
      <c r="AA74" s="635"/>
      <c r="AB74" s="707"/>
      <c r="AC74" s="644"/>
    </row>
    <row r="75" spans="1:29" x14ac:dyDescent="0.25">
      <c r="A75" s="23"/>
      <c r="B75" s="24"/>
      <c r="C75" s="25"/>
      <c r="D75" s="27"/>
      <c r="E75" s="27"/>
      <c r="F75" s="28"/>
      <c r="G75" s="27"/>
      <c r="H75" s="548"/>
      <c r="I75" s="27"/>
      <c r="J75" s="737"/>
      <c r="K75" s="635"/>
      <c r="L75" s="635"/>
      <c r="M75" s="635"/>
      <c r="N75" s="635"/>
      <c r="O75" s="636"/>
      <c r="P75" s="635"/>
      <c r="Q75" s="635"/>
      <c r="R75" s="636"/>
      <c r="S75" s="636"/>
      <c r="T75" s="635"/>
      <c r="U75" s="707"/>
      <c r="V75" s="707"/>
      <c r="W75" s="707"/>
      <c r="X75" s="636"/>
      <c r="Y75" s="636"/>
      <c r="Z75" s="637"/>
      <c r="AA75" s="635"/>
      <c r="AB75" s="707"/>
      <c r="AC75" s="644"/>
    </row>
    <row r="76" spans="1:29" x14ac:dyDescent="0.25">
      <c r="A76" s="23"/>
      <c r="B76" s="24"/>
      <c r="C76" s="25"/>
      <c r="D76" s="27"/>
      <c r="E76" s="27"/>
      <c r="F76" s="28"/>
      <c r="G76" s="27"/>
      <c r="H76" s="548"/>
      <c r="I76" s="27"/>
      <c r="J76" s="737"/>
      <c r="K76" s="635"/>
      <c r="L76" s="635"/>
      <c r="M76" s="635"/>
      <c r="N76" s="635"/>
      <c r="O76" s="636"/>
      <c r="P76" s="635"/>
      <c r="Q76" s="635"/>
      <c r="R76" s="636"/>
      <c r="S76" s="636"/>
      <c r="T76" s="635"/>
      <c r="U76" s="707"/>
      <c r="V76" s="707"/>
      <c r="W76" s="707"/>
      <c r="X76" s="636"/>
      <c r="Y76" s="636"/>
      <c r="Z76" s="637"/>
      <c r="AA76" s="635"/>
      <c r="AB76" s="707"/>
      <c r="AC76" s="644"/>
    </row>
    <row r="77" spans="1:29" x14ac:dyDescent="0.25">
      <c r="A77" s="23"/>
      <c r="B77" s="24"/>
      <c r="C77" s="25"/>
      <c r="D77" s="27"/>
      <c r="E77" s="27"/>
      <c r="F77" s="28"/>
      <c r="G77" s="27"/>
      <c r="H77" s="548"/>
      <c r="I77" s="27"/>
      <c r="J77" s="737"/>
      <c r="K77" s="635"/>
      <c r="L77" s="635"/>
      <c r="M77" s="635"/>
      <c r="N77" s="635"/>
      <c r="O77" s="636"/>
      <c r="P77" s="635"/>
      <c r="Q77" s="635"/>
      <c r="R77" s="636"/>
      <c r="S77" s="636"/>
      <c r="T77" s="635"/>
      <c r="U77" s="707"/>
      <c r="V77" s="707"/>
      <c r="W77" s="707"/>
      <c r="X77" s="636"/>
      <c r="Y77" s="636"/>
      <c r="Z77" s="637"/>
      <c r="AA77" s="635"/>
      <c r="AB77" s="707"/>
      <c r="AC77" s="644"/>
    </row>
    <row r="78" spans="1:29" x14ac:dyDescent="0.25">
      <c r="A78" s="23"/>
      <c r="B78" s="24"/>
      <c r="C78" s="25"/>
      <c r="D78" s="27"/>
      <c r="E78" s="27"/>
      <c r="F78" s="28"/>
      <c r="G78" s="27"/>
      <c r="H78" s="548"/>
      <c r="I78" s="27"/>
      <c r="J78" s="737"/>
      <c r="K78" s="635"/>
      <c r="L78" s="635"/>
      <c r="M78" s="635"/>
      <c r="N78" s="635"/>
      <c r="O78" s="636"/>
      <c r="P78" s="635"/>
      <c r="Q78" s="635"/>
      <c r="R78" s="636"/>
      <c r="S78" s="636"/>
      <c r="T78" s="635"/>
      <c r="U78" s="707"/>
      <c r="V78" s="707"/>
      <c r="W78" s="707"/>
      <c r="X78" s="636"/>
      <c r="Y78" s="636"/>
      <c r="Z78" s="637"/>
      <c r="AA78" s="635"/>
      <c r="AB78" s="707"/>
      <c r="AC78" s="644"/>
    </row>
    <row r="79" spans="1:29" x14ac:dyDescent="0.25">
      <c r="A79" s="45"/>
      <c r="B79" s="672"/>
      <c r="C79" s="673"/>
      <c r="D79" s="413"/>
      <c r="E79" s="413"/>
      <c r="F79" s="674"/>
      <c r="G79" s="413"/>
      <c r="H79" s="548"/>
      <c r="I79" s="413"/>
      <c r="J79" s="736"/>
      <c r="K79" s="711"/>
      <c r="L79" s="711"/>
      <c r="M79" s="711"/>
      <c r="N79" s="711"/>
      <c r="O79" s="713"/>
      <c r="P79" s="711"/>
      <c r="Q79" s="711"/>
      <c r="R79" s="713"/>
      <c r="S79" s="713"/>
      <c r="T79" s="711"/>
      <c r="U79" s="716"/>
      <c r="V79" s="716"/>
      <c r="W79" s="716"/>
      <c r="X79" s="713"/>
      <c r="Y79" s="713"/>
      <c r="Z79" s="710"/>
      <c r="AA79" s="711"/>
      <c r="AB79" s="716"/>
      <c r="AC79" s="719"/>
    </row>
    <row r="80" spans="1:29" x14ac:dyDescent="0.25">
      <c r="A80" s="45"/>
      <c r="B80" s="672"/>
      <c r="C80" s="673"/>
      <c r="D80" s="413"/>
      <c r="E80" s="413"/>
      <c r="F80" s="674"/>
      <c r="G80" s="413"/>
      <c r="H80" s="548"/>
      <c r="I80" s="413"/>
      <c r="J80" s="736"/>
      <c r="K80" s="711"/>
      <c r="L80" s="711"/>
      <c r="M80" s="711"/>
      <c r="N80" s="711"/>
      <c r="O80" s="713"/>
      <c r="P80" s="711"/>
      <c r="Q80" s="711"/>
      <c r="R80" s="713"/>
      <c r="S80" s="713"/>
      <c r="T80" s="711"/>
      <c r="U80" s="716"/>
      <c r="V80" s="716"/>
      <c r="W80" s="716"/>
      <c r="X80" s="713"/>
      <c r="Y80" s="713"/>
      <c r="Z80" s="710"/>
      <c r="AA80" s="711"/>
      <c r="AB80" s="716"/>
      <c r="AC80" s="719"/>
    </row>
    <row r="81" spans="1:29" x14ac:dyDescent="0.25">
      <c r="A81" s="45"/>
      <c r="B81" s="672"/>
      <c r="C81" s="673"/>
      <c r="D81" s="413"/>
      <c r="E81" s="413"/>
      <c r="F81" s="674"/>
      <c r="G81" s="413"/>
      <c r="H81" s="548"/>
      <c r="I81" s="413"/>
      <c r="J81" s="736"/>
      <c r="K81" s="711"/>
      <c r="L81" s="711"/>
      <c r="M81" s="711"/>
      <c r="N81" s="711"/>
      <c r="O81" s="713"/>
      <c r="P81" s="711"/>
      <c r="Q81" s="711"/>
      <c r="R81" s="713"/>
      <c r="S81" s="713"/>
      <c r="T81" s="711"/>
      <c r="U81" s="716"/>
      <c r="V81" s="716"/>
      <c r="W81" s="716"/>
      <c r="X81" s="713"/>
      <c r="Y81" s="713"/>
      <c r="Z81" s="710"/>
      <c r="AA81" s="711"/>
      <c r="AB81" s="716"/>
      <c r="AC81" s="719"/>
    </row>
    <row r="82" spans="1:29" x14ac:dyDescent="0.25">
      <c r="A82" s="45"/>
      <c r="B82" s="672"/>
      <c r="C82" s="673"/>
      <c r="D82" s="413"/>
      <c r="E82" s="413"/>
      <c r="F82" s="674"/>
      <c r="G82" s="413"/>
      <c r="H82" s="548"/>
      <c r="I82" s="413"/>
      <c r="J82" s="736"/>
      <c r="K82" s="711"/>
      <c r="L82" s="711"/>
      <c r="M82" s="711"/>
      <c r="N82" s="711"/>
      <c r="O82" s="713"/>
      <c r="P82" s="711"/>
      <c r="Q82" s="711"/>
      <c r="R82" s="713"/>
      <c r="S82" s="713"/>
      <c r="T82" s="711"/>
      <c r="U82" s="716"/>
      <c r="V82" s="716"/>
      <c r="W82" s="716"/>
      <c r="X82" s="713"/>
      <c r="Y82" s="713"/>
      <c r="Z82" s="710"/>
      <c r="AA82" s="711"/>
      <c r="AB82" s="716"/>
      <c r="AC82" s="719"/>
    </row>
    <row r="83" spans="1:29" x14ac:dyDescent="0.25">
      <c r="A83" s="45"/>
      <c r="B83" s="672"/>
      <c r="C83" s="673"/>
      <c r="D83" s="413"/>
      <c r="E83" s="413"/>
      <c r="F83" s="674"/>
      <c r="G83" s="413"/>
      <c r="H83" s="548"/>
      <c r="I83" s="413"/>
      <c r="J83" s="736"/>
      <c r="K83" s="711"/>
      <c r="L83" s="711"/>
      <c r="M83" s="711"/>
      <c r="N83" s="711"/>
      <c r="O83" s="713"/>
      <c r="P83" s="711"/>
      <c r="Q83" s="711"/>
      <c r="R83" s="713"/>
      <c r="S83" s="713"/>
      <c r="T83" s="711"/>
      <c r="U83" s="716"/>
      <c r="V83" s="716"/>
      <c r="W83" s="716"/>
      <c r="X83" s="713"/>
      <c r="Y83" s="713"/>
      <c r="Z83" s="710"/>
      <c r="AA83" s="711"/>
      <c r="AB83" s="716"/>
      <c r="AC83" s="719"/>
    </row>
    <row r="84" spans="1:29" x14ac:dyDescent="0.25">
      <c r="A84" s="23"/>
      <c r="B84" s="24"/>
      <c r="C84" s="25"/>
      <c r="D84" s="27"/>
      <c r="E84" s="27"/>
      <c r="F84" s="28"/>
      <c r="G84" s="27"/>
      <c r="H84" s="548"/>
      <c r="I84" s="27"/>
      <c r="J84" s="737"/>
      <c r="K84" s="635"/>
      <c r="L84" s="635"/>
      <c r="M84" s="635"/>
      <c r="N84" s="635"/>
      <c r="O84" s="636"/>
      <c r="P84" s="635"/>
      <c r="Q84" s="635"/>
      <c r="R84" s="636"/>
      <c r="S84" s="636"/>
      <c r="T84" s="635"/>
      <c r="U84" s="707"/>
      <c r="V84" s="707"/>
      <c r="W84" s="707"/>
      <c r="X84" s="636"/>
      <c r="Y84" s="636"/>
      <c r="Z84" s="637"/>
      <c r="AA84" s="635"/>
      <c r="AB84" s="707"/>
      <c r="AC84" s="644"/>
    </row>
    <row r="85" spans="1:29" x14ac:dyDescent="0.25">
      <c r="A85" s="23"/>
      <c r="B85" s="24"/>
      <c r="C85" s="25"/>
      <c r="D85" s="27"/>
      <c r="E85" s="27"/>
      <c r="F85" s="28"/>
      <c r="G85" s="27"/>
      <c r="H85" s="548"/>
      <c r="I85" s="27"/>
      <c r="J85" s="737"/>
      <c r="K85" s="635"/>
      <c r="L85" s="635"/>
      <c r="M85" s="635"/>
      <c r="N85" s="635"/>
      <c r="O85" s="636"/>
      <c r="P85" s="635"/>
      <c r="Q85" s="635"/>
      <c r="R85" s="636"/>
      <c r="S85" s="636"/>
      <c r="T85" s="635"/>
      <c r="U85" s="707"/>
      <c r="V85" s="707"/>
      <c r="W85" s="707"/>
      <c r="X85" s="636"/>
      <c r="Y85" s="636"/>
      <c r="Z85" s="637"/>
      <c r="AA85" s="635"/>
      <c r="AB85" s="707"/>
      <c r="AC85" s="644"/>
    </row>
    <row r="86" spans="1:29" x14ac:dyDescent="0.25">
      <c r="A86" s="23"/>
      <c r="B86" s="24"/>
      <c r="C86" s="25"/>
      <c r="D86" s="27"/>
      <c r="E86" s="27"/>
      <c r="F86" s="28"/>
      <c r="G86" s="27"/>
      <c r="H86" s="548"/>
      <c r="I86" s="27"/>
      <c r="J86" s="737"/>
      <c r="K86" s="635"/>
      <c r="L86" s="635"/>
      <c r="M86" s="635"/>
      <c r="N86" s="635"/>
      <c r="O86" s="636"/>
      <c r="P86" s="635"/>
      <c r="Q86" s="635"/>
      <c r="R86" s="636"/>
      <c r="S86" s="636"/>
      <c r="T86" s="635"/>
      <c r="U86" s="707"/>
      <c r="V86" s="707"/>
      <c r="W86" s="707"/>
      <c r="X86" s="636"/>
      <c r="Y86" s="636"/>
      <c r="Z86" s="637"/>
      <c r="AA86" s="635"/>
      <c r="AB86" s="707"/>
      <c r="AC86" s="644"/>
    </row>
    <row r="87" spans="1:29" x14ac:dyDescent="0.25">
      <c r="A87" s="23"/>
      <c r="B87" s="24"/>
      <c r="C87" s="25"/>
      <c r="D87" s="27"/>
      <c r="E87" s="27"/>
      <c r="F87" s="28"/>
      <c r="G87" s="27"/>
      <c r="H87" s="548"/>
      <c r="I87" s="27"/>
      <c r="J87" s="737"/>
      <c r="K87" s="635"/>
      <c r="L87" s="635"/>
      <c r="M87" s="635"/>
      <c r="N87" s="635"/>
      <c r="O87" s="636"/>
      <c r="P87" s="635"/>
      <c r="Q87" s="635"/>
      <c r="R87" s="636"/>
      <c r="S87" s="636"/>
      <c r="T87" s="635"/>
      <c r="U87" s="707"/>
      <c r="V87" s="707"/>
      <c r="W87" s="707"/>
      <c r="X87" s="636"/>
      <c r="Y87" s="636"/>
      <c r="Z87" s="637"/>
      <c r="AA87" s="635"/>
      <c r="AB87" s="707"/>
      <c r="AC87" s="644"/>
    </row>
    <row r="88" spans="1:29" x14ac:dyDescent="0.25">
      <c r="A88" s="23"/>
      <c r="B88" s="24"/>
      <c r="C88" s="25"/>
      <c r="D88" s="27"/>
      <c r="E88" s="27"/>
      <c r="F88" s="28"/>
      <c r="G88" s="27"/>
      <c r="H88" s="548"/>
      <c r="I88" s="27"/>
      <c r="J88" s="737"/>
      <c r="K88" s="635"/>
      <c r="L88" s="635"/>
      <c r="M88" s="635"/>
      <c r="N88" s="635"/>
      <c r="O88" s="636"/>
      <c r="P88" s="635"/>
      <c r="Q88" s="635"/>
      <c r="R88" s="636"/>
      <c r="S88" s="636"/>
      <c r="T88" s="635"/>
      <c r="U88" s="707"/>
      <c r="V88" s="707"/>
      <c r="W88" s="707"/>
      <c r="X88" s="636"/>
      <c r="Y88" s="636"/>
      <c r="Z88" s="637"/>
      <c r="AA88" s="635"/>
      <c r="AB88" s="707"/>
      <c r="AC88" s="644"/>
    </row>
    <row r="89" spans="1:29" x14ac:dyDescent="0.25">
      <c r="A89" s="45"/>
      <c r="B89" s="672"/>
      <c r="C89" s="673"/>
      <c r="D89" s="413"/>
      <c r="E89" s="413"/>
      <c r="F89" s="674"/>
      <c r="G89" s="413"/>
      <c r="H89" s="548"/>
      <c r="I89" s="413"/>
      <c r="J89" s="736"/>
      <c r="K89" s="711"/>
      <c r="L89" s="711"/>
      <c r="M89" s="711"/>
      <c r="N89" s="711"/>
      <c r="O89" s="713"/>
      <c r="P89" s="711"/>
      <c r="Q89" s="711"/>
      <c r="R89" s="713"/>
      <c r="S89" s="713"/>
      <c r="T89" s="711"/>
      <c r="U89" s="716"/>
      <c r="V89" s="716"/>
      <c r="W89" s="716"/>
      <c r="X89" s="713"/>
      <c r="Y89" s="713"/>
      <c r="Z89" s="710"/>
      <c r="AA89" s="711"/>
      <c r="AB89" s="716"/>
      <c r="AC89" s="719"/>
    </row>
    <row r="90" spans="1:29" x14ac:dyDescent="0.25">
      <c r="A90" s="45"/>
      <c r="B90" s="672"/>
      <c r="C90" s="673"/>
      <c r="D90" s="413"/>
      <c r="E90" s="413"/>
      <c r="F90" s="674"/>
      <c r="G90" s="413"/>
      <c r="H90" s="548"/>
      <c r="I90" s="413"/>
      <c r="J90" s="736"/>
      <c r="K90" s="711"/>
      <c r="L90" s="711"/>
      <c r="M90" s="711"/>
      <c r="N90" s="711"/>
      <c r="O90" s="713"/>
      <c r="P90" s="711"/>
      <c r="Q90" s="711"/>
      <c r="R90" s="713"/>
      <c r="S90" s="713"/>
      <c r="T90" s="711"/>
      <c r="U90" s="716"/>
      <c r="V90" s="716"/>
      <c r="W90" s="716"/>
      <c r="X90" s="713"/>
      <c r="Y90" s="713"/>
      <c r="Z90" s="710"/>
      <c r="AA90" s="711"/>
      <c r="AB90" s="716"/>
      <c r="AC90" s="719"/>
    </row>
    <row r="91" spans="1:29" x14ac:dyDescent="0.25">
      <c r="A91" s="45"/>
      <c r="B91" s="672"/>
      <c r="C91" s="673"/>
      <c r="D91" s="413"/>
      <c r="E91" s="413"/>
      <c r="F91" s="674"/>
      <c r="G91" s="413"/>
      <c r="H91" s="548"/>
      <c r="I91" s="413"/>
      <c r="J91" s="736"/>
      <c r="K91" s="711"/>
      <c r="L91" s="711"/>
      <c r="M91" s="711"/>
      <c r="N91" s="711"/>
      <c r="O91" s="713"/>
      <c r="P91" s="711"/>
      <c r="Q91" s="711"/>
      <c r="R91" s="713"/>
      <c r="S91" s="713"/>
      <c r="T91" s="711"/>
      <c r="U91" s="716"/>
      <c r="V91" s="716"/>
      <c r="W91" s="716"/>
      <c r="X91" s="713"/>
      <c r="Y91" s="713"/>
      <c r="Z91" s="710"/>
      <c r="AA91" s="711"/>
      <c r="AB91" s="716"/>
      <c r="AC91" s="719"/>
    </row>
    <row r="92" spans="1:29" x14ac:dyDescent="0.25">
      <c r="A92" s="45"/>
      <c r="B92" s="672"/>
      <c r="C92" s="673"/>
      <c r="D92" s="413"/>
      <c r="E92" s="413"/>
      <c r="F92" s="674"/>
      <c r="G92" s="413"/>
      <c r="H92" s="548"/>
      <c r="I92" s="413"/>
      <c r="J92" s="736"/>
      <c r="K92" s="711"/>
      <c r="L92" s="711"/>
      <c r="M92" s="711"/>
      <c r="N92" s="711"/>
      <c r="O92" s="713"/>
      <c r="P92" s="711"/>
      <c r="Q92" s="711"/>
      <c r="R92" s="713"/>
      <c r="S92" s="713"/>
      <c r="T92" s="711"/>
      <c r="U92" s="716"/>
      <c r="V92" s="716"/>
      <c r="W92" s="716"/>
      <c r="X92" s="713"/>
      <c r="Y92" s="713"/>
      <c r="Z92" s="710"/>
      <c r="AA92" s="711"/>
      <c r="AB92" s="716"/>
      <c r="AC92" s="719"/>
    </row>
    <row r="93" spans="1:29" x14ac:dyDescent="0.25">
      <c r="A93" s="45"/>
      <c r="B93" s="672"/>
      <c r="C93" s="673"/>
      <c r="D93" s="413"/>
      <c r="E93" s="413"/>
      <c r="F93" s="674"/>
      <c r="G93" s="413"/>
      <c r="H93" s="548"/>
      <c r="I93" s="413"/>
      <c r="J93" s="736"/>
      <c r="K93" s="711"/>
      <c r="L93" s="711"/>
      <c r="M93" s="711"/>
      <c r="N93" s="711"/>
      <c r="O93" s="713"/>
      <c r="P93" s="711"/>
      <c r="Q93" s="711"/>
      <c r="R93" s="713"/>
      <c r="S93" s="713"/>
      <c r="T93" s="711"/>
      <c r="U93" s="716"/>
      <c r="V93" s="716"/>
      <c r="W93" s="716"/>
      <c r="X93" s="713"/>
      <c r="Y93" s="713"/>
      <c r="Z93" s="710"/>
      <c r="AA93" s="711"/>
      <c r="AB93" s="716"/>
      <c r="AC93" s="719"/>
    </row>
    <row r="94" spans="1:29" x14ac:dyDescent="0.25">
      <c r="A94" s="23"/>
      <c r="B94" s="24"/>
      <c r="C94" s="25"/>
      <c r="D94" s="27"/>
      <c r="E94" s="27"/>
      <c r="F94" s="28"/>
      <c r="G94" s="27"/>
      <c r="H94" s="548"/>
      <c r="I94" s="27"/>
      <c r="J94" s="737"/>
      <c r="K94" s="635"/>
      <c r="L94" s="635"/>
      <c r="M94" s="635"/>
      <c r="N94" s="635"/>
      <c r="O94" s="636"/>
      <c r="P94" s="635"/>
      <c r="Q94" s="635"/>
      <c r="R94" s="636"/>
      <c r="S94" s="636"/>
      <c r="T94" s="635"/>
      <c r="U94" s="707"/>
      <c r="V94" s="707"/>
      <c r="W94" s="707"/>
      <c r="X94" s="636"/>
      <c r="Y94" s="636"/>
      <c r="Z94" s="637"/>
      <c r="AA94" s="635"/>
      <c r="AB94" s="707"/>
      <c r="AC94" s="644"/>
    </row>
    <row r="95" spans="1:29" x14ac:dyDescent="0.25">
      <c r="A95" s="23"/>
      <c r="B95" s="24"/>
      <c r="C95" s="25"/>
      <c r="D95" s="27"/>
      <c r="E95" s="27"/>
      <c r="F95" s="28"/>
      <c r="G95" s="27"/>
      <c r="H95" s="548"/>
      <c r="I95" s="27"/>
      <c r="J95" s="737"/>
      <c r="K95" s="635"/>
      <c r="L95" s="635"/>
      <c r="M95" s="635"/>
      <c r="N95" s="635"/>
      <c r="O95" s="636"/>
      <c r="P95" s="635"/>
      <c r="Q95" s="635"/>
      <c r="R95" s="636"/>
      <c r="S95" s="636"/>
      <c r="T95" s="635"/>
      <c r="U95" s="707"/>
      <c r="V95" s="707"/>
      <c r="W95" s="707"/>
      <c r="X95" s="636"/>
      <c r="Y95" s="636"/>
      <c r="Z95" s="637"/>
      <c r="AA95" s="635"/>
      <c r="AB95" s="707"/>
      <c r="AC95" s="644"/>
    </row>
    <row r="96" spans="1:29" x14ac:dyDescent="0.25">
      <c r="A96" s="23"/>
      <c r="B96" s="24"/>
      <c r="C96" s="25"/>
      <c r="D96" s="27"/>
      <c r="E96" s="27"/>
      <c r="F96" s="28"/>
      <c r="G96" s="27"/>
      <c r="H96" s="548"/>
      <c r="I96" s="27"/>
      <c r="J96" s="737"/>
      <c r="K96" s="635"/>
      <c r="L96" s="635"/>
      <c r="M96" s="635"/>
      <c r="N96" s="635"/>
      <c r="O96" s="636"/>
      <c r="P96" s="635"/>
      <c r="Q96" s="635"/>
      <c r="R96" s="636"/>
      <c r="S96" s="636"/>
      <c r="T96" s="635"/>
      <c r="U96" s="707"/>
      <c r="V96" s="707"/>
      <c r="W96" s="707"/>
      <c r="X96" s="636"/>
      <c r="Y96" s="636"/>
      <c r="Z96" s="637"/>
      <c r="AA96" s="635"/>
      <c r="AB96" s="707"/>
      <c r="AC96" s="644"/>
    </row>
    <row r="97" spans="1:29" x14ac:dyDescent="0.25">
      <c r="A97" s="23"/>
      <c r="B97" s="24"/>
      <c r="C97" s="25"/>
      <c r="D97" s="27"/>
      <c r="E97" s="27"/>
      <c r="F97" s="28"/>
      <c r="G97" s="27"/>
      <c r="H97" s="548"/>
      <c r="I97" s="27"/>
      <c r="J97" s="737"/>
      <c r="K97" s="635"/>
      <c r="L97" s="635"/>
      <c r="M97" s="635"/>
      <c r="N97" s="635"/>
      <c r="O97" s="636"/>
      <c r="P97" s="635"/>
      <c r="Q97" s="635"/>
      <c r="R97" s="636"/>
      <c r="S97" s="636"/>
      <c r="T97" s="635"/>
      <c r="U97" s="707"/>
      <c r="V97" s="707"/>
      <c r="W97" s="707"/>
      <c r="X97" s="636"/>
      <c r="Y97" s="636"/>
      <c r="Z97" s="637"/>
      <c r="AA97" s="635"/>
      <c r="AB97" s="707"/>
      <c r="AC97" s="644"/>
    </row>
    <row r="98" spans="1:29" x14ac:dyDescent="0.25">
      <c r="A98" s="23"/>
      <c r="B98" s="24"/>
      <c r="C98" s="25"/>
      <c r="D98" s="27"/>
      <c r="E98" s="27"/>
      <c r="F98" s="28"/>
      <c r="G98" s="27"/>
      <c r="H98" s="548"/>
      <c r="I98" s="27"/>
      <c r="J98" s="737"/>
      <c r="K98" s="635"/>
      <c r="L98" s="635"/>
      <c r="M98" s="635"/>
      <c r="N98" s="635"/>
      <c r="O98" s="636"/>
      <c r="P98" s="635"/>
      <c r="Q98" s="635"/>
      <c r="R98" s="636"/>
      <c r="S98" s="636"/>
      <c r="T98" s="635"/>
      <c r="U98" s="707"/>
      <c r="V98" s="707"/>
      <c r="W98" s="707"/>
      <c r="X98" s="636"/>
      <c r="Y98" s="636"/>
      <c r="Z98" s="637"/>
      <c r="AA98" s="635"/>
      <c r="AB98" s="707"/>
      <c r="AC98" s="644"/>
    </row>
    <row r="99" spans="1:29" x14ac:dyDescent="0.25">
      <c r="A99" s="45"/>
      <c r="B99" s="672"/>
      <c r="C99" s="673"/>
      <c r="D99" s="413"/>
      <c r="E99" s="413"/>
      <c r="F99" s="674"/>
      <c r="G99" s="413"/>
      <c r="H99" s="548"/>
      <c r="I99" s="413"/>
      <c r="J99" s="736"/>
      <c r="K99" s="711"/>
      <c r="L99" s="711"/>
      <c r="M99" s="711"/>
      <c r="N99" s="711"/>
      <c r="O99" s="713"/>
      <c r="P99" s="711"/>
      <c r="Q99" s="711"/>
      <c r="R99" s="713"/>
      <c r="S99" s="713"/>
      <c r="T99" s="711"/>
      <c r="U99" s="716"/>
      <c r="V99" s="716"/>
      <c r="W99" s="716"/>
      <c r="X99" s="713"/>
      <c r="Y99" s="713"/>
      <c r="Z99" s="710"/>
      <c r="AA99" s="711"/>
      <c r="AB99" s="716"/>
      <c r="AC99" s="719"/>
    </row>
    <row r="100" spans="1:29" x14ac:dyDescent="0.25">
      <c r="A100" s="45"/>
      <c r="B100" s="672"/>
      <c r="C100" s="673"/>
      <c r="D100" s="413"/>
      <c r="E100" s="413"/>
      <c r="F100" s="674"/>
      <c r="G100" s="413"/>
      <c r="H100" s="548"/>
      <c r="I100" s="413"/>
      <c r="J100" s="736"/>
      <c r="K100" s="711"/>
      <c r="L100" s="711"/>
      <c r="M100" s="711"/>
      <c r="N100" s="711"/>
      <c r="O100" s="713"/>
      <c r="P100" s="711"/>
      <c r="Q100" s="711"/>
      <c r="R100" s="713"/>
      <c r="S100" s="713"/>
      <c r="T100" s="711"/>
      <c r="U100" s="716"/>
      <c r="V100" s="716"/>
      <c r="W100" s="716"/>
      <c r="X100" s="713"/>
      <c r="Y100" s="713"/>
      <c r="Z100" s="710"/>
      <c r="AA100" s="711"/>
      <c r="AB100" s="716"/>
      <c r="AC100" s="719"/>
    </row>
    <row r="101" spans="1:29" x14ac:dyDescent="0.25">
      <c r="A101" s="45"/>
      <c r="B101" s="672"/>
      <c r="C101" s="673"/>
      <c r="D101" s="413"/>
      <c r="E101" s="413"/>
      <c r="F101" s="674"/>
      <c r="G101" s="413"/>
      <c r="H101" s="548"/>
      <c r="I101" s="413"/>
      <c r="J101" s="736"/>
      <c r="K101" s="711"/>
      <c r="L101" s="711"/>
      <c r="M101" s="711"/>
      <c r="N101" s="711"/>
      <c r="O101" s="713"/>
      <c r="P101" s="711"/>
      <c r="Q101" s="711"/>
      <c r="R101" s="713"/>
      <c r="S101" s="713"/>
      <c r="T101" s="711"/>
      <c r="U101" s="716"/>
      <c r="V101" s="716"/>
      <c r="W101" s="716"/>
      <c r="X101" s="713"/>
      <c r="Y101" s="713"/>
      <c r="Z101" s="710"/>
      <c r="AA101" s="711"/>
      <c r="AB101" s="716"/>
      <c r="AC101" s="719"/>
    </row>
    <row r="102" spans="1:29" x14ac:dyDescent="0.25">
      <c r="A102" s="45"/>
      <c r="B102" s="672"/>
      <c r="C102" s="673"/>
      <c r="D102" s="413"/>
      <c r="E102" s="413"/>
      <c r="F102" s="674"/>
      <c r="G102" s="413"/>
      <c r="H102" s="548"/>
      <c r="I102" s="413"/>
      <c r="J102" s="736"/>
      <c r="K102" s="711"/>
      <c r="L102" s="711"/>
      <c r="M102" s="711"/>
      <c r="N102" s="711"/>
      <c r="O102" s="713"/>
      <c r="P102" s="711"/>
      <c r="Q102" s="711"/>
      <c r="R102" s="713"/>
      <c r="S102" s="713"/>
      <c r="T102" s="711"/>
      <c r="U102" s="716"/>
      <c r="V102" s="716"/>
      <c r="W102" s="716"/>
      <c r="X102" s="713"/>
      <c r="Y102" s="713"/>
      <c r="Z102" s="710"/>
      <c r="AA102" s="711"/>
      <c r="AB102" s="716"/>
      <c r="AC102" s="719"/>
    </row>
    <row r="103" spans="1:29" x14ac:dyDescent="0.25">
      <c r="A103" s="45"/>
      <c r="B103" s="672"/>
      <c r="C103" s="673"/>
      <c r="D103" s="413"/>
      <c r="E103" s="413"/>
      <c r="F103" s="674"/>
      <c r="G103" s="413"/>
      <c r="H103" s="548"/>
      <c r="I103" s="413"/>
      <c r="J103" s="736"/>
      <c r="K103" s="711"/>
      <c r="L103" s="711"/>
      <c r="M103" s="711"/>
      <c r="N103" s="711"/>
      <c r="O103" s="713"/>
      <c r="P103" s="711"/>
      <c r="Q103" s="711"/>
      <c r="R103" s="713"/>
      <c r="S103" s="713"/>
      <c r="T103" s="711"/>
      <c r="U103" s="716"/>
      <c r="V103" s="716"/>
      <c r="W103" s="716"/>
      <c r="X103" s="713"/>
      <c r="Y103" s="713"/>
      <c r="Z103" s="710"/>
      <c r="AA103" s="711"/>
      <c r="AB103" s="716"/>
      <c r="AC103" s="719"/>
    </row>
    <row r="104" spans="1:29" x14ac:dyDescent="0.25">
      <c r="A104" s="23"/>
      <c r="B104" s="24"/>
      <c r="C104" s="25"/>
      <c r="D104" s="27"/>
      <c r="E104" s="27"/>
      <c r="F104" s="28"/>
      <c r="G104" s="27"/>
      <c r="H104" s="548"/>
      <c r="I104" s="27"/>
      <c r="J104" s="737"/>
      <c r="K104" s="635"/>
      <c r="L104" s="635"/>
      <c r="M104" s="635"/>
      <c r="N104" s="635"/>
      <c r="O104" s="636"/>
      <c r="P104" s="635"/>
      <c r="Q104" s="635"/>
      <c r="R104" s="636"/>
      <c r="S104" s="636"/>
      <c r="T104" s="635"/>
      <c r="U104" s="707"/>
      <c r="V104" s="707"/>
      <c r="W104" s="707"/>
      <c r="X104" s="636"/>
      <c r="Y104" s="636"/>
      <c r="Z104" s="637"/>
      <c r="AA104" s="635"/>
      <c r="AB104" s="707"/>
      <c r="AC104" s="644"/>
    </row>
    <row r="105" spans="1:29" x14ac:dyDescent="0.25">
      <c r="A105" s="23"/>
      <c r="B105" s="24"/>
      <c r="C105" s="25"/>
      <c r="D105" s="27"/>
      <c r="E105" s="27"/>
      <c r="F105" s="28"/>
      <c r="G105" s="27"/>
      <c r="H105" s="548"/>
      <c r="I105" s="27"/>
      <c r="J105" s="737"/>
      <c r="K105" s="635"/>
      <c r="L105" s="635"/>
      <c r="M105" s="635"/>
      <c r="N105" s="635"/>
      <c r="O105" s="636"/>
      <c r="P105" s="635"/>
      <c r="Q105" s="635"/>
      <c r="R105" s="636"/>
      <c r="S105" s="636"/>
      <c r="T105" s="635"/>
      <c r="U105" s="707"/>
      <c r="V105" s="707"/>
      <c r="W105" s="707"/>
      <c r="X105" s="636"/>
      <c r="Y105" s="636"/>
      <c r="Z105" s="637"/>
      <c r="AA105" s="635"/>
      <c r="AB105" s="707"/>
      <c r="AC105" s="644"/>
    </row>
    <row r="106" spans="1:29" x14ac:dyDescent="0.25">
      <c r="A106" s="23"/>
      <c r="B106" s="24"/>
      <c r="C106" s="25"/>
      <c r="D106" s="27"/>
      <c r="E106" s="27"/>
      <c r="F106" s="28"/>
      <c r="G106" s="27"/>
      <c r="H106" s="180"/>
      <c r="I106" s="27"/>
      <c r="J106" s="737"/>
      <c r="K106" s="635"/>
      <c r="L106" s="635"/>
      <c r="M106" s="635"/>
      <c r="N106" s="635"/>
      <c r="O106" s="636"/>
      <c r="P106" s="635"/>
      <c r="Q106" s="635"/>
      <c r="R106" s="636"/>
      <c r="S106" s="636"/>
      <c r="T106" s="635"/>
      <c r="U106" s="707"/>
      <c r="V106" s="707"/>
      <c r="W106" s="707"/>
      <c r="X106" s="636"/>
      <c r="Y106" s="636"/>
      <c r="Z106" s="637"/>
      <c r="AA106" s="635"/>
      <c r="AB106" s="707"/>
      <c r="AC106" s="644"/>
    </row>
    <row r="107" spans="1:29" x14ac:dyDescent="0.25">
      <c r="A107" s="23"/>
      <c r="B107" s="24"/>
      <c r="C107" s="25"/>
      <c r="D107" s="27"/>
      <c r="E107" s="27"/>
      <c r="F107" s="28"/>
      <c r="G107" s="27"/>
      <c r="H107" s="180"/>
      <c r="I107" s="27"/>
      <c r="J107" s="737"/>
      <c r="K107" s="635"/>
      <c r="L107" s="635"/>
      <c r="M107" s="635"/>
      <c r="N107" s="635"/>
      <c r="O107" s="636"/>
      <c r="P107" s="635"/>
      <c r="Q107" s="635"/>
      <c r="R107" s="636"/>
      <c r="S107" s="636"/>
      <c r="T107" s="635"/>
      <c r="U107" s="707"/>
      <c r="V107" s="707"/>
      <c r="W107" s="707"/>
      <c r="X107" s="636"/>
      <c r="Y107" s="636"/>
      <c r="Z107" s="637"/>
      <c r="AA107" s="635"/>
      <c r="AB107" s="707"/>
      <c r="AC107" s="644"/>
    </row>
    <row r="108" spans="1:29" x14ac:dyDescent="0.25">
      <c r="A108" s="23"/>
      <c r="B108" s="24"/>
      <c r="C108" s="25"/>
      <c r="D108" s="27"/>
      <c r="E108" s="27"/>
      <c r="F108" s="28"/>
      <c r="G108" s="27"/>
      <c r="H108" s="180"/>
      <c r="I108" s="27"/>
      <c r="J108" s="737"/>
      <c r="K108" s="635"/>
      <c r="L108" s="635"/>
      <c r="M108" s="635"/>
      <c r="N108" s="635"/>
      <c r="O108" s="636"/>
      <c r="P108" s="635"/>
      <c r="Q108" s="635"/>
      <c r="R108" s="636"/>
      <c r="S108" s="636"/>
      <c r="T108" s="635"/>
      <c r="U108" s="707"/>
      <c r="V108" s="707"/>
      <c r="W108" s="707"/>
      <c r="X108" s="636"/>
      <c r="Y108" s="636"/>
      <c r="Z108" s="637"/>
      <c r="AA108" s="635"/>
      <c r="AB108" s="707"/>
      <c r="AC108" s="644"/>
    </row>
    <row r="109" spans="1:29" x14ac:dyDescent="0.25">
      <c r="A109" s="23"/>
      <c r="B109" s="24"/>
      <c r="C109" s="25"/>
      <c r="D109" s="27"/>
      <c r="E109" s="27"/>
      <c r="F109" s="28"/>
      <c r="G109" s="27"/>
      <c r="H109" s="180"/>
      <c r="I109" s="27"/>
      <c r="J109" s="737"/>
      <c r="K109" s="635"/>
      <c r="L109" s="635"/>
      <c r="M109" s="635"/>
      <c r="N109" s="635"/>
      <c r="O109" s="636"/>
      <c r="P109" s="635"/>
      <c r="Q109" s="635"/>
      <c r="R109" s="636"/>
      <c r="S109" s="636"/>
      <c r="T109" s="635"/>
      <c r="U109" s="707"/>
      <c r="V109" s="707"/>
      <c r="W109" s="707"/>
      <c r="X109" s="636"/>
      <c r="Y109" s="636"/>
      <c r="Z109" s="637"/>
      <c r="AA109" s="635"/>
      <c r="AB109" s="707"/>
      <c r="AC109" s="721"/>
    </row>
    <row r="110" spans="1:29" x14ac:dyDescent="0.25">
      <c r="A110" s="23"/>
      <c r="B110" s="24"/>
      <c r="C110" s="25"/>
      <c r="D110" s="27"/>
      <c r="E110" s="27"/>
      <c r="F110" s="28"/>
      <c r="G110" s="27"/>
      <c r="H110" s="180"/>
      <c r="I110" s="27"/>
      <c r="J110" s="737"/>
      <c r="K110" s="635"/>
      <c r="L110" s="635"/>
      <c r="M110" s="635"/>
      <c r="N110" s="635"/>
      <c r="O110" s="636"/>
      <c r="P110" s="635"/>
      <c r="Q110" s="635"/>
      <c r="R110" s="636"/>
      <c r="S110" s="636"/>
      <c r="T110" s="635"/>
      <c r="U110" s="707"/>
      <c r="V110" s="707"/>
      <c r="W110" s="707"/>
      <c r="X110" s="636"/>
      <c r="Y110" s="636"/>
      <c r="Z110" s="637"/>
      <c r="AA110" s="635"/>
      <c r="AB110" s="707"/>
      <c r="AC110" s="721"/>
    </row>
    <row r="111" spans="1:29" x14ac:dyDescent="0.25">
      <c r="A111" s="23"/>
      <c r="B111" s="24"/>
      <c r="C111" s="25"/>
      <c r="D111" s="27"/>
      <c r="E111" s="27"/>
      <c r="F111" s="28"/>
      <c r="G111" s="27"/>
      <c r="H111" s="180"/>
      <c r="I111" s="27"/>
      <c r="J111" s="737"/>
      <c r="K111" s="635"/>
      <c r="L111" s="635"/>
      <c r="M111" s="635"/>
      <c r="N111" s="635"/>
      <c r="O111" s="636"/>
      <c r="P111" s="635"/>
      <c r="Q111" s="635"/>
      <c r="R111" s="636"/>
      <c r="S111" s="636"/>
      <c r="T111" s="635"/>
      <c r="U111" s="707"/>
      <c r="V111" s="707"/>
      <c r="W111" s="707"/>
      <c r="X111" s="636"/>
      <c r="Y111" s="636"/>
      <c r="Z111" s="637"/>
      <c r="AA111" s="635"/>
      <c r="AB111" s="707"/>
      <c r="AC111" s="721"/>
    </row>
    <row r="112" spans="1:29" x14ac:dyDescent="0.25">
      <c r="A112" s="23"/>
      <c r="B112" s="24"/>
      <c r="C112" s="25"/>
      <c r="D112" s="27"/>
      <c r="E112" s="27"/>
      <c r="F112" s="28"/>
      <c r="G112" s="27"/>
      <c r="H112" s="180"/>
      <c r="I112" s="27"/>
      <c r="J112" s="737"/>
      <c r="K112" s="635"/>
      <c r="L112" s="635"/>
      <c r="M112" s="635"/>
      <c r="N112" s="635"/>
      <c r="O112" s="636"/>
      <c r="P112" s="635"/>
      <c r="Q112" s="635"/>
      <c r="R112" s="636"/>
      <c r="S112" s="636"/>
      <c r="T112" s="635"/>
      <c r="U112" s="707"/>
      <c r="V112" s="707"/>
      <c r="W112" s="707"/>
      <c r="X112" s="636"/>
      <c r="Y112" s="636"/>
      <c r="Z112" s="637"/>
      <c r="AA112" s="635"/>
      <c r="AB112" s="707"/>
      <c r="AC112" s="721"/>
    </row>
    <row r="113" spans="1:29" x14ac:dyDescent="0.25">
      <c r="A113" s="23"/>
      <c r="B113" s="24"/>
      <c r="C113" s="25"/>
      <c r="D113" s="27"/>
      <c r="E113" s="27"/>
      <c r="F113" s="28"/>
      <c r="G113" s="27"/>
      <c r="H113" s="180"/>
      <c r="I113" s="27"/>
      <c r="J113" s="737"/>
      <c r="K113" s="635"/>
      <c r="L113" s="635"/>
      <c r="M113" s="635"/>
      <c r="N113" s="635"/>
      <c r="O113" s="636"/>
      <c r="P113" s="635"/>
      <c r="Q113" s="635"/>
      <c r="R113" s="636"/>
      <c r="S113" s="636"/>
      <c r="T113" s="635"/>
      <c r="U113" s="707"/>
      <c r="V113" s="707"/>
      <c r="W113" s="707"/>
      <c r="X113" s="636"/>
      <c r="Y113" s="636"/>
      <c r="Z113" s="637"/>
      <c r="AA113" s="635"/>
      <c r="AB113" s="707"/>
      <c r="AC113" s="721"/>
    </row>
    <row r="114" spans="1:29" x14ac:dyDescent="0.25">
      <c r="A114" s="23"/>
      <c r="B114" s="24"/>
      <c r="C114" s="25"/>
      <c r="D114" s="27"/>
      <c r="E114" s="27"/>
      <c r="F114" s="28"/>
      <c r="G114" s="27"/>
      <c r="H114" s="180"/>
      <c r="I114" s="27"/>
      <c r="J114" s="737"/>
      <c r="K114" s="635"/>
      <c r="L114" s="635"/>
      <c r="M114" s="635"/>
      <c r="N114" s="635"/>
      <c r="O114" s="636"/>
      <c r="P114" s="635"/>
      <c r="Q114" s="635"/>
      <c r="R114" s="636"/>
      <c r="S114" s="636"/>
      <c r="T114" s="635"/>
      <c r="U114" s="707"/>
      <c r="V114" s="707"/>
      <c r="W114" s="707"/>
      <c r="X114" s="636"/>
      <c r="Y114" s="636"/>
      <c r="Z114" s="637"/>
      <c r="AA114" s="635"/>
      <c r="AB114" s="707"/>
      <c r="AC114" s="721"/>
    </row>
    <row r="115" spans="1:29" x14ac:dyDescent="0.25">
      <c r="A115" s="23"/>
      <c r="B115" s="24"/>
      <c r="C115" s="25"/>
      <c r="D115" s="27"/>
      <c r="E115" s="27"/>
      <c r="F115" s="28"/>
      <c r="G115" s="27"/>
      <c r="H115" s="180"/>
      <c r="I115" s="27"/>
      <c r="J115" s="737"/>
      <c r="K115" s="635"/>
      <c r="L115" s="635"/>
      <c r="M115" s="635"/>
      <c r="N115" s="635"/>
      <c r="O115" s="636"/>
      <c r="P115" s="635"/>
      <c r="Q115" s="635"/>
      <c r="R115" s="636"/>
      <c r="S115" s="636"/>
      <c r="T115" s="635"/>
      <c r="U115" s="707"/>
      <c r="V115" s="707"/>
      <c r="W115" s="707"/>
      <c r="X115" s="636"/>
      <c r="Y115" s="636"/>
      <c r="Z115" s="637"/>
      <c r="AA115" s="635"/>
      <c r="AB115" s="707"/>
      <c r="AC115" s="644"/>
    </row>
    <row r="116" spans="1:29" x14ac:dyDescent="0.25">
      <c r="A116" s="23"/>
      <c r="B116" s="24"/>
      <c r="C116" s="25"/>
      <c r="D116" s="27"/>
      <c r="E116" s="27"/>
      <c r="F116" s="28"/>
      <c r="G116" s="27"/>
      <c r="H116" s="180"/>
      <c r="I116" s="27"/>
      <c r="J116" s="737"/>
      <c r="K116" s="635"/>
      <c r="L116" s="635"/>
      <c r="M116" s="635"/>
      <c r="N116" s="635"/>
      <c r="O116" s="636"/>
      <c r="P116" s="635"/>
      <c r="Q116" s="635"/>
      <c r="R116" s="636"/>
      <c r="S116" s="636"/>
      <c r="T116" s="635"/>
      <c r="U116" s="707"/>
      <c r="V116" s="707"/>
      <c r="W116" s="707"/>
      <c r="X116" s="636"/>
      <c r="Y116" s="636"/>
      <c r="Z116" s="637"/>
      <c r="AA116" s="635"/>
      <c r="AB116" s="707"/>
      <c r="AC116" s="644"/>
    </row>
    <row r="117" spans="1:29" x14ac:dyDescent="0.25">
      <c r="A117" s="23"/>
      <c r="B117" s="24"/>
      <c r="C117" s="25"/>
      <c r="D117" s="27"/>
      <c r="E117" s="27"/>
      <c r="F117" s="28"/>
      <c r="G117" s="27"/>
      <c r="H117" s="180"/>
      <c r="I117" s="27"/>
      <c r="J117" s="737"/>
      <c r="K117" s="635"/>
      <c r="L117" s="635"/>
      <c r="M117" s="635"/>
      <c r="N117" s="635"/>
      <c r="O117" s="636"/>
      <c r="P117" s="635"/>
      <c r="Q117" s="635"/>
      <c r="R117" s="636"/>
      <c r="S117" s="636"/>
      <c r="T117" s="635"/>
      <c r="U117" s="707"/>
      <c r="V117" s="707"/>
      <c r="W117" s="707"/>
      <c r="X117" s="636"/>
      <c r="Y117" s="636"/>
      <c r="Z117" s="637"/>
      <c r="AA117" s="635"/>
      <c r="AB117" s="707"/>
      <c r="AC117" s="644"/>
    </row>
    <row r="118" spans="1:29" x14ac:dyDescent="0.25">
      <c r="A118" s="23"/>
      <c r="B118" s="24"/>
      <c r="C118" s="25"/>
      <c r="D118" s="27"/>
      <c r="E118" s="27"/>
      <c r="F118" s="28"/>
      <c r="G118" s="27"/>
      <c r="H118" s="180"/>
      <c r="I118" s="27"/>
      <c r="J118" s="737"/>
      <c r="K118" s="635"/>
      <c r="L118" s="635"/>
      <c r="M118" s="635"/>
      <c r="N118" s="635"/>
      <c r="O118" s="636"/>
      <c r="P118" s="635"/>
      <c r="Q118" s="635"/>
      <c r="R118" s="636"/>
      <c r="S118" s="636"/>
      <c r="T118" s="635"/>
      <c r="U118" s="707"/>
      <c r="V118" s="707"/>
      <c r="W118" s="707"/>
      <c r="X118" s="636"/>
      <c r="Y118" s="636"/>
      <c r="Z118" s="637"/>
      <c r="AA118" s="635"/>
      <c r="AB118" s="707"/>
      <c r="AC118" s="644"/>
    </row>
    <row r="119" spans="1:29" x14ac:dyDescent="0.25">
      <c r="A119" s="23"/>
      <c r="B119" s="24"/>
      <c r="C119" s="25"/>
      <c r="D119" s="27"/>
      <c r="E119" s="27"/>
      <c r="F119" s="28"/>
      <c r="G119" s="27"/>
      <c r="H119" s="180"/>
      <c r="I119" s="27"/>
      <c r="J119" s="737"/>
      <c r="K119" s="635"/>
      <c r="L119" s="635"/>
      <c r="M119" s="635"/>
      <c r="N119" s="635"/>
      <c r="O119" s="636"/>
      <c r="P119" s="635"/>
      <c r="Q119" s="635"/>
      <c r="R119" s="636"/>
      <c r="S119" s="636"/>
      <c r="T119" s="635"/>
      <c r="U119" s="707"/>
      <c r="V119" s="707"/>
      <c r="W119" s="707"/>
      <c r="X119" s="636"/>
      <c r="Y119" s="636"/>
      <c r="Z119" s="637"/>
      <c r="AA119" s="635"/>
      <c r="AB119" s="707"/>
      <c r="AC119" s="644"/>
    </row>
    <row r="120" spans="1:29" x14ac:dyDescent="0.25">
      <c r="A120" s="23"/>
      <c r="B120" s="24"/>
      <c r="C120" s="25"/>
      <c r="D120" s="27"/>
      <c r="E120" s="27"/>
      <c r="F120" s="28"/>
      <c r="G120" s="27"/>
      <c r="H120" s="180"/>
      <c r="I120" s="27"/>
      <c r="J120" s="737"/>
      <c r="K120" s="635"/>
      <c r="L120" s="635"/>
      <c r="M120" s="635"/>
      <c r="N120" s="635"/>
      <c r="O120" s="636"/>
      <c r="P120" s="635"/>
      <c r="Q120" s="635"/>
      <c r="R120" s="636"/>
      <c r="S120" s="636"/>
      <c r="T120" s="635"/>
      <c r="U120" s="707"/>
      <c r="V120" s="707"/>
      <c r="W120" s="707"/>
      <c r="X120" s="636"/>
      <c r="Y120" s="636"/>
      <c r="Z120" s="637"/>
      <c r="AA120" s="635"/>
      <c r="AB120" s="707"/>
      <c r="AC120" s="644"/>
    </row>
    <row r="121" spans="1:29" x14ac:dyDescent="0.25">
      <c r="A121" s="23"/>
      <c r="B121" s="24"/>
      <c r="C121" s="25"/>
      <c r="D121" s="27"/>
      <c r="E121" s="27"/>
      <c r="F121" s="28"/>
      <c r="G121" s="27"/>
      <c r="H121" s="180"/>
      <c r="I121" s="27"/>
      <c r="J121" s="737"/>
      <c r="K121" s="635"/>
      <c r="L121" s="635"/>
      <c r="M121" s="635"/>
      <c r="N121" s="635"/>
      <c r="O121" s="636"/>
      <c r="P121" s="635"/>
      <c r="Q121" s="635"/>
      <c r="R121" s="636"/>
      <c r="S121" s="636"/>
      <c r="T121" s="635"/>
      <c r="U121" s="707"/>
      <c r="V121" s="707"/>
      <c r="W121" s="707"/>
      <c r="X121" s="636"/>
      <c r="Y121" s="636"/>
      <c r="Z121" s="637"/>
      <c r="AA121" s="635"/>
      <c r="AB121" s="707"/>
      <c r="AC121" s="644"/>
    </row>
    <row r="122" spans="1:29" x14ac:dyDescent="0.25">
      <c r="A122" s="23"/>
      <c r="B122" s="24"/>
      <c r="C122" s="25"/>
      <c r="D122" s="27"/>
      <c r="E122" s="27"/>
      <c r="F122" s="28"/>
      <c r="G122" s="27"/>
      <c r="H122" s="180"/>
      <c r="I122" s="27"/>
      <c r="J122" s="737"/>
      <c r="K122" s="635"/>
      <c r="L122" s="635"/>
      <c r="M122" s="635"/>
      <c r="N122" s="635"/>
      <c r="O122" s="636"/>
      <c r="P122" s="635"/>
      <c r="Q122" s="635"/>
      <c r="R122" s="636"/>
      <c r="S122" s="636"/>
      <c r="T122" s="635"/>
      <c r="U122" s="707"/>
      <c r="V122" s="707"/>
      <c r="W122" s="707"/>
      <c r="X122" s="636"/>
      <c r="Y122" s="636"/>
      <c r="Z122" s="637"/>
      <c r="AA122" s="635"/>
      <c r="AB122" s="707"/>
      <c r="AC122" s="644"/>
    </row>
    <row r="123" spans="1:29" x14ac:dyDescent="0.25">
      <c r="A123" s="23"/>
      <c r="B123" s="24"/>
      <c r="C123" s="25"/>
      <c r="D123" s="27"/>
      <c r="E123" s="27"/>
      <c r="F123" s="28"/>
      <c r="G123" s="27"/>
      <c r="H123" s="180"/>
      <c r="I123" s="27"/>
      <c r="J123" s="737"/>
      <c r="K123" s="635"/>
      <c r="L123" s="635"/>
      <c r="M123" s="635"/>
      <c r="N123" s="635"/>
      <c r="O123" s="636"/>
      <c r="P123" s="635"/>
      <c r="Q123" s="635"/>
      <c r="R123" s="636"/>
      <c r="S123" s="636"/>
      <c r="T123" s="635"/>
      <c r="U123" s="707"/>
      <c r="V123" s="707"/>
      <c r="W123" s="707"/>
      <c r="X123" s="636"/>
      <c r="Y123" s="636"/>
      <c r="Z123" s="637"/>
      <c r="AA123" s="635"/>
      <c r="AB123" s="707"/>
      <c r="AC123" s="644"/>
    </row>
    <row r="124" spans="1:29" x14ac:dyDescent="0.25">
      <c r="A124" s="23"/>
      <c r="B124" s="24"/>
      <c r="C124" s="25"/>
      <c r="D124" s="27"/>
      <c r="E124" s="27"/>
      <c r="F124" s="28"/>
      <c r="G124" s="27"/>
      <c r="H124" s="180"/>
      <c r="I124" s="27"/>
      <c r="J124" s="737"/>
      <c r="K124" s="635"/>
      <c r="L124" s="635"/>
      <c r="M124" s="635"/>
      <c r="N124" s="635"/>
      <c r="O124" s="636"/>
      <c r="P124" s="635"/>
      <c r="Q124" s="635"/>
      <c r="R124" s="636"/>
      <c r="S124" s="636"/>
      <c r="T124" s="635"/>
      <c r="U124" s="707"/>
      <c r="V124" s="707"/>
      <c r="W124" s="707"/>
      <c r="X124" s="636"/>
      <c r="Y124" s="636"/>
      <c r="Z124" s="637"/>
      <c r="AA124" s="635"/>
      <c r="AB124" s="707"/>
      <c r="AC124" s="644"/>
    </row>
    <row r="125" spans="1:29" x14ac:dyDescent="0.25">
      <c r="A125" s="23"/>
      <c r="B125" s="24"/>
      <c r="C125" s="25"/>
      <c r="D125" s="27"/>
      <c r="E125" s="27"/>
      <c r="F125" s="28"/>
      <c r="G125" s="27"/>
      <c r="H125" s="180"/>
      <c r="I125" s="27"/>
      <c r="J125" s="737"/>
      <c r="K125" s="635"/>
      <c r="L125" s="635"/>
      <c r="M125" s="635"/>
      <c r="N125" s="635"/>
      <c r="O125" s="636"/>
      <c r="P125" s="635"/>
      <c r="Q125" s="635"/>
      <c r="R125" s="636"/>
      <c r="S125" s="636"/>
      <c r="T125" s="635"/>
      <c r="U125" s="707"/>
      <c r="V125" s="707"/>
      <c r="W125" s="707"/>
      <c r="X125" s="636"/>
      <c r="Y125" s="636"/>
      <c r="Z125" s="637"/>
      <c r="AA125" s="635"/>
      <c r="AB125" s="707"/>
      <c r="AC125" s="644"/>
    </row>
    <row r="126" spans="1:29" x14ac:dyDescent="0.25">
      <c r="A126" s="23"/>
      <c r="B126" s="24"/>
      <c r="C126" s="25"/>
      <c r="D126" s="27"/>
      <c r="E126" s="27"/>
      <c r="F126" s="28"/>
      <c r="G126" s="27"/>
      <c r="H126" s="180"/>
      <c r="I126" s="27"/>
      <c r="J126" s="737"/>
      <c r="K126" s="635"/>
      <c r="L126" s="635"/>
      <c r="M126" s="635"/>
      <c r="N126" s="635"/>
      <c r="O126" s="636"/>
      <c r="P126" s="635"/>
      <c r="Q126" s="635"/>
      <c r="R126" s="636"/>
      <c r="S126" s="636"/>
      <c r="T126" s="635"/>
      <c r="U126" s="707"/>
      <c r="V126" s="707"/>
      <c r="W126" s="707"/>
      <c r="X126" s="636"/>
      <c r="Y126" s="636"/>
      <c r="Z126" s="637"/>
      <c r="AA126" s="635"/>
      <c r="AB126" s="707"/>
      <c r="AC126" s="644"/>
    </row>
    <row r="127" spans="1:29" x14ac:dyDescent="0.25">
      <c r="A127" s="23"/>
      <c r="B127" s="24"/>
      <c r="C127" s="25"/>
      <c r="D127" s="27"/>
      <c r="E127" s="27"/>
      <c r="F127" s="28"/>
      <c r="G127" s="27"/>
      <c r="H127" s="180"/>
      <c r="I127" s="27"/>
      <c r="J127" s="737"/>
      <c r="K127" s="635"/>
      <c r="L127" s="635"/>
      <c r="M127" s="635"/>
      <c r="N127" s="635"/>
      <c r="O127" s="636"/>
      <c r="P127" s="635"/>
      <c r="Q127" s="635"/>
      <c r="R127" s="636"/>
      <c r="S127" s="636"/>
      <c r="T127" s="635"/>
      <c r="U127" s="707"/>
      <c r="V127" s="707"/>
      <c r="W127" s="707"/>
      <c r="X127" s="636"/>
      <c r="Y127" s="636"/>
      <c r="Z127" s="637"/>
      <c r="AA127" s="635"/>
      <c r="AB127" s="707"/>
      <c r="AC127" s="644"/>
    </row>
    <row r="128" spans="1:29" x14ac:dyDescent="0.25">
      <c r="A128" s="23"/>
      <c r="B128" s="24"/>
      <c r="C128" s="25"/>
      <c r="D128" s="27"/>
      <c r="E128" s="27"/>
      <c r="F128" s="28"/>
      <c r="G128" s="27"/>
      <c r="H128" s="180"/>
      <c r="I128" s="27"/>
      <c r="J128" s="737"/>
      <c r="K128" s="635"/>
      <c r="L128" s="635"/>
      <c r="M128" s="635"/>
      <c r="N128" s="635"/>
      <c r="O128" s="636"/>
      <c r="P128" s="635"/>
      <c r="Q128" s="635"/>
      <c r="R128" s="636"/>
      <c r="S128" s="636"/>
      <c r="T128" s="635"/>
      <c r="U128" s="707"/>
      <c r="V128" s="707"/>
      <c r="W128" s="707"/>
      <c r="X128" s="636"/>
      <c r="Y128" s="636"/>
      <c r="Z128" s="637"/>
      <c r="AA128" s="635"/>
      <c r="AB128" s="707"/>
      <c r="AC128" s="644"/>
    </row>
    <row r="129" spans="1:29" x14ac:dyDescent="0.25">
      <c r="A129" s="23"/>
      <c r="B129" s="24"/>
      <c r="C129" s="25"/>
      <c r="D129" s="27"/>
      <c r="E129" s="27"/>
      <c r="F129" s="28"/>
      <c r="G129" s="27"/>
      <c r="H129" s="180"/>
      <c r="I129" s="27"/>
      <c r="J129" s="737"/>
      <c r="K129" s="635"/>
      <c r="L129" s="635"/>
      <c r="M129" s="635"/>
      <c r="N129" s="635"/>
      <c r="O129" s="636"/>
      <c r="P129" s="635"/>
      <c r="Q129" s="635"/>
      <c r="R129" s="636"/>
      <c r="S129" s="636"/>
      <c r="T129" s="635"/>
      <c r="U129" s="707"/>
      <c r="V129" s="707"/>
      <c r="W129" s="707"/>
      <c r="X129" s="636"/>
      <c r="Y129" s="636"/>
      <c r="Z129" s="637"/>
      <c r="AA129" s="635"/>
      <c r="AB129" s="707"/>
      <c r="AC129" s="644"/>
    </row>
    <row r="130" spans="1:29" x14ac:dyDescent="0.25">
      <c r="A130" s="23"/>
      <c r="B130" s="24"/>
      <c r="C130" s="25"/>
      <c r="D130" s="27"/>
      <c r="E130" s="27"/>
      <c r="F130" s="28"/>
      <c r="G130" s="27"/>
      <c r="H130" s="180"/>
      <c r="I130" s="27"/>
      <c r="J130" s="737"/>
      <c r="K130" s="635"/>
      <c r="L130" s="635"/>
      <c r="M130" s="635"/>
      <c r="N130" s="635"/>
      <c r="O130" s="636"/>
      <c r="P130" s="635"/>
      <c r="Q130" s="635"/>
      <c r="R130" s="636"/>
      <c r="S130" s="636"/>
      <c r="T130" s="635"/>
      <c r="U130" s="707"/>
      <c r="V130" s="707"/>
      <c r="W130" s="707"/>
      <c r="X130" s="636"/>
      <c r="Y130" s="636"/>
      <c r="Z130" s="637"/>
      <c r="AA130" s="635"/>
      <c r="AB130" s="707"/>
      <c r="AC130" s="644"/>
    </row>
    <row r="131" spans="1:29" x14ac:dyDescent="0.25">
      <c r="A131" s="23"/>
      <c r="B131" s="24"/>
      <c r="C131" s="25"/>
      <c r="D131" s="27"/>
      <c r="E131" s="27"/>
      <c r="F131" s="28"/>
      <c r="G131" s="27"/>
      <c r="H131" s="180"/>
      <c r="I131" s="27"/>
      <c r="J131" s="737"/>
      <c r="K131" s="635"/>
      <c r="L131" s="635"/>
      <c r="M131" s="635"/>
      <c r="N131" s="635"/>
      <c r="O131" s="636"/>
      <c r="P131" s="635"/>
      <c r="Q131" s="635"/>
      <c r="R131" s="636"/>
      <c r="S131" s="636"/>
      <c r="T131" s="635"/>
      <c r="U131" s="707"/>
      <c r="V131" s="707"/>
      <c r="W131" s="707"/>
      <c r="X131" s="636"/>
      <c r="Y131" s="636"/>
      <c r="Z131" s="637"/>
      <c r="AA131" s="635"/>
      <c r="AB131" s="707"/>
      <c r="AC131" s="644"/>
    </row>
    <row r="132" spans="1:29" x14ac:dyDescent="0.25">
      <c r="A132" s="23"/>
      <c r="B132" s="24"/>
      <c r="C132" s="25"/>
      <c r="D132" s="27"/>
      <c r="E132" s="27"/>
      <c r="F132" s="28"/>
      <c r="G132" s="27"/>
      <c r="H132" s="180"/>
      <c r="I132" s="27"/>
      <c r="J132" s="737"/>
      <c r="K132" s="635"/>
      <c r="L132" s="635"/>
      <c r="M132" s="635"/>
      <c r="N132" s="635"/>
      <c r="O132" s="636"/>
      <c r="P132" s="635"/>
      <c r="Q132" s="635"/>
      <c r="R132" s="636"/>
      <c r="S132" s="636"/>
      <c r="T132" s="635"/>
      <c r="U132" s="707"/>
      <c r="V132" s="707"/>
      <c r="W132" s="707"/>
      <c r="X132" s="636"/>
      <c r="Y132" s="636"/>
      <c r="Z132" s="637"/>
      <c r="AA132" s="635"/>
      <c r="AB132" s="707"/>
      <c r="AC132" s="644"/>
    </row>
    <row r="133" spans="1:29" x14ac:dyDescent="0.25">
      <c r="A133" s="23"/>
      <c r="B133" s="24"/>
      <c r="C133" s="25"/>
      <c r="D133" s="27"/>
      <c r="E133" s="27"/>
      <c r="F133" s="28"/>
      <c r="G133" s="27"/>
      <c r="H133" s="180"/>
      <c r="I133" s="27"/>
      <c r="J133" s="737"/>
      <c r="K133" s="635"/>
      <c r="L133" s="635"/>
      <c r="M133" s="635"/>
      <c r="N133" s="635"/>
      <c r="O133" s="636"/>
      <c r="P133" s="635"/>
      <c r="Q133" s="635"/>
      <c r="R133" s="636"/>
      <c r="S133" s="636"/>
      <c r="T133" s="635"/>
      <c r="U133" s="707"/>
      <c r="V133" s="707"/>
      <c r="W133" s="707"/>
      <c r="X133" s="636"/>
      <c r="Y133" s="636"/>
      <c r="Z133" s="637"/>
      <c r="AA133" s="635"/>
      <c r="AB133" s="707"/>
      <c r="AC133" s="644"/>
    </row>
    <row r="134" spans="1:29" x14ac:dyDescent="0.25">
      <c r="A134" s="23"/>
      <c r="B134" s="24"/>
      <c r="C134" s="25"/>
      <c r="D134" s="27"/>
      <c r="E134" s="27"/>
      <c r="F134" s="28"/>
      <c r="G134" s="27"/>
      <c r="H134" s="180"/>
      <c r="I134" s="27"/>
      <c r="J134" s="737"/>
      <c r="K134" s="635"/>
      <c r="L134" s="635"/>
      <c r="M134" s="635"/>
      <c r="N134" s="635"/>
      <c r="O134" s="636"/>
      <c r="P134" s="635"/>
      <c r="Q134" s="635"/>
      <c r="R134" s="636"/>
      <c r="S134" s="636"/>
      <c r="T134" s="635"/>
      <c r="U134" s="707"/>
      <c r="V134" s="707"/>
      <c r="W134" s="707"/>
      <c r="X134" s="636"/>
      <c r="Y134" s="636"/>
      <c r="Z134" s="637"/>
      <c r="AA134" s="635"/>
      <c r="AB134" s="707"/>
      <c r="AC134" s="644"/>
    </row>
    <row r="135" spans="1:29" x14ac:dyDescent="0.25">
      <c r="A135" s="23"/>
      <c r="B135" s="24"/>
      <c r="C135" s="25"/>
      <c r="D135" s="27"/>
      <c r="E135" s="27"/>
      <c r="F135" s="28"/>
      <c r="G135" s="27"/>
      <c r="H135" s="180"/>
      <c r="I135" s="27"/>
      <c r="J135" s="737"/>
      <c r="K135" s="635"/>
      <c r="L135" s="635"/>
      <c r="M135" s="635"/>
      <c r="N135" s="635"/>
      <c r="O135" s="636"/>
      <c r="P135" s="635"/>
      <c r="Q135" s="635"/>
      <c r="R135" s="636"/>
      <c r="S135" s="636"/>
      <c r="T135" s="635"/>
      <c r="U135" s="707"/>
      <c r="V135" s="707"/>
      <c r="W135" s="707"/>
      <c r="X135" s="636"/>
      <c r="Y135" s="636"/>
      <c r="Z135" s="637"/>
      <c r="AA135" s="635"/>
      <c r="AB135" s="707"/>
      <c r="AC135" s="644"/>
    </row>
    <row r="136" spans="1:29" x14ac:dyDescent="0.25">
      <c r="A136" s="23"/>
      <c r="B136" s="24"/>
      <c r="C136" s="25"/>
      <c r="D136" s="27"/>
      <c r="E136" s="27"/>
      <c r="F136" s="28"/>
      <c r="G136" s="27"/>
      <c r="H136" s="180"/>
      <c r="I136" s="27"/>
      <c r="J136" s="737"/>
      <c r="K136" s="635"/>
      <c r="L136" s="635"/>
      <c r="M136" s="635"/>
      <c r="N136" s="635"/>
      <c r="O136" s="636"/>
      <c r="P136" s="635"/>
      <c r="Q136" s="635"/>
      <c r="R136" s="636"/>
      <c r="S136" s="636"/>
      <c r="T136" s="635"/>
      <c r="U136" s="707"/>
      <c r="V136" s="707"/>
      <c r="W136" s="707"/>
      <c r="X136" s="636"/>
      <c r="Y136" s="636"/>
      <c r="Z136" s="637"/>
      <c r="AA136" s="635"/>
      <c r="AB136" s="707"/>
      <c r="AC136" s="644"/>
    </row>
    <row r="137" spans="1:29" x14ac:dyDescent="0.25">
      <c r="A137" s="23"/>
      <c r="B137" s="24"/>
      <c r="C137" s="25"/>
      <c r="D137" s="27"/>
      <c r="E137" s="27"/>
      <c r="F137" s="28"/>
      <c r="G137" s="27"/>
      <c r="H137" s="180"/>
      <c r="I137" s="27"/>
      <c r="J137" s="737"/>
      <c r="K137" s="635"/>
      <c r="L137" s="635"/>
      <c r="M137" s="635"/>
      <c r="N137" s="635"/>
      <c r="O137" s="636"/>
      <c r="P137" s="635"/>
      <c r="Q137" s="635"/>
      <c r="R137" s="636"/>
      <c r="S137" s="636"/>
      <c r="T137" s="635"/>
      <c r="U137" s="707"/>
      <c r="V137" s="707"/>
      <c r="W137" s="707"/>
      <c r="X137" s="636"/>
      <c r="Y137" s="636"/>
      <c r="Z137" s="637"/>
      <c r="AA137" s="635"/>
      <c r="AB137" s="707"/>
      <c r="AC137" s="644"/>
    </row>
    <row r="138" spans="1:29" x14ac:dyDescent="0.25">
      <c r="A138" s="23"/>
      <c r="B138" s="24"/>
      <c r="C138" s="25"/>
      <c r="D138" s="27"/>
      <c r="E138" s="27"/>
      <c r="F138" s="28"/>
      <c r="G138" s="27"/>
      <c r="H138" s="180"/>
      <c r="I138" s="27"/>
      <c r="J138" s="737"/>
      <c r="K138" s="635"/>
      <c r="L138" s="635"/>
      <c r="M138" s="635"/>
      <c r="N138" s="635"/>
      <c r="O138" s="636"/>
      <c r="P138" s="635"/>
      <c r="Q138" s="635"/>
      <c r="R138" s="636"/>
      <c r="S138" s="636"/>
      <c r="T138" s="635"/>
      <c r="U138" s="707"/>
      <c r="V138" s="707"/>
      <c r="W138" s="707"/>
      <c r="X138" s="636"/>
      <c r="Y138" s="636"/>
      <c r="Z138" s="637"/>
      <c r="AA138" s="635"/>
      <c r="AB138" s="707"/>
      <c r="AC138" s="644"/>
    </row>
    <row r="139" spans="1:29" x14ac:dyDescent="0.25">
      <c r="A139" s="23"/>
      <c r="B139" s="24"/>
      <c r="C139" s="25"/>
      <c r="D139" s="27"/>
      <c r="E139" s="27"/>
      <c r="F139" s="28"/>
      <c r="G139" s="27"/>
      <c r="H139" s="180"/>
      <c r="I139" s="27"/>
      <c r="J139" s="737"/>
      <c r="K139" s="635"/>
      <c r="L139" s="635"/>
      <c r="M139" s="635"/>
      <c r="N139" s="635"/>
      <c r="O139" s="636"/>
      <c r="P139" s="635"/>
      <c r="Q139" s="635"/>
      <c r="R139" s="636"/>
      <c r="S139" s="636"/>
      <c r="T139" s="635"/>
      <c r="U139" s="707"/>
      <c r="V139" s="707"/>
      <c r="W139" s="707"/>
      <c r="X139" s="636"/>
      <c r="Y139" s="636"/>
      <c r="Z139" s="637"/>
      <c r="AA139" s="635"/>
      <c r="AB139" s="707"/>
      <c r="AC139" s="644"/>
    </row>
    <row r="140" spans="1:29" x14ac:dyDescent="0.25">
      <c r="A140" s="23"/>
      <c r="B140" s="24"/>
      <c r="C140" s="25"/>
      <c r="D140" s="27"/>
      <c r="E140" s="27"/>
      <c r="F140" s="28"/>
      <c r="G140" s="27"/>
      <c r="H140" s="180"/>
      <c r="I140" s="27"/>
      <c r="J140" s="737"/>
      <c r="K140" s="635"/>
      <c r="L140" s="635"/>
      <c r="M140" s="635"/>
      <c r="N140" s="635"/>
      <c r="O140" s="636"/>
      <c r="P140" s="635"/>
      <c r="Q140" s="635"/>
      <c r="R140" s="636"/>
      <c r="S140" s="636"/>
      <c r="T140" s="635"/>
      <c r="U140" s="707"/>
      <c r="V140" s="707"/>
      <c r="W140" s="707"/>
      <c r="X140" s="636"/>
      <c r="Y140" s="636"/>
      <c r="Z140" s="637"/>
      <c r="AA140" s="635"/>
      <c r="AB140" s="707"/>
      <c r="AC140" s="644"/>
    </row>
    <row r="141" spans="1:29" x14ac:dyDescent="0.25">
      <c r="A141" s="23"/>
      <c r="B141" s="24"/>
      <c r="C141" s="25"/>
      <c r="D141" s="27"/>
      <c r="E141" s="27"/>
      <c r="F141" s="28"/>
      <c r="G141" s="27"/>
      <c r="H141" s="180"/>
      <c r="I141" s="27"/>
      <c r="J141" s="737"/>
      <c r="K141" s="635"/>
      <c r="L141" s="635"/>
      <c r="M141" s="635"/>
      <c r="N141" s="635"/>
      <c r="O141" s="636"/>
      <c r="P141" s="635"/>
      <c r="Q141" s="635"/>
      <c r="R141" s="636"/>
      <c r="S141" s="636"/>
      <c r="T141" s="635"/>
      <c r="U141" s="707"/>
      <c r="V141" s="707"/>
      <c r="W141" s="707"/>
      <c r="X141" s="636"/>
      <c r="Y141" s="636"/>
      <c r="Z141" s="637"/>
      <c r="AA141" s="635"/>
      <c r="AB141" s="707"/>
      <c r="AC141" s="644"/>
    </row>
    <row r="142" spans="1:29" x14ac:dyDescent="0.25">
      <c r="A142" s="23"/>
      <c r="B142" s="24"/>
      <c r="C142" s="25"/>
      <c r="D142" s="27"/>
      <c r="E142" s="27"/>
      <c r="F142" s="28"/>
      <c r="G142" s="27"/>
      <c r="H142" s="180"/>
      <c r="I142" s="27"/>
      <c r="J142" s="737"/>
      <c r="K142" s="635"/>
      <c r="L142" s="635"/>
      <c r="M142" s="635"/>
      <c r="N142" s="635"/>
      <c r="O142" s="636"/>
      <c r="P142" s="635"/>
      <c r="Q142" s="635"/>
      <c r="R142" s="636"/>
      <c r="S142" s="636"/>
      <c r="T142" s="635"/>
      <c r="U142" s="707"/>
      <c r="V142" s="707"/>
      <c r="W142" s="707"/>
      <c r="X142" s="636"/>
      <c r="Y142" s="636"/>
      <c r="Z142" s="637"/>
      <c r="AA142" s="635"/>
      <c r="AB142" s="707"/>
      <c r="AC142" s="644"/>
    </row>
    <row r="143" spans="1:29" x14ac:dyDescent="0.25">
      <c r="A143" s="23"/>
      <c r="B143" s="24"/>
      <c r="C143" s="25"/>
      <c r="D143" s="27"/>
      <c r="E143" s="27"/>
      <c r="F143" s="28"/>
      <c r="G143" s="27"/>
      <c r="H143" s="180"/>
      <c r="I143" s="27"/>
      <c r="J143" s="737"/>
      <c r="K143" s="635"/>
      <c r="L143" s="635"/>
      <c r="M143" s="635"/>
      <c r="N143" s="635"/>
      <c r="O143" s="636"/>
      <c r="P143" s="635"/>
      <c r="Q143" s="635"/>
      <c r="R143" s="636"/>
      <c r="S143" s="636"/>
      <c r="T143" s="635"/>
      <c r="U143" s="707"/>
      <c r="V143" s="707"/>
      <c r="W143" s="707"/>
      <c r="X143" s="636"/>
      <c r="Y143" s="636"/>
      <c r="Z143" s="637"/>
      <c r="AA143" s="635"/>
      <c r="AB143" s="707"/>
      <c r="AC143" s="644"/>
    </row>
    <row r="144" spans="1:29" x14ac:dyDescent="0.25">
      <c r="A144" s="23"/>
      <c r="B144" s="24"/>
      <c r="C144" s="25"/>
      <c r="D144" s="27"/>
      <c r="E144" s="27"/>
      <c r="F144" s="28"/>
      <c r="G144" s="27"/>
      <c r="H144" s="180"/>
      <c r="I144" s="27"/>
      <c r="J144" s="737"/>
      <c r="K144" s="635"/>
      <c r="L144" s="635"/>
      <c r="M144" s="635"/>
      <c r="N144" s="635"/>
      <c r="O144" s="636"/>
      <c r="P144" s="635"/>
      <c r="Q144" s="635"/>
      <c r="R144" s="636"/>
      <c r="S144" s="636"/>
      <c r="T144" s="635"/>
      <c r="U144" s="707"/>
      <c r="V144" s="707"/>
      <c r="W144" s="707"/>
      <c r="X144" s="636"/>
      <c r="Y144" s="636"/>
      <c r="Z144" s="637"/>
      <c r="AA144" s="635"/>
      <c r="AB144" s="707"/>
      <c r="AC144" s="644"/>
    </row>
    <row r="145" spans="1:29" x14ac:dyDescent="0.25">
      <c r="A145" s="23"/>
      <c r="B145" s="24"/>
      <c r="C145" s="25"/>
      <c r="D145" s="27"/>
      <c r="E145" s="27"/>
      <c r="F145" s="28"/>
      <c r="G145" s="27"/>
      <c r="H145" s="180"/>
      <c r="I145" s="27"/>
      <c r="J145" s="737"/>
      <c r="K145" s="635"/>
      <c r="L145" s="635"/>
      <c r="M145" s="635"/>
      <c r="N145" s="635"/>
      <c r="O145" s="636"/>
      <c r="P145" s="635"/>
      <c r="Q145" s="635"/>
      <c r="R145" s="636"/>
      <c r="S145" s="636"/>
      <c r="T145" s="635"/>
      <c r="U145" s="707"/>
      <c r="V145" s="707"/>
      <c r="W145" s="707"/>
      <c r="X145" s="636"/>
      <c r="Y145" s="636"/>
      <c r="Z145" s="637"/>
      <c r="AA145" s="635"/>
      <c r="AB145" s="707"/>
      <c r="AC145" s="644"/>
    </row>
    <row r="146" spans="1:29" x14ac:dyDescent="0.25">
      <c r="A146" s="23"/>
      <c r="B146" s="24"/>
      <c r="C146" s="25"/>
      <c r="D146" s="27"/>
      <c r="E146" s="27"/>
      <c r="F146" s="28"/>
      <c r="G146" s="27"/>
      <c r="H146" s="180"/>
      <c r="I146" s="27"/>
      <c r="J146" s="737"/>
      <c r="K146" s="635"/>
      <c r="L146" s="635"/>
      <c r="M146" s="635"/>
      <c r="N146" s="635"/>
      <c r="O146" s="636"/>
      <c r="P146" s="635"/>
      <c r="Q146" s="635"/>
      <c r="R146" s="636"/>
      <c r="S146" s="636"/>
      <c r="T146" s="635"/>
      <c r="U146" s="707"/>
      <c r="V146" s="707"/>
      <c r="W146" s="707"/>
      <c r="X146" s="636"/>
      <c r="Y146" s="636"/>
      <c r="Z146" s="637"/>
      <c r="AA146" s="635"/>
      <c r="AB146" s="707"/>
      <c r="AC146" s="644"/>
    </row>
    <row r="147" spans="1:29" x14ac:dyDescent="0.25">
      <c r="A147" s="23"/>
      <c r="B147" s="24"/>
      <c r="C147" s="25"/>
      <c r="D147" s="27"/>
      <c r="E147" s="27"/>
      <c r="F147" s="28"/>
      <c r="G147" s="27"/>
      <c r="H147" s="180"/>
      <c r="I147" s="27"/>
      <c r="J147" s="737"/>
      <c r="K147" s="635"/>
      <c r="L147" s="635"/>
      <c r="M147" s="635"/>
      <c r="N147" s="635"/>
      <c r="O147" s="636"/>
      <c r="P147" s="635"/>
      <c r="Q147" s="635"/>
      <c r="R147" s="636"/>
      <c r="S147" s="636"/>
      <c r="T147" s="635"/>
      <c r="U147" s="707"/>
      <c r="V147" s="707"/>
      <c r="W147" s="707"/>
      <c r="X147" s="636"/>
      <c r="Y147" s="636"/>
      <c r="Z147" s="637"/>
      <c r="AA147" s="635"/>
      <c r="AB147" s="707"/>
      <c r="AC147" s="644"/>
    </row>
    <row r="148" spans="1:29" x14ac:dyDescent="0.25">
      <c r="A148" s="23"/>
      <c r="B148" s="24"/>
      <c r="C148" s="25"/>
      <c r="D148" s="27"/>
      <c r="E148" s="27"/>
      <c r="F148" s="28"/>
      <c r="G148" s="27"/>
      <c r="H148" s="180"/>
      <c r="I148" s="27"/>
      <c r="J148" s="737"/>
      <c r="K148" s="635"/>
      <c r="L148" s="635"/>
      <c r="M148" s="635"/>
      <c r="N148" s="635"/>
      <c r="O148" s="636"/>
      <c r="P148" s="635"/>
      <c r="Q148" s="635"/>
      <c r="R148" s="636"/>
      <c r="S148" s="636"/>
      <c r="T148" s="635"/>
      <c r="U148" s="707"/>
      <c r="V148" s="707"/>
      <c r="W148" s="707"/>
      <c r="X148" s="636"/>
      <c r="Y148" s="636"/>
      <c r="Z148" s="637"/>
      <c r="AA148" s="635"/>
      <c r="AB148" s="707"/>
      <c r="AC148" s="644"/>
    </row>
    <row r="149" spans="1:29" x14ac:dyDescent="0.25">
      <c r="A149" s="23"/>
      <c r="B149" s="24"/>
      <c r="C149" s="25"/>
      <c r="D149" s="27"/>
      <c r="E149" s="27"/>
      <c r="F149" s="28"/>
      <c r="G149" s="27"/>
      <c r="H149" s="180"/>
      <c r="I149" s="27"/>
      <c r="J149" s="737"/>
      <c r="K149" s="635"/>
      <c r="L149" s="635"/>
      <c r="M149" s="635"/>
      <c r="N149" s="635"/>
      <c r="O149" s="636"/>
      <c r="P149" s="635"/>
      <c r="Q149" s="635"/>
      <c r="R149" s="636"/>
      <c r="S149" s="636"/>
      <c r="T149" s="635"/>
      <c r="U149" s="707"/>
      <c r="V149" s="707"/>
      <c r="W149" s="707"/>
      <c r="X149" s="636"/>
      <c r="Y149" s="636"/>
      <c r="Z149" s="637"/>
      <c r="AA149" s="635"/>
      <c r="AB149" s="707"/>
      <c r="AC149" s="644"/>
    </row>
    <row r="150" spans="1:29" x14ac:dyDescent="0.25">
      <c r="A150" s="23"/>
      <c r="B150" s="24"/>
      <c r="C150" s="25"/>
      <c r="D150" s="27"/>
      <c r="E150" s="27"/>
      <c r="F150" s="28"/>
      <c r="G150" s="27"/>
      <c r="H150" s="180"/>
      <c r="I150" s="27"/>
      <c r="J150" s="737"/>
      <c r="K150" s="635"/>
      <c r="L150" s="635"/>
      <c r="M150" s="635"/>
      <c r="N150" s="635"/>
      <c r="O150" s="636"/>
      <c r="P150" s="635"/>
      <c r="Q150" s="635"/>
      <c r="R150" s="636"/>
      <c r="S150" s="636"/>
      <c r="T150" s="635"/>
      <c r="U150" s="707"/>
      <c r="V150" s="707"/>
      <c r="W150" s="707"/>
      <c r="X150" s="636"/>
      <c r="Y150" s="636"/>
      <c r="Z150" s="637"/>
      <c r="AA150" s="635"/>
      <c r="AB150" s="707"/>
      <c r="AC150" s="644"/>
    </row>
    <row r="151" spans="1:29" x14ac:dyDescent="0.25">
      <c r="A151" s="23"/>
      <c r="B151" s="24"/>
      <c r="C151" s="25"/>
      <c r="D151" s="27"/>
      <c r="E151" s="27"/>
      <c r="F151" s="28"/>
      <c r="G151" s="27"/>
      <c r="H151" s="180"/>
      <c r="I151" s="27"/>
      <c r="J151" s="737"/>
      <c r="K151" s="635"/>
      <c r="L151" s="635"/>
      <c r="M151" s="635"/>
      <c r="N151" s="635"/>
      <c r="O151" s="636"/>
      <c r="P151" s="635"/>
      <c r="Q151" s="635"/>
      <c r="R151" s="636"/>
      <c r="S151" s="636"/>
      <c r="T151" s="635"/>
      <c r="U151" s="707"/>
      <c r="V151" s="707"/>
      <c r="W151" s="707"/>
      <c r="X151" s="636"/>
      <c r="Y151" s="636"/>
      <c r="Z151" s="637"/>
      <c r="AA151" s="635"/>
      <c r="AB151" s="707"/>
      <c r="AC151" s="644"/>
    </row>
    <row r="152" spans="1:29" x14ac:dyDescent="0.25">
      <c r="A152" s="23"/>
      <c r="B152" s="24"/>
      <c r="C152" s="25"/>
      <c r="D152" s="27"/>
      <c r="E152" s="27"/>
      <c r="F152" s="28"/>
      <c r="G152" s="27"/>
      <c r="H152" s="180"/>
      <c r="I152" s="27"/>
      <c r="J152" s="737"/>
      <c r="K152" s="635"/>
      <c r="L152" s="635"/>
      <c r="M152" s="635"/>
      <c r="N152" s="635"/>
      <c r="O152" s="636"/>
      <c r="P152" s="635"/>
      <c r="Q152" s="635"/>
      <c r="R152" s="636"/>
      <c r="S152" s="636"/>
      <c r="T152" s="635"/>
      <c r="U152" s="707"/>
      <c r="V152" s="707"/>
      <c r="W152" s="707"/>
      <c r="X152" s="636"/>
      <c r="Y152" s="636"/>
      <c r="Z152" s="637"/>
      <c r="AA152" s="635"/>
      <c r="AB152" s="707"/>
      <c r="AC152" s="644"/>
    </row>
    <row r="153" spans="1:29" x14ac:dyDescent="0.25">
      <c r="A153" s="23"/>
      <c r="B153" s="24"/>
      <c r="C153" s="25"/>
      <c r="D153" s="27"/>
      <c r="E153" s="27"/>
      <c r="F153" s="28"/>
      <c r="G153" s="27"/>
      <c r="H153" s="180"/>
      <c r="I153" s="27"/>
      <c r="J153" s="737"/>
      <c r="K153" s="635"/>
      <c r="L153" s="635"/>
      <c r="M153" s="635"/>
      <c r="N153" s="635"/>
      <c r="O153" s="636"/>
      <c r="P153" s="635"/>
      <c r="Q153" s="635"/>
      <c r="R153" s="636"/>
      <c r="S153" s="636"/>
      <c r="T153" s="635"/>
      <c r="U153" s="707"/>
      <c r="V153" s="707"/>
      <c r="W153" s="707"/>
      <c r="X153" s="636"/>
      <c r="Y153" s="636"/>
      <c r="Z153" s="637"/>
      <c r="AA153" s="635"/>
      <c r="AB153" s="707"/>
      <c r="AC153" s="644"/>
    </row>
    <row r="154" spans="1:29" x14ac:dyDescent="0.25">
      <c r="A154" s="23"/>
      <c r="B154" s="24"/>
      <c r="C154" s="25"/>
      <c r="D154" s="27"/>
      <c r="E154" s="27"/>
      <c r="F154" s="28"/>
      <c r="G154" s="27"/>
      <c r="H154" s="180"/>
      <c r="I154" s="27"/>
      <c r="J154" s="737"/>
      <c r="K154" s="635"/>
      <c r="L154" s="635"/>
      <c r="M154" s="635"/>
      <c r="N154" s="635"/>
      <c r="O154" s="636"/>
      <c r="P154" s="635"/>
      <c r="Q154" s="635"/>
      <c r="R154" s="636"/>
      <c r="S154" s="636"/>
      <c r="T154" s="635"/>
      <c r="U154" s="707"/>
      <c r="V154" s="707"/>
      <c r="W154" s="707"/>
      <c r="X154" s="636"/>
      <c r="Y154" s="636"/>
      <c r="Z154" s="637"/>
      <c r="AA154" s="635"/>
      <c r="AB154" s="707"/>
      <c r="AC154" s="644"/>
    </row>
    <row r="155" spans="1:29" x14ac:dyDescent="0.25">
      <c r="A155" s="23"/>
      <c r="B155" s="24"/>
      <c r="C155" s="25"/>
      <c r="D155" s="27"/>
      <c r="E155" s="27"/>
      <c r="F155" s="28"/>
      <c r="G155" s="27"/>
      <c r="H155" s="180"/>
      <c r="I155" s="27"/>
      <c r="J155" s="737"/>
      <c r="K155" s="635"/>
      <c r="L155" s="635"/>
      <c r="M155" s="635"/>
      <c r="N155" s="635"/>
      <c r="O155" s="636"/>
      <c r="P155" s="635"/>
      <c r="Q155" s="635"/>
      <c r="R155" s="636"/>
      <c r="S155" s="636"/>
      <c r="T155" s="635"/>
      <c r="U155" s="707"/>
      <c r="V155" s="707"/>
      <c r="W155" s="707"/>
      <c r="X155" s="636"/>
      <c r="Y155" s="636"/>
      <c r="Z155" s="637"/>
      <c r="AA155" s="635"/>
      <c r="AB155" s="707"/>
      <c r="AC155" s="644"/>
    </row>
    <row r="156" spans="1:29" x14ac:dyDescent="0.25">
      <c r="A156" s="23"/>
      <c r="B156" s="24"/>
      <c r="C156" s="25"/>
      <c r="D156" s="27"/>
      <c r="E156" s="27"/>
      <c r="F156" s="28"/>
      <c r="G156" s="27"/>
      <c r="H156" s="180"/>
      <c r="I156" s="27"/>
      <c r="J156" s="737"/>
      <c r="K156" s="635"/>
      <c r="L156" s="635"/>
      <c r="M156" s="635"/>
      <c r="N156" s="635"/>
      <c r="O156" s="636"/>
      <c r="P156" s="635"/>
      <c r="Q156" s="635"/>
      <c r="R156" s="636"/>
      <c r="S156" s="636"/>
      <c r="T156" s="635"/>
      <c r="U156" s="707"/>
      <c r="V156" s="707"/>
      <c r="W156" s="707"/>
      <c r="X156" s="636"/>
      <c r="Y156" s="636"/>
      <c r="Z156" s="637"/>
      <c r="AA156" s="635"/>
      <c r="AB156" s="707"/>
      <c r="AC156" s="644"/>
    </row>
    <row r="157" spans="1:29" x14ac:dyDescent="0.25">
      <c r="A157" s="23"/>
      <c r="B157" s="24"/>
      <c r="C157" s="25"/>
      <c r="D157" s="27"/>
      <c r="E157" s="27"/>
      <c r="F157" s="28"/>
      <c r="G157" s="27"/>
      <c r="H157" s="180"/>
      <c r="I157" s="27"/>
      <c r="J157" s="737"/>
      <c r="K157" s="635"/>
      <c r="L157" s="635"/>
      <c r="M157" s="635"/>
      <c r="N157" s="635"/>
      <c r="O157" s="636"/>
      <c r="P157" s="635"/>
      <c r="Q157" s="635"/>
      <c r="R157" s="636"/>
      <c r="S157" s="636"/>
      <c r="T157" s="635"/>
      <c r="U157" s="707"/>
      <c r="V157" s="707"/>
      <c r="W157" s="707"/>
      <c r="X157" s="636"/>
      <c r="Y157" s="636"/>
      <c r="Z157" s="637"/>
      <c r="AA157" s="635"/>
      <c r="AB157" s="707"/>
      <c r="AC157" s="644"/>
    </row>
    <row r="158" spans="1:29" x14ac:dyDescent="0.25">
      <c r="A158" s="23"/>
      <c r="B158" s="24"/>
      <c r="C158" s="25"/>
      <c r="D158" s="27"/>
      <c r="E158" s="27"/>
      <c r="F158" s="28"/>
      <c r="G158" s="27"/>
      <c r="H158" s="180"/>
      <c r="I158" s="27"/>
      <c r="J158" s="737"/>
      <c r="K158" s="635"/>
      <c r="L158" s="635"/>
      <c r="M158" s="635"/>
      <c r="N158" s="635"/>
      <c r="O158" s="636"/>
      <c r="P158" s="635"/>
      <c r="Q158" s="635"/>
      <c r="R158" s="636"/>
      <c r="S158" s="636"/>
      <c r="T158" s="635"/>
      <c r="U158" s="707"/>
      <c r="V158" s="707"/>
      <c r="W158" s="707"/>
      <c r="X158" s="636"/>
      <c r="Y158" s="636"/>
      <c r="Z158" s="637"/>
      <c r="AA158" s="635"/>
      <c r="AB158" s="707"/>
      <c r="AC158" s="644"/>
    </row>
    <row r="159" spans="1:29" x14ac:dyDescent="0.25">
      <c r="A159" s="23"/>
      <c r="B159" s="24"/>
      <c r="C159" s="25"/>
      <c r="D159" s="27"/>
      <c r="E159" s="27"/>
      <c r="F159" s="28"/>
      <c r="G159" s="27"/>
      <c r="H159" s="180"/>
      <c r="I159" s="27"/>
      <c r="J159" s="737"/>
      <c r="K159" s="635"/>
      <c r="L159" s="635"/>
      <c r="M159" s="635"/>
      <c r="N159" s="635"/>
      <c r="O159" s="636"/>
      <c r="P159" s="635"/>
      <c r="Q159" s="635"/>
      <c r="R159" s="636"/>
      <c r="S159" s="636"/>
      <c r="T159" s="635"/>
      <c r="U159" s="707"/>
      <c r="V159" s="707"/>
      <c r="W159" s="707"/>
      <c r="X159" s="636"/>
      <c r="Y159" s="636"/>
      <c r="Z159" s="637"/>
      <c r="AA159" s="635"/>
      <c r="AB159" s="707"/>
      <c r="AC159" s="644"/>
    </row>
    <row r="160" spans="1:29" x14ac:dyDescent="0.25">
      <c r="A160" s="23"/>
      <c r="B160" s="24"/>
      <c r="C160" s="25"/>
      <c r="D160" s="27"/>
      <c r="E160" s="27"/>
      <c r="F160" s="28"/>
      <c r="G160" s="27"/>
      <c r="H160" s="180"/>
      <c r="I160" s="27"/>
      <c r="J160" s="737"/>
      <c r="K160" s="635"/>
      <c r="L160" s="635"/>
      <c r="M160" s="635"/>
      <c r="N160" s="635"/>
      <c r="O160" s="636"/>
      <c r="P160" s="635"/>
      <c r="Q160" s="635"/>
      <c r="R160" s="636"/>
      <c r="S160" s="636"/>
      <c r="T160" s="635"/>
      <c r="U160" s="707"/>
      <c r="V160" s="707"/>
      <c r="W160" s="707"/>
      <c r="X160" s="636"/>
      <c r="Y160" s="636"/>
      <c r="Z160" s="637"/>
      <c r="AA160" s="635"/>
      <c r="AB160" s="707"/>
      <c r="AC160" s="644"/>
    </row>
    <row r="161" spans="1:29" x14ac:dyDescent="0.25">
      <c r="A161" s="23"/>
      <c r="B161" s="24"/>
      <c r="C161" s="25"/>
      <c r="D161" s="27"/>
      <c r="E161" s="27"/>
      <c r="F161" s="28"/>
      <c r="G161" s="27"/>
      <c r="H161" s="180"/>
      <c r="I161" s="27"/>
      <c r="J161" s="737"/>
      <c r="K161" s="635"/>
      <c r="L161" s="635"/>
      <c r="M161" s="635"/>
      <c r="N161" s="635"/>
      <c r="O161" s="636"/>
      <c r="P161" s="635"/>
      <c r="Q161" s="635"/>
      <c r="R161" s="636"/>
      <c r="S161" s="636"/>
      <c r="T161" s="635"/>
      <c r="U161" s="707"/>
      <c r="V161" s="707"/>
      <c r="W161" s="707"/>
      <c r="X161" s="636"/>
      <c r="Y161" s="636"/>
      <c r="Z161" s="637"/>
      <c r="AA161" s="635"/>
      <c r="AB161" s="707"/>
      <c r="AC161" s="644"/>
    </row>
    <row r="162" spans="1:29" x14ac:dyDescent="0.25">
      <c r="A162" s="23"/>
      <c r="B162" s="24"/>
      <c r="C162" s="25"/>
      <c r="D162" s="27"/>
      <c r="E162" s="27"/>
      <c r="F162" s="28"/>
      <c r="G162" s="27"/>
      <c r="H162" s="180"/>
      <c r="I162" s="27"/>
      <c r="J162" s="737"/>
      <c r="K162" s="635"/>
      <c r="L162" s="635"/>
      <c r="M162" s="635"/>
      <c r="N162" s="635"/>
      <c r="O162" s="636"/>
      <c r="P162" s="635"/>
      <c r="Q162" s="635"/>
      <c r="R162" s="636"/>
      <c r="S162" s="636"/>
      <c r="T162" s="635"/>
      <c r="U162" s="707"/>
      <c r="V162" s="707"/>
      <c r="W162" s="707"/>
      <c r="X162" s="636"/>
      <c r="Y162" s="636"/>
      <c r="Z162" s="637"/>
      <c r="AA162" s="635"/>
      <c r="AB162" s="707"/>
      <c r="AC162" s="644"/>
    </row>
    <row r="163" spans="1:29" x14ac:dyDescent="0.25">
      <c r="A163" s="23"/>
      <c r="B163" s="24"/>
      <c r="C163" s="25"/>
      <c r="D163" s="27"/>
      <c r="E163" s="27"/>
      <c r="F163" s="28"/>
      <c r="G163" s="27"/>
      <c r="H163" s="180"/>
      <c r="I163" s="27"/>
      <c r="J163" s="737"/>
      <c r="K163" s="635"/>
      <c r="L163" s="635"/>
      <c r="M163" s="635"/>
      <c r="N163" s="635"/>
      <c r="O163" s="636"/>
      <c r="P163" s="635"/>
      <c r="Q163" s="635"/>
      <c r="R163" s="636"/>
      <c r="S163" s="636"/>
      <c r="T163" s="635"/>
      <c r="U163" s="707"/>
      <c r="V163" s="707"/>
      <c r="W163" s="707"/>
      <c r="X163" s="636"/>
      <c r="Y163" s="636"/>
      <c r="Z163" s="637"/>
      <c r="AA163" s="635"/>
      <c r="AB163" s="707"/>
      <c r="AC163" s="644"/>
    </row>
    <row r="164" spans="1:29" x14ac:dyDescent="0.25">
      <c r="A164" s="23"/>
      <c r="B164" s="24"/>
      <c r="C164" s="25"/>
      <c r="D164" s="27"/>
      <c r="E164" s="27"/>
      <c r="F164" s="28"/>
      <c r="G164" s="27"/>
      <c r="H164" s="180"/>
      <c r="I164" s="27"/>
      <c r="J164" s="737"/>
      <c r="K164" s="635"/>
      <c r="L164" s="635"/>
      <c r="M164" s="635"/>
      <c r="N164" s="635"/>
      <c r="O164" s="636"/>
      <c r="P164" s="635"/>
      <c r="Q164" s="635"/>
      <c r="R164" s="636"/>
      <c r="S164" s="636"/>
      <c r="T164" s="635"/>
      <c r="U164" s="707"/>
      <c r="V164" s="707"/>
      <c r="W164" s="707"/>
      <c r="X164" s="636"/>
      <c r="Y164" s="636"/>
      <c r="Z164" s="637"/>
      <c r="AA164" s="635"/>
      <c r="AB164" s="707"/>
      <c r="AC164" s="644"/>
    </row>
    <row r="165" spans="1:29" x14ac:dyDescent="0.25">
      <c r="A165" s="23"/>
      <c r="B165" s="24"/>
      <c r="C165" s="25"/>
      <c r="D165" s="27"/>
      <c r="E165" s="27"/>
      <c r="F165" s="28"/>
      <c r="G165" s="27"/>
      <c r="H165" s="180"/>
      <c r="I165" s="27"/>
      <c r="J165" s="737"/>
      <c r="K165" s="635"/>
      <c r="L165" s="635"/>
      <c r="M165" s="635"/>
      <c r="N165" s="635"/>
      <c r="O165" s="636"/>
      <c r="P165" s="635"/>
      <c r="Q165" s="635"/>
      <c r="R165" s="636"/>
      <c r="S165" s="636"/>
      <c r="T165" s="635"/>
      <c r="U165" s="707"/>
      <c r="V165" s="707"/>
      <c r="W165" s="707"/>
      <c r="X165" s="636"/>
      <c r="Y165" s="636"/>
      <c r="Z165" s="637"/>
      <c r="AA165" s="635"/>
      <c r="AB165" s="707"/>
      <c r="AC165" s="644"/>
    </row>
    <row r="166" spans="1:29" x14ac:dyDescent="0.25">
      <c r="A166" s="23"/>
      <c r="B166" s="24"/>
      <c r="C166" s="25"/>
      <c r="D166" s="27"/>
      <c r="E166" s="27"/>
      <c r="F166" s="28"/>
      <c r="G166" s="27"/>
      <c r="H166" s="180"/>
      <c r="I166" s="27"/>
      <c r="J166" s="737"/>
      <c r="K166" s="635"/>
      <c r="L166" s="635"/>
      <c r="M166" s="635"/>
      <c r="N166" s="635"/>
      <c r="O166" s="636"/>
      <c r="P166" s="635"/>
      <c r="Q166" s="635"/>
      <c r="R166" s="636"/>
      <c r="S166" s="636"/>
      <c r="T166" s="635"/>
      <c r="U166" s="707"/>
      <c r="V166" s="707"/>
      <c r="W166" s="707"/>
      <c r="X166" s="636"/>
      <c r="Y166" s="636"/>
      <c r="Z166" s="637"/>
      <c r="AA166" s="635"/>
      <c r="AB166" s="707"/>
      <c r="AC166" s="644"/>
    </row>
    <row r="167" spans="1:29" x14ac:dyDescent="0.25">
      <c r="A167" s="23"/>
      <c r="B167" s="24"/>
      <c r="C167" s="25"/>
      <c r="D167" s="27"/>
      <c r="E167" s="27"/>
      <c r="F167" s="28"/>
      <c r="G167" s="27"/>
      <c r="H167" s="180"/>
      <c r="I167" s="27"/>
      <c r="J167" s="737"/>
      <c r="K167" s="635"/>
      <c r="L167" s="635"/>
      <c r="M167" s="635"/>
      <c r="N167" s="635"/>
      <c r="O167" s="636"/>
      <c r="P167" s="635"/>
      <c r="Q167" s="635"/>
      <c r="R167" s="636"/>
      <c r="S167" s="636"/>
      <c r="T167" s="635"/>
      <c r="U167" s="707"/>
      <c r="V167" s="707"/>
      <c r="W167" s="707"/>
      <c r="X167" s="636"/>
      <c r="Y167" s="636"/>
      <c r="Z167" s="637"/>
      <c r="AA167" s="635"/>
      <c r="AB167" s="707"/>
      <c r="AC167" s="644"/>
    </row>
    <row r="168" spans="1:29" x14ac:dyDescent="0.25">
      <c r="A168" s="23"/>
      <c r="B168" s="24"/>
      <c r="C168" s="25"/>
      <c r="D168" s="27"/>
      <c r="E168" s="27"/>
      <c r="F168" s="28"/>
      <c r="G168" s="27"/>
      <c r="H168" s="180"/>
      <c r="I168" s="27"/>
      <c r="J168" s="737"/>
      <c r="K168" s="635"/>
      <c r="L168" s="635"/>
      <c r="M168" s="635"/>
      <c r="N168" s="635"/>
      <c r="O168" s="636"/>
      <c r="P168" s="635"/>
      <c r="Q168" s="635"/>
      <c r="R168" s="636"/>
      <c r="S168" s="636"/>
      <c r="T168" s="635"/>
      <c r="U168" s="707"/>
      <c r="V168" s="707"/>
      <c r="W168" s="707"/>
      <c r="X168" s="636"/>
      <c r="Y168" s="636"/>
      <c r="Z168" s="637"/>
      <c r="AA168" s="635"/>
      <c r="AB168" s="707"/>
      <c r="AC168" s="644"/>
    </row>
    <row r="169" spans="1:29" x14ac:dyDescent="0.25">
      <c r="A169" s="23"/>
      <c r="B169" s="24"/>
      <c r="C169" s="25"/>
      <c r="D169" s="27"/>
      <c r="E169" s="27"/>
      <c r="F169" s="28"/>
      <c r="G169" s="27"/>
      <c r="H169" s="180"/>
      <c r="I169" s="27"/>
      <c r="J169" s="737"/>
      <c r="K169" s="635"/>
      <c r="L169" s="635"/>
      <c r="M169" s="635"/>
      <c r="N169" s="635"/>
      <c r="O169" s="636"/>
      <c r="P169" s="635"/>
      <c r="Q169" s="635"/>
      <c r="R169" s="636"/>
      <c r="S169" s="636"/>
      <c r="T169" s="635"/>
      <c r="U169" s="707"/>
      <c r="V169" s="707"/>
      <c r="W169" s="707"/>
      <c r="X169" s="636"/>
      <c r="Y169" s="636"/>
      <c r="Z169" s="637"/>
      <c r="AA169" s="635"/>
      <c r="AB169" s="707"/>
      <c r="AC169" s="644"/>
    </row>
    <row r="170" spans="1:29" x14ac:dyDescent="0.25">
      <c r="A170" s="23"/>
      <c r="B170" s="24"/>
      <c r="C170" s="25"/>
      <c r="D170" s="27"/>
      <c r="E170" s="27"/>
      <c r="F170" s="28"/>
      <c r="G170" s="27"/>
      <c r="H170" s="180"/>
      <c r="I170" s="27"/>
      <c r="J170" s="737"/>
      <c r="K170" s="635"/>
      <c r="L170" s="635"/>
      <c r="M170" s="635"/>
      <c r="N170" s="635"/>
      <c r="O170" s="636"/>
      <c r="P170" s="635"/>
      <c r="Q170" s="635"/>
      <c r="R170" s="636"/>
      <c r="S170" s="636"/>
      <c r="T170" s="635"/>
      <c r="U170" s="707"/>
      <c r="V170" s="707"/>
      <c r="W170" s="707"/>
      <c r="X170" s="636"/>
      <c r="Y170" s="636"/>
      <c r="Z170" s="637"/>
      <c r="AA170" s="635"/>
      <c r="AB170" s="707"/>
      <c r="AC170" s="644"/>
    </row>
    <row r="171" spans="1:29" x14ac:dyDescent="0.25">
      <c r="A171" s="23"/>
      <c r="B171" s="24"/>
      <c r="C171" s="25"/>
      <c r="D171" s="27"/>
      <c r="E171" s="27"/>
      <c r="F171" s="28"/>
      <c r="G171" s="27"/>
      <c r="H171" s="180"/>
      <c r="I171" s="27"/>
      <c r="J171" s="737"/>
      <c r="K171" s="635"/>
      <c r="L171" s="635"/>
      <c r="M171" s="635"/>
      <c r="N171" s="635"/>
      <c r="O171" s="636"/>
      <c r="P171" s="635"/>
      <c r="Q171" s="635"/>
      <c r="R171" s="636"/>
      <c r="S171" s="636"/>
      <c r="T171" s="635"/>
      <c r="U171" s="707"/>
      <c r="V171" s="707"/>
      <c r="W171" s="707"/>
      <c r="X171" s="636"/>
      <c r="Y171" s="636"/>
      <c r="Z171" s="637"/>
      <c r="AA171" s="635"/>
      <c r="AB171" s="707"/>
      <c r="AC171" s="644"/>
    </row>
    <row r="172" spans="1:29" x14ac:dyDescent="0.25">
      <c r="A172" s="23"/>
      <c r="B172" s="24"/>
      <c r="C172" s="25"/>
      <c r="D172" s="27"/>
      <c r="E172" s="27"/>
      <c r="F172" s="28"/>
      <c r="G172" s="27"/>
      <c r="H172" s="180"/>
      <c r="I172" s="27"/>
      <c r="J172" s="737"/>
      <c r="K172" s="635"/>
      <c r="L172" s="635"/>
      <c r="M172" s="635"/>
      <c r="N172" s="635"/>
      <c r="O172" s="636"/>
      <c r="P172" s="635"/>
      <c r="Q172" s="635"/>
      <c r="R172" s="636"/>
      <c r="S172" s="636"/>
      <c r="T172" s="635"/>
      <c r="U172" s="707"/>
      <c r="V172" s="707"/>
      <c r="W172" s="707"/>
      <c r="X172" s="636"/>
      <c r="Y172" s="636"/>
      <c r="Z172" s="637"/>
      <c r="AA172" s="635"/>
      <c r="AB172" s="707"/>
      <c r="AC172" s="644"/>
    </row>
    <row r="173" spans="1:29" x14ac:dyDescent="0.25">
      <c r="A173" s="23"/>
      <c r="B173" s="24"/>
      <c r="C173" s="25"/>
      <c r="D173" s="27"/>
      <c r="E173" s="27"/>
      <c r="F173" s="28"/>
      <c r="G173" s="27"/>
      <c r="H173" s="180"/>
      <c r="I173" s="27"/>
      <c r="J173" s="737"/>
      <c r="K173" s="635"/>
      <c r="L173" s="635"/>
      <c r="M173" s="635"/>
      <c r="N173" s="635"/>
      <c r="O173" s="636"/>
      <c r="P173" s="635"/>
      <c r="Q173" s="635"/>
      <c r="R173" s="636"/>
      <c r="S173" s="636"/>
      <c r="T173" s="635"/>
      <c r="U173" s="707"/>
      <c r="V173" s="707"/>
      <c r="W173" s="707"/>
      <c r="X173" s="636"/>
      <c r="Y173" s="636"/>
      <c r="Z173" s="637"/>
      <c r="AA173" s="635"/>
      <c r="AB173" s="707"/>
      <c r="AC173" s="644"/>
    </row>
    <row r="174" spans="1:29" x14ac:dyDescent="0.25">
      <c r="A174" s="23"/>
      <c r="B174" s="24"/>
      <c r="C174" s="25"/>
      <c r="D174" s="27"/>
      <c r="E174" s="27"/>
      <c r="F174" s="28"/>
      <c r="G174" s="27"/>
      <c r="H174" s="180"/>
      <c r="I174" s="27"/>
      <c r="J174" s="737"/>
      <c r="K174" s="635"/>
      <c r="L174" s="635"/>
      <c r="M174" s="635"/>
      <c r="N174" s="635"/>
      <c r="O174" s="636"/>
      <c r="P174" s="635"/>
      <c r="Q174" s="635"/>
      <c r="R174" s="636"/>
      <c r="S174" s="636"/>
      <c r="T174" s="635"/>
      <c r="U174" s="707"/>
      <c r="V174" s="707"/>
      <c r="W174" s="707"/>
      <c r="X174" s="636"/>
      <c r="Y174" s="636"/>
      <c r="Z174" s="637"/>
      <c r="AA174" s="635"/>
      <c r="AB174" s="707"/>
      <c r="AC174" s="644"/>
    </row>
    <row r="175" spans="1:29" x14ac:dyDescent="0.25">
      <c r="A175" s="23"/>
      <c r="B175" s="24"/>
      <c r="C175" s="25"/>
      <c r="D175" s="27"/>
      <c r="E175" s="27"/>
      <c r="F175" s="28"/>
      <c r="G175" s="27"/>
      <c r="H175" s="180"/>
      <c r="I175" s="27"/>
      <c r="J175" s="737"/>
      <c r="K175" s="635"/>
      <c r="L175" s="635"/>
      <c r="M175" s="635"/>
      <c r="N175" s="635"/>
      <c r="O175" s="636"/>
      <c r="P175" s="635"/>
      <c r="Q175" s="635"/>
      <c r="R175" s="636"/>
      <c r="S175" s="636"/>
      <c r="T175" s="635"/>
      <c r="U175" s="707"/>
      <c r="V175" s="707"/>
      <c r="W175" s="707"/>
      <c r="X175" s="636"/>
      <c r="Y175" s="636"/>
      <c r="Z175" s="637"/>
      <c r="AA175" s="635"/>
      <c r="AB175" s="707"/>
      <c r="AC175" s="644"/>
    </row>
    <row r="176" spans="1:29" x14ac:dyDescent="0.25">
      <c r="A176" s="23"/>
      <c r="B176" s="24"/>
      <c r="C176" s="25"/>
      <c r="D176" s="27"/>
      <c r="E176" s="27"/>
      <c r="F176" s="28"/>
      <c r="G176" s="27"/>
      <c r="H176" s="180"/>
      <c r="I176" s="27"/>
      <c r="J176" s="737"/>
      <c r="K176" s="635"/>
      <c r="L176" s="635"/>
      <c r="M176" s="635"/>
      <c r="N176" s="635"/>
      <c r="O176" s="636"/>
      <c r="P176" s="635"/>
      <c r="Q176" s="635"/>
      <c r="R176" s="636"/>
      <c r="S176" s="636"/>
      <c r="T176" s="635"/>
      <c r="U176" s="707"/>
      <c r="V176" s="707"/>
      <c r="W176" s="707"/>
      <c r="X176" s="636"/>
      <c r="Y176" s="636"/>
      <c r="Z176" s="637"/>
      <c r="AA176" s="635"/>
      <c r="AB176" s="707"/>
      <c r="AC176" s="644"/>
    </row>
    <row r="177" spans="1:29" x14ac:dyDescent="0.25">
      <c r="A177" s="23"/>
      <c r="B177" s="24"/>
      <c r="C177" s="25"/>
      <c r="D177" s="27"/>
      <c r="E177" s="27"/>
      <c r="F177" s="28"/>
      <c r="G177" s="27"/>
      <c r="H177" s="180"/>
      <c r="I177" s="27"/>
      <c r="J177" s="737"/>
      <c r="K177" s="635"/>
      <c r="L177" s="635"/>
      <c r="M177" s="635"/>
      <c r="N177" s="635"/>
      <c r="O177" s="636"/>
      <c r="P177" s="635"/>
      <c r="Q177" s="635"/>
      <c r="R177" s="636"/>
      <c r="S177" s="636"/>
      <c r="T177" s="635"/>
      <c r="U177" s="707"/>
      <c r="V177" s="707"/>
      <c r="W177" s="707"/>
      <c r="X177" s="636"/>
      <c r="Y177" s="636"/>
      <c r="Z177" s="637"/>
      <c r="AA177" s="635"/>
      <c r="AB177" s="707"/>
      <c r="AC177" s="644"/>
    </row>
    <row r="178" spans="1:29" x14ac:dyDescent="0.25">
      <c r="A178" s="23"/>
      <c r="B178" s="24"/>
      <c r="C178" s="25"/>
      <c r="D178" s="27"/>
      <c r="E178" s="27"/>
      <c r="F178" s="28"/>
      <c r="G178" s="27"/>
      <c r="H178" s="180"/>
      <c r="I178" s="27"/>
      <c r="J178" s="737"/>
      <c r="K178" s="635"/>
      <c r="L178" s="635"/>
      <c r="M178" s="635"/>
      <c r="N178" s="635"/>
      <c r="O178" s="636"/>
      <c r="P178" s="635"/>
      <c r="Q178" s="635"/>
      <c r="R178" s="636"/>
      <c r="S178" s="636"/>
      <c r="T178" s="635"/>
      <c r="U178" s="707"/>
      <c r="V178" s="707"/>
      <c r="W178" s="707"/>
      <c r="X178" s="636"/>
      <c r="Y178" s="636"/>
      <c r="Z178" s="637"/>
      <c r="AA178" s="635"/>
      <c r="AB178" s="707"/>
      <c r="AC178" s="644"/>
    </row>
    <row r="179" spans="1:29" x14ac:dyDescent="0.25">
      <c r="A179" s="23"/>
      <c r="B179" s="24"/>
      <c r="C179" s="25"/>
      <c r="D179" s="27"/>
      <c r="E179" s="27"/>
      <c r="F179" s="28"/>
      <c r="G179" s="27"/>
      <c r="H179" s="180"/>
      <c r="I179" s="27"/>
      <c r="J179" s="737"/>
      <c r="K179" s="635"/>
      <c r="L179" s="635"/>
      <c r="M179" s="635"/>
      <c r="N179" s="635"/>
      <c r="O179" s="636"/>
      <c r="P179" s="635"/>
      <c r="Q179" s="635"/>
      <c r="R179" s="636"/>
      <c r="S179" s="636"/>
      <c r="T179" s="635"/>
      <c r="U179" s="707"/>
      <c r="V179" s="707"/>
      <c r="W179" s="707"/>
      <c r="X179" s="636"/>
      <c r="Y179" s="636"/>
      <c r="Z179" s="637"/>
      <c r="AA179" s="635"/>
      <c r="AB179" s="707"/>
      <c r="AC179" s="644"/>
    </row>
    <row r="180" spans="1:29" x14ac:dyDescent="0.25">
      <c r="A180" s="23"/>
      <c r="B180" s="24"/>
      <c r="C180" s="25"/>
      <c r="D180" s="27"/>
      <c r="E180" s="27"/>
      <c r="F180" s="28"/>
      <c r="G180" s="27"/>
      <c r="H180" s="180"/>
      <c r="I180" s="27"/>
      <c r="J180" s="737"/>
      <c r="K180" s="635"/>
      <c r="L180" s="635"/>
      <c r="M180" s="635"/>
      <c r="N180" s="635"/>
      <c r="O180" s="636"/>
      <c r="P180" s="635"/>
      <c r="Q180" s="635"/>
      <c r="R180" s="636"/>
      <c r="S180" s="636"/>
      <c r="T180" s="635"/>
      <c r="U180" s="707"/>
      <c r="V180" s="707"/>
      <c r="W180" s="707"/>
      <c r="X180" s="636"/>
      <c r="Y180" s="636"/>
      <c r="Z180" s="637"/>
      <c r="AA180" s="635"/>
      <c r="AB180" s="707"/>
      <c r="AC180" s="644"/>
    </row>
    <row r="181" spans="1:29" x14ac:dyDescent="0.25">
      <c r="A181" s="23"/>
      <c r="B181" s="24"/>
      <c r="C181" s="25"/>
      <c r="D181" s="27"/>
      <c r="E181" s="27"/>
      <c r="F181" s="28"/>
      <c r="G181" s="27"/>
      <c r="H181" s="180"/>
      <c r="I181" s="27"/>
      <c r="J181" s="737"/>
      <c r="K181" s="635"/>
      <c r="L181" s="635"/>
      <c r="M181" s="635"/>
      <c r="N181" s="635"/>
      <c r="O181" s="636"/>
      <c r="P181" s="635"/>
      <c r="Q181" s="635"/>
      <c r="R181" s="636"/>
      <c r="S181" s="636"/>
      <c r="T181" s="635"/>
      <c r="U181" s="707"/>
      <c r="V181" s="707"/>
      <c r="W181" s="707"/>
      <c r="X181" s="636"/>
      <c r="Y181" s="636"/>
      <c r="Z181" s="637"/>
      <c r="AA181" s="635"/>
      <c r="AB181" s="707"/>
      <c r="AC181" s="644"/>
    </row>
    <row r="182" spans="1:29" x14ac:dyDescent="0.25">
      <c r="A182" s="23"/>
      <c r="B182" s="24"/>
      <c r="C182" s="25"/>
      <c r="D182" s="27"/>
      <c r="E182" s="27"/>
      <c r="F182" s="28"/>
      <c r="G182" s="27"/>
      <c r="H182" s="180"/>
      <c r="I182" s="27"/>
      <c r="J182" s="737"/>
      <c r="K182" s="635"/>
      <c r="L182" s="635"/>
      <c r="M182" s="635"/>
      <c r="N182" s="635"/>
      <c r="O182" s="636"/>
      <c r="P182" s="635"/>
      <c r="Q182" s="635"/>
      <c r="R182" s="636"/>
      <c r="S182" s="636"/>
      <c r="T182" s="635"/>
      <c r="U182" s="707"/>
      <c r="V182" s="707"/>
      <c r="W182" s="707"/>
      <c r="X182" s="636"/>
      <c r="Y182" s="636"/>
      <c r="Z182" s="637"/>
      <c r="AA182" s="635"/>
      <c r="AB182" s="707"/>
      <c r="AC182" s="644"/>
    </row>
    <row r="183" spans="1:29" x14ac:dyDescent="0.25">
      <c r="A183" s="23"/>
      <c r="B183" s="24"/>
      <c r="C183" s="25"/>
      <c r="D183" s="27"/>
      <c r="E183" s="27"/>
      <c r="F183" s="28"/>
      <c r="G183" s="27"/>
      <c r="H183" s="180"/>
      <c r="I183" s="27"/>
      <c r="J183" s="737"/>
      <c r="K183" s="635"/>
      <c r="L183" s="635"/>
      <c r="M183" s="635"/>
      <c r="N183" s="635"/>
      <c r="O183" s="636"/>
      <c r="P183" s="635"/>
      <c r="Q183" s="635"/>
      <c r="R183" s="636"/>
      <c r="S183" s="636"/>
      <c r="T183" s="635"/>
      <c r="U183" s="707"/>
      <c r="V183" s="707"/>
      <c r="W183" s="707"/>
      <c r="X183" s="636"/>
      <c r="Y183" s="636"/>
      <c r="Z183" s="637"/>
      <c r="AA183" s="635"/>
      <c r="AB183" s="707"/>
      <c r="AC183" s="644"/>
    </row>
    <row r="184" spans="1:29" x14ac:dyDescent="0.25">
      <c r="A184" s="23"/>
      <c r="B184" s="24"/>
      <c r="C184" s="25"/>
      <c r="D184" s="27"/>
      <c r="E184" s="27"/>
      <c r="F184" s="28"/>
      <c r="G184" s="27"/>
      <c r="H184" s="180"/>
      <c r="I184" s="27"/>
      <c r="J184" s="737"/>
      <c r="K184" s="635"/>
      <c r="L184" s="635"/>
      <c r="M184" s="635"/>
      <c r="N184" s="635"/>
      <c r="O184" s="636"/>
      <c r="P184" s="635"/>
      <c r="Q184" s="635"/>
      <c r="R184" s="636"/>
      <c r="S184" s="636"/>
      <c r="T184" s="635"/>
      <c r="U184" s="707"/>
      <c r="V184" s="707"/>
      <c r="W184" s="707"/>
      <c r="X184" s="636"/>
      <c r="Y184" s="636"/>
      <c r="Z184" s="637"/>
      <c r="AA184" s="635"/>
      <c r="AB184" s="707"/>
      <c r="AC184" s="644"/>
    </row>
    <row r="185" spans="1:29" x14ac:dyDescent="0.25">
      <c r="A185" s="23"/>
      <c r="B185" s="24"/>
      <c r="C185" s="25"/>
      <c r="D185" s="27"/>
      <c r="E185" s="27"/>
      <c r="F185" s="28"/>
      <c r="G185" s="27"/>
      <c r="H185" s="180"/>
      <c r="I185" s="27"/>
      <c r="J185" s="737"/>
      <c r="K185" s="635"/>
      <c r="L185" s="635"/>
      <c r="M185" s="635"/>
      <c r="N185" s="635"/>
      <c r="O185" s="636"/>
      <c r="P185" s="635"/>
      <c r="Q185" s="635"/>
      <c r="R185" s="636"/>
      <c r="S185" s="636"/>
      <c r="T185" s="635"/>
      <c r="U185" s="707"/>
      <c r="V185" s="707"/>
      <c r="W185" s="707"/>
      <c r="X185" s="636"/>
      <c r="Y185" s="636"/>
      <c r="Z185" s="637"/>
      <c r="AA185" s="635"/>
      <c r="AB185" s="707"/>
      <c r="AC185" s="644"/>
    </row>
    <row r="186" spans="1:29" x14ac:dyDescent="0.25">
      <c r="A186" s="23"/>
      <c r="B186" s="24"/>
      <c r="C186" s="25"/>
      <c r="D186" s="27"/>
      <c r="E186" s="27"/>
      <c r="F186" s="28"/>
      <c r="G186" s="27"/>
      <c r="H186" s="180"/>
      <c r="I186" s="27"/>
      <c r="J186" s="737"/>
      <c r="K186" s="635"/>
      <c r="L186" s="635"/>
      <c r="M186" s="635"/>
      <c r="N186" s="635"/>
      <c r="O186" s="636"/>
      <c r="P186" s="635"/>
      <c r="Q186" s="635"/>
      <c r="R186" s="636"/>
      <c r="S186" s="636"/>
      <c r="T186" s="635"/>
      <c r="U186" s="707"/>
      <c r="V186" s="707"/>
      <c r="W186" s="707"/>
      <c r="X186" s="636"/>
      <c r="Y186" s="636"/>
      <c r="Z186" s="637"/>
      <c r="AA186" s="635"/>
      <c r="AB186" s="707"/>
      <c r="AC186" s="644"/>
    </row>
    <row r="187" spans="1:29" x14ac:dyDescent="0.25">
      <c r="A187" s="23"/>
      <c r="B187" s="24"/>
      <c r="C187" s="25"/>
      <c r="D187" s="27"/>
      <c r="E187" s="27"/>
      <c r="F187" s="28"/>
      <c r="G187" s="27"/>
      <c r="H187" s="180"/>
      <c r="I187" s="27"/>
      <c r="J187" s="737"/>
      <c r="K187" s="635"/>
      <c r="L187" s="635"/>
      <c r="M187" s="635"/>
      <c r="N187" s="635"/>
      <c r="O187" s="636"/>
      <c r="P187" s="635"/>
      <c r="Q187" s="635"/>
      <c r="R187" s="636"/>
      <c r="S187" s="636"/>
      <c r="T187" s="635"/>
      <c r="U187" s="707"/>
      <c r="V187" s="707"/>
      <c r="W187" s="707"/>
      <c r="X187" s="636"/>
      <c r="Y187" s="636"/>
      <c r="Z187" s="637"/>
      <c r="AA187" s="635"/>
      <c r="AB187" s="707"/>
      <c r="AC187" s="644"/>
    </row>
    <row r="188" spans="1:29" x14ac:dyDescent="0.25">
      <c r="A188" s="23"/>
      <c r="B188" s="24"/>
      <c r="C188" s="25"/>
      <c r="D188" s="27"/>
      <c r="E188" s="27"/>
      <c r="F188" s="28"/>
      <c r="G188" s="27"/>
      <c r="H188" s="180"/>
      <c r="I188" s="27"/>
      <c r="J188" s="737"/>
      <c r="K188" s="635"/>
      <c r="L188" s="635"/>
      <c r="M188" s="635"/>
      <c r="N188" s="635"/>
      <c r="O188" s="636"/>
      <c r="P188" s="635"/>
      <c r="Q188" s="635"/>
      <c r="R188" s="636"/>
      <c r="S188" s="636"/>
      <c r="T188" s="635"/>
      <c r="U188" s="707"/>
      <c r="V188" s="707"/>
      <c r="W188" s="707"/>
      <c r="X188" s="636"/>
      <c r="Y188" s="636"/>
      <c r="Z188" s="637"/>
      <c r="AA188" s="635"/>
      <c r="AB188" s="707"/>
      <c r="AC188" s="644"/>
    </row>
    <row r="189" spans="1:29" x14ac:dyDescent="0.25">
      <c r="A189" s="23"/>
      <c r="B189" s="24"/>
      <c r="C189" s="25"/>
      <c r="D189" s="27"/>
      <c r="E189" s="27"/>
      <c r="F189" s="28"/>
      <c r="G189" s="27"/>
      <c r="H189" s="180"/>
      <c r="I189" s="27"/>
      <c r="J189" s="737"/>
      <c r="K189" s="635"/>
      <c r="L189" s="635"/>
      <c r="M189" s="635"/>
      <c r="N189" s="635"/>
      <c r="O189" s="636"/>
      <c r="P189" s="635"/>
      <c r="Q189" s="635"/>
      <c r="R189" s="636"/>
      <c r="S189" s="636"/>
      <c r="T189" s="635"/>
      <c r="U189" s="707"/>
      <c r="V189" s="707"/>
      <c r="W189" s="707"/>
      <c r="X189" s="636"/>
      <c r="Y189" s="636"/>
      <c r="Z189" s="637"/>
      <c r="AA189" s="635"/>
      <c r="AB189" s="707"/>
      <c r="AC189" s="644"/>
    </row>
    <row r="190" spans="1:29" x14ac:dyDescent="0.25">
      <c r="A190" s="23"/>
      <c r="B190" s="24"/>
      <c r="C190" s="25"/>
      <c r="D190" s="27"/>
      <c r="E190" s="27"/>
      <c r="F190" s="28"/>
      <c r="G190" s="27"/>
      <c r="H190" s="180"/>
      <c r="I190" s="27"/>
      <c r="J190" s="737"/>
      <c r="K190" s="635"/>
      <c r="L190" s="635"/>
      <c r="M190" s="635"/>
      <c r="N190" s="635"/>
      <c r="O190" s="636"/>
      <c r="P190" s="635"/>
      <c r="Q190" s="635"/>
      <c r="R190" s="636"/>
      <c r="S190" s="636"/>
      <c r="T190" s="635"/>
      <c r="U190" s="707"/>
      <c r="V190" s="707"/>
      <c r="W190" s="707"/>
      <c r="X190" s="636"/>
      <c r="Y190" s="636"/>
      <c r="Z190" s="637"/>
      <c r="AA190" s="635"/>
      <c r="AB190" s="707"/>
      <c r="AC190" s="644"/>
    </row>
    <row r="191" spans="1:29" x14ac:dyDescent="0.25">
      <c r="A191" s="23"/>
      <c r="B191" s="24"/>
      <c r="C191" s="25"/>
      <c r="D191" s="27"/>
      <c r="E191" s="27"/>
      <c r="F191" s="28"/>
      <c r="G191" s="27"/>
      <c r="H191" s="180"/>
      <c r="I191" s="27"/>
      <c r="J191" s="737"/>
      <c r="K191" s="635"/>
      <c r="L191" s="635"/>
      <c r="M191" s="635"/>
      <c r="N191" s="635"/>
      <c r="O191" s="636"/>
      <c r="P191" s="635"/>
      <c r="Q191" s="635"/>
      <c r="R191" s="636"/>
      <c r="S191" s="636"/>
      <c r="T191" s="635"/>
      <c r="U191" s="707"/>
      <c r="V191" s="707"/>
      <c r="W191" s="707"/>
      <c r="X191" s="636"/>
      <c r="Y191" s="636"/>
      <c r="Z191" s="637"/>
      <c r="AA191" s="635"/>
      <c r="AB191" s="707"/>
      <c r="AC191" s="644"/>
    </row>
    <row r="192" spans="1:29" x14ac:dyDescent="0.25">
      <c r="A192" s="23"/>
      <c r="B192" s="24"/>
      <c r="C192" s="25"/>
      <c r="D192" s="27"/>
      <c r="E192" s="27"/>
      <c r="F192" s="28"/>
      <c r="G192" s="27"/>
      <c r="H192" s="180"/>
      <c r="I192" s="27"/>
      <c r="J192" s="737"/>
      <c r="K192" s="635"/>
      <c r="L192" s="635"/>
      <c r="M192" s="635"/>
      <c r="N192" s="635"/>
      <c r="O192" s="636"/>
      <c r="P192" s="635"/>
      <c r="Q192" s="635"/>
      <c r="R192" s="636"/>
      <c r="S192" s="636"/>
      <c r="T192" s="635"/>
      <c r="U192" s="707"/>
      <c r="V192" s="707"/>
      <c r="W192" s="707"/>
      <c r="X192" s="636"/>
      <c r="Y192" s="636"/>
      <c r="Z192" s="637"/>
      <c r="AA192" s="635"/>
      <c r="AB192" s="707"/>
      <c r="AC192" s="644"/>
    </row>
    <row r="193" spans="1:29" x14ac:dyDescent="0.25">
      <c r="A193" s="23"/>
      <c r="B193" s="24"/>
      <c r="C193" s="25"/>
      <c r="D193" s="27"/>
      <c r="E193" s="27"/>
      <c r="F193" s="28"/>
      <c r="G193" s="27"/>
      <c r="H193" s="180"/>
      <c r="I193" s="27"/>
      <c r="J193" s="737"/>
      <c r="K193" s="635"/>
      <c r="L193" s="635"/>
      <c r="M193" s="635"/>
      <c r="N193" s="635"/>
      <c r="O193" s="636"/>
      <c r="P193" s="635"/>
      <c r="Q193" s="635"/>
      <c r="R193" s="636"/>
      <c r="S193" s="636"/>
      <c r="T193" s="635"/>
      <c r="U193" s="707"/>
      <c r="V193" s="707"/>
      <c r="W193" s="707"/>
      <c r="X193" s="636"/>
      <c r="Y193" s="636"/>
      <c r="Z193" s="637"/>
      <c r="AA193" s="635"/>
      <c r="AB193" s="707"/>
      <c r="AC193" s="644"/>
    </row>
    <row r="194" spans="1:29" x14ac:dyDescent="0.25">
      <c r="A194" s="23"/>
      <c r="B194" s="24"/>
      <c r="C194" s="25"/>
      <c r="D194" s="27"/>
      <c r="E194" s="27"/>
      <c r="F194" s="28"/>
      <c r="G194" s="27"/>
      <c r="H194" s="180"/>
      <c r="I194" s="27"/>
      <c r="J194" s="737"/>
      <c r="K194" s="635"/>
      <c r="L194" s="635"/>
      <c r="M194" s="635"/>
      <c r="N194" s="635"/>
      <c r="O194" s="636"/>
      <c r="P194" s="635"/>
      <c r="Q194" s="635"/>
      <c r="R194" s="636"/>
      <c r="S194" s="636"/>
      <c r="T194" s="635"/>
      <c r="U194" s="707"/>
      <c r="V194" s="707"/>
      <c r="W194" s="707"/>
      <c r="X194" s="636"/>
      <c r="Y194" s="636"/>
      <c r="Z194" s="637"/>
      <c r="AA194" s="635"/>
      <c r="AB194" s="707"/>
      <c r="AC194" s="644"/>
    </row>
    <row r="195" spans="1:29" x14ac:dyDescent="0.25">
      <c r="A195" s="23"/>
      <c r="B195" s="24"/>
      <c r="C195" s="25"/>
      <c r="D195" s="27"/>
      <c r="E195" s="27"/>
      <c r="F195" s="28"/>
      <c r="G195" s="27"/>
      <c r="H195" s="180"/>
      <c r="I195" s="27"/>
      <c r="J195" s="737"/>
      <c r="K195" s="635"/>
      <c r="L195" s="635"/>
      <c r="M195" s="635"/>
      <c r="N195" s="635"/>
      <c r="O195" s="636"/>
      <c r="P195" s="635"/>
      <c r="Q195" s="635"/>
      <c r="R195" s="636"/>
      <c r="S195" s="636"/>
      <c r="T195" s="635"/>
      <c r="U195" s="707"/>
      <c r="V195" s="707"/>
      <c r="W195" s="707"/>
      <c r="X195" s="636"/>
      <c r="Y195" s="636"/>
      <c r="Z195" s="637"/>
      <c r="AA195" s="635"/>
      <c r="AB195" s="707"/>
      <c r="AC195" s="644"/>
    </row>
    <row r="196" spans="1:29" x14ac:dyDescent="0.25">
      <c r="A196" s="23"/>
      <c r="B196" s="24"/>
      <c r="C196" s="25"/>
      <c r="D196" s="27"/>
      <c r="E196" s="27"/>
      <c r="F196" s="28"/>
      <c r="G196" s="27"/>
      <c r="H196" s="180"/>
      <c r="I196" s="27"/>
      <c r="J196" s="737"/>
      <c r="K196" s="635"/>
      <c r="L196" s="635"/>
      <c r="M196" s="635"/>
      <c r="N196" s="635"/>
      <c r="O196" s="636"/>
      <c r="P196" s="635"/>
      <c r="Q196" s="635"/>
      <c r="R196" s="636"/>
      <c r="S196" s="636"/>
      <c r="T196" s="635"/>
      <c r="U196" s="707"/>
      <c r="V196" s="707"/>
      <c r="W196" s="707"/>
      <c r="X196" s="636"/>
      <c r="Y196" s="636"/>
      <c r="Z196" s="637"/>
      <c r="AA196" s="635"/>
      <c r="AB196" s="707"/>
      <c r="AC196" s="644"/>
    </row>
    <row r="197" spans="1:29" x14ac:dyDescent="0.25">
      <c r="A197" s="23"/>
      <c r="B197" s="24"/>
      <c r="C197" s="25"/>
      <c r="D197" s="27"/>
      <c r="E197" s="27"/>
      <c r="F197" s="28"/>
      <c r="G197" s="27"/>
      <c r="H197" s="180"/>
      <c r="I197" s="27"/>
      <c r="J197" s="737"/>
      <c r="K197" s="635"/>
      <c r="L197" s="635"/>
      <c r="M197" s="635"/>
      <c r="N197" s="635"/>
      <c r="O197" s="636"/>
      <c r="P197" s="635"/>
      <c r="Q197" s="635"/>
      <c r="R197" s="636"/>
      <c r="S197" s="636"/>
      <c r="T197" s="635"/>
      <c r="U197" s="707"/>
      <c r="V197" s="707"/>
      <c r="W197" s="707"/>
      <c r="X197" s="636"/>
      <c r="Y197" s="636"/>
      <c r="Z197" s="637"/>
      <c r="AA197" s="635"/>
      <c r="AB197" s="707"/>
      <c r="AC197" s="644"/>
    </row>
    <row r="198" spans="1:29" x14ac:dyDescent="0.25">
      <c r="A198" s="23"/>
      <c r="B198" s="24"/>
      <c r="C198" s="25"/>
      <c r="D198" s="27"/>
      <c r="E198" s="27"/>
      <c r="F198" s="28"/>
      <c r="G198" s="27"/>
      <c r="H198" s="180"/>
      <c r="I198" s="27"/>
      <c r="J198" s="737"/>
      <c r="K198" s="635"/>
      <c r="L198" s="635"/>
      <c r="M198" s="635"/>
      <c r="N198" s="635"/>
      <c r="O198" s="636"/>
      <c r="P198" s="635"/>
      <c r="Q198" s="635"/>
      <c r="R198" s="636"/>
      <c r="S198" s="636"/>
      <c r="T198" s="635"/>
      <c r="U198" s="707"/>
      <c r="V198" s="707"/>
      <c r="W198" s="707"/>
      <c r="X198" s="636"/>
      <c r="Y198" s="636"/>
      <c r="Z198" s="637"/>
      <c r="AA198" s="635"/>
      <c r="AB198" s="707"/>
      <c r="AC198" s="644"/>
    </row>
    <row r="199" spans="1:29" x14ac:dyDescent="0.25">
      <c r="A199" s="23"/>
      <c r="B199" s="24"/>
      <c r="C199" s="25"/>
      <c r="D199" s="27"/>
      <c r="E199" s="27"/>
      <c r="F199" s="28"/>
      <c r="G199" s="27"/>
      <c r="H199" s="180"/>
      <c r="I199" s="27"/>
      <c r="J199" s="737"/>
      <c r="K199" s="635"/>
      <c r="L199" s="635"/>
      <c r="M199" s="635"/>
      <c r="N199" s="635"/>
      <c r="O199" s="636"/>
      <c r="P199" s="635"/>
      <c r="Q199" s="635"/>
      <c r="R199" s="636"/>
      <c r="S199" s="636"/>
      <c r="T199" s="635"/>
      <c r="U199" s="707"/>
      <c r="V199" s="707"/>
      <c r="W199" s="707"/>
      <c r="X199" s="636"/>
      <c r="Y199" s="636"/>
      <c r="Z199" s="637"/>
      <c r="AA199" s="635"/>
      <c r="AB199" s="707"/>
      <c r="AC199" s="644"/>
    </row>
    <row r="200" spans="1:29" x14ac:dyDescent="0.25">
      <c r="A200" s="23"/>
      <c r="B200" s="24"/>
      <c r="C200" s="25"/>
      <c r="D200" s="27"/>
      <c r="E200" s="27"/>
      <c r="F200" s="28"/>
      <c r="G200" s="27"/>
      <c r="H200" s="180"/>
      <c r="I200" s="27"/>
      <c r="J200" s="737"/>
      <c r="K200" s="635"/>
      <c r="L200" s="635"/>
      <c r="M200" s="635"/>
      <c r="N200" s="635"/>
      <c r="O200" s="636"/>
      <c r="P200" s="635"/>
      <c r="Q200" s="635"/>
      <c r="R200" s="636"/>
      <c r="S200" s="636"/>
      <c r="T200" s="635"/>
      <c r="U200" s="707"/>
      <c r="V200" s="707"/>
      <c r="W200" s="707"/>
      <c r="X200" s="636"/>
      <c r="Y200" s="636"/>
      <c r="Z200" s="637"/>
      <c r="AA200" s="635"/>
      <c r="AB200" s="707"/>
      <c r="AC200" s="644"/>
    </row>
  </sheetData>
  <dataValidations count="2">
    <dataValidation type="list" allowBlank="1" showInputMessage="1" showErrorMessage="1" sqref="O11">
      <formula1>true_False</formula1>
    </dataValidation>
    <dataValidation type="list" allowBlank="1" showInputMessage="1" showErrorMessage="1" sqref="C6:C7 C9 C11">
      <formula1>$H$6:$H$11</formula1>
    </dataValidation>
  </dataValidations>
  <pageMargins left="0.7" right="0.7" top="0.75" bottom="0.75" header="0.3" footer="0.3"/>
  <drawing r:id="rId1"/>
  <legacyDrawing r:id="rId2"/>
  <controls>
    <mc:AlternateContent xmlns:mc="http://schemas.openxmlformats.org/markup-compatibility/2006">
      <mc:Choice Requires="x14">
        <control shapeId="64514" r:id="rId3" name="CommandButton1">
          <controlPr defaultSize="0" autoLine="0" r:id="rId4">
            <anchor moveWithCells="1">
              <from>
                <xdr:col>3</xdr:col>
                <xdr:colOff>38100</xdr:colOff>
                <xdr:row>2</xdr:row>
                <xdr:rowOff>99060</xdr:rowOff>
              </from>
              <to>
                <xdr:col>4</xdr:col>
                <xdr:colOff>533400</xdr:colOff>
                <xdr:row>4</xdr:row>
                <xdr:rowOff>7620</xdr:rowOff>
              </to>
            </anchor>
          </controlPr>
        </control>
      </mc:Choice>
      <mc:Fallback>
        <control shapeId="64514" r:id="rId3"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7"/>
  </sheetPr>
  <dimension ref="A1:AT759"/>
  <sheetViews>
    <sheetView zoomScale="85" workbookViewId="0">
      <selection activeCell="U9" sqref="U9"/>
    </sheetView>
  </sheetViews>
  <sheetFormatPr defaultRowHeight="13.2" x14ac:dyDescent="0.25"/>
  <cols>
    <col min="1" max="1" width="11.44140625" customWidth="1"/>
    <col min="2" max="2" width="12.44140625" customWidth="1"/>
    <col min="9" max="9" width="9.5546875" bestFit="1" customWidth="1"/>
    <col min="11" max="15" width="10.5546875" hidden="1" customWidth="1"/>
    <col min="16" max="20" width="11.5546875" hidden="1" customWidth="1"/>
    <col min="21" max="21" width="8.88671875" customWidth="1"/>
    <col min="22" max="23" width="8.6640625" customWidth="1"/>
    <col min="24" max="24" width="9.33203125" customWidth="1"/>
    <col min="25" max="25" width="8.6640625" customWidth="1"/>
    <col min="27" max="28" width="8.6640625" customWidth="1"/>
    <col min="29" max="29" width="9.44140625" customWidth="1"/>
    <col min="30" max="33" width="8.6640625" customWidth="1"/>
    <col min="34" max="34" width="9.44140625" customWidth="1"/>
    <col min="35" max="36" width="8.6640625" customWidth="1"/>
    <col min="37" max="46" width="9.6640625" customWidth="1"/>
  </cols>
  <sheetData>
    <row r="1" spans="1:46" ht="16.8" x14ac:dyDescent="0.3">
      <c r="A1" s="56" t="s">
        <v>61</v>
      </c>
      <c r="H1" s="170" t="s">
        <v>202</v>
      </c>
      <c r="I1" s="169"/>
    </row>
    <row r="2" spans="1:46" ht="15.6" x14ac:dyDescent="0.3">
      <c r="A2" s="80" t="s">
        <v>94</v>
      </c>
      <c r="B2" s="81" t="str">
        <f>Weather_Site!D2</f>
        <v>Nicholson Street Melbourne</v>
      </c>
      <c r="C2" s="81"/>
      <c r="D2" s="81"/>
      <c r="E2" s="81"/>
    </row>
    <row r="4" spans="1:46" x14ac:dyDescent="0.25">
      <c r="A4" s="5" t="s">
        <v>62</v>
      </c>
      <c r="B4" s="5"/>
      <c r="C4" s="178">
        <v>85</v>
      </c>
    </row>
    <row r="5" spans="1:46" x14ac:dyDescent="0.25">
      <c r="A5" s="35" t="s">
        <v>35</v>
      </c>
      <c r="B5" s="35"/>
      <c r="C5" s="35">
        <f>Weather_Site!D6</f>
        <v>0</v>
      </c>
      <c r="E5" s="234"/>
    </row>
    <row r="7" spans="1:46" x14ac:dyDescent="0.25">
      <c r="V7" s="376"/>
      <c r="W7" s="376"/>
      <c r="X7" s="377" t="s">
        <v>711</v>
      </c>
      <c r="Y7" s="376"/>
      <c r="Z7" s="376"/>
      <c r="AA7" s="376"/>
      <c r="AB7" s="376"/>
      <c r="AC7" s="377" t="s">
        <v>711</v>
      </c>
      <c r="AD7" s="376"/>
      <c r="AE7" s="376"/>
      <c r="AF7" s="376"/>
      <c r="AG7" s="376"/>
      <c r="AH7" s="377" t="s">
        <v>711</v>
      </c>
      <c r="AI7" s="376"/>
      <c r="AJ7" s="376"/>
      <c r="AK7" s="374"/>
      <c r="AL7" s="374"/>
      <c r="AM7" s="375" t="s">
        <v>710</v>
      </c>
      <c r="AN7" s="374"/>
      <c r="AO7" s="374"/>
      <c r="AP7" s="374"/>
      <c r="AQ7" s="374"/>
      <c r="AR7" s="375" t="s">
        <v>710</v>
      </c>
      <c r="AS7" s="374"/>
      <c r="AT7" s="374"/>
    </row>
    <row r="8" spans="1:46" ht="78.75" customHeight="1" x14ac:dyDescent="0.25">
      <c r="A8" s="26" t="s">
        <v>28</v>
      </c>
      <c r="B8" s="26" t="s">
        <v>32</v>
      </c>
      <c r="C8" s="26" t="s">
        <v>27</v>
      </c>
      <c r="D8" s="26" t="s">
        <v>18</v>
      </c>
      <c r="E8" s="26" t="s">
        <v>19</v>
      </c>
      <c r="F8" s="26" t="s">
        <v>24</v>
      </c>
      <c r="G8" s="26" t="s">
        <v>20</v>
      </c>
      <c r="H8" s="57" t="s">
        <v>113</v>
      </c>
      <c r="I8" s="57" t="s">
        <v>68</v>
      </c>
      <c r="J8" s="57" t="s">
        <v>63</v>
      </c>
      <c r="K8" s="10" t="s">
        <v>64</v>
      </c>
      <c r="L8" s="10" t="s">
        <v>65</v>
      </c>
      <c r="M8" s="10" t="s">
        <v>66</v>
      </c>
      <c r="N8" s="10" t="s">
        <v>67</v>
      </c>
      <c r="O8" s="10" t="s">
        <v>69</v>
      </c>
      <c r="P8" s="10" t="s">
        <v>70</v>
      </c>
      <c r="Q8" s="10" t="s">
        <v>71</v>
      </c>
      <c r="R8" s="10" t="s">
        <v>72</v>
      </c>
      <c r="S8" s="10" t="s">
        <v>73</v>
      </c>
      <c r="T8" s="10" t="s">
        <v>74</v>
      </c>
      <c r="U8" s="421" t="s">
        <v>765</v>
      </c>
      <c r="V8" s="44" t="s">
        <v>75</v>
      </c>
      <c r="W8" s="44" t="s">
        <v>76</v>
      </c>
      <c r="X8" s="44" t="s">
        <v>262</v>
      </c>
      <c r="Y8" s="44" t="s">
        <v>81</v>
      </c>
      <c r="Z8" s="44" t="s">
        <v>45</v>
      </c>
      <c r="AA8" s="41" t="s">
        <v>77</v>
      </c>
      <c r="AB8" s="41" t="s">
        <v>78</v>
      </c>
      <c r="AC8" s="41" t="s">
        <v>263</v>
      </c>
      <c r="AD8" s="41" t="s">
        <v>82</v>
      </c>
      <c r="AE8" s="41" t="s">
        <v>45</v>
      </c>
      <c r="AF8" s="64" t="s">
        <v>79</v>
      </c>
      <c r="AG8" s="64" t="s">
        <v>80</v>
      </c>
      <c r="AH8" s="64" t="s">
        <v>264</v>
      </c>
      <c r="AI8" s="64" t="s">
        <v>83</v>
      </c>
      <c r="AJ8" s="64" t="s">
        <v>45</v>
      </c>
      <c r="AK8" s="372" t="s">
        <v>700</v>
      </c>
      <c r="AL8" s="372" t="s">
        <v>701</v>
      </c>
      <c r="AM8" s="372" t="s">
        <v>702</v>
      </c>
      <c r="AN8" s="372" t="s">
        <v>703</v>
      </c>
      <c r="AO8" s="372" t="s">
        <v>709</v>
      </c>
      <c r="AP8" s="373" t="s">
        <v>704</v>
      </c>
      <c r="AQ8" s="373" t="s">
        <v>705</v>
      </c>
      <c r="AR8" s="373" t="s">
        <v>706</v>
      </c>
      <c r="AS8" s="373" t="s">
        <v>707</v>
      </c>
      <c r="AT8" s="373" t="s">
        <v>708</v>
      </c>
    </row>
    <row r="9" spans="1:46" x14ac:dyDescent="0.25">
      <c r="A9" s="3" t="str">
        <f>Weather_Site!A12</f>
        <v>Sun</v>
      </c>
      <c r="B9" s="58">
        <f>Weather_Site!B12</f>
        <v>44549</v>
      </c>
      <c r="C9" s="59">
        <f>Weather_Site!C12</f>
        <v>0.16666666666666666</v>
      </c>
      <c r="D9" s="3">
        <f>Weather_Site!D12</f>
        <v>23.9</v>
      </c>
      <c r="E9" s="3">
        <f>Weather_Site!E12</f>
        <v>24.2</v>
      </c>
      <c r="F9" s="3">
        <f>Weather_Site!F12</f>
        <v>36</v>
      </c>
      <c r="G9" s="3">
        <f>Weather_Site!G12</f>
        <v>16</v>
      </c>
      <c r="H9" s="27">
        <f>IF(Weather_Site!M12&lt;180,Weather_Site!M12+180,Weather_Site!M12-180)</f>
        <v>216</v>
      </c>
      <c r="I9" s="60">
        <f>10^(0.009254-0.004096*(100-$C$4)^1.536+0.01201*D9+0.2789*G9^0.5-0.09577*E9^0.5)</f>
        <v>4.769183619837289</v>
      </c>
      <c r="J9" s="61">
        <f>-0.19625*D9+0.1356*E9+9.575</f>
        <v>8.1661450000000002</v>
      </c>
      <c r="K9" s="30">
        <f>EXP(-0.108*J9)</f>
        <v>0.41397749770648445</v>
      </c>
      <c r="L9" s="30">
        <f>MAX(0.001,(0.684-0.0342*J9))</f>
        <v>0.40471784100000002</v>
      </c>
      <c r="M9" s="30">
        <f>MAX(0.001,(0.547-0.0228*J9))</f>
        <v>0.36081189400000002</v>
      </c>
      <c r="N9" s="30">
        <f>IF(J9&lt;12,K9,IF(G9&gt;10,M9,L9))</f>
        <v>0.41397749770648445</v>
      </c>
      <c r="O9" s="31">
        <f>1.036/(1+103.98*EXP(-0.0996*($C$4-20)))</f>
        <v>0.8927606399389324</v>
      </c>
      <c r="P9" s="30">
        <f>(0.054+0.269*G9)*N9*O9</f>
        <v>1.6106419111376837</v>
      </c>
      <c r="Q9" s="62">
        <f>(1.4+0.838*(G9-5)^0.844)*N9*O9</f>
        <v>2.8610576319010668</v>
      </c>
      <c r="R9" s="62">
        <f>(0.054+0.209*G9)*N9*O9</f>
        <v>1.255842407995835</v>
      </c>
      <c r="S9" s="62">
        <f>(1.1+0.715*(G9-5)^0.844)*N9*O9</f>
        <v>2.4061876465394518</v>
      </c>
      <c r="T9" s="62">
        <f>(0.55+0.357*(G9-5)^0.844)*N9*O9</f>
        <v>1.2016954690395234</v>
      </c>
      <c r="U9" s="419">
        <f>$C$5</f>
        <v>0</v>
      </c>
      <c r="V9" s="63">
        <f>IF(G9&lt;5,P9*1000,Q9*1000)</f>
        <v>2861.0576319010665</v>
      </c>
      <c r="W9" s="42">
        <f>V9*1.0715^U9</f>
        <v>2861.0576319010665</v>
      </c>
      <c r="X9" s="63">
        <f>(0.054+0.269*5)*N9*O9*1000</f>
        <v>517.04635926608989</v>
      </c>
      <c r="Y9" s="65">
        <f>(0.003595*55.816+101.04*(W9/1000)^0.3167)/(55.816+(W9/1000)^0.3167)</f>
        <v>2.4672513724423046</v>
      </c>
      <c r="Z9" s="42">
        <f>516.7*W9*6/1000</f>
        <v>8869.8508704196865</v>
      </c>
      <c r="AA9" s="42">
        <f>IF($G9&lt;5,$R9*1000,$S9*1000)</f>
        <v>2406.1876465394516</v>
      </c>
      <c r="AB9" s="42">
        <f>$AA9*1.0715^U9</f>
        <v>2406.1876465394516</v>
      </c>
      <c r="AC9" s="42">
        <f>(0.054+0.209*5)*$N9*$O9*1000</f>
        <v>406.17151453426214</v>
      </c>
      <c r="AD9" s="65">
        <f>(0.001316*149.4025+117.22*($AB9/1000)^0.3141)/(149.4025+($AB9/1000)^0.3141)</f>
        <v>1.0260268418921605</v>
      </c>
      <c r="AE9" s="42">
        <f>516.7*$AB9*4/1000</f>
        <v>4973.1086278677385</v>
      </c>
      <c r="AF9" s="42">
        <f>IF(G9&lt;5,0,T9*1000)</f>
        <v>1201.6954690395235</v>
      </c>
      <c r="AG9" s="42">
        <f>AF9*1.0715^U9</f>
        <v>1201.6954690395235</v>
      </c>
      <c r="AH9" s="42">
        <f>(0.55+0.357*(5-5)^0.844)*N9*O9*1000</f>
        <v>203.27054867501747</v>
      </c>
      <c r="AI9" s="65">
        <f>1/(32.915-29.388*(AG9/1000)^0.02969)</f>
        <v>0.29706655240431923</v>
      </c>
      <c r="AJ9" s="42">
        <f>516.7*AG9*1.5/1000</f>
        <v>931.37407327908272</v>
      </c>
      <c r="AK9" s="42">
        <f>IF($G9&lt;5,$R9*1000*0.7,$S9*1000*0.7)</f>
        <v>1684.3313525776161</v>
      </c>
      <c r="AL9" s="42">
        <f>AK9*1.0715^U9</f>
        <v>1684.3313525776161</v>
      </c>
      <c r="AM9" s="42">
        <f>(0.054+0.209*5)*$N9*$O9*1000</f>
        <v>406.17151453426214</v>
      </c>
      <c r="AN9" s="65">
        <f>(0.001316*149.4025+117.22*(AL9/1000)^0.3141)/(149.4025+(AL9/1000)^0.3141)</f>
        <v>0.91827345422912776</v>
      </c>
      <c r="AO9" s="42">
        <f>516.7*AL9*4/1000</f>
        <v>3481.1760395074175</v>
      </c>
      <c r="AP9" s="42">
        <f>IF($G9&lt;5,$R9*1000*0.5,$S9*1000*0.5)</f>
        <v>1203.0938232697258</v>
      </c>
      <c r="AQ9" s="42">
        <f>AP9*1.0715^U9</f>
        <v>1203.0938232697258</v>
      </c>
      <c r="AR9" s="42">
        <f>(0.054+0.209*5)*$N9*$O9*1000</f>
        <v>406.17151453426214</v>
      </c>
      <c r="AS9" s="65">
        <f>(0.001316*149.4025+117.22*(AQ9/1000)^0.3141)/(149.4025+(AQ9/1000)^0.3141)</f>
        <v>0.82695695986774664</v>
      </c>
      <c r="AT9" s="42">
        <f>516.7*AQ9*4/1000</f>
        <v>2486.5543139338693</v>
      </c>
    </row>
    <row r="10" spans="1:46" x14ac:dyDescent="0.25">
      <c r="A10" s="3" t="str">
        <f>Weather_Site!A13</f>
        <v>Sun</v>
      </c>
      <c r="B10" s="58">
        <f>Weather_Site!B13</f>
        <v>44549</v>
      </c>
      <c r="C10" s="59">
        <f>Weather_Site!C13</f>
        <v>0.20833333333333334</v>
      </c>
      <c r="D10" s="3">
        <f>Weather_Site!D13</f>
        <v>23.6</v>
      </c>
      <c r="E10" s="3">
        <f>Weather_Site!E13</f>
        <v>24.4</v>
      </c>
      <c r="F10" s="3">
        <f>Weather_Site!F13</f>
        <v>312</v>
      </c>
      <c r="G10" s="3">
        <f>Weather_Site!G13</f>
        <v>13</v>
      </c>
      <c r="H10" s="27">
        <f>IF(Weather_Site!M13&lt;180,Weather_Site!M13+180,Weather_Site!M13-180)</f>
        <v>132</v>
      </c>
      <c r="I10" s="60">
        <f t="shared" ref="I10:I14" si="0">10^(0.009254-0.004096*(100-$C$4)^1.536+0.01201*D10+0.2789*G10^0.5-0.09577*E10^0.5)</f>
        <v>3.6549925669318051</v>
      </c>
      <c r="J10" s="61">
        <f t="shared" ref="J10:J14" si="1">-0.19625*D10+0.1356*E10+9.575</f>
        <v>8.2521399999999971</v>
      </c>
      <c r="K10" s="30">
        <f t="shared" ref="K10:K14" si="2">EXP(-0.108*J10)</f>
        <v>0.41015049732086667</v>
      </c>
      <c r="L10" s="30">
        <f t="shared" ref="L10:L14" si="3">MAX(0.001,(0.684-0.0342*J10))</f>
        <v>0.40177681200000015</v>
      </c>
      <c r="M10" s="30">
        <f t="shared" ref="M10:M14" si="4">MAX(0.001,(0.547-0.0228*J10))</f>
        <v>0.35885120800000009</v>
      </c>
      <c r="N10" s="30">
        <f t="shared" ref="N10:N14" si="5">IF(J10&lt;12,K10,IF(G10&gt;10,M10,L10))</f>
        <v>0.41015049732086667</v>
      </c>
      <c r="O10" s="31">
        <f t="shared" ref="O10:O14" si="6">1.036/(1+103.98*EXP(-0.0996*($C$4-20)))</f>
        <v>0.8927606399389324</v>
      </c>
      <c r="P10" s="30">
        <f t="shared" ref="P10:P14" si="7">(0.054+0.269*G10)*N10*O10</f>
        <v>1.300256248851501</v>
      </c>
      <c r="Q10" s="62">
        <f t="shared" ref="Q10:Q14" si="8">(1.4+0.838*(G10-5)^0.844)*N10*O10</f>
        <v>2.287354348939044</v>
      </c>
      <c r="R10" s="62">
        <f t="shared" ref="R10:R14" si="9">(0.054+0.209*G10)*N10*O10</f>
        <v>1.0146465968931313</v>
      </c>
      <c r="S10" s="62">
        <f t="shared" ref="S10:S14" si="10">(1.1+0.715*(G10-5)^0.844)*N10*O10</f>
        <v>1.9170143136408448</v>
      </c>
      <c r="T10" s="62">
        <f t="shared" ref="T10:T14" si="11">(0.55+0.357*(G10-5)^0.844)*N10*O10</f>
        <v>0.95744825369375408</v>
      </c>
      <c r="U10" s="419">
        <f t="shared" ref="U10:U14" si="12">$C$5</f>
        <v>0</v>
      </c>
      <c r="V10" s="63">
        <f t="shared" ref="V10:V14" si="13">IF(G10&lt;5,P10*1000,Q10*1000)</f>
        <v>2287.354348939044</v>
      </c>
      <c r="W10" s="42">
        <f t="shared" ref="W10:W14" si="14">V10*1.0715^U10</f>
        <v>2287.354348939044</v>
      </c>
      <c r="X10" s="63">
        <f t="shared" ref="X10:X14" si="15">(0.054+0.269*5)*N10*O10*1000</f>
        <v>512.26654242276823</v>
      </c>
      <c r="Y10" s="65">
        <f t="shared" ref="Y10:Y14" si="16">(0.003595*55.816+101.04*(W10/1000)^0.3167)/(55.816+(W10/1000)^0.3167)</f>
        <v>2.3025170469990059</v>
      </c>
      <c r="Z10" s="42">
        <f t="shared" ref="Z10:Z14" si="17">516.7*W10*6/1000</f>
        <v>7091.2559525808247</v>
      </c>
      <c r="AA10" s="42">
        <f t="shared" ref="AA10:AA14" si="18">IF($G10&lt;5,$R10*1000,$S10*1000)</f>
        <v>1917.0143136408449</v>
      </c>
      <c r="AB10" s="42">
        <f t="shared" ref="AB10:AB14" si="19">$AA10*1.0715^U10</f>
        <v>1917.0143136408449</v>
      </c>
      <c r="AC10" s="42">
        <f t="shared" ref="AC10:AC14" si="20">(0.054+0.209*5)*$N10*$O10*1000</f>
        <v>402.41667628493366</v>
      </c>
      <c r="AD10" s="65">
        <f t="shared" ref="AD10:AD14" si="21">(0.001316*149.4025+117.22*($AB10/1000)^0.3141)/(149.4025+($AB10/1000)^0.3141)</f>
        <v>0.95600081965800343</v>
      </c>
      <c r="AE10" s="42">
        <f t="shared" ref="AE10:AE14" si="22">516.7*$AB10*4/1000</f>
        <v>3962.0851834328987</v>
      </c>
      <c r="AF10" s="42">
        <f t="shared" ref="AF10:AF14" si="23">IF(G10&lt;5,0,T10*1000)</f>
        <v>957.44825369375405</v>
      </c>
      <c r="AG10" s="42">
        <f t="shared" ref="AG10:AG14" si="24">AF10*1.0715^U10</f>
        <v>957.44825369375405</v>
      </c>
      <c r="AH10" s="42">
        <f t="shared" ref="AH10:AH14" si="25">(0.55+0.357*(5-5)^0.844)*N10*O10*1000</f>
        <v>201.39142125269657</v>
      </c>
      <c r="AI10" s="65">
        <f t="shared" ref="AI10:AI14" si="26">1/(32.915-29.388*(AG10/1000)^0.02969)</f>
        <v>0.28051149831498062</v>
      </c>
      <c r="AJ10" s="42">
        <f t="shared" ref="AJ10:AJ14" si="27">516.7*AG10*1.5/1000</f>
        <v>742.07026902534415</v>
      </c>
      <c r="AK10" s="42">
        <f t="shared" ref="AK10:AK14" si="28">IF($G10&lt;5,$R10*1000*0.7,$S10*1000*0.7)</f>
        <v>1341.9100195485914</v>
      </c>
      <c r="AL10" s="42">
        <f t="shared" ref="AL10:AL14" si="29">AK10*1.0715^U10</f>
        <v>1341.9100195485914</v>
      </c>
      <c r="AM10" s="42">
        <f t="shared" ref="AM10:AM14" si="30">(0.054+0.209*5)*$N10*$O10*1000</f>
        <v>402.41667628493366</v>
      </c>
      <c r="AN10" s="65">
        <f t="shared" ref="AN10:AN14" si="31">(0.001316*149.4025+117.22*(AL10/1000)^0.3141)/(149.4025+(AL10/1000)^0.3141)</f>
        <v>0.85555687687797688</v>
      </c>
      <c r="AO10" s="42">
        <f t="shared" ref="AO10:AO14" si="32">516.7*AL10*4/1000</f>
        <v>2773.459628403029</v>
      </c>
      <c r="AP10" s="42">
        <f t="shared" ref="AP10:AP14" si="33">IF($G10&lt;5,$R10*1000*0.5,$S10*1000*0.5)</f>
        <v>958.50715682042244</v>
      </c>
      <c r="AQ10" s="42">
        <f t="shared" ref="AQ10:AQ14" si="34">AP10*1.0715^U10</f>
        <v>958.50715682042244</v>
      </c>
      <c r="AR10" s="42">
        <f t="shared" ref="AR10:AR14" si="35">(0.054+0.209*5)*$N10*$O10*1000</f>
        <v>402.41667628493366</v>
      </c>
      <c r="AS10" s="65">
        <f t="shared" ref="AS10:AS14" si="36">(0.001316*149.4025+117.22*(AQ10/1000)^0.3141)/(149.4025+(AQ10/1000)^0.3141)</f>
        <v>0.77044479654553111</v>
      </c>
      <c r="AT10" s="42">
        <f t="shared" ref="AT10:AT14" si="37">516.7*AQ10*4/1000</f>
        <v>1981.0425917164494</v>
      </c>
    </row>
    <row r="11" spans="1:46" x14ac:dyDescent="0.25">
      <c r="A11" s="3" t="str">
        <f>Weather_Site!A14</f>
        <v>Sun</v>
      </c>
      <c r="B11" s="58">
        <f>Weather_Site!B14</f>
        <v>44549</v>
      </c>
      <c r="C11" s="59">
        <f>Weather_Site!C14</f>
        <v>0.25</v>
      </c>
      <c r="D11" s="3">
        <f>Weather_Site!D14</f>
        <v>22.7</v>
      </c>
      <c r="E11" s="3">
        <f>Weather_Site!E14</f>
        <v>27.3</v>
      </c>
      <c r="F11" s="3">
        <f>Weather_Site!F14</f>
        <v>336</v>
      </c>
      <c r="G11" s="3">
        <f>Weather_Site!G14</f>
        <v>16</v>
      </c>
      <c r="H11" s="27">
        <f>IF(Weather_Site!M14&lt;180,Weather_Site!M14+180,Weather_Site!M14-180)</f>
        <v>156</v>
      </c>
      <c r="I11" s="60">
        <f t="shared" si="0"/>
        <v>4.312862654511739</v>
      </c>
      <c r="J11" s="61">
        <f t="shared" si="1"/>
        <v>8.822004999999999</v>
      </c>
      <c r="K11" s="30">
        <f t="shared" si="2"/>
        <v>0.38566871088150156</v>
      </c>
      <c r="L11" s="30">
        <f t="shared" si="3"/>
        <v>0.38228742900000007</v>
      </c>
      <c r="M11" s="30">
        <f t="shared" si="4"/>
        <v>0.34585828600000007</v>
      </c>
      <c r="N11" s="30">
        <f t="shared" si="5"/>
        <v>0.38566871088150156</v>
      </c>
      <c r="O11" s="31">
        <f t="shared" si="6"/>
        <v>0.8927606399389324</v>
      </c>
      <c r="P11" s="30">
        <f t="shared" si="7"/>
        <v>1.5005023050808652</v>
      </c>
      <c r="Q11" s="62">
        <f t="shared" si="8"/>
        <v>2.6654115616576477</v>
      </c>
      <c r="R11" s="62">
        <f t="shared" si="9"/>
        <v>1.1699648537551122</v>
      </c>
      <c r="S11" s="62">
        <f t="shared" si="10"/>
        <v>2.241646690752797</v>
      </c>
      <c r="T11" s="62">
        <f t="shared" si="11"/>
        <v>1.1195206140049936</v>
      </c>
      <c r="U11" s="419">
        <f t="shared" si="12"/>
        <v>0</v>
      </c>
      <c r="V11" s="63">
        <f t="shared" si="13"/>
        <v>2665.4115616576478</v>
      </c>
      <c r="W11" s="42">
        <f t="shared" si="14"/>
        <v>2665.4115616576478</v>
      </c>
      <c r="X11" s="63">
        <f t="shared" si="15"/>
        <v>481.68947333825849</v>
      </c>
      <c r="Y11" s="65">
        <f t="shared" si="16"/>
        <v>2.41390376506686</v>
      </c>
      <c r="Z11" s="42">
        <f t="shared" si="17"/>
        <v>8263.3089234510408</v>
      </c>
      <c r="AA11" s="42">
        <f t="shared" si="18"/>
        <v>2241.646690752797</v>
      </c>
      <c r="AB11" s="42">
        <f t="shared" si="19"/>
        <v>2241.646690752797</v>
      </c>
      <c r="AC11" s="42">
        <f t="shared" si="20"/>
        <v>378.39651979896064</v>
      </c>
      <c r="AD11" s="65">
        <f t="shared" si="21"/>
        <v>1.0036729984187314</v>
      </c>
      <c r="AE11" s="42">
        <f t="shared" si="22"/>
        <v>4633.0353804478809</v>
      </c>
      <c r="AF11" s="42">
        <f t="shared" si="23"/>
        <v>1119.5206140049936</v>
      </c>
      <c r="AG11" s="42">
        <f t="shared" si="24"/>
        <v>1119.5206140049936</v>
      </c>
      <c r="AH11" s="42">
        <f t="shared" si="25"/>
        <v>189.37041482204586</v>
      </c>
      <c r="AI11" s="65">
        <f t="shared" si="26"/>
        <v>0.29168757980767562</v>
      </c>
      <c r="AJ11" s="42">
        <f t="shared" si="27"/>
        <v>867.68445188457042</v>
      </c>
      <c r="AK11" s="42">
        <f t="shared" si="28"/>
        <v>1569.1526835269578</v>
      </c>
      <c r="AL11" s="42">
        <f t="shared" si="29"/>
        <v>1569.1526835269578</v>
      </c>
      <c r="AM11" s="42">
        <f t="shared" si="30"/>
        <v>378.39651979896064</v>
      </c>
      <c r="AN11" s="65">
        <f t="shared" si="31"/>
        <v>0.89825208228701592</v>
      </c>
      <c r="AO11" s="42">
        <f t="shared" si="32"/>
        <v>3243.1247663135164</v>
      </c>
      <c r="AP11" s="42">
        <f t="shared" si="33"/>
        <v>1120.8233453763985</v>
      </c>
      <c r="AQ11" s="42">
        <f t="shared" si="34"/>
        <v>1120.8233453763985</v>
      </c>
      <c r="AR11" s="42">
        <f t="shared" si="35"/>
        <v>378.39651979896064</v>
      </c>
      <c r="AS11" s="65">
        <f t="shared" si="36"/>
        <v>0.80891559898996468</v>
      </c>
      <c r="AT11" s="42">
        <f t="shared" si="37"/>
        <v>2316.5176902239405</v>
      </c>
    </row>
    <row r="12" spans="1:46" x14ac:dyDescent="0.25">
      <c r="A12" s="3" t="str">
        <f>Weather_Site!A15</f>
        <v>Sun</v>
      </c>
      <c r="B12" s="58">
        <f>Weather_Site!B15</f>
        <v>44549</v>
      </c>
      <c r="C12" s="59">
        <f>Weather_Site!C15</f>
        <v>0.29166666666666669</v>
      </c>
      <c r="D12" s="3">
        <f>Weather_Site!D15</f>
        <v>23</v>
      </c>
      <c r="E12" s="3">
        <f>Weather_Site!E15</f>
        <v>28.2</v>
      </c>
      <c r="F12" s="3">
        <f>Weather_Site!F15</f>
        <v>2</v>
      </c>
      <c r="G12" s="3">
        <f>Weather_Site!G15</f>
        <v>25</v>
      </c>
      <c r="H12" s="27">
        <f>IF(Weather_Site!M15&lt;180,Weather_Site!M15+180,Weather_Site!M15-180)</f>
        <v>182</v>
      </c>
      <c r="I12" s="60">
        <f t="shared" si="0"/>
        <v>8.1112405568192543</v>
      </c>
      <c r="J12" s="61">
        <f t="shared" si="1"/>
        <v>8.8851699999999987</v>
      </c>
      <c r="K12" s="30">
        <f t="shared" si="2"/>
        <v>0.38304670196109369</v>
      </c>
      <c r="L12" s="30">
        <f t="shared" si="3"/>
        <v>0.38012718600000006</v>
      </c>
      <c r="M12" s="30">
        <f t="shared" si="4"/>
        <v>0.34441812400000005</v>
      </c>
      <c r="N12" s="30">
        <f t="shared" si="5"/>
        <v>0.38304670196109369</v>
      </c>
      <c r="O12" s="31">
        <f t="shared" si="6"/>
        <v>0.8927606399389324</v>
      </c>
      <c r="P12" s="30">
        <f t="shared" si="7"/>
        <v>2.3182079782369733</v>
      </c>
      <c r="Q12" s="62">
        <f t="shared" si="8"/>
        <v>4.0704569780538691</v>
      </c>
      <c r="R12" s="62">
        <f t="shared" si="9"/>
        <v>1.8052544500830479</v>
      </c>
      <c r="S12" s="62">
        <f t="shared" si="10"/>
        <v>3.4406835238925879</v>
      </c>
      <c r="T12" s="62">
        <f t="shared" si="11"/>
        <v>1.7181987426433243</v>
      </c>
      <c r="U12" s="419">
        <f t="shared" si="12"/>
        <v>0</v>
      </c>
      <c r="V12" s="63">
        <f t="shared" si="13"/>
        <v>4070.4569780538691</v>
      </c>
      <c r="W12" s="42">
        <f t="shared" si="14"/>
        <v>4070.4569780538691</v>
      </c>
      <c r="X12" s="63">
        <f t="shared" si="15"/>
        <v>478.41465725822775</v>
      </c>
      <c r="Y12" s="65">
        <f t="shared" si="16"/>
        <v>2.7503693593038165</v>
      </c>
      <c r="Z12" s="42">
        <f t="shared" si="17"/>
        <v>12619.230723362605</v>
      </c>
      <c r="AA12" s="42">
        <f t="shared" si="18"/>
        <v>3440.6835238925878</v>
      </c>
      <c r="AB12" s="42">
        <f t="shared" si="19"/>
        <v>3440.6835238925878</v>
      </c>
      <c r="AC12" s="42">
        <f t="shared" si="20"/>
        <v>375.82395162744257</v>
      </c>
      <c r="AD12" s="65">
        <f t="shared" si="21"/>
        <v>1.1466568155726009</v>
      </c>
      <c r="AE12" s="42">
        <f t="shared" si="22"/>
        <v>7111.2047071812012</v>
      </c>
      <c r="AF12" s="42">
        <f t="shared" si="23"/>
        <v>1718.1987426433243</v>
      </c>
      <c r="AG12" s="42">
        <f t="shared" si="24"/>
        <v>1718.1987426433243</v>
      </c>
      <c r="AH12" s="42">
        <f t="shared" si="25"/>
        <v>188.08296032310597</v>
      </c>
      <c r="AI12" s="65">
        <f t="shared" si="26"/>
        <v>0.32777160953832835</v>
      </c>
      <c r="AJ12" s="42">
        <f t="shared" si="27"/>
        <v>1331.6899354857085</v>
      </c>
      <c r="AK12" s="42">
        <f t="shared" si="28"/>
        <v>2408.4784667248114</v>
      </c>
      <c r="AL12" s="42">
        <f t="shared" si="29"/>
        <v>2408.4784667248114</v>
      </c>
      <c r="AM12" s="42">
        <f t="shared" si="30"/>
        <v>375.82395162744257</v>
      </c>
      <c r="AN12" s="65">
        <f t="shared" si="31"/>
        <v>1.0263304928495065</v>
      </c>
      <c r="AO12" s="42">
        <f t="shared" si="32"/>
        <v>4977.8432950268407</v>
      </c>
      <c r="AP12" s="42">
        <f t="shared" si="33"/>
        <v>1720.3417619462939</v>
      </c>
      <c r="AQ12" s="42">
        <f t="shared" si="34"/>
        <v>1720.3417619462939</v>
      </c>
      <c r="AR12" s="42">
        <f t="shared" si="35"/>
        <v>375.82395162744257</v>
      </c>
      <c r="AS12" s="65">
        <f t="shared" si="36"/>
        <v>0.92433839090828851</v>
      </c>
      <c r="AT12" s="42">
        <f t="shared" si="37"/>
        <v>3555.6023535906006</v>
      </c>
    </row>
    <row r="13" spans="1:46" x14ac:dyDescent="0.25">
      <c r="A13" s="3" t="str">
        <f>Weather_Site!A16</f>
        <v>Sun</v>
      </c>
      <c r="B13" s="58">
        <f>Weather_Site!B16</f>
        <v>44549</v>
      </c>
      <c r="C13" s="59">
        <f>Weather_Site!C16</f>
        <v>0.33333333333333331</v>
      </c>
      <c r="D13" s="3">
        <f>Weather_Site!D16</f>
        <v>25.3</v>
      </c>
      <c r="E13" s="3">
        <f>Weather_Site!E16</f>
        <v>26</v>
      </c>
      <c r="F13" s="3">
        <f>Weather_Site!F16</f>
        <v>0</v>
      </c>
      <c r="G13" s="3">
        <f>Weather_Site!G16</f>
        <v>32</v>
      </c>
      <c r="H13" s="27">
        <f>IF(Weather_Site!M16&lt;180,Weather_Site!M16+180,Weather_Site!M16-180)</f>
        <v>180</v>
      </c>
      <c r="I13" s="60">
        <f t="shared" si="0"/>
        <v>13.808538065479651</v>
      </c>
      <c r="J13" s="61">
        <f t="shared" si="1"/>
        <v>8.1354749999999996</v>
      </c>
      <c r="K13" s="30">
        <f t="shared" si="2"/>
        <v>0.41535101374475958</v>
      </c>
      <c r="L13" s="30">
        <f t="shared" si="3"/>
        <v>0.40576675500000003</v>
      </c>
      <c r="M13" s="30">
        <f t="shared" si="4"/>
        <v>0.36151117000000005</v>
      </c>
      <c r="N13" s="30">
        <f t="shared" si="5"/>
        <v>0.41535101374475958</v>
      </c>
      <c r="O13" s="31">
        <f t="shared" si="6"/>
        <v>0.8927606399389324</v>
      </c>
      <c r="P13" s="30">
        <f t="shared" si="7"/>
        <v>3.2119478770219438</v>
      </c>
      <c r="Q13" s="62">
        <f t="shared" si="8"/>
        <v>5.536378071588218</v>
      </c>
      <c r="R13" s="62">
        <f t="shared" si="9"/>
        <v>2.4999945263082366</v>
      </c>
      <c r="S13" s="62">
        <f t="shared" si="10"/>
        <v>4.688713896740615</v>
      </c>
      <c r="T13" s="62">
        <f t="shared" si="11"/>
        <v>2.3413633651841343</v>
      </c>
      <c r="U13" s="419">
        <f t="shared" si="12"/>
        <v>0</v>
      </c>
      <c r="V13" s="63">
        <f t="shared" si="13"/>
        <v>5536.3780715882176</v>
      </c>
      <c r="W13" s="42">
        <f t="shared" si="14"/>
        <v>5536.3780715882176</v>
      </c>
      <c r="X13" s="63">
        <f t="shared" si="15"/>
        <v>518.76184252524831</v>
      </c>
      <c r="Y13" s="65">
        <f t="shared" si="16"/>
        <v>3.0230061909644168</v>
      </c>
      <c r="Z13" s="42">
        <f t="shared" si="17"/>
        <v>17163.879297537791</v>
      </c>
      <c r="AA13" s="42">
        <f t="shared" si="18"/>
        <v>4688.7138967406154</v>
      </c>
      <c r="AB13" s="42">
        <f t="shared" si="19"/>
        <v>4688.7138967406154</v>
      </c>
      <c r="AC13" s="42">
        <f t="shared" si="20"/>
        <v>407.51913147623139</v>
      </c>
      <c r="AD13" s="65">
        <f t="shared" si="21"/>
        <v>1.2623290948568198</v>
      </c>
      <c r="AE13" s="42">
        <f t="shared" si="22"/>
        <v>9690.633881783504</v>
      </c>
      <c r="AF13" s="42">
        <f t="shared" si="23"/>
        <v>2341.3633651841342</v>
      </c>
      <c r="AG13" s="42">
        <f t="shared" si="24"/>
        <v>2341.3633651841342</v>
      </c>
      <c r="AH13" s="42">
        <f t="shared" si="25"/>
        <v>203.94497025653075</v>
      </c>
      <c r="AI13" s="65">
        <f t="shared" si="26"/>
        <v>0.36032713021757734</v>
      </c>
      <c r="AJ13" s="42">
        <f t="shared" si="27"/>
        <v>1814.6736761859634</v>
      </c>
      <c r="AK13" s="42">
        <f t="shared" si="28"/>
        <v>3282.0997277184306</v>
      </c>
      <c r="AL13" s="42">
        <f t="shared" si="29"/>
        <v>3282.0997277184306</v>
      </c>
      <c r="AM13" s="42">
        <f t="shared" si="30"/>
        <v>407.51913147623139</v>
      </c>
      <c r="AN13" s="65">
        <f t="shared" si="31"/>
        <v>1.1299687273890096</v>
      </c>
      <c r="AO13" s="42">
        <f t="shared" si="32"/>
        <v>6783.4437172484531</v>
      </c>
      <c r="AP13" s="42">
        <f t="shared" si="33"/>
        <v>2344.3569483703077</v>
      </c>
      <c r="AQ13" s="42">
        <f t="shared" si="34"/>
        <v>2344.3569483703077</v>
      </c>
      <c r="AR13" s="42">
        <f t="shared" si="35"/>
        <v>407.51913147623139</v>
      </c>
      <c r="AS13" s="65">
        <f t="shared" si="36"/>
        <v>1.0177545117210376</v>
      </c>
      <c r="AT13" s="42">
        <f t="shared" si="37"/>
        <v>4845.316940891752</v>
      </c>
    </row>
    <row r="14" spans="1:46" x14ac:dyDescent="0.25">
      <c r="A14" s="66" t="str">
        <f>Weather_Site!A17</f>
        <v>Sun</v>
      </c>
      <c r="B14" s="67">
        <f>Weather_Site!B17</f>
        <v>44549</v>
      </c>
      <c r="C14" s="68">
        <f>Weather_Site!C17</f>
        <v>0.375</v>
      </c>
      <c r="D14" s="66">
        <f>Weather_Site!D17</f>
        <v>27.7</v>
      </c>
      <c r="E14" s="66">
        <f>Weather_Site!E17</f>
        <v>28</v>
      </c>
      <c r="F14" s="66">
        <f>Weather_Site!F17</f>
        <v>328</v>
      </c>
      <c r="G14" s="66">
        <f>Weather_Site!G17</f>
        <v>27</v>
      </c>
      <c r="H14" s="48">
        <f>IF(Weather_Site!M17&lt;180,Weather_Site!M17+180,Weather_Site!M17-180)</f>
        <v>148</v>
      </c>
      <c r="I14" s="69">
        <f t="shared" si="0"/>
        <v>10.520777953510073</v>
      </c>
      <c r="J14" s="70">
        <f t="shared" si="1"/>
        <v>7.9356749999999998</v>
      </c>
      <c r="K14" s="55">
        <f t="shared" si="2"/>
        <v>0.42441102276277826</v>
      </c>
      <c r="L14" s="30">
        <f t="shared" si="3"/>
        <v>0.41259991500000004</v>
      </c>
      <c r="M14" s="30">
        <f t="shared" si="4"/>
        <v>0.36606661000000007</v>
      </c>
      <c r="N14" s="55">
        <f t="shared" si="5"/>
        <v>0.42441102276277826</v>
      </c>
      <c r="O14" s="54">
        <f t="shared" si="6"/>
        <v>0.8927606399389324</v>
      </c>
      <c r="P14" s="55">
        <f t="shared" si="7"/>
        <v>2.7723926875922338</v>
      </c>
      <c r="Q14" s="55">
        <f t="shared" si="8"/>
        <v>4.8433669883215673</v>
      </c>
      <c r="R14" s="55">
        <f t="shared" si="9"/>
        <v>2.1585788084205211</v>
      </c>
      <c r="S14" s="55">
        <f t="shared" si="10"/>
        <v>4.0966571815186592</v>
      </c>
      <c r="T14" s="55">
        <f t="shared" si="11"/>
        <v>2.0457552551092513</v>
      </c>
      <c r="U14" s="419">
        <f t="shared" si="12"/>
        <v>0</v>
      </c>
      <c r="V14" s="71">
        <f t="shared" si="13"/>
        <v>4843.3669883215671</v>
      </c>
      <c r="W14" s="53">
        <f t="shared" si="14"/>
        <v>4843.3669883215671</v>
      </c>
      <c r="X14" s="71">
        <f t="shared" si="15"/>
        <v>530.07754133408991</v>
      </c>
      <c r="Y14" s="72">
        <f t="shared" si="16"/>
        <v>2.9013881088448858</v>
      </c>
      <c r="Z14" s="53">
        <f t="shared" si="17"/>
        <v>15015.406337194523</v>
      </c>
      <c r="AA14" s="53">
        <f t="shared" si="18"/>
        <v>4096.6571815186589</v>
      </c>
      <c r="AB14" s="53">
        <f t="shared" si="19"/>
        <v>4096.6571815186589</v>
      </c>
      <c r="AC14" s="53">
        <f t="shared" si="20"/>
        <v>416.40830445043935</v>
      </c>
      <c r="AD14" s="72">
        <f t="shared" si="21"/>
        <v>1.2105205090095963</v>
      </c>
      <c r="AE14" s="53">
        <f t="shared" si="22"/>
        <v>8466.9710627627646</v>
      </c>
      <c r="AF14" s="53">
        <f t="shared" si="23"/>
        <v>2045.7552551092513</v>
      </c>
      <c r="AG14" s="53">
        <f t="shared" si="24"/>
        <v>2045.7552551092513</v>
      </c>
      <c r="AH14" s="53">
        <f t="shared" si="25"/>
        <v>208.39360095335911</v>
      </c>
      <c r="AI14" s="72">
        <f t="shared" si="26"/>
        <v>0.34532905558922061</v>
      </c>
      <c r="AJ14" s="53">
        <f t="shared" si="27"/>
        <v>1585.5626104724254</v>
      </c>
      <c r="AK14" s="53">
        <f t="shared" si="28"/>
        <v>2867.6600270630611</v>
      </c>
      <c r="AL14" s="53">
        <f t="shared" si="29"/>
        <v>2867.6600270630611</v>
      </c>
      <c r="AM14" s="53">
        <f t="shared" si="30"/>
        <v>416.40830445043935</v>
      </c>
      <c r="AN14" s="72">
        <f t="shared" si="31"/>
        <v>1.0835473999558025</v>
      </c>
      <c r="AO14" s="53">
        <f t="shared" si="32"/>
        <v>5926.8797439339351</v>
      </c>
      <c r="AP14" s="53">
        <f t="shared" si="33"/>
        <v>2048.3285907593295</v>
      </c>
      <c r="AQ14" s="53">
        <f t="shared" si="34"/>
        <v>2048.3285907593295</v>
      </c>
      <c r="AR14" s="53">
        <f t="shared" si="35"/>
        <v>416.40830445043935</v>
      </c>
      <c r="AS14" s="72">
        <f t="shared" si="36"/>
        <v>0.97590979252682664</v>
      </c>
      <c r="AT14" s="53">
        <f t="shared" si="37"/>
        <v>4233.4855313813823</v>
      </c>
    </row>
    <row r="15" spans="1:46" x14ac:dyDescent="0.25">
      <c r="A15" s="66"/>
      <c r="B15" s="67"/>
      <c r="C15" s="68"/>
      <c r="D15" s="66"/>
      <c r="E15" s="66"/>
      <c r="F15" s="66"/>
      <c r="G15" s="66"/>
      <c r="H15" s="48"/>
      <c r="I15" s="69"/>
      <c r="J15" s="70"/>
      <c r="K15" s="55"/>
      <c r="L15" s="30"/>
      <c r="M15" s="30"/>
      <c r="N15" s="55"/>
      <c r="O15" s="54"/>
      <c r="P15" s="55"/>
      <c r="Q15" s="55"/>
      <c r="R15" s="55"/>
      <c r="S15" s="55"/>
      <c r="T15" s="55"/>
      <c r="U15" s="419"/>
      <c r="V15" s="71"/>
      <c r="W15" s="53"/>
      <c r="X15" s="71"/>
      <c r="Y15" s="72"/>
      <c r="Z15" s="53"/>
      <c r="AA15" s="53"/>
      <c r="AB15" s="53"/>
      <c r="AC15" s="53"/>
      <c r="AD15" s="72"/>
      <c r="AE15" s="53"/>
      <c r="AF15" s="53"/>
      <c r="AG15" s="53"/>
      <c r="AH15" s="53"/>
      <c r="AI15" s="72"/>
      <c r="AJ15" s="53"/>
      <c r="AK15" s="53"/>
      <c r="AL15" s="53"/>
      <c r="AM15" s="53"/>
      <c r="AN15" s="72"/>
      <c r="AO15" s="53"/>
      <c r="AP15" s="53"/>
      <c r="AQ15" s="53"/>
      <c r="AR15" s="53"/>
      <c r="AS15" s="72"/>
      <c r="AT15" s="53"/>
    </row>
    <row r="16" spans="1:46" x14ac:dyDescent="0.25">
      <c r="A16" s="66"/>
      <c r="B16" s="67"/>
      <c r="C16" s="68"/>
      <c r="D16" s="66"/>
      <c r="E16" s="66"/>
      <c r="F16" s="66"/>
      <c r="G16" s="66"/>
      <c r="H16" s="48"/>
      <c r="I16" s="69"/>
      <c r="J16" s="70"/>
      <c r="K16" s="55"/>
      <c r="L16" s="30"/>
      <c r="M16" s="30"/>
      <c r="N16" s="55"/>
      <c r="O16" s="54"/>
      <c r="P16" s="55"/>
      <c r="Q16" s="55"/>
      <c r="R16" s="55"/>
      <c r="S16" s="55"/>
      <c r="T16" s="55"/>
      <c r="U16" s="419"/>
      <c r="V16" s="71"/>
      <c r="W16" s="53"/>
      <c r="X16" s="71"/>
      <c r="Y16" s="72"/>
      <c r="Z16" s="53"/>
      <c r="AA16" s="53"/>
      <c r="AB16" s="53"/>
      <c r="AC16" s="53"/>
      <c r="AD16" s="72"/>
      <c r="AE16" s="53"/>
      <c r="AF16" s="53"/>
      <c r="AG16" s="53"/>
      <c r="AH16" s="53"/>
      <c r="AI16" s="72"/>
      <c r="AJ16" s="53"/>
      <c r="AK16" s="53"/>
      <c r="AL16" s="53"/>
      <c r="AM16" s="53"/>
      <c r="AN16" s="72"/>
      <c r="AO16" s="53"/>
      <c r="AP16" s="53"/>
      <c r="AQ16" s="53"/>
      <c r="AR16" s="53"/>
      <c r="AS16" s="72"/>
      <c r="AT16" s="53"/>
    </row>
    <row r="17" spans="1:46" x14ac:dyDescent="0.25">
      <c r="A17" s="66"/>
      <c r="B17" s="67"/>
      <c r="C17" s="68"/>
      <c r="D17" s="66"/>
      <c r="E17" s="66"/>
      <c r="F17" s="66"/>
      <c r="G17" s="66"/>
      <c r="H17" s="48"/>
      <c r="I17" s="69"/>
      <c r="J17" s="70"/>
      <c r="K17" s="55"/>
      <c r="L17" s="30"/>
      <c r="M17" s="30"/>
      <c r="N17" s="55"/>
      <c r="O17" s="54"/>
      <c r="P17" s="55"/>
      <c r="Q17" s="55"/>
      <c r="R17" s="55"/>
      <c r="S17" s="55"/>
      <c r="T17" s="55"/>
      <c r="U17" s="419"/>
      <c r="V17" s="71"/>
      <c r="W17" s="53"/>
      <c r="X17" s="71"/>
      <c r="Y17" s="72"/>
      <c r="Z17" s="53"/>
      <c r="AA17" s="53"/>
      <c r="AB17" s="53"/>
      <c r="AC17" s="53"/>
      <c r="AD17" s="72"/>
      <c r="AE17" s="53"/>
      <c r="AF17" s="53"/>
      <c r="AG17" s="53"/>
      <c r="AH17" s="53"/>
      <c r="AI17" s="72"/>
      <c r="AJ17" s="53"/>
      <c r="AK17" s="53"/>
      <c r="AL17" s="53"/>
      <c r="AM17" s="53"/>
      <c r="AN17" s="72"/>
      <c r="AO17" s="53"/>
      <c r="AP17" s="53"/>
      <c r="AQ17" s="53"/>
      <c r="AR17" s="53"/>
      <c r="AS17" s="72"/>
      <c r="AT17" s="53"/>
    </row>
    <row r="18" spans="1:46" x14ac:dyDescent="0.25">
      <c r="A18" s="66"/>
      <c r="B18" s="67"/>
      <c r="C18" s="68"/>
      <c r="D18" s="66"/>
      <c r="E18" s="66"/>
      <c r="F18" s="66"/>
      <c r="G18" s="66"/>
      <c r="H18" s="48"/>
      <c r="I18" s="69"/>
      <c r="J18" s="70"/>
      <c r="K18" s="55"/>
      <c r="L18" s="30"/>
      <c r="M18" s="30"/>
      <c r="N18" s="55"/>
      <c r="O18" s="54"/>
      <c r="P18" s="55"/>
      <c r="Q18" s="55"/>
      <c r="R18" s="55"/>
      <c r="S18" s="55"/>
      <c r="T18" s="55"/>
      <c r="U18" s="419"/>
      <c r="V18" s="71"/>
      <c r="W18" s="53"/>
      <c r="X18" s="71"/>
      <c r="Y18" s="72"/>
      <c r="Z18" s="53"/>
      <c r="AA18" s="53"/>
      <c r="AB18" s="53"/>
      <c r="AC18" s="53"/>
      <c r="AD18" s="72"/>
      <c r="AE18" s="53"/>
      <c r="AF18" s="53"/>
      <c r="AG18" s="53"/>
      <c r="AH18" s="53"/>
      <c r="AI18" s="72"/>
      <c r="AJ18" s="53"/>
      <c r="AK18" s="53"/>
      <c r="AL18" s="53"/>
      <c r="AM18" s="53"/>
      <c r="AN18" s="72"/>
      <c r="AO18" s="53"/>
      <c r="AP18" s="53"/>
      <c r="AQ18" s="53"/>
      <c r="AR18" s="53"/>
      <c r="AS18" s="72"/>
      <c r="AT18" s="53"/>
    </row>
    <row r="19" spans="1:46" x14ac:dyDescent="0.25">
      <c r="A19" s="3"/>
      <c r="B19" s="58"/>
      <c r="C19" s="59"/>
      <c r="D19" s="3"/>
      <c r="E19" s="3"/>
      <c r="F19" s="3"/>
      <c r="G19" s="3"/>
      <c r="H19" s="27"/>
      <c r="I19" s="60"/>
      <c r="J19" s="61"/>
      <c r="K19" s="30"/>
      <c r="L19" s="30"/>
      <c r="M19" s="30"/>
      <c r="N19" s="30"/>
      <c r="O19" s="31"/>
      <c r="P19" s="30"/>
      <c r="Q19" s="62"/>
      <c r="R19" s="62"/>
      <c r="S19" s="62"/>
      <c r="T19" s="62"/>
      <c r="U19" s="419"/>
      <c r="V19" s="63"/>
      <c r="W19" s="42"/>
      <c r="X19" s="63"/>
      <c r="Y19" s="65"/>
      <c r="Z19" s="42"/>
      <c r="AA19" s="42"/>
      <c r="AB19" s="42"/>
      <c r="AC19" s="42"/>
      <c r="AD19" s="65"/>
      <c r="AE19" s="42"/>
      <c r="AF19" s="42"/>
      <c r="AG19" s="42"/>
      <c r="AH19" s="42"/>
      <c r="AI19" s="65"/>
      <c r="AJ19" s="42"/>
      <c r="AK19" s="42"/>
      <c r="AL19" s="42"/>
      <c r="AM19" s="42"/>
      <c r="AN19" s="65"/>
      <c r="AO19" s="42"/>
      <c r="AP19" s="42"/>
      <c r="AQ19" s="42"/>
      <c r="AR19" s="42"/>
      <c r="AS19" s="65"/>
      <c r="AT19" s="42"/>
    </row>
    <row r="20" spans="1:46" x14ac:dyDescent="0.25">
      <c r="A20" s="3"/>
      <c r="B20" s="58"/>
      <c r="C20" s="59"/>
      <c r="D20" s="3"/>
      <c r="E20" s="3"/>
      <c r="F20" s="3"/>
      <c r="G20" s="3"/>
      <c r="H20" s="27"/>
      <c r="I20" s="60"/>
      <c r="J20" s="61"/>
      <c r="K20" s="30"/>
      <c r="L20" s="30"/>
      <c r="M20" s="30"/>
      <c r="N20" s="30"/>
      <c r="O20" s="31"/>
      <c r="P20" s="30"/>
      <c r="Q20" s="62"/>
      <c r="R20" s="62"/>
      <c r="S20" s="62"/>
      <c r="T20" s="62"/>
      <c r="U20" s="419"/>
      <c r="V20" s="63"/>
      <c r="W20" s="42"/>
      <c r="X20" s="63"/>
      <c r="Y20" s="65"/>
      <c r="Z20" s="42"/>
      <c r="AA20" s="42"/>
      <c r="AB20" s="42"/>
      <c r="AC20" s="42"/>
      <c r="AD20" s="65"/>
      <c r="AE20" s="42"/>
      <c r="AF20" s="42"/>
      <c r="AG20" s="42"/>
      <c r="AH20" s="42"/>
      <c r="AI20" s="65"/>
      <c r="AJ20" s="42"/>
      <c r="AK20" s="42"/>
      <c r="AL20" s="42"/>
      <c r="AM20" s="42"/>
      <c r="AN20" s="65"/>
      <c r="AO20" s="42"/>
      <c r="AP20" s="42"/>
      <c r="AQ20" s="42"/>
      <c r="AR20" s="42"/>
      <c r="AS20" s="65"/>
      <c r="AT20" s="42"/>
    </row>
    <row r="21" spans="1:46" x14ac:dyDescent="0.25">
      <c r="A21" s="3"/>
      <c r="B21" s="58"/>
      <c r="C21" s="59"/>
      <c r="D21" s="3"/>
      <c r="E21" s="3"/>
      <c r="F21" s="3"/>
      <c r="G21" s="3"/>
      <c r="H21" s="27"/>
      <c r="I21" s="60"/>
      <c r="J21" s="61"/>
      <c r="K21" s="30"/>
      <c r="L21" s="30"/>
      <c r="M21" s="30"/>
      <c r="N21" s="30"/>
      <c r="O21" s="31"/>
      <c r="P21" s="30"/>
      <c r="Q21" s="62"/>
      <c r="R21" s="62"/>
      <c r="S21" s="62"/>
      <c r="T21" s="62"/>
      <c r="U21" s="419"/>
      <c r="V21" s="63"/>
      <c r="W21" s="42"/>
      <c r="X21" s="63"/>
      <c r="Y21" s="65"/>
      <c r="Z21" s="42"/>
      <c r="AA21" s="42"/>
      <c r="AB21" s="42"/>
      <c r="AC21" s="42"/>
      <c r="AD21" s="65"/>
      <c r="AE21" s="42"/>
      <c r="AF21" s="42"/>
      <c r="AG21" s="42"/>
      <c r="AH21" s="42"/>
      <c r="AI21" s="65"/>
      <c r="AJ21" s="42"/>
      <c r="AK21" s="42"/>
      <c r="AL21" s="42"/>
      <c r="AM21" s="42"/>
      <c r="AN21" s="65"/>
      <c r="AO21" s="42"/>
      <c r="AP21" s="42"/>
      <c r="AQ21" s="42"/>
      <c r="AR21" s="42"/>
      <c r="AS21" s="65"/>
      <c r="AT21" s="42"/>
    </row>
    <row r="22" spans="1:46" x14ac:dyDescent="0.25">
      <c r="A22" s="3"/>
      <c r="B22" s="58"/>
      <c r="C22" s="59"/>
      <c r="D22" s="3"/>
      <c r="E22" s="3"/>
      <c r="F22" s="3"/>
      <c r="G22" s="3"/>
      <c r="H22" s="27"/>
      <c r="I22" s="60"/>
      <c r="J22" s="61"/>
      <c r="K22" s="30"/>
      <c r="L22" s="30"/>
      <c r="M22" s="30"/>
      <c r="N22" s="30"/>
      <c r="O22" s="31"/>
      <c r="P22" s="30"/>
      <c r="Q22" s="62"/>
      <c r="R22" s="62"/>
      <c r="S22" s="62"/>
      <c r="T22" s="62"/>
      <c r="U22" s="419"/>
      <c r="V22" s="63"/>
      <c r="W22" s="42"/>
      <c r="X22" s="63"/>
      <c r="Y22" s="65"/>
      <c r="Z22" s="42"/>
      <c r="AA22" s="42"/>
      <c r="AB22" s="42"/>
      <c r="AC22" s="42"/>
      <c r="AD22" s="65"/>
      <c r="AE22" s="42"/>
      <c r="AF22" s="42"/>
      <c r="AG22" s="42"/>
      <c r="AH22" s="42"/>
      <c r="AI22" s="65"/>
      <c r="AJ22" s="42"/>
      <c r="AK22" s="42"/>
      <c r="AL22" s="42"/>
      <c r="AM22" s="42"/>
      <c r="AN22" s="65"/>
      <c r="AO22" s="42"/>
      <c r="AP22" s="42"/>
      <c r="AQ22" s="42"/>
      <c r="AR22" s="42"/>
      <c r="AS22" s="65"/>
      <c r="AT22" s="42"/>
    </row>
    <row r="23" spans="1:46" x14ac:dyDescent="0.25">
      <c r="A23" s="3"/>
      <c r="B23" s="58"/>
      <c r="C23" s="59"/>
      <c r="D23" s="3"/>
      <c r="E23" s="3"/>
      <c r="F23" s="3"/>
      <c r="G23" s="3"/>
      <c r="H23" s="27"/>
      <c r="I23" s="60"/>
      <c r="J23" s="61"/>
      <c r="K23" s="30"/>
      <c r="L23" s="30"/>
      <c r="M23" s="30"/>
      <c r="N23" s="30"/>
      <c r="O23" s="31"/>
      <c r="P23" s="30"/>
      <c r="Q23" s="62"/>
      <c r="R23" s="62"/>
      <c r="S23" s="62"/>
      <c r="T23" s="62"/>
      <c r="U23" s="419"/>
      <c r="V23" s="63"/>
      <c r="W23" s="42"/>
      <c r="X23" s="63"/>
      <c r="Y23" s="65"/>
      <c r="Z23" s="42"/>
      <c r="AA23" s="42"/>
      <c r="AB23" s="42"/>
      <c r="AC23" s="42"/>
      <c r="AD23" s="65"/>
      <c r="AE23" s="42"/>
      <c r="AF23" s="42"/>
      <c r="AG23" s="42"/>
      <c r="AH23" s="42"/>
      <c r="AI23" s="65"/>
      <c r="AJ23" s="42"/>
      <c r="AK23" s="42"/>
      <c r="AL23" s="42"/>
      <c r="AM23" s="42"/>
      <c r="AN23" s="65"/>
      <c r="AO23" s="42"/>
      <c r="AP23" s="42"/>
      <c r="AQ23" s="42"/>
      <c r="AR23" s="42"/>
      <c r="AS23" s="65"/>
      <c r="AT23" s="42"/>
    </row>
    <row r="24" spans="1:46" x14ac:dyDescent="0.25">
      <c r="A24" s="66"/>
      <c r="B24" s="67"/>
      <c r="C24" s="68"/>
      <c r="D24" s="66"/>
      <c r="E24" s="66"/>
      <c r="F24" s="66"/>
      <c r="G24" s="66"/>
      <c r="H24" s="48"/>
      <c r="I24" s="69"/>
      <c r="J24" s="70"/>
      <c r="K24" s="55"/>
      <c r="L24" s="30"/>
      <c r="M24" s="30"/>
      <c r="N24" s="55"/>
      <c r="O24" s="54"/>
      <c r="P24" s="55"/>
      <c r="Q24" s="55"/>
      <c r="R24" s="55"/>
      <c r="S24" s="55"/>
      <c r="T24" s="55"/>
      <c r="U24" s="419"/>
      <c r="V24" s="71"/>
      <c r="W24" s="53"/>
      <c r="X24" s="71"/>
      <c r="Y24" s="72"/>
      <c r="Z24" s="53"/>
      <c r="AA24" s="53"/>
      <c r="AB24" s="53"/>
      <c r="AC24" s="53"/>
      <c r="AD24" s="72"/>
      <c r="AE24" s="53"/>
      <c r="AF24" s="53"/>
      <c r="AG24" s="53"/>
      <c r="AH24" s="53"/>
      <c r="AI24" s="72"/>
      <c r="AJ24" s="53"/>
      <c r="AK24" s="53"/>
      <c r="AL24" s="53"/>
      <c r="AM24" s="53"/>
      <c r="AN24" s="72"/>
      <c r="AO24" s="53"/>
      <c r="AP24" s="53"/>
      <c r="AQ24" s="53"/>
      <c r="AR24" s="53"/>
      <c r="AS24" s="72"/>
      <c r="AT24" s="53"/>
    </row>
    <row r="25" spans="1:46" x14ac:dyDescent="0.25">
      <c r="A25" s="66"/>
      <c r="B25" s="67"/>
      <c r="C25" s="68"/>
      <c r="D25" s="66"/>
      <c r="E25" s="66"/>
      <c r="F25" s="66"/>
      <c r="G25" s="66"/>
      <c r="H25" s="48"/>
      <c r="I25" s="69"/>
      <c r="J25" s="70"/>
      <c r="K25" s="55"/>
      <c r="L25" s="30"/>
      <c r="M25" s="30"/>
      <c r="N25" s="55"/>
      <c r="O25" s="54"/>
      <c r="P25" s="55"/>
      <c r="Q25" s="55"/>
      <c r="R25" s="55"/>
      <c r="S25" s="55"/>
      <c r="T25" s="55"/>
      <c r="U25" s="419"/>
      <c r="V25" s="71"/>
      <c r="W25" s="53"/>
      <c r="X25" s="71"/>
      <c r="Y25" s="72"/>
      <c r="Z25" s="53"/>
      <c r="AA25" s="53"/>
      <c r="AB25" s="53"/>
      <c r="AC25" s="53"/>
      <c r="AD25" s="72"/>
      <c r="AE25" s="53"/>
      <c r="AF25" s="53"/>
      <c r="AG25" s="53"/>
      <c r="AH25" s="53"/>
      <c r="AI25" s="72"/>
      <c r="AJ25" s="53"/>
      <c r="AK25" s="53"/>
      <c r="AL25" s="53"/>
      <c r="AM25" s="53"/>
      <c r="AN25" s="72"/>
      <c r="AO25" s="53"/>
      <c r="AP25" s="53"/>
      <c r="AQ25" s="53"/>
      <c r="AR25" s="53"/>
      <c r="AS25" s="72"/>
      <c r="AT25" s="53"/>
    </row>
    <row r="26" spans="1:46" x14ac:dyDescent="0.25">
      <c r="A26" s="66"/>
      <c r="B26" s="67"/>
      <c r="C26" s="68"/>
      <c r="D26" s="66"/>
      <c r="E26" s="66"/>
      <c r="F26" s="66"/>
      <c r="G26" s="66"/>
      <c r="H26" s="48"/>
      <c r="I26" s="69"/>
      <c r="J26" s="70"/>
      <c r="K26" s="55"/>
      <c r="L26" s="30"/>
      <c r="M26" s="30"/>
      <c r="N26" s="55"/>
      <c r="O26" s="54"/>
      <c r="P26" s="55"/>
      <c r="Q26" s="55"/>
      <c r="R26" s="55"/>
      <c r="S26" s="55"/>
      <c r="T26" s="55"/>
      <c r="U26" s="419"/>
      <c r="V26" s="71"/>
      <c r="W26" s="53"/>
      <c r="X26" s="71"/>
      <c r="Y26" s="72"/>
      <c r="Z26" s="53"/>
      <c r="AA26" s="53"/>
      <c r="AB26" s="53"/>
      <c r="AC26" s="53"/>
      <c r="AD26" s="72"/>
      <c r="AE26" s="53"/>
      <c r="AF26" s="53"/>
      <c r="AG26" s="53"/>
      <c r="AH26" s="53"/>
      <c r="AI26" s="72"/>
      <c r="AJ26" s="53"/>
      <c r="AK26" s="53"/>
      <c r="AL26" s="53"/>
      <c r="AM26" s="53"/>
      <c r="AN26" s="72"/>
      <c r="AO26" s="53"/>
      <c r="AP26" s="53"/>
      <c r="AQ26" s="53"/>
      <c r="AR26" s="53"/>
      <c r="AS26" s="72"/>
      <c r="AT26" s="53"/>
    </row>
    <row r="27" spans="1:46" x14ac:dyDescent="0.25">
      <c r="A27" s="66"/>
      <c r="B27" s="67"/>
      <c r="C27" s="68"/>
      <c r="D27" s="66"/>
      <c r="E27" s="66"/>
      <c r="F27" s="66"/>
      <c r="G27" s="66"/>
      <c r="H27" s="48"/>
      <c r="I27" s="69"/>
      <c r="J27" s="70"/>
      <c r="K27" s="55"/>
      <c r="L27" s="55"/>
      <c r="M27" s="55"/>
      <c r="N27" s="55"/>
      <c r="O27" s="54"/>
      <c r="P27" s="55"/>
      <c r="Q27" s="55"/>
      <c r="R27" s="55"/>
      <c r="S27" s="55"/>
      <c r="T27" s="55"/>
      <c r="U27" s="419"/>
      <c r="V27" s="71"/>
      <c r="W27" s="53"/>
      <c r="X27" s="71"/>
      <c r="Y27" s="72"/>
      <c r="Z27" s="53"/>
      <c r="AA27" s="53"/>
      <c r="AB27" s="53"/>
      <c r="AC27" s="53"/>
      <c r="AD27" s="72"/>
      <c r="AE27" s="53"/>
      <c r="AF27" s="53"/>
      <c r="AG27" s="53"/>
      <c r="AH27" s="53"/>
      <c r="AI27" s="72"/>
      <c r="AJ27" s="53"/>
      <c r="AK27" s="53"/>
      <c r="AL27" s="53"/>
      <c r="AM27" s="53"/>
      <c r="AN27" s="72"/>
      <c r="AO27" s="53"/>
      <c r="AP27" s="53"/>
      <c r="AQ27" s="53"/>
      <c r="AR27" s="53"/>
      <c r="AS27" s="72"/>
      <c r="AT27" s="53"/>
    </row>
    <row r="28" spans="1:46" x14ac:dyDescent="0.25">
      <c r="A28" s="66"/>
      <c r="B28" s="67"/>
      <c r="C28" s="68"/>
      <c r="D28" s="66"/>
      <c r="E28" s="66"/>
      <c r="F28" s="66"/>
      <c r="G28" s="66"/>
      <c r="H28" s="48"/>
      <c r="I28" s="69"/>
      <c r="J28" s="70"/>
      <c r="K28" s="55"/>
      <c r="L28" s="55"/>
      <c r="M28" s="55"/>
      <c r="N28" s="55"/>
      <c r="O28" s="54"/>
      <c r="P28" s="55"/>
      <c r="Q28" s="55"/>
      <c r="R28" s="55"/>
      <c r="S28" s="55"/>
      <c r="T28" s="55"/>
      <c r="U28" s="419"/>
      <c r="V28" s="71"/>
      <c r="W28" s="53"/>
      <c r="X28" s="71"/>
      <c r="Y28" s="72"/>
      <c r="Z28" s="53"/>
      <c r="AA28" s="53"/>
      <c r="AB28" s="53"/>
      <c r="AC28" s="53"/>
      <c r="AD28" s="72"/>
      <c r="AE28" s="53"/>
      <c r="AF28" s="53"/>
      <c r="AG28" s="53"/>
      <c r="AH28" s="53"/>
      <c r="AI28" s="72"/>
      <c r="AJ28" s="53"/>
      <c r="AK28" s="53"/>
      <c r="AL28" s="53"/>
      <c r="AM28" s="53"/>
      <c r="AN28" s="72"/>
      <c r="AO28" s="53"/>
      <c r="AP28" s="53"/>
      <c r="AQ28" s="53"/>
      <c r="AR28" s="53"/>
      <c r="AS28" s="72"/>
      <c r="AT28" s="53"/>
    </row>
    <row r="29" spans="1:46" x14ac:dyDescent="0.25">
      <c r="A29" s="3"/>
      <c r="B29" s="58"/>
      <c r="C29" s="59"/>
      <c r="D29" s="3"/>
      <c r="E29" s="3"/>
      <c r="F29" s="3"/>
      <c r="G29" s="3"/>
      <c r="H29" s="27"/>
      <c r="I29" s="60"/>
      <c r="J29" s="61"/>
      <c r="K29" s="30"/>
      <c r="L29" s="30"/>
      <c r="M29" s="30"/>
      <c r="N29" s="30"/>
      <c r="O29" s="31"/>
      <c r="P29" s="30"/>
      <c r="Q29" s="62"/>
      <c r="R29" s="62"/>
      <c r="S29" s="62"/>
      <c r="T29" s="62"/>
      <c r="U29" s="419"/>
      <c r="V29" s="63"/>
      <c r="W29" s="42"/>
      <c r="X29" s="63"/>
      <c r="Y29" s="65"/>
      <c r="Z29" s="42"/>
      <c r="AA29" s="42"/>
      <c r="AB29" s="42"/>
      <c r="AC29" s="42"/>
      <c r="AD29" s="65"/>
      <c r="AE29" s="42"/>
      <c r="AF29" s="42"/>
      <c r="AG29" s="42"/>
      <c r="AH29" s="42"/>
      <c r="AI29" s="65"/>
      <c r="AJ29" s="42"/>
      <c r="AK29" s="42"/>
      <c r="AL29" s="42"/>
      <c r="AM29" s="42"/>
      <c r="AN29" s="65"/>
      <c r="AO29" s="42"/>
      <c r="AP29" s="42"/>
      <c r="AQ29" s="42"/>
      <c r="AR29" s="42"/>
      <c r="AS29" s="65"/>
      <c r="AT29" s="42"/>
    </row>
    <row r="30" spans="1:46" x14ac:dyDescent="0.25">
      <c r="A30" s="3"/>
      <c r="B30" s="58"/>
      <c r="C30" s="59"/>
      <c r="D30" s="3"/>
      <c r="E30" s="3"/>
      <c r="F30" s="3"/>
      <c r="G30" s="3"/>
      <c r="H30" s="27"/>
      <c r="I30" s="60"/>
      <c r="J30" s="61"/>
      <c r="K30" s="30"/>
      <c r="L30" s="30"/>
      <c r="M30" s="30"/>
      <c r="N30" s="30"/>
      <c r="O30" s="31"/>
      <c r="P30" s="30"/>
      <c r="Q30" s="62"/>
      <c r="R30" s="62"/>
      <c r="S30" s="62"/>
      <c r="T30" s="62"/>
      <c r="U30" s="419"/>
      <c r="V30" s="63"/>
      <c r="W30" s="42"/>
      <c r="X30" s="63"/>
      <c r="Y30" s="65"/>
      <c r="Z30" s="42"/>
      <c r="AA30" s="42"/>
      <c r="AB30" s="42"/>
      <c r="AC30" s="42"/>
      <c r="AD30" s="65"/>
      <c r="AE30" s="42"/>
      <c r="AF30" s="42"/>
      <c r="AG30" s="42"/>
      <c r="AH30" s="42"/>
      <c r="AI30" s="65"/>
      <c r="AJ30" s="42"/>
      <c r="AK30" s="42"/>
      <c r="AL30" s="42"/>
      <c r="AM30" s="42"/>
      <c r="AN30" s="65"/>
      <c r="AO30" s="42"/>
      <c r="AP30" s="42"/>
      <c r="AQ30" s="42"/>
      <c r="AR30" s="42"/>
      <c r="AS30" s="65"/>
      <c r="AT30" s="42"/>
    </row>
    <row r="31" spans="1:46" x14ac:dyDescent="0.25">
      <c r="A31" s="3"/>
      <c r="B31" s="58"/>
      <c r="C31" s="59"/>
      <c r="D31" s="3"/>
      <c r="E31" s="3"/>
      <c r="F31" s="3"/>
      <c r="G31" s="3"/>
      <c r="H31" s="27"/>
      <c r="I31" s="60"/>
      <c r="J31" s="61"/>
      <c r="K31" s="30"/>
      <c r="L31" s="30"/>
      <c r="M31" s="30"/>
      <c r="N31" s="30"/>
      <c r="O31" s="31"/>
      <c r="P31" s="30"/>
      <c r="Q31" s="62"/>
      <c r="R31" s="62"/>
      <c r="S31" s="62"/>
      <c r="T31" s="62"/>
      <c r="U31" s="419"/>
      <c r="V31" s="63"/>
      <c r="W31" s="42"/>
      <c r="X31" s="63"/>
      <c r="Y31" s="65"/>
      <c r="Z31" s="42"/>
      <c r="AA31" s="42"/>
      <c r="AB31" s="42"/>
      <c r="AC31" s="42"/>
      <c r="AD31" s="65"/>
      <c r="AE31" s="42"/>
      <c r="AF31" s="42"/>
      <c r="AG31" s="42"/>
      <c r="AH31" s="42"/>
      <c r="AI31" s="65"/>
      <c r="AJ31" s="42"/>
      <c r="AK31" s="42"/>
      <c r="AL31" s="42"/>
      <c r="AM31" s="42"/>
      <c r="AN31" s="65"/>
      <c r="AO31" s="42"/>
      <c r="AP31" s="42"/>
      <c r="AQ31" s="42"/>
      <c r="AR31" s="42"/>
      <c r="AS31" s="65"/>
      <c r="AT31" s="42"/>
    </row>
    <row r="32" spans="1:46" x14ac:dyDescent="0.25">
      <c r="A32" s="3"/>
      <c r="B32" s="58"/>
      <c r="C32" s="59"/>
      <c r="D32" s="3"/>
      <c r="E32" s="3"/>
      <c r="F32" s="3"/>
      <c r="G32" s="3"/>
      <c r="H32" s="27"/>
      <c r="I32" s="60"/>
      <c r="J32" s="61"/>
      <c r="K32" s="30"/>
      <c r="L32" s="30"/>
      <c r="M32" s="30"/>
      <c r="N32" s="30"/>
      <c r="O32" s="31"/>
      <c r="P32" s="30"/>
      <c r="Q32" s="62"/>
      <c r="R32" s="62"/>
      <c r="S32" s="62"/>
      <c r="T32" s="62"/>
      <c r="U32" s="419"/>
      <c r="V32" s="63"/>
      <c r="W32" s="42"/>
      <c r="X32" s="63"/>
      <c r="Y32" s="65"/>
      <c r="Z32" s="42"/>
      <c r="AA32" s="42"/>
      <c r="AB32" s="42"/>
      <c r="AC32" s="42"/>
      <c r="AD32" s="65"/>
      <c r="AE32" s="42"/>
      <c r="AF32" s="42"/>
      <c r="AG32" s="42"/>
      <c r="AH32" s="42"/>
      <c r="AI32" s="65"/>
      <c r="AJ32" s="42"/>
      <c r="AK32" s="42"/>
      <c r="AL32" s="42"/>
      <c r="AM32" s="42"/>
      <c r="AN32" s="65"/>
      <c r="AO32" s="42"/>
      <c r="AP32" s="42"/>
      <c r="AQ32" s="42"/>
      <c r="AR32" s="42"/>
      <c r="AS32" s="65"/>
      <c r="AT32" s="42"/>
    </row>
    <row r="33" spans="1:46" x14ac:dyDescent="0.25">
      <c r="A33" s="3"/>
      <c r="B33" s="58"/>
      <c r="C33" s="59"/>
      <c r="D33" s="3"/>
      <c r="E33" s="3"/>
      <c r="F33" s="3"/>
      <c r="G33" s="3"/>
      <c r="H33" s="27"/>
      <c r="I33" s="60"/>
      <c r="J33" s="61"/>
      <c r="K33" s="30"/>
      <c r="L33" s="30"/>
      <c r="M33" s="30"/>
      <c r="N33" s="30"/>
      <c r="O33" s="31"/>
      <c r="P33" s="30"/>
      <c r="Q33" s="62"/>
      <c r="R33" s="62"/>
      <c r="S33" s="62"/>
      <c r="T33" s="62"/>
      <c r="U33" s="419"/>
      <c r="V33" s="63"/>
      <c r="W33" s="42"/>
      <c r="X33" s="63"/>
      <c r="Y33" s="65"/>
      <c r="Z33" s="42"/>
      <c r="AA33" s="42"/>
      <c r="AB33" s="42"/>
      <c r="AC33" s="42"/>
      <c r="AD33" s="65"/>
      <c r="AE33" s="42"/>
      <c r="AF33" s="42"/>
      <c r="AG33" s="42"/>
      <c r="AH33" s="42"/>
      <c r="AI33" s="65"/>
      <c r="AJ33" s="42"/>
      <c r="AK33" s="42"/>
      <c r="AL33" s="42"/>
      <c r="AM33" s="42"/>
      <c r="AN33" s="65"/>
      <c r="AO33" s="42"/>
      <c r="AP33" s="42"/>
      <c r="AQ33" s="42"/>
      <c r="AR33" s="42"/>
      <c r="AS33" s="65"/>
      <c r="AT33" s="42"/>
    </row>
    <row r="34" spans="1:46" x14ac:dyDescent="0.25">
      <c r="A34" s="66"/>
      <c r="B34" s="67"/>
      <c r="C34" s="68"/>
      <c r="D34" s="66"/>
      <c r="E34" s="66"/>
      <c r="F34" s="66"/>
      <c r="G34" s="66"/>
      <c r="H34" s="48"/>
      <c r="I34" s="69"/>
      <c r="J34" s="70"/>
      <c r="K34" s="55"/>
      <c r="L34" s="55"/>
      <c r="M34" s="55"/>
      <c r="N34" s="55"/>
      <c r="O34" s="54"/>
      <c r="P34" s="55"/>
      <c r="Q34" s="55"/>
      <c r="R34" s="55"/>
      <c r="S34" s="55"/>
      <c r="T34" s="55"/>
      <c r="U34" s="419"/>
      <c r="V34" s="71"/>
      <c r="W34" s="53"/>
      <c r="X34" s="71"/>
      <c r="Y34" s="72"/>
      <c r="Z34" s="53"/>
      <c r="AA34" s="53"/>
      <c r="AB34" s="53"/>
      <c r="AC34" s="53"/>
      <c r="AD34" s="72"/>
      <c r="AE34" s="53"/>
      <c r="AF34" s="53"/>
      <c r="AG34" s="53"/>
      <c r="AH34" s="53"/>
      <c r="AI34" s="72"/>
      <c r="AJ34" s="53"/>
      <c r="AK34" s="53"/>
      <c r="AL34" s="53"/>
      <c r="AM34" s="53"/>
      <c r="AN34" s="72"/>
      <c r="AO34" s="53"/>
      <c r="AP34" s="53"/>
      <c r="AQ34" s="53"/>
      <c r="AR34" s="53"/>
      <c r="AS34" s="72"/>
      <c r="AT34" s="53"/>
    </row>
    <row r="35" spans="1:46" x14ac:dyDescent="0.25">
      <c r="A35" s="66"/>
      <c r="B35" s="67"/>
      <c r="C35" s="68"/>
      <c r="D35" s="66"/>
      <c r="E35" s="66"/>
      <c r="F35" s="66"/>
      <c r="G35" s="66"/>
      <c r="H35" s="48"/>
      <c r="I35" s="69"/>
      <c r="J35" s="70"/>
      <c r="K35" s="55"/>
      <c r="L35" s="55"/>
      <c r="M35" s="55"/>
      <c r="N35" s="55"/>
      <c r="O35" s="54"/>
      <c r="P35" s="55"/>
      <c r="Q35" s="55"/>
      <c r="R35" s="55"/>
      <c r="S35" s="55"/>
      <c r="T35" s="55"/>
      <c r="U35" s="419"/>
      <c r="V35" s="71"/>
      <c r="W35" s="53"/>
      <c r="X35" s="71"/>
      <c r="Y35" s="72"/>
      <c r="Z35" s="53"/>
      <c r="AA35" s="53"/>
      <c r="AB35" s="53"/>
      <c r="AC35" s="53"/>
      <c r="AD35" s="72"/>
      <c r="AE35" s="53"/>
      <c r="AF35" s="53"/>
      <c r="AG35" s="53"/>
      <c r="AH35" s="53"/>
      <c r="AI35" s="72"/>
      <c r="AJ35" s="53"/>
      <c r="AK35" s="53"/>
      <c r="AL35" s="53"/>
      <c r="AM35" s="53"/>
      <c r="AN35" s="72"/>
      <c r="AO35" s="53"/>
      <c r="AP35" s="53"/>
      <c r="AQ35" s="53"/>
      <c r="AR35" s="53"/>
      <c r="AS35" s="72"/>
      <c r="AT35" s="53"/>
    </row>
    <row r="36" spans="1:46" x14ac:dyDescent="0.25">
      <c r="A36" s="66"/>
      <c r="B36" s="67"/>
      <c r="C36" s="68"/>
      <c r="D36" s="66"/>
      <c r="E36" s="66"/>
      <c r="F36" s="66"/>
      <c r="G36" s="66"/>
      <c r="H36" s="48"/>
      <c r="I36" s="69"/>
      <c r="J36" s="70"/>
      <c r="K36" s="55"/>
      <c r="L36" s="55"/>
      <c r="M36" s="55"/>
      <c r="N36" s="55"/>
      <c r="O36" s="54"/>
      <c r="P36" s="55"/>
      <c r="Q36" s="55"/>
      <c r="R36" s="55"/>
      <c r="S36" s="55"/>
      <c r="T36" s="55"/>
      <c r="U36" s="419"/>
      <c r="V36" s="71"/>
      <c r="W36" s="53"/>
      <c r="X36" s="71"/>
      <c r="Y36" s="72"/>
      <c r="Z36" s="53"/>
      <c r="AA36" s="53"/>
      <c r="AB36" s="53"/>
      <c r="AC36" s="53"/>
      <c r="AD36" s="72"/>
      <c r="AE36" s="53"/>
      <c r="AF36" s="53"/>
      <c r="AG36" s="53"/>
      <c r="AH36" s="53"/>
      <c r="AI36" s="72"/>
      <c r="AJ36" s="53"/>
      <c r="AK36" s="53"/>
      <c r="AL36" s="53"/>
      <c r="AM36" s="53"/>
      <c r="AN36" s="72"/>
      <c r="AO36" s="53"/>
      <c r="AP36" s="53"/>
      <c r="AQ36" s="53"/>
      <c r="AR36" s="53"/>
      <c r="AS36" s="72"/>
      <c r="AT36" s="53"/>
    </row>
    <row r="37" spans="1:46" x14ac:dyDescent="0.25">
      <c r="A37" s="66"/>
      <c r="B37" s="67"/>
      <c r="C37" s="68"/>
      <c r="D37" s="66"/>
      <c r="E37" s="66"/>
      <c r="F37" s="66"/>
      <c r="G37" s="66"/>
      <c r="H37" s="48"/>
      <c r="I37" s="69"/>
      <c r="J37" s="70"/>
      <c r="K37" s="55"/>
      <c r="L37" s="55"/>
      <c r="M37" s="55"/>
      <c r="N37" s="55"/>
      <c r="O37" s="54"/>
      <c r="P37" s="55"/>
      <c r="Q37" s="55"/>
      <c r="R37" s="55"/>
      <c r="S37" s="55"/>
      <c r="T37" s="55"/>
      <c r="U37" s="419"/>
      <c r="V37" s="71"/>
      <c r="W37" s="53"/>
      <c r="X37" s="71"/>
      <c r="Y37" s="72"/>
      <c r="Z37" s="53"/>
      <c r="AA37" s="53"/>
      <c r="AB37" s="53"/>
      <c r="AC37" s="53"/>
      <c r="AD37" s="72"/>
      <c r="AE37" s="53"/>
      <c r="AF37" s="53"/>
      <c r="AG37" s="53"/>
      <c r="AH37" s="53"/>
      <c r="AI37" s="72"/>
      <c r="AJ37" s="53"/>
      <c r="AK37" s="53"/>
      <c r="AL37" s="53"/>
      <c r="AM37" s="53"/>
      <c r="AN37" s="72"/>
      <c r="AO37" s="53"/>
      <c r="AP37" s="53"/>
      <c r="AQ37" s="53"/>
      <c r="AR37" s="53"/>
      <c r="AS37" s="72"/>
      <c r="AT37" s="53"/>
    </row>
    <row r="38" spans="1:46" x14ac:dyDescent="0.25">
      <c r="A38" s="66"/>
      <c r="B38" s="67"/>
      <c r="C38" s="68"/>
      <c r="D38" s="66"/>
      <c r="E38" s="66"/>
      <c r="F38" s="66"/>
      <c r="G38" s="66"/>
      <c r="H38" s="48"/>
      <c r="I38" s="69"/>
      <c r="J38" s="70"/>
      <c r="K38" s="55"/>
      <c r="L38" s="55"/>
      <c r="M38" s="55"/>
      <c r="N38" s="55"/>
      <c r="O38" s="54"/>
      <c r="P38" s="55"/>
      <c r="Q38" s="55"/>
      <c r="R38" s="55"/>
      <c r="S38" s="55"/>
      <c r="T38" s="55"/>
      <c r="U38" s="419"/>
      <c r="V38" s="71"/>
      <c r="W38" s="53"/>
      <c r="X38" s="71"/>
      <c r="Y38" s="72"/>
      <c r="Z38" s="53"/>
      <c r="AA38" s="53"/>
      <c r="AB38" s="53"/>
      <c r="AC38" s="53"/>
      <c r="AD38" s="72"/>
      <c r="AE38" s="53"/>
      <c r="AF38" s="53"/>
      <c r="AG38" s="53"/>
      <c r="AH38" s="53"/>
      <c r="AI38" s="72"/>
      <c r="AJ38" s="53"/>
      <c r="AK38" s="53"/>
      <c r="AL38" s="53"/>
      <c r="AM38" s="53"/>
      <c r="AN38" s="72"/>
      <c r="AO38" s="53"/>
      <c r="AP38" s="53"/>
      <c r="AQ38" s="53"/>
      <c r="AR38" s="53"/>
      <c r="AS38" s="72"/>
      <c r="AT38" s="53"/>
    </row>
    <row r="39" spans="1:46" x14ac:dyDescent="0.25">
      <c r="A39" s="3"/>
      <c r="B39" s="58"/>
      <c r="C39" s="59"/>
      <c r="D39" s="3"/>
      <c r="E39" s="3"/>
      <c r="F39" s="3"/>
      <c r="G39" s="3"/>
      <c r="H39" s="27"/>
      <c r="I39" s="60"/>
      <c r="J39" s="61"/>
      <c r="K39" s="30"/>
      <c r="L39" s="30"/>
      <c r="M39" s="30"/>
      <c r="N39" s="30"/>
      <c r="O39" s="31"/>
      <c r="P39" s="30"/>
      <c r="Q39" s="62"/>
      <c r="R39" s="62"/>
      <c r="S39" s="62"/>
      <c r="T39" s="62"/>
      <c r="U39" s="419"/>
      <c r="V39" s="63"/>
      <c r="W39" s="42"/>
      <c r="X39" s="63"/>
      <c r="Y39" s="65"/>
      <c r="Z39" s="42"/>
      <c r="AA39" s="42"/>
      <c r="AB39" s="42"/>
      <c r="AC39" s="42"/>
      <c r="AD39" s="65"/>
      <c r="AE39" s="42"/>
      <c r="AF39" s="42"/>
      <c r="AG39" s="42"/>
      <c r="AH39" s="42"/>
      <c r="AI39" s="65"/>
      <c r="AJ39" s="42"/>
      <c r="AK39" s="42"/>
      <c r="AL39" s="42"/>
      <c r="AM39" s="42"/>
      <c r="AN39" s="65"/>
      <c r="AO39" s="42"/>
      <c r="AP39" s="42"/>
      <c r="AQ39" s="42"/>
      <c r="AR39" s="42"/>
      <c r="AS39" s="65"/>
      <c r="AT39" s="42"/>
    </row>
    <row r="40" spans="1:46" x14ac:dyDescent="0.25">
      <c r="A40" s="3"/>
      <c r="B40" s="58"/>
      <c r="C40" s="59"/>
      <c r="D40" s="3"/>
      <c r="E40" s="3"/>
      <c r="F40" s="3"/>
      <c r="G40" s="3"/>
      <c r="H40" s="27"/>
      <c r="I40" s="60"/>
      <c r="J40" s="61"/>
      <c r="K40" s="30"/>
      <c r="L40" s="30"/>
      <c r="M40" s="30"/>
      <c r="N40" s="30"/>
      <c r="O40" s="31"/>
      <c r="P40" s="30"/>
      <c r="Q40" s="62"/>
      <c r="R40" s="62"/>
      <c r="S40" s="62"/>
      <c r="T40" s="62"/>
      <c r="U40" s="419"/>
      <c r="V40" s="63"/>
      <c r="W40" s="42"/>
      <c r="X40" s="63"/>
      <c r="Y40" s="65"/>
      <c r="Z40" s="42"/>
      <c r="AA40" s="42"/>
      <c r="AB40" s="42"/>
      <c r="AC40" s="42"/>
      <c r="AD40" s="65"/>
      <c r="AE40" s="42"/>
      <c r="AF40" s="42"/>
      <c r="AG40" s="42"/>
      <c r="AH40" s="42"/>
      <c r="AI40" s="65"/>
      <c r="AJ40" s="42"/>
      <c r="AK40" s="42"/>
      <c r="AL40" s="42"/>
      <c r="AM40" s="42"/>
      <c r="AN40" s="65"/>
      <c r="AO40" s="42"/>
      <c r="AP40" s="42"/>
      <c r="AQ40" s="42"/>
      <c r="AR40" s="42"/>
      <c r="AS40" s="65"/>
      <c r="AT40" s="42"/>
    </row>
    <row r="41" spans="1:46" x14ac:dyDescent="0.25">
      <c r="A41" s="3"/>
      <c r="B41" s="58"/>
      <c r="C41" s="59"/>
      <c r="D41" s="3"/>
      <c r="E41" s="3"/>
      <c r="F41" s="3"/>
      <c r="G41" s="3"/>
      <c r="H41" s="27"/>
      <c r="I41" s="60"/>
      <c r="J41" s="61"/>
      <c r="K41" s="30"/>
      <c r="L41" s="30"/>
      <c r="M41" s="30"/>
      <c r="N41" s="30"/>
      <c r="O41" s="31"/>
      <c r="P41" s="30"/>
      <c r="Q41" s="62"/>
      <c r="R41" s="62"/>
      <c r="S41" s="62"/>
      <c r="T41" s="62"/>
      <c r="U41" s="419"/>
      <c r="V41" s="63"/>
      <c r="W41" s="42"/>
      <c r="X41" s="63"/>
      <c r="Y41" s="65"/>
      <c r="Z41" s="42"/>
      <c r="AA41" s="42"/>
      <c r="AB41" s="42"/>
      <c r="AC41" s="42"/>
      <c r="AD41" s="65"/>
      <c r="AE41" s="42"/>
      <c r="AF41" s="42"/>
      <c r="AG41" s="42"/>
      <c r="AH41" s="42"/>
      <c r="AI41" s="65"/>
      <c r="AJ41" s="42"/>
      <c r="AK41" s="42"/>
      <c r="AL41" s="42"/>
      <c r="AM41" s="42"/>
      <c r="AN41" s="65"/>
      <c r="AO41" s="42"/>
      <c r="AP41" s="42"/>
      <c r="AQ41" s="42"/>
      <c r="AR41" s="42"/>
      <c r="AS41" s="65"/>
      <c r="AT41" s="42"/>
    </row>
    <row r="42" spans="1:46" x14ac:dyDescent="0.25">
      <c r="A42" s="3"/>
      <c r="B42" s="58"/>
      <c r="C42" s="59"/>
      <c r="D42" s="3"/>
      <c r="E42" s="3"/>
      <c r="F42" s="3"/>
      <c r="G42" s="3"/>
      <c r="H42" s="27"/>
      <c r="I42" s="60"/>
      <c r="J42" s="61"/>
      <c r="K42" s="30"/>
      <c r="L42" s="30"/>
      <c r="M42" s="30"/>
      <c r="N42" s="30"/>
      <c r="O42" s="31"/>
      <c r="P42" s="30"/>
      <c r="Q42" s="62"/>
      <c r="R42" s="62"/>
      <c r="S42" s="62"/>
      <c r="T42" s="62"/>
      <c r="U42" s="419"/>
      <c r="V42" s="63"/>
      <c r="W42" s="42"/>
      <c r="X42" s="63"/>
      <c r="Y42" s="65"/>
      <c r="Z42" s="42"/>
      <c r="AA42" s="42"/>
      <c r="AB42" s="42"/>
      <c r="AC42" s="42"/>
      <c r="AD42" s="65"/>
      <c r="AE42" s="42"/>
      <c r="AF42" s="42"/>
      <c r="AG42" s="42"/>
      <c r="AH42" s="42"/>
      <c r="AI42" s="65"/>
      <c r="AJ42" s="42"/>
      <c r="AK42" s="42"/>
      <c r="AL42" s="42"/>
      <c r="AM42" s="42"/>
      <c r="AN42" s="65"/>
      <c r="AO42" s="42"/>
      <c r="AP42" s="42"/>
      <c r="AQ42" s="42"/>
      <c r="AR42" s="42"/>
      <c r="AS42" s="65"/>
      <c r="AT42" s="42"/>
    </row>
    <row r="43" spans="1:46" x14ac:dyDescent="0.25">
      <c r="A43" s="3"/>
      <c r="B43" s="58"/>
      <c r="C43" s="59"/>
      <c r="D43" s="3"/>
      <c r="E43" s="3"/>
      <c r="F43" s="3"/>
      <c r="G43" s="3"/>
      <c r="H43" s="27"/>
      <c r="I43" s="60"/>
      <c r="J43" s="61"/>
      <c r="K43" s="30"/>
      <c r="L43" s="30"/>
      <c r="M43" s="30"/>
      <c r="N43" s="30"/>
      <c r="O43" s="31"/>
      <c r="P43" s="30"/>
      <c r="Q43" s="62"/>
      <c r="R43" s="62"/>
      <c r="S43" s="62"/>
      <c r="T43" s="62"/>
      <c r="U43" s="419"/>
      <c r="V43" s="63"/>
      <c r="W43" s="42"/>
      <c r="X43" s="63"/>
      <c r="Y43" s="65"/>
      <c r="Z43" s="42"/>
      <c r="AA43" s="42"/>
      <c r="AB43" s="42"/>
      <c r="AC43" s="42"/>
      <c r="AD43" s="65"/>
      <c r="AE43" s="42"/>
      <c r="AF43" s="42"/>
      <c r="AG43" s="42"/>
      <c r="AH43" s="42"/>
      <c r="AI43" s="65"/>
      <c r="AJ43" s="42"/>
      <c r="AK43" s="42"/>
      <c r="AL43" s="42"/>
      <c r="AM43" s="42"/>
      <c r="AN43" s="65"/>
      <c r="AO43" s="42"/>
      <c r="AP43" s="42"/>
      <c r="AQ43" s="42"/>
      <c r="AR43" s="42"/>
      <c r="AS43" s="65"/>
      <c r="AT43" s="42"/>
    </row>
    <row r="44" spans="1:46" x14ac:dyDescent="0.25">
      <c r="A44" s="66"/>
      <c r="B44" s="67"/>
      <c r="C44" s="68"/>
      <c r="D44" s="66"/>
      <c r="E44" s="66"/>
      <c r="F44" s="66"/>
      <c r="G44" s="66"/>
      <c r="H44" s="48"/>
      <c r="I44" s="69"/>
      <c r="J44" s="70"/>
      <c r="K44" s="55"/>
      <c r="L44" s="55"/>
      <c r="M44" s="55"/>
      <c r="N44" s="55"/>
      <c r="O44" s="54"/>
      <c r="P44" s="55"/>
      <c r="Q44" s="55"/>
      <c r="R44" s="55"/>
      <c r="S44" s="55"/>
      <c r="T44" s="55"/>
      <c r="U44" s="419"/>
      <c r="V44" s="71"/>
      <c r="W44" s="53"/>
      <c r="X44" s="71"/>
      <c r="Y44" s="72"/>
      <c r="Z44" s="53"/>
      <c r="AA44" s="53"/>
      <c r="AB44" s="53"/>
      <c r="AC44" s="53"/>
      <c r="AD44" s="72"/>
      <c r="AE44" s="53"/>
      <c r="AF44" s="53"/>
      <c r="AG44" s="53"/>
      <c r="AH44" s="53"/>
      <c r="AI44" s="72"/>
      <c r="AJ44" s="53"/>
      <c r="AK44" s="53"/>
      <c r="AL44" s="53"/>
      <c r="AM44" s="53"/>
      <c r="AN44" s="72"/>
      <c r="AO44" s="53"/>
      <c r="AP44" s="53"/>
      <c r="AQ44" s="53"/>
      <c r="AR44" s="53"/>
      <c r="AS44" s="72"/>
      <c r="AT44" s="53"/>
    </row>
    <row r="45" spans="1:46" x14ac:dyDescent="0.25">
      <c r="A45" s="66"/>
      <c r="B45" s="67"/>
      <c r="C45" s="68"/>
      <c r="D45" s="66"/>
      <c r="E45" s="66"/>
      <c r="F45" s="66"/>
      <c r="G45" s="66"/>
      <c r="H45" s="48"/>
      <c r="I45" s="69"/>
      <c r="J45" s="70"/>
      <c r="K45" s="55"/>
      <c r="L45" s="55"/>
      <c r="M45" s="55"/>
      <c r="N45" s="55"/>
      <c r="O45" s="54"/>
      <c r="P45" s="55"/>
      <c r="Q45" s="55"/>
      <c r="R45" s="55"/>
      <c r="S45" s="55"/>
      <c r="T45" s="55"/>
      <c r="U45" s="419"/>
      <c r="V45" s="71"/>
      <c r="W45" s="53"/>
      <c r="X45" s="71"/>
      <c r="Y45" s="72"/>
      <c r="Z45" s="53"/>
      <c r="AA45" s="53"/>
      <c r="AB45" s="53"/>
      <c r="AC45" s="53"/>
      <c r="AD45" s="72"/>
      <c r="AE45" s="53"/>
      <c r="AF45" s="53"/>
      <c r="AG45" s="53"/>
      <c r="AH45" s="53"/>
      <c r="AI45" s="72"/>
      <c r="AJ45" s="53"/>
      <c r="AK45" s="53"/>
      <c r="AL45" s="53"/>
      <c r="AM45" s="53"/>
      <c r="AN45" s="72"/>
      <c r="AO45" s="53"/>
      <c r="AP45" s="53"/>
      <c r="AQ45" s="53"/>
      <c r="AR45" s="53"/>
      <c r="AS45" s="72"/>
      <c r="AT45" s="53"/>
    </row>
    <row r="46" spans="1:46" x14ac:dyDescent="0.25">
      <c r="A46" s="66"/>
      <c r="B46" s="67"/>
      <c r="C46" s="68"/>
      <c r="D46" s="66"/>
      <c r="E46" s="66"/>
      <c r="F46" s="66"/>
      <c r="G46" s="66"/>
      <c r="H46" s="48"/>
      <c r="I46" s="69"/>
      <c r="J46" s="70"/>
      <c r="K46" s="55"/>
      <c r="L46" s="55"/>
      <c r="M46" s="55"/>
      <c r="N46" s="55"/>
      <c r="O46" s="54"/>
      <c r="P46" s="55"/>
      <c r="Q46" s="55"/>
      <c r="R46" s="55"/>
      <c r="S46" s="55"/>
      <c r="T46" s="55"/>
      <c r="U46" s="419"/>
      <c r="V46" s="71"/>
      <c r="W46" s="53"/>
      <c r="X46" s="71"/>
      <c r="Y46" s="72"/>
      <c r="Z46" s="53"/>
      <c r="AA46" s="53"/>
      <c r="AB46" s="53"/>
      <c r="AC46" s="53"/>
      <c r="AD46" s="72"/>
      <c r="AE46" s="53"/>
      <c r="AF46" s="53"/>
      <c r="AG46" s="53"/>
      <c r="AH46" s="53"/>
      <c r="AI46" s="72"/>
      <c r="AJ46" s="53"/>
      <c r="AK46" s="53"/>
      <c r="AL46" s="53"/>
      <c r="AM46" s="53"/>
      <c r="AN46" s="72"/>
      <c r="AO46" s="53"/>
      <c r="AP46" s="53"/>
      <c r="AQ46" s="53"/>
      <c r="AR46" s="53"/>
      <c r="AS46" s="72"/>
      <c r="AT46" s="53"/>
    </row>
    <row r="47" spans="1:46" x14ac:dyDescent="0.25">
      <c r="A47" s="66"/>
      <c r="B47" s="67"/>
      <c r="C47" s="68"/>
      <c r="D47" s="66"/>
      <c r="E47" s="66"/>
      <c r="F47" s="66"/>
      <c r="G47" s="66"/>
      <c r="H47" s="48"/>
      <c r="I47" s="69"/>
      <c r="J47" s="70"/>
      <c r="K47" s="55"/>
      <c r="L47" s="55"/>
      <c r="M47" s="55"/>
      <c r="N47" s="55"/>
      <c r="O47" s="54"/>
      <c r="P47" s="55"/>
      <c r="Q47" s="55"/>
      <c r="R47" s="55"/>
      <c r="S47" s="55"/>
      <c r="T47" s="55"/>
      <c r="U47" s="419"/>
      <c r="V47" s="71"/>
      <c r="W47" s="53"/>
      <c r="X47" s="71"/>
      <c r="Y47" s="72"/>
      <c r="Z47" s="53"/>
      <c r="AA47" s="53"/>
      <c r="AB47" s="53"/>
      <c r="AC47" s="53"/>
      <c r="AD47" s="72"/>
      <c r="AE47" s="53"/>
      <c r="AF47" s="53"/>
      <c r="AG47" s="53"/>
      <c r="AH47" s="53"/>
      <c r="AI47" s="72"/>
      <c r="AJ47" s="53"/>
      <c r="AK47" s="53"/>
      <c r="AL47" s="53"/>
      <c r="AM47" s="53"/>
      <c r="AN47" s="72"/>
      <c r="AO47" s="53"/>
      <c r="AP47" s="53"/>
      <c r="AQ47" s="53"/>
      <c r="AR47" s="53"/>
      <c r="AS47" s="72"/>
      <c r="AT47" s="53"/>
    </row>
    <row r="48" spans="1:46" x14ac:dyDescent="0.25">
      <c r="A48" s="66"/>
      <c r="B48" s="67"/>
      <c r="C48" s="68"/>
      <c r="D48" s="66"/>
      <c r="E48" s="66"/>
      <c r="F48" s="66"/>
      <c r="G48" s="66"/>
      <c r="H48" s="48"/>
      <c r="I48" s="69"/>
      <c r="J48" s="70"/>
      <c r="K48" s="55"/>
      <c r="L48" s="55"/>
      <c r="M48" s="55"/>
      <c r="N48" s="55"/>
      <c r="O48" s="54"/>
      <c r="P48" s="55"/>
      <c r="Q48" s="55"/>
      <c r="R48" s="55"/>
      <c r="S48" s="55"/>
      <c r="T48" s="55"/>
      <c r="U48" s="419"/>
      <c r="V48" s="71"/>
      <c r="W48" s="53"/>
      <c r="X48" s="71"/>
      <c r="Y48" s="72"/>
      <c r="Z48" s="53"/>
      <c r="AA48" s="53"/>
      <c r="AB48" s="53"/>
      <c r="AC48" s="53"/>
      <c r="AD48" s="72"/>
      <c r="AE48" s="53"/>
      <c r="AF48" s="53"/>
      <c r="AG48" s="53"/>
      <c r="AH48" s="53"/>
      <c r="AI48" s="72"/>
      <c r="AJ48" s="53"/>
      <c r="AK48" s="53"/>
      <c r="AL48" s="53"/>
      <c r="AM48" s="53"/>
      <c r="AN48" s="72"/>
      <c r="AO48" s="53"/>
      <c r="AP48" s="53"/>
      <c r="AQ48" s="53"/>
      <c r="AR48" s="53"/>
      <c r="AS48" s="72"/>
      <c r="AT48" s="53"/>
    </row>
    <row r="49" spans="1:46" x14ac:dyDescent="0.25">
      <c r="A49" s="3"/>
      <c r="B49" s="58"/>
      <c r="C49" s="59"/>
      <c r="D49" s="3"/>
      <c r="E49" s="3"/>
      <c r="F49" s="3"/>
      <c r="G49" s="3"/>
      <c r="H49" s="27"/>
      <c r="I49" s="60"/>
      <c r="J49" s="61"/>
      <c r="K49" s="30"/>
      <c r="L49" s="30"/>
      <c r="M49" s="30"/>
      <c r="N49" s="30"/>
      <c r="O49" s="31"/>
      <c r="P49" s="30"/>
      <c r="Q49" s="62"/>
      <c r="R49" s="62"/>
      <c r="S49" s="62"/>
      <c r="T49" s="62"/>
      <c r="U49" s="419"/>
      <c r="V49" s="63"/>
      <c r="W49" s="42"/>
      <c r="X49" s="63"/>
      <c r="Y49" s="65"/>
      <c r="Z49" s="42"/>
      <c r="AA49" s="42"/>
      <c r="AB49" s="42"/>
      <c r="AC49" s="42"/>
      <c r="AD49" s="65"/>
      <c r="AE49" s="42"/>
      <c r="AF49" s="42"/>
      <c r="AG49" s="42"/>
      <c r="AH49" s="42"/>
      <c r="AI49" s="65"/>
      <c r="AJ49" s="42"/>
      <c r="AK49" s="42"/>
      <c r="AL49" s="42"/>
      <c r="AM49" s="42"/>
      <c r="AN49" s="65"/>
      <c r="AO49" s="42"/>
      <c r="AP49" s="42"/>
      <c r="AQ49" s="42"/>
      <c r="AR49" s="42"/>
      <c r="AS49" s="65"/>
      <c r="AT49" s="42"/>
    </row>
    <row r="50" spans="1:46" x14ac:dyDescent="0.25">
      <c r="A50" s="3"/>
      <c r="B50" s="58"/>
      <c r="C50" s="59"/>
      <c r="D50" s="3"/>
      <c r="E50" s="3"/>
      <c r="F50" s="3"/>
      <c r="G50" s="3"/>
      <c r="H50" s="27"/>
      <c r="I50" s="60"/>
      <c r="J50" s="61"/>
      <c r="K50" s="30"/>
      <c r="L50" s="30"/>
      <c r="M50" s="30"/>
      <c r="N50" s="30"/>
      <c r="O50" s="31"/>
      <c r="P50" s="30"/>
      <c r="Q50" s="62"/>
      <c r="R50" s="62"/>
      <c r="S50" s="62"/>
      <c r="T50" s="62"/>
      <c r="U50" s="419"/>
      <c r="V50" s="63"/>
      <c r="W50" s="42"/>
      <c r="X50" s="63"/>
      <c r="Y50" s="65"/>
      <c r="Z50" s="42"/>
      <c r="AA50" s="42"/>
      <c r="AB50" s="42"/>
      <c r="AC50" s="42"/>
      <c r="AD50" s="65"/>
      <c r="AE50" s="42"/>
      <c r="AF50" s="42"/>
      <c r="AG50" s="42"/>
      <c r="AH50" s="42"/>
      <c r="AI50" s="65"/>
      <c r="AJ50" s="42"/>
      <c r="AK50" s="42"/>
      <c r="AL50" s="42"/>
      <c r="AM50" s="42"/>
      <c r="AN50" s="65"/>
      <c r="AO50" s="42"/>
      <c r="AP50" s="42"/>
      <c r="AQ50" s="42"/>
      <c r="AR50" s="42"/>
      <c r="AS50" s="65"/>
      <c r="AT50" s="42"/>
    </row>
    <row r="51" spans="1:46" x14ac:dyDescent="0.25">
      <c r="A51" s="3"/>
      <c r="B51" s="58"/>
      <c r="C51" s="59"/>
      <c r="D51" s="3"/>
      <c r="E51" s="3"/>
      <c r="F51" s="3"/>
      <c r="G51" s="3"/>
      <c r="H51" s="27"/>
      <c r="I51" s="60"/>
      <c r="J51" s="61"/>
      <c r="K51" s="30"/>
      <c r="L51" s="30"/>
      <c r="M51" s="30"/>
      <c r="N51" s="30"/>
      <c r="O51" s="31"/>
      <c r="P51" s="30"/>
      <c r="Q51" s="62"/>
      <c r="R51" s="62"/>
      <c r="S51" s="62"/>
      <c r="T51" s="62"/>
      <c r="U51" s="419"/>
      <c r="V51" s="63"/>
      <c r="W51" s="42"/>
      <c r="X51" s="63"/>
      <c r="Y51" s="65"/>
      <c r="Z51" s="42"/>
      <c r="AA51" s="42"/>
      <c r="AB51" s="42"/>
      <c r="AC51" s="42"/>
      <c r="AD51" s="65"/>
      <c r="AE51" s="42"/>
      <c r="AF51" s="42"/>
      <c r="AG51" s="42"/>
      <c r="AH51" s="42"/>
      <c r="AI51" s="65"/>
      <c r="AJ51" s="42"/>
      <c r="AK51" s="42"/>
      <c r="AL51" s="42"/>
      <c r="AM51" s="42"/>
      <c r="AN51" s="65"/>
      <c r="AO51" s="42"/>
      <c r="AP51" s="42"/>
      <c r="AQ51" s="42"/>
      <c r="AR51" s="42"/>
      <c r="AS51" s="65"/>
      <c r="AT51" s="42"/>
    </row>
    <row r="52" spans="1:46" x14ac:dyDescent="0.25">
      <c r="A52" s="3"/>
      <c r="B52" s="58"/>
      <c r="C52" s="59"/>
      <c r="D52" s="3"/>
      <c r="E52" s="3"/>
      <c r="F52" s="3"/>
      <c r="G52" s="3"/>
      <c r="H52" s="27"/>
      <c r="I52" s="60"/>
      <c r="J52" s="61"/>
      <c r="K52" s="30"/>
      <c r="L52" s="30"/>
      <c r="M52" s="30"/>
      <c r="N52" s="30"/>
      <c r="O52" s="31"/>
      <c r="P52" s="30"/>
      <c r="Q52" s="62"/>
      <c r="R52" s="62"/>
      <c r="S52" s="62"/>
      <c r="T52" s="62"/>
      <c r="U52" s="419"/>
      <c r="V52" s="63"/>
      <c r="W52" s="42"/>
      <c r="X52" s="63"/>
      <c r="Y52" s="65"/>
      <c r="Z52" s="42"/>
      <c r="AA52" s="42"/>
      <c r="AB52" s="42"/>
      <c r="AC52" s="42"/>
      <c r="AD52" s="65"/>
      <c r="AE52" s="42"/>
      <c r="AF52" s="42"/>
      <c r="AG52" s="42"/>
      <c r="AH52" s="42"/>
      <c r="AI52" s="65"/>
      <c r="AJ52" s="42"/>
      <c r="AK52" s="42"/>
      <c r="AL52" s="42"/>
      <c r="AM52" s="42"/>
      <c r="AN52" s="65"/>
      <c r="AO52" s="42"/>
      <c r="AP52" s="42"/>
      <c r="AQ52" s="42"/>
      <c r="AR52" s="42"/>
      <c r="AS52" s="65"/>
      <c r="AT52" s="42"/>
    </row>
    <row r="53" spans="1:46" x14ac:dyDescent="0.25">
      <c r="A53" s="3"/>
      <c r="B53" s="58"/>
      <c r="C53" s="59"/>
      <c r="D53" s="3"/>
      <c r="E53" s="3"/>
      <c r="F53" s="3"/>
      <c r="G53" s="3"/>
      <c r="H53" s="27"/>
      <c r="I53" s="60"/>
      <c r="J53" s="61"/>
      <c r="K53" s="30"/>
      <c r="L53" s="30"/>
      <c r="M53" s="30"/>
      <c r="N53" s="30"/>
      <c r="O53" s="31"/>
      <c r="P53" s="30"/>
      <c r="Q53" s="62"/>
      <c r="R53" s="62"/>
      <c r="S53" s="62"/>
      <c r="T53" s="62"/>
      <c r="U53" s="419"/>
      <c r="V53" s="63"/>
      <c r="W53" s="42"/>
      <c r="X53" s="63"/>
      <c r="Y53" s="65"/>
      <c r="Z53" s="42"/>
      <c r="AA53" s="42"/>
      <c r="AB53" s="42"/>
      <c r="AC53" s="42"/>
      <c r="AD53" s="65"/>
      <c r="AE53" s="42"/>
      <c r="AF53" s="42"/>
      <c r="AG53" s="42"/>
      <c r="AH53" s="42"/>
      <c r="AI53" s="65"/>
      <c r="AJ53" s="42"/>
      <c r="AK53" s="42"/>
      <c r="AL53" s="42"/>
      <c r="AM53" s="42"/>
      <c r="AN53" s="65"/>
      <c r="AO53" s="42"/>
      <c r="AP53" s="42"/>
      <c r="AQ53" s="42"/>
      <c r="AR53" s="42"/>
      <c r="AS53" s="65"/>
      <c r="AT53" s="42"/>
    </row>
    <row r="54" spans="1:46" x14ac:dyDescent="0.25">
      <c r="A54" s="66"/>
      <c r="B54" s="67"/>
      <c r="C54" s="68"/>
      <c r="D54" s="66"/>
      <c r="E54" s="66"/>
      <c r="F54" s="66"/>
      <c r="G54" s="66"/>
      <c r="H54" s="48"/>
      <c r="I54" s="69"/>
      <c r="J54" s="70"/>
      <c r="K54" s="55"/>
      <c r="L54" s="55"/>
      <c r="M54" s="55"/>
      <c r="N54" s="55"/>
      <c r="O54" s="54"/>
      <c r="P54" s="55"/>
      <c r="Q54" s="55"/>
      <c r="R54" s="55"/>
      <c r="S54" s="55"/>
      <c r="T54" s="55"/>
      <c r="U54" s="419"/>
      <c r="V54" s="71"/>
      <c r="W54" s="53"/>
      <c r="X54" s="71"/>
      <c r="Y54" s="72"/>
      <c r="Z54" s="53"/>
      <c r="AA54" s="53"/>
      <c r="AB54" s="53"/>
      <c r="AC54" s="53"/>
      <c r="AD54" s="72"/>
      <c r="AE54" s="53"/>
      <c r="AF54" s="53"/>
      <c r="AG54" s="53"/>
      <c r="AH54" s="53"/>
      <c r="AI54" s="72"/>
      <c r="AJ54" s="53"/>
      <c r="AK54" s="53"/>
      <c r="AL54" s="53"/>
      <c r="AM54" s="53"/>
      <c r="AN54" s="72"/>
      <c r="AO54" s="53"/>
      <c r="AP54" s="53"/>
      <c r="AQ54" s="53"/>
      <c r="AR54" s="53"/>
      <c r="AS54" s="72"/>
      <c r="AT54" s="53"/>
    </row>
    <row r="55" spans="1:46" x14ac:dyDescent="0.25">
      <c r="A55" s="66"/>
      <c r="B55" s="67"/>
      <c r="C55" s="68"/>
      <c r="D55" s="66"/>
      <c r="E55" s="66"/>
      <c r="F55" s="66"/>
      <c r="G55" s="66"/>
      <c r="H55" s="48"/>
      <c r="I55" s="69"/>
      <c r="J55" s="70"/>
      <c r="K55" s="55"/>
      <c r="L55" s="55"/>
      <c r="M55" s="55"/>
      <c r="N55" s="55"/>
      <c r="O55" s="54"/>
      <c r="P55" s="55"/>
      <c r="Q55" s="55"/>
      <c r="R55" s="55"/>
      <c r="S55" s="55"/>
      <c r="T55" s="55"/>
      <c r="U55" s="419"/>
      <c r="V55" s="71"/>
      <c r="W55" s="53"/>
      <c r="X55" s="71"/>
      <c r="Y55" s="72"/>
      <c r="Z55" s="53"/>
      <c r="AA55" s="53"/>
      <c r="AB55" s="53"/>
      <c r="AC55" s="53"/>
      <c r="AD55" s="72"/>
      <c r="AE55" s="53"/>
      <c r="AF55" s="53"/>
      <c r="AG55" s="53"/>
      <c r="AH55" s="53"/>
      <c r="AI55" s="72"/>
      <c r="AJ55" s="53"/>
      <c r="AK55" s="53"/>
      <c r="AL55" s="53"/>
      <c r="AM55" s="53"/>
      <c r="AN55" s="72"/>
      <c r="AO55" s="53"/>
      <c r="AP55" s="53"/>
      <c r="AQ55" s="53"/>
      <c r="AR55" s="53"/>
      <c r="AS55" s="72"/>
      <c r="AT55" s="53"/>
    </row>
    <row r="56" spans="1:46" x14ac:dyDescent="0.25">
      <c r="A56" s="66"/>
      <c r="B56" s="67"/>
      <c r="C56" s="68"/>
      <c r="D56" s="66"/>
      <c r="E56" s="66"/>
      <c r="F56" s="66"/>
      <c r="G56" s="66"/>
      <c r="H56" s="48"/>
      <c r="I56" s="69"/>
      <c r="J56" s="70"/>
      <c r="K56" s="55"/>
      <c r="L56" s="55"/>
      <c r="M56" s="55"/>
      <c r="N56" s="55"/>
      <c r="O56" s="54"/>
      <c r="P56" s="55"/>
      <c r="Q56" s="55"/>
      <c r="R56" s="55"/>
      <c r="S56" s="55"/>
      <c r="T56" s="55"/>
      <c r="U56" s="419"/>
      <c r="V56" s="71"/>
      <c r="W56" s="53"/>
      <c r="X56" s="71"/>
      <c r="Y56" s="72"/>
      <c r="Z56" s="53"/>
      <c r="AA56" s="53"/>
      <c r="AB56" s="53"/>
      <c r="AC56" s="53"/>
      <c r="AD56" s="72"/>
      <c r="AE56" s="53"/>
      <c r="AF56" s="53"/>
      <c r="AG56" s="53"/>
      <c r="AH56" s="53"/>
      <c r="AI56" s="72"/>
      <c r="AJ56" s="53"/>
      <c r="AK56" s="53"/>
      <c r="AL56" s="53"/>
      <c r="AM56" s="53"/>
      <c r="AN56" s="72"/>
      <c r="AO56" s="53"/>
      <c r="AP56" s="53"/>
      <c r="AQ56" s="53"/>
      <c r="AR56" s="53"/>
      <c r="AS56" s="72"/>
      <c r="AT56" s="53"/>
    </row>
    <row r="57" spans="1:46" x14ac:dyDescent="0.25">
      <c r="A57" s="66"/>
      <c r="B57" s="67"/>
      <c r="C57" s="68"/>
      <c r="D57" s="66"/>
      <c r="E57" s="66"/>
      <c r="F57" s="66"/>
      <c r="G57" s="66"/>
      <c r="H57" s="48"/>
      <c r="I57" s="69"/>
      <c r="J57" s="70"/>
      <c r="K57" s="55"/>
      <c r="L57" s="55"/>
      <c r="M57" s="55"/>
      <c r="N57" s="55"/>
      <c r="O57" s="54"/>
      <c r="P57" s="55"/>
      <c r="Q57" s="55"/>
      <c r="R57" s="55"/>
      <c r="S57" s="55"/>
      <c r="T57" s="55"/>
      <c r="U57" s="419"/>
      <c r="V57" s="71"/>
      <c r="W57" s="53"/>
      <c r="X57" s="71"/>
      <c r="Y57" s="72"/>
      <c r="Z57" s="53"/>
      <c r="AA57" s="53"/>
      <c r="AB57" s="53"/>
      <c r="AC57" s="53"/>
      <c r="AD57" s="72"/>
      <c r="AE57" s="53"/>
      <c r="AF57" s="53"/>
      <c r="AG57" s="53"/>
      <c r="AH57" s="53"/>
      <c r="AI57" s="72"/>
      <c r="AJ57" s="53"/>
      <c r="AK57" s="53"/>
      <c r="AL57" s="53"/>
      <c r="AM57" s="53"/>
      <c r="AN57" s="72"/>
      <c r="AO57" s="53"/>
      <c r="AP57" s="53"/>
      <c r="AQ57" s="53"/>
      <c r="AR57" s="53"/>
      <c r="AS57" s="72"/>
      <c r="AT57" s="53"/>
    </row>
    <row r="58" spans="1:46" x14ac:dyDescent="0.25">
      <c r="A58" s="66"/>
      <c r="B58" s="67"/>
      <c r="C58" s="68"/>
      <c r="D58" s="66"/>
      <c r="E58" s="66"/>
      <c r="F58" s="66"/>
      <c r="G58" s="66"/>
      <c r="H58" s="48"/>
      <c r="I58" s="69"/>
      <c r="J58" s="70"/>
      <c r="K58" s="55"/>
      <c r="L58" s="55"/>
      <c r="M58" s="55"/>
      <c r="N58" s="55"/>
      <c r="O58" s="54"/>
      <c r="P58" s="55"/>
      <c r="Q58" s="55"/>
      <c r="R58" s="55"/>
      <c r="S58" s="55"/>
      <c r="T58" s="55"/>
      <c r="U58" s="419"/>
      <c r="V58" s="71"/>
      <c r="W58" s="53"/>
      <c r="X58" s="71"/>
      <c r="Y58" s="72"/>
      <c r="Z58" s="53"/>
      <c r="AA58" s="53"/>
      <c r="AB58" s="53"/>
      <c r="AC58" s="53"/>
      <c r="AD58" s="72"/>
      <c r="AE58" s="53"/>
      <c r="AF58" s="53"/>
      <c r="AG58" s="53"/>
      <c r="AH58" s="53"/>
      <c r="AI58" s="72"/>
      <c r="AJ58" s="53"/>
      <c r="AK58" s="53"/>
      <c r="AL58" s="53"/>
      <c r="AM58" s="53"/>
      <c r="AN58" s="72"/>
      <c r="AO58" s="53"/>
      <c r="AP58" s="53"/>
      <c r="AQ58" s="53"/>
      <c r="AR58" s="53"/>
      <c r="AS58" s="72"/>
      <c r="AT58" s="53"/>
    </row>
    <row r="59" spans="1:46" x14ac:dyDescent="0.25">
      <c r="A59" s="3"/>
      <c r="B59" s="58"/>
      <c r="C59" s="59"/>
      <c r="D59" s="3"/>
      <c r="E59" s="3"/>
      <c r="F59" s="3"/>
      <c r="G59" s="3"/>
      <c r="H59" s="27"/>
      <c r="I59" s="60"/>
      <c r="J59" s="61"/>
      <c r="K59" s="30"/>
      <c r="L59" s="30"/>
      <c r="M59" s="30"/>
      <c r="N59" s="30"/>
      <c r="O59" s="31"/>
      <c r="P59" s="30"/>
      <c r="Q59" s="62"/>
      <c r="R59" s="62"/>
      <c r="S59" s="62"/>
      <c r="T59" s="62"/>
      <c r="U59" s="419"/>
      <c r="V59" s="63"/>
      <c r="W59" s="42"/>
      <c r="X59" s="63"/>
      <c r="Y59" s="65"/>
      <c r="Z59" s="42"/>
      <c r="AA59" s="42"/>
      <c r="AB59" s="42"/>
      <c r="AC59" s="42"/>
      <c r="AD59" s="65"/>
      <c r="AE59" s="42"/>
      <c r="AF59" s="42"/>
      <c r="AG59" s="42"/>
      <c r="AH59" s="42"/>
      <c r="AI59" s="65"/>
      <c r="AJ59" s="42"/>
      <c r="AK59" s="42"/>
      <c r="AL59" s="42"/>
      <c r="AM59" s="42"/>
      <c r="AN59" s="65"/>
      <c r="AO59" s="42"/>
      <c r="AP59" s="42"/>
      <c r="AQ59" s="42"/>
      <c r="AR59" s="42"/>
      <c r="AS59" s="65"/>
      <c r="AT59" s="42"/>
    </row>
    <row r="60" spans="1:46" x14ac:dyDescent="0.25">
      <c r="A60" s="3"/>
      <c r="B60" s="58"/>
      <c r="C60" s="59"/>
      <c r="D60" s="3"/>
      <c r="E60" s="3"/>
      <c r="F60" s="3"/>
      <c r="G60" s="3"/>
      <c r="H60" s="27"/>
      <c r="I60" s="60"/>
      <c r="J60" s="61"/>
      <c r="K60" s="30"/>
      <c r="L60" s="30"/>
      <c r="M60" s="30"/>
      <c r="N60" s="30"/>
      <c r="O60" s="31"/>
      <c r="P60" s="30"/>
      <c r="Q60" s="62"/>
      <c r="R60" s="62"/>
      <c r="S60" s="62"/>
      <c r="T60" s="62"/>
      <c r="U60" s="419"/>
      <c r="V60" s="63"/>
      <c r="W60" s="42"/>
      <c r="X60" s="63"/>
      <c r="Y60" s="65"/>
      <c r="Z60" s="42"/>
      <c r="AA60" s="42"/>
      <c r="AB60" s="42"/>
      <c r="AC60" s="42"/>
      <c r="AD60" s="65"/>
      <c r="AE60" s="42"/>
      <c r="AF60" s="42"/>
      <c r="AG60" s="42"/>
      <c r="AH60" s="42"/>
      <c r="AI60" s="65"/>
      <c r="AJ60" s="42"/>
      <c r="AK60" s="42"/>
      <c r="AL60" s="42"/>
      <c r="AM60" s="42"/>
      <c r="AN60" s="65"/>
      <c r="AO60" s="42"/>
      <c r="AP60" s="42"/>
      <c r="AQ60" s="42"/>
      <c r="AR60" s="42"/>
      <c r="AS60" s="65"/>
      <c r="AT60" s="42"/>
    </row>
    <row r="61" spans="1:46" x14ac:dyDescent="0.25">
      <c r="A61" s="3"/>
      <c r="B61" s="58"/>
      <c r="C61" s="59"/>
      <c r="D61" s="3"/>
      <c r="E61" s="3"/>
      <c r="F61" s="3"/>
      <c r="G61" s="3"/>
      <c r="H61" s="27"/>
      <c r="I61" s="60"/>
      <c r="J61" s="61"/>
      <c r="K61" s="30"/>
      <c r="L61" s="30"/>
      <c r="M61" s="30"/>
      <c r="N61" s="30"/>
      <c r="O61" s="31"/>
      <c r="P61" s="30"/>
      <c r="Q61" s="62"/>
      <c r="R61" s="62"/>
      <c r="S61" s="62"/>
      <c r="T61" s="62"/>
      <c r="U61" s="419"/>
      <c r="V61" s="63"/>
      <c r="W61" s="42"/>
      <c r="X61" s="63"/>
      <c r="Y61" s="65"/>
      <c r="Z61" s="42"/>
      <c r="AA61" s="42"/>
      <c r="AB61" s="42"/>
      <c r="AC61" s="42"/>
      <c r="AD61" s="65"/>
      <c r="AE61" s="42"/>
      <c r="AF61" s="42"/>
      <c r="AG61" s="42"/>
      <c r="AH61" s="42"/>
      <c r="AI61" s="65"/>
      <c r="AJ61" s="42"/>
      <c r="AK61" s="42"/>
      <c r="AL61" s="42"/>
      <c r="AM61" s="42"/>
      <c r="AN61" s="65"/>
      <c r="AO61" s="42"/>
      <c r="AP61" s="42"/>
      <c r="AQ61" s="42"/>
      <c r="AR61" s="42"/>
      <c r="AS61" s="65"/>
      <c r="AT61" s="42"/>
    </row>
    <row r="62" spans="1:46" x14ac:dyDescent="0.25">
      <c r="A62" s="3"/>
      <c r="B62" s="58"/>
      <c r="C62" s="59"/>
      <c r="D62" s="3"/>
      <c r="E62" s="3"/>
      <c r="F62" s="3"/>
      <c r="G62" s="3"/>
      <c r="H62" s="27"/>
      <c r="I62" s="60"/>
      <c r="J62" s="61"/>
      <c r="K62" s="30"/>
      <c r="L62" s="30"/>
      <c r="M62" s="30"/>
      <c r="N62" s="30"/>
      <c r="O62" s="31"/>
      <c r="P62" s="30"/>
      <c r="Q62" s="62"/>
      <c r="R62" s="62"/>
      <c r="S62" s="62"/>
      <c r="T62" s="62"/>
      <c r="U62" s="419"/>
      <c r="V62" s="63"/>
      <c r="W62" s="42"/>
      <c r="X62" s="63"/>
      <c r="Y62" s="65"/>
      <c r="Z62" s="42"/>
      <c r="AA62" s="42"/>
      <c r="AB62" s="42"/>
      <c r="AC62" s="42"/>
      <c r="AD62" s="65"/>
      <c r="AE62" s="42"/>
      <c r="AF62" s="42"/>
      <c r="AG62" s="42"/>
      <c r="AH62" s="42"/>
      <c r="AI62" s="65"/>
      <c r="AJ62" s="42"/>
      <c r="AK62" s="42"/>
      <c r="AL62" s="42"/>
      <c r="AM62" s="42"/>
      <c r="AN62" s="65"/>
      <c r="AO62" s="42"/>
      <c r="AP62" s="42"/>
      <c r="AQ62" s="42"/>
      <c r="AR62" s="42"/>
      <c r="AS62" s="65"/>
      <c r="AT62" s="42"/>
    </row>
    <row r="63" spans="1:46" x14ac:dyDescent="0.25">
      <c r="A63" s="3"/>
      <c r="B63" s="58"/>
      <c r="C63" s="59"/>
      <c r="D63" s="3"/>
      <c r="E63" s="3"/>
      <c r="F63" s="3"/>
      <c r="G63" s="3"/>
      <c r="H63" s="27"/>
      <c r="I63" s="60"/>
      <c r="J63" s="61"/>
      <c r="K63" s="30"/>
      <c r="L63" s="30"/>
      <c r="M63" s="30"/>
      <c r="N63" s="30"/>
      <c r="O63" s="31"/>
      <c r="P63" s="30"/>
      <c r="Q63" s="62"/>
      <c r="R63" s="62"/>
      <c r="S63" s="62"/>
      <c r="T63" s="62"/>
      <c r="U63" s="419"/>
      <c r="V63" s="63"/>
      <c r="W63" s="42"/>
      <c r="X63" s="63"/>
      <c r="Y63" s="65"/>
      <c r="Z63" s="42"/>
      <c r="AA63" s="42"/>
      <c r="AB63" s="42"/>
      <c r="AC63" s="42"/>
      <c r="AD63" s="65"/>
      <c r="AE63" s="42"/>
      <c r="AF63" s="42"/>
      <c r="AG63" s="42"/>
      <c r="AH63" s="42"/>
      <c r="AI63" s="65"/>
      <c r="AJ63" s="42"/>
      <c r="AK63" s="42"/>
      <c r="AL63" s="42"/>
      <c r="AM63" s="42"/>
      <c r="AN63" s="65"/>
      <c r="AO63" s="42"/>
      <c r="AP63" s="42"/>
      <c r="AQ63" s="42"/>
      <c r="AR63" s="42"/>
      <c r="AS63" s="65"/>
      <c r="AT63" s="42"/>
    </row>
    <row r="64" spans="1:46" x14ac:dyDescent="0.25">
      <c r="A64" s="66"/>
      <c r="B64" s="67"/>
      <c r="C64" s="68"/>
      <c r="D64" s="66"/>
      <c r="E64" s="66"/>
      <c r="F64" s="66"/>
      <c r="G64" s="66"/>
      <c r="H64" s="48"/>
      <c r="I64" s="69"/>
      <c r="J64" s="70"/>
      <c r="K64" s="55"/>
      <c r="L64" s="55"/>
      <c r="M64" s="55"/>
      <c r="N64" s="55"/>
      <c r="O64" s="54"/>
      <c r="P64" s="55"/>
      <c r="Q64" s="55"/>
      <c r="R64" s="55"/>
      <c r="S64" s="55"/>
      <c r="T64" s="55"/>
      <c r="U64" s="419"/>
      <c r="V64" s="71"/>
      <c r="W64" s="53"/>
      <c r="X64" s="71"/>
      <c r="Y64" s="72"/>
      <c r="Z64" s="53"/>
      <c r="AA64" s="53"/>
      <c r="AB64" s="53"/>
      <c r="AC64" s="53"/>
      <c r="AD64" s="72"/>
      <c r="AE64" s="53"/>
      <c r="AF64" s="53"/>
      <c r="AG64" s="53"/>
      <c r="AH64" s="53"/>
      <c r="AI64" s="72"/>
      <c r="AJ64" s="53"/>
      <c r="AK64" s="53"/>
      <c r="AL64" s="53"/>
      <c r="AM64" s="53"/>
      <c r="AN64" s="72"/>
      <c r="AO64" s="53"/>
      <c r="AP64" s="53"/>
      <c r="AQ64" s="53"/>
      <c r="AR64" s="53"/>
      <c r="AS64" s="72"/>
      <c r="AT64" s="53"/>
    </row>
    <row r="65" spans="1:46" x14ac:dyDescent="0.25">
      <c r="A65" s="66"/>
      <c r="B65" s="67"/>
      <c r="C65" s="68"/>
      <c r="D65" s="66"/>
      <c r="E65" s="66"/>
      <c r="F65" s="66"/>
      <c r="G65" s="66"/>
      <c r="H65" s="48"/>
      <c r="I65" s="69"/>
      <c r="J65" s="70"/>
      <c r="K65" s="55"/>
      <c r="L65" s="55"/>
      <c r="M65" s="55"/>
      <c r="N65" s="55"/>
      <c r="O65" s="54"/>
      <c r="P65" s="55"/>
      <c r="Q65" s="55"/>
      <c r="R65" s="55"/>
      <c r="S65" s="55"/>
      <c r="T65" s="55"/>
      <c r="U65" s="419"/>
      <c r="V65" s="71"/>
      <c r="W65" s="53"/>
      <c r="X65" s="71"/>
      <c r="Y65" s="72"/>
      <c r="Z65" s="53"/>
      <c r="AA65" s="53"/>
      <c r="AB65" s="53"/>
      <c r="AC65" s="53"/>
      <c r="AD65" s="72"/>
      <c r="AE65" s="53"/>
      <c r="AF65" s="53"/>
      <c r="AG65" s="53"/>
      <c r="AH65" s="53"/>
      <c r="AI65" s="72"/>
      <c r="AJ65" s="53"/>
      <c r="AK65" s="53"/>
      <c r="AL65" s="53"/>
      <c r="AM65" s="53"/>
      <c r="AN65" s="72"/>
      <c r="AO65" s="53"/>
      <c r="AP65" s="53"/>
      <c r="AQ65" s="53"/>
      <c r="AR65" s="53"/>
      <c r="AS65" s="72"/>
      <c r="AT65" s="53"/>
    </row>
    <row r="66" spans="1:46" x14ac:dyDescent="0.25">
      <c r="A66" s="66"/>
      <c r="B66" s="67"/>
      <c r="C66" s="68"/>
      <c r="D66" s="66"/>
      <c r="E66" s="66"/>
      <c r="F66" s="66"/>
      <c r="G66" s="66"/>
      <c r="H66" s="48"/>
      <c r="I66" s="69"/>
      <c r="J66" s="70"/>
      <c r="K66" s="55"/>
      <c r="L66" s="55"/>
      <c r="M66" s="55"/>
      <c r="N66" s="55"/>
      <c r="O66" s="54"/>
      <c r="P66" s="55"/>
      <c r="Q66" s="55"/>
      <c r="R66" s="55"/>
      <c r="S66" s="55"/>
      <c r="T66" s="55"/>
      <c r="U66" s="419"/>
      <c r="V66" s="71"/>
      <c r="W66" s="53"/>
      <c r="X66" s="71"/>
      <c r="Y66" s="72"/>
      <c r="Z66" s="53"/>
      <c r="AA66" s="53"/>
      <c r="AB66" s="53"/>
      <c r="AC66" s="53"/>
      <c r="AD66" s="72"/>
      <c r="AE66" s="53"/>
      <c r="AF66" s="53"/>
      <c r="AG66" s="53"/>
      <c r="AH66" s="53"/>
      <c r="AI66" s="72"/>
      <c r="AJ66" s="53"/>
      <c r="AK66" s="53"/>
      <c r="AL66" s="53"/>
      <c r="AM66" s="53"/>
      <c r="AN66" s="72"/>
      <c r="AO66" s="53"/>
      <c r="AP66" s="53"/>
      <c r="AQ66" s="53"/>
      <c r="AR66" s="53"/>
      <c r="AS66" s="72"/>
      <c r="AT66" s="53"/>
    </row>
    <row r="67" spans="1:46" x14ac:dyDescent="0.25">
      <c r="A67" s="66"/>
      <c r="B67" s="67"/>
      <c r="C67" s="68"/>
      <c r="D67" s="66"/>
      <c r="E67" s="66"/>
      <c r="F67" s="66"/>
      <c r="G67" s="66"/>
      <c r="H67" s="48"/>
      <c r="I67" s="69"/>
      <c r="J67" s="70"/>
      <c r="K67" s="55"/>
      <c r="L67" s="55"/>
      <c r="M67" s="55"/>
      <c r="N67" s="55"/>
      <c r="O67" s="54"/>
      <c r="P67" s="55"/>
      <c r="Q67" s="55"/>
      <c r="R67" s="55"/>
      <c r="S67" s="55"/>
      <c r="T67" s="55"/>
      <c r="U67" s="419"/>
      <c r="V67" s="71"/>
      <c r="W67" s="53"/>
      <c r="X67" s="71"/>
      <c r="Y67" s="72"/>
      <c r="Z67" s="53"/>
      <c r="AA67" s="53"/>
      <c r="AB67" s="53"/>
      <c r="AC67" s="53"/>
      <c r="AD67" s="72"/>
      <c r="AE67" s="53"/>
      <c r="AF67" s="53"/>
      <c r="AG67" s="53"/>
      <c r="AH67" s="53"/>
      <c r="AI67" s="72"/>
      <c r="AJ67" s="53"/>
      <c r="AK67" s="53"/>
      <c r="AL67" s="53"/>
      <c r="AM67" s="53"/>
      <c r="AN67" s="72"/>
      <c r="AO67" s="53"/>
      <c r="AP67" s="53"/>
      <c r="AQ67" s="53"/>
      <c r="AR67" s="53"/>
      <c r="AS67" s="72"/>
      <c r="AT67" s="53"/>
    </row>
    <row r="68" spans="1:46" x14ac:dyDescent="0.25">
      <c r="A68" s="66"/>
      <c r="B68" s="67"/>
      <c r="C68" s="68"/>
      <c r="D68" s="66"/>
      <c r="E68" s="66"/>
      <c r="F68" s="66"/>
      <c r="G68" s="66"/>
      <c r="H68" s="48"/>
      <c r="I68" s="69"/>
      <c r="J68" s="70"/>
      <c r="K68" s="55"/>
      <c r="L68" s="55"/>
      <c r="M68" s="55"/>
      <c r="N68" s="55"/>
      <c r="O68" s="54"/>
      <c r="P68" s="55"/>
      <c r="Q68" s="55"/>
      <c r="R68" s="55"/>
      <c r="S68" s="55"/>
      <c r="T68" s="55"/>
      <c r="U68" s="419"/>
      <c r="V68" s="71"/>
      <c r="W68" s="53"/>
      <c r="X68" s="71"/>
      <c r="Y68" s="72"/>
      <c r="Z68" s="53"/>
      <c r="AA68" s="53"/>
      <c r="AB68" s="53"/>
      <c r="AC68" s="53"/>
      <c r="AD68" s="72"/>
      <c r="AE68" s="53"/>
      <c r="AF68" s="53"/>
      <c r="AG68" s="53"/>
      <c r="AH68" s="53"/>
      <c r="AI68" s="72"/>
      <c r="AJ68" s="53"/>
      <c r="AK68" s="53"/>
      <c r="AL68" s="53"/>
      <c r="AM68" s="53"/>
      <c r="AN68" s="72"/>
      <c r="AO68" s="53"/>
      <c r="AP68" s="53"/>
      <c r="AQ68" s="53"/>
      <c r="AR68" s="53"/>
      <c r="AS68" s="72"/>
      <c r="AT68" s="53"/>
    </row>
    <row r="69" spans="1:46" x14ac:dyDescent="0.25">
      <c r="A69" s="3"/>
      <c r="B69" s="58"/>
      <c r="C69" s="59"/>
      <c r="D69" s="3"/>
      <c r="E69" s="3"/>
      <c r="F69" s="3"/>
      <c r="G69" s="3"/>
      <c r="H69" s="27"/>
      <c r="I69" s="60"/>
      <c r="J69" s="61"/>
      <c r="K69" s="30"/>
      <c r="L69" s="30"/>
      <c r="M69" s="30"/>
      <c r="N69" s="30"/>
      <c r="O69" s="31"/>
      <c r="P69" s="30"/>
      <c r="Q69" s="62"/>
      <c r="R69" s="62"/>
      <c r="S69" s="62"/>
      <c r="T69" s="62"/>
      <c r="U69" s="419"/>
      <c r="V69" s="63"/>
      <c r="W69" s="42"/>
      <c r="X69" s="63"/>
      <c r="Y69" s="65"/>
      <c r="Z69" s="42"/>
      <c r="AA69" s="42"/>
      <c r="AB69" s="42"/>
      <c r="AC69" s="42"/>
      <c r="AD69" s="65"/>
      <c r="AE69" s="42"/>
      <c r="AF69" s="42"/>
      <c r="AG69" s="42"/>
      <c r="AH69" s="42"/>
      <c r="AI69" s="65"/>
      <c r="AJ69" s="42"/>
      <c r="AK69" s="42"/>
      <c r="AL69" s="42"/>
      <c r="AM69" s="42"/>
      <c r="AN69" s="65"/>
      <c r="AO69" s="42"/>
      <c r="AP69" s="42"/>
      <c r="AQ69" s="42"/>
      <c r="AR69" s="42"/>
      <c r="AS69" s="65"/>
      <c r="AT69" s="42"/>
    </row>
    <row r="70" spans="1:46" x14ac:dyDescent="0.25">
      <c r="A70" s="3"/>
      <c r="B70" s="58"/>
      <c r="C70" s="59"/>
      <c r="D70" s="3"/>
      <c r="E70" s="3"/>
      <c r="F70" s="3"/>
      <c r="G70" s="3"/>
      <c r="H70" s="27"/>
      <c r="I70" s="60"/>
      <c r="J70" s="61"/>
      <c r="K70" s="30"/>
      <c r="L70" s="30"/>
      <c r="M70" s="30"/>
      <c r="N70" s="30"/>
      <c r="O70" s="31"/>
      <c r="P70" s="30"/>
      <c r="Q70" s="62"/>
      <c r="R70" s="62"/>
      <c r="S70" s="62"/>
      <c r="T70" s="62"/>
      <c r="U70" s="419"/>
      <c r="V70" s="63"/>
      <c r="W70" s="42"/>
      <c r="X70" s="63"/>
      <c r="Y70" s="65"/>
      <c r="Z70" s="42"/>
      <c r="AA70" s="42"/>
      <c r="AB70" s="42"/>
      <c r="AC70" s="42"/>
      <c r="AD70" s="65"/>
      <c r="AE70" s="42"/>
      <c r="AF70" s="42"/>
      <c r="AG70" s="42"/>
      <c r="AH70" s="42"/>
      <c r="AI70" s="65"/>
      <c r="AJ70" s="42"/>
      <c r="AK70" s="42"/>
      <c r="AL70" s="42"/>
      <c r="AM70" s="42"/>
      <c r="AN70" s="65"/>
      <c r="AO70" s="42"/>
      <c r="AP70" s="42"/>
      <c r="AQ70" s="42"/>
      <c r="AR70" s="42"/>
      <c r="AS70" s="65"/>
      <c r="AT70" s="42"/>
    </row>
    <row r="71" spans="1:46" x14ac:dyDescent="0.25">
      <c r="A71" s="3"/>
      <c r="B71" s="58"/>
      <c r="C71" s="59"/>
      <c r="D71" s="3"/>
      <c r="E71" s="3"/>
      <c r="F71" s="3"/>
      <c r="G71" s="3"/>
      <c r="H71" s="27"/>
      <c r="I71" s="60"/>
      <c r="J71" s="61"/>
      <c r="K71" s="30"/>
      <c r="L71" s="30"/>
      <c r="M71" s="30"/>
      <c r="N71" s="30"/>
      <c r="O71" s="31"/>
      <c r="P71" s="30"/>
      <c r="Q71" s="62"/>
      <c r="R71" s="62"/>
      <c r="S71" s="62"/>
      <c r="T71" s="62"/>
      <c r="U71" s="419"/>
      <c r="V71" s="63"/>
      <c r="W71" s="42"/>
      <c r="X71" s="63"/>
      <c r="Y71" s="65"/>
      <c r="Z71" s="42"/>
      <c r="AA71" s="42"/>
      <c r="AB71" s="42"/>
      <c r="AC71" s="42"/>
      <c r="AD71" s="65"/>
      <c r="AE71" s="42"/>
      <c r="AF71" s="42"/>
      <c r="AG71" s="42"/>
      <c r="AH71" s="42"/>
      <c r="AI71" s="65"/>
      <c r="AJ71" s="42"/>
      <c r="AK71" s="42"/>
      <c r="AL71" s="42"/>
      <c r="AM71" s="42"/>
      <c r="AN71" s="65"/>
      <c r="AO71" s="42"/>
      <c r="AP71" s="42"/>
      <c r="AQ71" s="42"/>
      <c r="AR71" s="42"/>
      <c r="AS71" s="65"/>
      <c r="AT71" s="42"/>
    </row>
    <row r="72" spans="1:46" x14ac:dyDescent="0.25">
      <c r="A72" s="3"/>
      <c r="B72" s="58"/>
      <c r="C72" s="59"/>
      <c r="D72" s="3"/>
      <c r="E72" s="3"/>
      <c r="F72" s="3"/>
      <c r="G72" s="3"/>
      <c r="H72" s="27"/>
      <c r="I72" s="60"/>
      <c r="J72" s="61"/>
      <c r="K72" s="30"/>
      <c r="L72" s="30"/>
      <c r="M72" s="30"/>
      <c r="N72" s="30"/>
      <c r="O72" s="31"/>
      <c r="P72" s="30"/>
      <c r="Q72" s="62"/>
      <c r="R72" s="62"/>
      <c r="S72" s="62"/>
      <c r="T72" s="62"/>
      <c r="U72" s="419"/>
      <c r="V72" s="63"/>
      <c r="W72" s="42"/>
      <c r="X72" s="63"/>
      <c r="Y72" s="65"/>
      <c r="Z72" s="42"/>
      <c r="AA72" s="42"/>
      <c r="AB72" s="42"/>
      <c r="AC72" s="42"/>
      <c r="AD72" s="65"/>
      <c r="AE72" s="42"/>
      <c r="AF72" s="42"/>
      <c r="AG72" s="42"/>
      <c r="AH72" s="42"/>
      <c r="AI72" s="65"/>
      <c r="AJ72" s="42"/>
      <c r="AK72" s="42"/>
      <c r="AL72" s="42"/>
      <c r="AM72" s="42"/>
      <c r="AN72" s="65"/>
      <c r="AO72" s="42"/>
      <c r="AP72" s="42"/>
      <c r="AQ72" s="42"/>
      <c r="AR72" s="42"/>
      <c r="AS72" s="65"/>
      <c r="AT72" s="42"/>
    </row>
    <row r="73" spans="1:46" x14ac:dyDescent="0.25">
      <c r="A73" s="3"/>
      <c r="B73" s="58"/>
      <c r="C73" s="59"/>
      <c r="D73" s="3"/>
      <c r="E73" s="3"/>
      <c r="F73" s="3"/>
      <c r="G73" s="3"/>
      <c r="H73" s="27"/>
      <c r="I73" s="60"/>
      <c r="J73" s="61"/>
      <c r="K73" s="30"/>
      <c r="L73" s="30"/>
      <c r="M73" s="30"/>
      <c r="N73" s="30"/>
      <c r="O73" s="31"/>
      <c r="P73" s="30"/>
      <c r="Q73" s="62"/>
      <c r="R73" s="62"/>
      <c r="S73" s="62"/>
      <c r="T73" s="62"/>
      <c r="U73" s="419"/>
      <c r="V73" s="63"/>
      <c r="W73" s="42"/>
      <c r="X73" s="63"/>
      <c r="Y73" s="65"/>
      <c r="Z73" s="42"/>
      <c r="AA73" s="42"/>
      <c r="AB73" s="42"/>
      <c r="AC73" s="42"/>
      <c r="AD73" s="65"/>
      <c r="AE73" s="42"/>
      <c r="AF73" s="42"/>
      <c r="AG73" s="42"/>
      <c r="AH73" s="42"/>
      <c r="AI73" s="65"/>
      <c r="AJ73" s="42"/>
      <c r="AK73" s="42"/>
      <c r="AL73" s="42"/>
      <c r="AM73" s="42"/>
      <c r="AN73" s="65"/>
      <c r="AO73" s="42"/>
      <c r="AP73" s="42"/>
      <c r="AQ73" s="42"/>
      <c r="AR73" s="42"/>
      <c r="AS73" s="65"/>
      <c r="AT73" s="42"/>
    </row>
    <row r="74" spans="1:46" x14ac:dyDescent="0.25">
      <c r="A74" s="66"/>
      <c r="B74" s="67"/>
      <c r="C74" s="68"/>
      <c r="D74" s="66"/>
      <c r="E74" s="66"/>
      <c r="F74" s="66"/>
      <c r="G74" s="66"/>
      <c r="H74" s="48"/>
      <c r="I74" s="69"/>
      <c r="J74" s="70"/>
      <c r="K74" s="55"/>
      <c r="L74" s="55"/>
      <c r="M74" s="55"/>
      <c r="N74" s="55"/>
      <c r="O74" s="54"/>
      <c r="P74" s="55"/>
      <c r="Q74" s="55"/>
      <c r="R74" s="55"/>
      <c r="S74" s="55"/>
      <c r="T74" s="55"/>
      <c r="U74" s="419"/>
      <c r="V74" s="71"/>
      <c r="W74" s="53"/>
      <c r="X74" s="71"/>
      <c r="Y74" s="72"/>
      <c r="Z74" s="53"/>
      <c r="AA74" s="53"/>
      <c r="AB74" s="53"/>
      <c r="AC74" s="53"/>
      <c r="AD74" s="72"/>
      <c r="AE74" s="53"/>
      <c r="AF74" s="53"/>
      <c r="AG74" s="53"/>
      <c r="AH74" s="53"/>
      <c r="AI74" s="72"/>
      <c r="AJ74" s="53"/>
      <c r="AK74" s="53"/>
      <c r="AL74" s="53"/>
      <c r="AM74" s="53"/>
      <c r="AN74" s="72"/>
      <c r="AO74" s="53"/>
      <c r="AP74" s="53"/>
      <c r="AQ74" s="53"/>
      <c r="AR74" s="53"/>
      <c r="AS74" s="72"/>
      <c r="AT74" s="53"/>
    </row>
    <row r="75" spans="1:46" x14ac:dyDescent="0.25">
      <c r="A75" s="66"/>
      <c r="B75" s="67"/>
      <c r="C75" s="68"/>
      <c r="D75" s="66"/>
      <c r="E75" s="66"/>
      <c r="F75" s="66"/>
      <c r="G75" s="66"/>
      <c r="H75" s="48"/>
      <c r="I75" s="69"/>
      <c r="J75" s="70"/>
      <c r="K75" s="55"/>
      <c r="L75" s="55"/>
      <c r="M75" s="55"/>
      <c r="N75" s="55"/>
      <c r="O75" s="54"/>
      <c r="P75" s="55"/>
      <c r="Q75" s="55"/>
      <c r="R75" s="55"/>
      <c r="S75" s="55"/>
      <c r="T75" s="55"/>
      <c r="U75" s="419"/>
      <c r="V75" s="71"/>
      <c r="W75" s="53"/>
      <c r="X75" s="71"/>
      <c r="Y75" s="72"/>
      <c r="Z75" s="53"/>
      <c r="AA75" s="53"/>
      <c r="AB75" s="53"/>
      <c r="AC75" s="53"/>
      <c r="AD75" s="72"/>
      <c r="AE75" s="53"/>
      <c r="AF75" s="53"/>
      <c r="AG75" s="53"/>
      <c r="AH75" s="53"/>
      <c r="AI75" s="72"/>
      <c r="AJ75" s="53"/>
      <c r="AK75" s="53"/>
      <c r="AL75" s="53"/>
      <c r="AM75" s="53"/>
      <c r="AN75" s="72"/>
      <c r="AO75" s="53"/>
      <c r="AP75" s="53"/>
      <c r="AQ75" s="53"/>
      <c r="AR75" s="53"/>
      <c r="AS75" s="72"/>
      <c r="AT75" s="53"/>
    </row>
    <row r="76" spans="1:46" x14ac:dyDescent="0.25">
      <c r="A76" s="66"/>
      <c r="B76" s="67"/>
      <c r="C76" s="68"/>
      <c r="D76" s="66"/>
      <c r="E76" s="66"/>
      <c r="F76" s="66"/>
      <c r="G76" s="66"/>
      <c r="H76" s="48"/>
      <c r="I76" s="69"/>
      <c r="J76" s="70"/>
      <c r="K76" s="55"/>
      <c r="L76" s="55"/>
      <c r="M76" s="55"/>
      <c r="N76" s="55"/>
      <c r="O76" s="54"/>
      <c r="P76" s="55"/>
      <c r="Q76" s="55"/>
      <c r="R76" s="55"/>
      <c r="S76" s="55"/>
      <c r="T76" s="55"/>
      <c r="U76" s="419"/>
      <c r="V76" s="71"/>
      <c r="W76" s="53"/>
      <c r="X76" s="71"/>
      <c r="Y76" s="72"/>
      <c r="Z76" s="53"/>
      <c r="AA76" s="53"/>
      <c r="AB76" s="53"/>
      <c r="AC76" s="53"/>
      <c r="AD76" s="72"/>
      <c r="AE76" s="53"/>
      <c r="AF76" s="53"/>
      <c r="AG76" s="53"/>
      <c r="AH76" s="53"/>
      <c r="AI76" s="72"/>
      <c r="AJ76" s="53"/>
      <c r="AK76" s="53"/>
      <c r="AL76" s="53"/>
      <c r="AM76" s="53"/>
      <c r="AN76" s="72"/>
      <c r="AO76" s="53"/>
      <c r="AP76" s="53"/>
      <c r="AQ76" s="53"/>
      <c r="AR76" s="53"/>
      <c r="AS76" s="72"/>
      <c r="AT76" s="53"/>
    </row>
    <row r="77" spans="1:46" x14ac:dyDescent="0.25">
      <c r="A77" s="66"/>
      <c r="B77" s="67"/>
      <c r="C77" s="68"/>
      <c r="D77" s="66"/>
      <c r="E77" s="66"/>
      <c r="F77" s="66"/>
      <c r="G77" s="66"/>
      <c r="H77" s="48"/>
      <c r="I77" s="69"/>
      <c r="J77" s="70"/>
      <c r="K77" s="55"/>
      <c r="L77" s="55"/>
      <c r="M77" s="55"/>
      <c r="N77" s="55"/>
      <c r="O77" s="54"/>
      <c r="P77" s="55"/>
      <c r="Q77" s="55"/>
      <c r="R77" s="55"/>
      <c r="S77" s="55"/>
      <c r="T77" s="55"/>
      <c r="U77" s="419"/>
      <c r="V77" s="71"/>
      <c r="W77" s="53"/>
      <c r="X77" s="71"/>
      <c r="Y77" s="72"/>
      <c r="Z77" s="53"/>
      <c r="AA77" s="53"/>
      <c r="AB77" s="53"/>
      <c r="AC77" s="53"/>
      <c r="AD77" s="72"/>
      <c r="AE77" s="53"/>
      <c r="AF77" s="53"/>
      <c r="AG77" s="53"/>
      <c r="AH77" s="53"/>
      <c r="AI77" s="72"/>
      <c r="AJ77" s="53"/>
      <c r="AK77" s="53"/>
      <c r="AL77" s="53"/>
      <c r="AM77" s="53"/>
      <c r="AN77" s="72"/>
      <c r="AO77" s="53"/>
      <c r="AP77" s="53"/>
      <c r="AQ77" s="53"/>
      <c r="AR77" s="53"/>
      <c r="AS77" s="72"/>
      <c r="AT77" s="53"/>
    </row>
    <row r="78" spans="1:46" x14ac:dyDescent="0.25">
      <c r="A78" s="66"/>
      <c r="B78" s="67"/>
      <c r="C78" s="68"/>
      <c r="D78" s="66"/>
      <c r="E78" s="66"/>
      <c r="F78" s="66"/>
      <c r="G78" s="66"/>
      <c r="H78" s="48"/>
      <c r="I78" s="69"/>
      <c r="J78" s="70"/>
      <c r="K78" s="55"/>
      <c r="L78" s="55"/>
      <c r="M78" s="55"/>
      <c r="N78" s="55"/>
      <c r="O78" s="54"/>
      <c r="P78" s="55"/>
      <c r="Q78" s="55"/>
      <c r="R78" s="55"/>
      <c r="S78" s="55"/>
      <c r="T78" s="55"/>
      <c r="U78" s="419"/>
      <c r="V78" s="71"/>
      <c r="W78" s="53"/>
      <c r="X78" s="71"/>
      <c r="Y78" s="72"/>
      <c r="Z78" s="53"/>
      <c r="AA78" s="53"/>
      <c r="AB78" s="53"/>
      <c r="AC78" s="53"/>
      <c r="AD78" s="72"/>
      <c r="AE78" s="53"/>
      <c r="AF78" s="53"/>
      <c r="AG78" s="53"/>
      <c r="AH78" s="53"/>
      <c r="AI78" s="72"/>
      <c r="AJ78" s="53"/>
      <c r="AK78" s="53"/>
      <c r="AL78" s="53"/>
      <c r="AM78" s="53"/>
      <c r="AN78" s="72"/>
      <c r="AO78" s="53"/>
      <c r="AP78" s="53"/>
      <c r="AQ78" s="53"/>
      <c r="AR78" s="53"/>
      <c r="AS78" s="72"/>
      <c r="AT78" s="53"/>
    </row>
    <row r="79" spans="1:46" x14ac:dyDescent="0.25">
      <c r="A79" s="3"/>
      <c r="B79" s="58"/>
      <c r="C79" s="59"/>
      <c r="D79" s="3"/>
      <c r="E79" s="3"/>
      <c r="F79" s="3"/>
      <c r="G79" s="3"/>
      <c r="H79" s="27"/>
      <c r="I79" s="60"/>
      <c r="J79" s="61"/>
      <c r="K79" s="30"/>
      <c r="L79" s="30"/>
      <c r="M79" s="30"/>
      <c r="N79" s="30"/>
      <c r="O79" s="31"/>
      <c r="P79" s="30"/>
      <c r="Q79" s="62"/>
      <c r="R79" s="62"/>
      <c r="S79" s="62"/>
      <c r="T79" s="62"/>
      <c r="U79" s="419"/>
      <c r="V79" s="63"/>
      <c r="W79" s="42"/>
      <c r="X79" s="63"/>
      <c r="Y79" s="65"/>
      <c r="Z79" s="42"/>
      <c r="AA79" s="42"/>
      <c r="AB79" s="42"/>
      <c r="AC79" s="42"/>
      <c r="AD79" s="65"/>
      <c r="AE79" s="42"/>
      <c r="AF79" s="42"/>
      <c r="AG79" s="42"/>
      <c r="AH79" s="42"/>
      <c r="AI79" s="65"/>
      <c r="AJ79" s="42"/>
      <c r="AK79" s="42"/>
      <c r="AL79" s="42"/>
      <c r="AM79" s="42"/>
      <c r="AN79" s="65"/>
      <c r="AO79" s="42"/>
      <c r="AP79" s="42"/>
      <c r="AQ79" s="42"/>
      <c r="AR79" s="42"/>
      <c r="AS79" s="65"/>
      <c r="AT79" s="42"/>
    </row>
    <row r="80" spans="1:46" x14ac:dyDescent="0.25">
      <c r="A80" s="3"/>
      <c r="B80" s="58"/>
      <c r="C80" s="59"/>
      <c r="D80" s="3"/>
      <c r="E80" s="3"/>
      <c r="F80" s="3"/>
      <c r="G80" s="3"/>
      <c r="H80" s="27"/>
      <c r="I80" s="60"/>
      <c r="J80" s="61"/>
      <c r="K80" s="30"/>
      <c r="L80" s="30"/>
      <c r="M80" s="30"/>
      <c r="N80" s="30"/>
      <c r="O80" s="31"/>
      <c r="P80" s="30"/>
      <c r="Q80" s="62"/>
      <c r="R80" s="62"/>
      <c r="S80" s="62"/>
      <c r="T80" s="62"/>
      <c r="U80" s="419"/>
      <c r="V80" s="63"/>
      <c r="W80" s="42"/>
      <c r="X80" s="63"/>
      <c r="Y80" s="65"/>
      <c r="Z80" s="42"/>
      <c r="AA80" s="42"/>
      <c r="AB80" s="42"/>
      <c r="AC80" s="42"/>
      <c r="AD80" s="65"/>
      <c r="AE80" s="42"/>
      <c r="AF80" s="42"/>
      <c r="AG80" s="42"/>
      <c r="AH80" s="42"/>
      <c r="AI80" s="65"/>
      <c r="AJ80" s="42"/>
      <c r="AK80" s="42"/>
      <c r="AL80" s="42"/>
      <c r="AM80" s="42"/>
      <c r="AN80" s="65"/>
      <c r="AO80" s="42"/>
      <c r="AP80" s="42"/>
      <c r="AQ80" s="42"/>
      <c r="AR80" s="42"/>
      <c r="AS80" s="65"/>
      <c r="AT80" s="42"/>
    </row>
    <row r="81" spans="1:46" x14ac:dyDescent="0.25">
      <c r="A81" s="3"/>
      <c r="B81" s="58"/>
      <c r="C81" s="59"/>
      <c r="D81" s="3"/>
      <c r="E81" s="3"/>
      <c r="F81" s="3"/>
      <c r="G81" s="3"/>
      <c r="H81" s="27"/>
      <c r="I81" s="60"/>
      <c r="J81" s="61"/>
      <c r="K81" s="30"/>
      <c r="L81" s="30"/>
      <c r="M81" s="30"/>
      <c r="N81" s="30"/>
      <c r="O81" s="31"/>
      <c r="P81" s="30"/>
      <c r="Q81" s="62"/>
      <c r="R81" s="62"/>
      <c r="S81" s="62"/>
      <c r="T81" s="62"/>
      <c r="U81" s="419"/>
      <c r="V81" s="63"/>
      <c r="W81" s="42"/>
      <c r="X81" s="63"/>
      <c r="Y81" s="65"/>
      <c r="Z81" s="42"/>
      <c r="AA81" s="42"/>
      <c r="AB81" s="42"/>
      <c r="AC81" s="42"/>
      <c r="AD81" s="65"/>
      <c r="AE81" s="42"/>
      <c r="AF81" s="42"/>
      <c r="AG81" s="42"/>
      <c r="AH81" s="42"/>
      <c r="AI81" s="65"/>
      <c r="AJ81" s="42"/>
      <c r="AK81" s="42"/>
      <c r="AL81" s="42"/>
      <c r="AM81" s="42"/>
      <c r="AN81" s="65"/>
      <c r="AO81" s="42"/>
      <c r="AP81" s="42"/>
      <c r="AQ81" s="42"/>
      <c r="AR81" s="42"/>
      <c r="AS81" s="65"/>
      <c r="AT81" s="42"/>
    </row>
    <row r="82" spans="1:46" x14ac:dyDescent="0.25">
      <c r="A82" s="3"/>
      <c r="B82" s="58"/>
      <c r="C82" s="59"/>
      <c r="D82" s="3"/>
      <c r="E82" s="3"/>
      <c r="F82" s="3"/>
      <c r="G82" s="3"/>
      <c r="H82" s="27"/>
      <c r="I82" s="60"/>
      <c r="J82" s="61"/>
      <c r="K82" s="30"/>
      <c r="L82" s="30"/>
      <c r="M82" s="30"/>
      <c r="N82" s="30"/>
      <c r="O82" s="31"/>
      <c r="P82" s="30"/>
      <c r="Q82" s="62"/>
      <c r="R82" s="62"/>
      <c r="S82" s="62"/>
      <c r="T82" s="62"/>
      <c r="U82" s="419"/>
      <c r="V82" s="63"/>
      <c r="W82" s="42"/>
      <c r="X82" s="63"/>
      <c r="Y82" s="65"/>
      <c r="Z82" s="42"/>
      <c r="AA82" s="42"/>
      <c r="AB82" s="42"/>
      <c r="AC82" s="42"/>
      <c r="AD82" s="65"/>
      <c r="AE82" s="42"/>
      <c r="AF82" s="42"/>
      <c r="AG82" s="42"/>
      <c r="AH82" s="42"/>
      <c r="AI82" s="65"/>
      <c r="AJ82" s="42"/>
      <c r="AK82" s="42"/>
      <c r="AL82" s="42"/>
      <c r="AM82" s="42"/>
      <c r="AN82" s="65"/>
      <c r="AO82" s="42"/>
      <c r="AP82" s="42"/>
      <c r="AQ82" s="42"/>
      <c r="AR82" s="42"/>
      <c r="AS82" s="65"/>
      <c r="AT82" s="42"/>
    </row>
    <row r="83" spans="1:46" x14ac:dyDescent="0.25">
      <c r="A83" s="3"/>
      <c r="B83" s="58"/>
      <c r="C83" s="59"/>
      <c r="D83" s="3"/>
      <c r="E83" s="3"/>
      <c r="F83" s="3"/>
      <c r="G83" s="3"/>
      <c r="H83" s="27"/>
      <c r="I83" s="60"/>
      <c r="J83" s="61"/>
      <c r="K83" s="30"/>
      <c r="L83" s="30"/>
      <c r="M83" s="30"/>
      <c r="N83" s="30"/>
      <c r="O83" s="31"/>
      <c r="P83" s="30"/>
      <c r="Q83" s="62"/>
      <c r="R83" s="62"/>
      <c r="S83" s="62"/>
      <c r="T83" s="62"/>
      <c r="U83" s="419"/>
      <c r="V83" s="63"/>
      <c r="W83" s="42"/>
      <c r="X83" s="63"/>
      <c r="Y83" s="65"/>
      <c r="Z83" s="42"/>
      <c r="AA83" s="42"/>
      <c r="AB83" s="42"/>
      <c r="AC83" s="42"/>
      <c r="AD83" s="65"/>
      <c r="AE83" s="42"/>
      <c r="AF83" s="42"/>
      <c r="AG83" s="42"/>
      <c r="AH83" s="42"/>
      <c r="AI83" s="65"/>
      <c r="AJ83" s="42"/>
      <c r="AK83" s="42"/>
      <c r="AL83" s="42"/>
      <c r="AM83" s="42"/>
      <c r="AN83" s="65"/>
      <c r="AO83" s="42"/>
      <c r="AP83" s="42"/>
      <c r="AQ83" s="42"/>
      <c r="AR83" s="42"/>
      <c r="AS83" s="65"/>
      <c r="AT83" s="42"/>
    </row>
    <row r="84" spans="1:46" s="89" customFormat="1" x14ac:dyDescent="0.25">
      <c r="A84" s="66"/>
      <c r="B84" s="67"/>
      <c r="C84" s="68"/>
      <c r="D84" s="66"/>
      <c r="E84" s="66"/>
      <c r="F84" s="66"/>
      <c r="G84" s="66"/>
      <c r="H84" s="48"/>
      <c r="I84" s="69"/>
      <c r="J84" s="70"/>
      <c r="K84" s="55"/>
      <c r="L84" s="55"/>
      <c r="M84" s="55"/>
      <c r="N84" s="55"/>
      <c r="O84" s="54"/>
      <c r="P84" s="55"/>
      <c r="Q84" s="55"/>
      <c r="R84" s="55"/>
      <c r="S84" s="55"/>
      <c r="T84" s="55"/>
      <c r="U84" s="419"/>
      <c r="V84" s="71"/>
      <c r="W84" s="53"/>
      <c r="X84" s="71"/>
      <c r="Y84" s="72"/>
      <c r="Z84" s="53"/>
      <c r="AA84" s="53"/>
      <c r="AB84" s="53"/>
      <c r="AC84" s="53"/>
      <c r="AD84" s="72"/>
      <c r="AE84" s="53"/>
      <c r="AF84" s="53"/>
      <c r="AG84" s="53"/>
      <c r="AH84" s="53"/>
      <c r="AI84" s="72"/>
      <c r="AJ84" s="53"/>
      <c r="AK84" s="53"/>
      <c r="AL84" s="53"/>
      <c r="AM84" s="53"/>
      <c r="AN84" s="72"/>
      <c r="AO84" s="53"/>
      <c r="AP84" s="53"/>
      <c r="AQ84" s="53"/>
      <c r="AR84" s="53"/>
      <c r="AS84" s="72"/>
      <c r="AT84" s="53"/>
    </row>
    <row r="85" spans="1:46" s="89" customFormat="1" x14ac:dyDescent="0.25">
      <c r="A85" s="66"/>
      <c r="B85" s="67"/>
      <c r="C85" s="68"/>
      <c r="D85" s="66"/>
      <c r="E85" s="66"/>
      <c r="F85" s="66"/>
      <c r="G85" s="66"/>
      <c r="H85" s="48"/>
      <c r="I85" s="69"/>
      <c r="J85" s="70"/>
      <c r="K85" s="55"/>
      <c r="L85" s="55"/>
      <c r="M85" s="55"/>
      <c r="N85" s="55"/>
      <c r="O85" s="54"/>
      <c r="P85" s="55"/>
      <c r="Q85" s="55"/>
      <c r="R85" s="55"/>
      <c r="S85" s="55"/>
      <c r="T85" s="55"/>
      <c r="U85" s="419"/>
      <c r="V85" s="71"/>
      <c r="W85" s="53"/>
      <c r="X85" s="71"/>
      <c r="Y85" s="72"/>
      <c r="Z85" s="53"/>
      <c r="AA85" s="53"/>
      <c r="AB85" s="53"/>
      <c r="AC85" s="53"/>
      <c r="AD85" s="72"/>
      <c r="AE85" s="53"/>
      <c r="AF85" s="53"/>
      <c r="AG85" s="53"/>
      <c r="AH85" s="53"/>
      <c r="AI85" s="72"/>
      <c r="AJ85" s="53"/>
      <c r="AK85" s="53"/>
      <c r="AL85" s="53"/>
      <c r="AM85" s="53"/>
      <c r="AN85" s="72"/>
      <c r="AO85" s="53"/>
      <c r="AP85" s="53"/>
      <c r="AQ85" s="53"/>
      <c r="AR85" s="53"/>
      <c r="AS85" s="72"/>
      <c r="AT85" s="53"/>
    </row>
    <row r="86" spans="1:46" s="89" customFormat="1" x14ac:dyDescent="0.25">
      <c r="A86" s="66"/>
      <c r="B86" s="67"/>
      <c r="C86" s="68"/>
      <c r="D86" s="66"/>
      <c r="E86" s="66"/>
      <c r="F86" s="66"/>
      <c r="G86" s="66"/>
      <c r="H86" s="48"/>
      <c r="I86" s="69"/>
      <c r="J86" s="70"/>
      <c r="K86" s="55"/>
      <c r="L86" s="55"/>
      <c r="M86" s="55"/>
      <c r="N86" s="55"/>
      <c r="O86" s="54"/>
      <c r="P86" s="55"/>
      <c r="Q86" s="55"/>
      <c r="R86" s="55"/>
      <c r="S86" s="55"/>
      <c r="T86" s="55"/>
      <c r="U86" s="419"/>
      <c r="V86" s="71"/>
      <c r="W86" s="53"/>
      <c r="X86" s="71"/>
      <c r="Y86" s="72"/>
      <c r="Z86" s="53"/>
      <c r="AA86" s="53"/>
      <c r="AB86" s="53"/>
      <c r="AC86" s="53"/>
      <c r="AD86" s="72"/>
      <c r="AE86" s="53"/>
      <c r="AF86" s="53"/>
      <c r="AG86" s="53"/>
      <c r="AH86" s="53"/>
      <c r="AI86" s="72"/>
      <c r="AJ86" s="53"/>
      <c r="AK86" s="53"/>
      <c r="AL86" s="53"/>
      <c r="AM86" s="53"/>
      <c r="AN86" s="72"/>
      <c r="AO86" s="53"/>
      <c r="AP86" s="53"/>
      <c r="AQ86" s="53"/>
      <c r="AR86" s="53"/>
      <c r="AS86" s="72"/>
      <c r="AT86" s="53"/>
    </row>
    <row r="87" spans="1:46" s="89" customFormat="1" x14ac:dyDescent="0.25">
      <c r="A87" s="66"/>
      <c r="B87" s="67"/>
      <c r="C87" s="68"/>
      <c r="D87" s="66"/>
      <c r="E87" s="66"/>
      <c r="F87" s="66"/>
      <c r="G87" s="66"/>
      <c r="H87" s="48"/>
      <c r="I87" s="69"/>
      <c r="J87" s="70"/>
      <c r="K87" s="55"/>
      <c r="L87" s="55"/>
      <c r="M87" s="55"/>
      <c r="N87" s="55"/>
      <c r="O87" s="54"/>
      <c r="P87" s="55"/>
      <c r="Q87" s="55"/>
      <c r="R87" s="55"/>
      <c r="S87" s="55"/>
      <c r="T87" s="55"/>
      <c r="U87" s="419"/>
      <c r="V87" s="71"/>
      <c r="W87" s="53"/>
      <c r="X87" s="71"/>
      <c r="Y87" s="72"/>
      <c r="Z87" s="53"/>
      <c r="AA87" s="53"/>
      <c r="AB87" s="53"/>
      <c r="AC87" s="53"/>
      <c r="AD87" s="72"/>
      <c r="AE87" s="53"/>
      <c r="AF87" s="53"/>
      <c r="AG87" s="53"/>
      <c r="AH87" s="53"/>
      <c r="AI87" s="72"/>
      <c r="AJ87" s="53"/>
      <c r="AK87" s="53"/>
      <c r="AL87" s="53"/>
      <c r="AM87" s="53"/>
      <c r="AN87" s="72"/>
      <c r="AO87" s="53"/>
      <c r="AP87" s="53"/>
      <c r="AQ87" s="53"/>
      <c r="AR87" s="53"/>
      <c r="AS87" s="72"/>
      <c r="AT87" s="53"/>
    </row>
    <row r="88" spans="1:46" s="89" customFormat="1" x14ac:dyDescent="0.25">
      <c r="A88" s="66"/>
      <c r="B88" s="67"/>
      <c r="C88" s="68"/>
      <c r="D88" s="66"/>
      <c r="E88" s="66"/>
      <c r="F88" s="66"/>
      <c r="G88" s="66"/>
      <c r="H88" s="48"/>
      <c r="I88" s="69"/>
      <c r="J88" s="70"/>
      <c r="K88" s="55"/>
      <c r="L88" s="55"/>
      <c r="M88" s="55"/>
      <c r="N88" s="55"/>
      <c r="O88" s="54"/>
      <c r="P88" s="55"/>
      <c r="Q88" s="55"/>
      <c r="R88" s="55"/>
      <c r="S88" s="55"/>
      <c r="T88" s="55"/>
      <c r="U88" s="419"/>
      <c r="V88" s="71"/>
      <c r="W88" s="53"/>
      <c r="X88" s="71"/>
      <c r="Y88" s="72"/>
      <c r="Z88" s="53"/>
      <c r="AA88" s="53"/>
      <c r="AB88" s="53"/>
      <c r="AC88" s="53"/>
      <c r="AD88" s="72"/>
      <c r="AE88" s="53"/>
      <c r="AF88" s="53"/>
      <c r="AG88" s="53"/>
      <c r="AH88" s="53"/>
      <c r="AI88" s="72"/>
      <c r="AJ88" s="53"/>
      <c r="AK88" s="53"/>
      <c r="AL88" s="53"/>
      <c r="AM88" s="53"/>
      <c r="AN88" s="72"/>
      <c r="AO88" s="53"/>
      <c r="AP88" s="53"/>
      <c r="AQ88" s="53"/>
      <c r="AR88" s="53"/>
      <c r="AS88" s="72"/>
      <c r="AT88" s="53"/>
    </row>
    <row r="89" spans="1:46" x14ac:dyDescent="0.25">
      <c r="A89" s="3"/>
      <c r="B89" s="58"/>
      <c r="C89" s="59"/>
      <c r="D89" s="3"/>
      <c r="E89" s="3"/>
      <c r="F89" s="3"/>
      <c r="G89" s="3"/>
      <c r="H89" s="27"/>
      <c r="I89" s="60"/>
      <c r="J89" s="61"/>
      <c r="K89" s="30"/>
      <c r="L89" s="30"/>
      <c r="M89" s="30"/>
      <c r="N89" s="30"/>
      <c r="O89" s="31"/>
      <c r="P89" s="30"/>
      <c r="Q89" s="62"/>
      <c r="R89" s="62"/>
      <c r="S89" s="62"/>
      <c r="T89" s="62"/>
      <c r="U89" s="419"/>
      <c r="V89" s="63"/>
      <c r="W89" s="42"/>
      <c r="X89" s="63"/>
      <c r="Y89" s="65"/>
      <c r="Z89" s="42"/>
      <c r="AA89" s="42"/>
      <c r="AB89" s="42"/>
      <c r="AC89" s="42"/>
      <c r="AD89" s="65"/>
      <c r="AE89" s="42"/>
      <c r="AF89" s="42"/>
      <c r="AG89" s="42"/>
      <c r="AH89" s="42"/>
      <c r="AI89" s="65"/>
      <c r="AJ89" s="42"/>
      <c r="AK89" s="42"/>
      <c r="AL89" s="42"/>
      <c r="AM89" s="42"/>
      <c r="AN89" s="65"/>
      <c r="AO89" s="42"/>
      <c r="AP89" s="42"/>
      <c r="AQ89" s="42"/>
      <c r="AR89" s="42"/>
      <c r="AS89" s="65"/>
      <c r="AT89" s="42"/>
    </row>
    <row r="90" spans="1:46" x14ac:dyDescent="0.25">
      <c r="A90" s="3"/>
      <c r="B90" s="58"/>
      <c r="C90" s="59"/>
      <c r="D90" s="3"/>
      <c r="E90" s="3"/>
      <c r="F90" s="3"/>
      <c r="G90" s="3"/>
      <c r="H90" s="27"/>
      <c r="I90" s="60"/>
      <c r="J90" s="61"/>
      <c r="K90" s="30"/>
      <c r="L90" s="30"/>
      <c r="M90" s="30"/>
      <c r="N90" s="30"/>
      <c r="O90" s="31"/>
      <c r="P90" s="30"/>
      <c r="Q90" s="62"/>
      <c r="R90" s="62"/>
      <c r="S90" s="62"/>
      <c r="T90" s="62"/>
      <c r="U90" s="419"/>
      <c r="V90" s="63"/>
      <c r="W90" s="42"/>
      <c r="X90" s="63"/>
      <c r="Y90" s="65"/>
      <c r="Z90" s="42"/>
      <c r="AA90" s="42"/>
      <c r="AB90" s="42"/>
      <c r="AC90" s="42"/>
      <c r="AD90" s="65"/>
      <c r="AE90" s="42"/>
      <c r="AF90" s="42"/>
      <c r="AG90" s="42"/>
      <c r="AH90" s="42"/>
      <c r="AI90" s="65"/>
      <c r="AJ90" s="42"/>
      <c r="AK90" s="42"/>
      <c r="AL90" s="42"/>
      <c r="AM90" s="42"/>
      <c r="AN90" s="65"/>
      <c r="AO90" s="42"/>
      <c r="AP90" s="42"/>
      <c r="AQ90" s="42"/>
      <c r="AR90" s="42"/>
      <c r="AS90" s="65"/>
      <c r="AT90" s="42"/>
    </row>
    <row r="91" spans="1:46" x14ac:dyDescent="0.25">
      <c r="A91" s="3"/>
      <c r="B91" s="58"/>
      <c r="C91" s="59"/>
      <c r="D91" s="3"/>
      <c r="E91" s="3"/>
      <c r="F91" s="3"/>
      <c r="G91" s="3"/>
      <c r="H91" s="27"/>
      <c r="I91" s="60"/>
      <c r="J91" s="61"/>
      <c r="K91" s="30"/>
      <c r="L91" s="30"/>
      <c r="M91" s="30"/>
      <c r="N91" s="30"/>
      <c r="O91" s="31"/>
      <c r="P91" s="30"/>
      <c r="Q91" s="62"/>
      <c r="R91" s="62"/>
      <c r="S91" s="62"/>
      <c r="T91" s="62"/>
      <c r="U91" s="419"/>
      <c r="V91" s="63"/>
      <c r="W91" s="42"/>
      <c r="X91" s="63"/>
      <c r="Y91" s="65"/>
      <c r="Z91" s="42"/>
      <c r="AA91" s="42"/>
      <c r="AB91" s="42"/>
      <c r="AC91" s="42"/>
      <c r="AD91" s="65"/>
      <c r="AE91" s="42"/>
      <c r="AF91" s="42"/>
      <c r="AG91" s="42"/>
      <c r="AH91" s="42"/>
      <c r="AI91" s="65"/>
      <c r="AJ91" s="42"/>
      <c r="AK91" s="42"/>
      <c r="AL91" s="42"/>
      <c r="AM91" s="42"/>
      <c r="AN91" s="65"/>
      <c r="AO91" s="42"/>
      <c r="AP91" s="42"/>
      <c r="AQ91" s="42"/>
      <c r="AR91" s="42"/>
      <c r="AS91" s="65"/>
      <c r="AT91" s="42"/>
    </row>
    <row r="92" spans="1:46" x14ac:dyDescent="0.25">
      <c r="A92" s="3"/>
      <c r="B92" s="58"/>
      <c r="C92" s="59"/>
      <c r="D92" s="3"/>
      <c r="E92" s="3"/>
      <c r="F92" s="3"/>
      <c r="G92" s="3"/>
      <c r="H92" s="27"/>
      <c r="I92" s="60"/>
      <c r="J92" s="61"/>
      <c r="K92" s="30"/>
      <c r="L92" s="30"/>
      <c r="M92" s="30"/>
      <c r="N92" s="30"/>
      <c r="O92" s="31"/>
      <c r="P92" s="30"/>
      <c r="Q92" s="62"/>
      <c r="R92" s="62"/>
      <c r="S92" s="62"/>
      <c r="T92" s="62"/>
      <c r="U92" s="419"/>
      <c r="V92" s="63"/>
      <c r="W92" s="42"/>
      <c r="X92" s="63"/>
      <c r="Y92" s="65"/>
      <c r="Z92" s="42"/>
      <c r="AA92" s="42"/>
      <c r="AB92" s="42"/>
      <c r="AC92" s="42"/>
      <c r="AD92" s="65"/>
      <c r="AE92" s="42"/>
      <c r="AF92" s="42"/>
      <c r="AG92" s="42"/>
      <c r="AH92" s="42"/>
      <c r="AI92" s="65"/>
      <c r="AJ92" s="42"/>
      <c r="AK92" s="42"/>
      <c r="AL92" s="42"/>
      <c r="AM92" s="42"/>
      <c r="AN92" s="65"/>
      <c r="AO92" s="42"/>
      <c r="AP92" s="42"/>
      <c r="AQ92" s="42"/>
      <c r="AR92" s="42"/>
      <c r="AS92" s="65"/>
      <c r="AT92" s="42"/>
    </row>
    <row r="93" spans="1:46" x14ac:dyDescent="0.25">
      <c r="A93" s="3"/>
      <c r="B93" s="58"/>
      <c r="C93" s="59"/>
      <c r="D93" s="3"/>
      <c r="E93" s="3"/>
      <c r="F93" s="3"/>
      <c r="G93" s="3"/>
      <c r="H93" s="27"/>
      <c r="I93" s="60"/>
      <c r="J93" s="61"/>
      <c r="K93" s="30"/>
      <c r="L93" s="30"/>
      <c r="M93" s="30"/>
      <c r="N93" s="30"/>
      <c r="O93" s="31"/>
      <c r="P93" s="30"/>
      <c r="Q93" s="62"/>
      <c r="R93" s="62"/>
      <c r="S93" s="62"/>
      <c r="T93" s="62"/>
      <c r="U93" s="419"/>
      <c r="V93" s="63"/>
      <c r="W93" s="42"/>
      <c r="X93" s="63"/>
      <c r="Y93" s="65"/>
      <c r="Z93" s="42"/>
      <c r="AA93" s="42"/>
      <c r="AB93" s="42"/>
      <c r="AC93" s="42"/>
      <c r="AD93" s="65"/>
      <c r="AE93" s="42"/>
      <c r="AF93" s="42"/>
      <c r="AG93" s="42"/>
      <c r="AH93" s="42"/>
      <c r="AI93" s="65"/>
      <c r="AJ93" s="42"/>
      <c r="AK93" s="42"/>
      <c r="AL93" s="42"/>
      <c r="AM93" s="42"/>
      <c r="AN93" s="65"/>
      <c r="AO93" s="42"/>
      <c r="AP93" s="42"/>
      <c r="AQ93" s="42"/>
      <c r="AR93" s="42"/>
      <c r="AS93" s="65"/>
      <c r="AT93" s="42"/>
    </row>
    <row r="94" spans="1:46" x14ac:dyDescent="0.25">
      <c r="A94" s="66"/>
      <c r="B94" s="67"/>
      <c r="C94" s="68"/>
      <c r="D94" s="66"/>
      <c r="E94" s="66"/>
      <c r="F94" s="66"/>
      <c r="G94" s="66"/>
      <c r="H94" s="48"/>
      <c r="I94" s="69"/>
      <c r="J94" s="70"/>
      <c r="K94" s="55"/>
      <c r="L94" s="55"/>
      <c r="M94" s="55"/>
      <c r="N94" s="55"/>
      <c r="O94" s="54"/>
      <c r="P94" s="55"/>
      <c r="Q94" s="55"/>
      <c r="R94" s="55"/>
      <c r="S94" s="55"/>
      <c r="T94" s="55"/>
      <c r="U94" s="419"/>
      <c r="V94" s="71"/>
      <c r="W94" s="53"/>
      <c r="X94" s="71"/>
      <c r="Y94" s="72"/>
      <c r="Z94" s="53"/>
      <c r="AA94" s="53"/>
      <c r="AB94" s="53"/>
      <c r="AC94" s="53"/>
      <c r="AD94" s="72"/>
      <c r="AE94" s="53"/>
      <c r="AF94" s="53"/>
      <c r="AG94" s="53"/>
      <c r="AH94" s="53"/>
      <c r="AI94" s="72"/>
      <c r="AJ94" s="53"/>
      <c r="AK94" s="53"/>
      <c r="AL94" s="53"/>
      <c r="AM94" s="53"/>
      <c r="AN94" s="72"/>
      <c r="AO94" s="53"/>
      <c r="AP94" s="53"/>
      <c r="AQ94" s="53"/>
      <c r="AR94" s="53"/>
      <c r="AS94" s="72"/>
      <c r="AT94" s="53"/>
    </row>
    <row r="95" spans="1:46" x14ac:dyDescent="0.25">
      <c r="A95" s="66"/>
      <c r="B95" s="67"/>
      <c r="C95" s="68"/>
      <c r="D95" s="66"/>
      <c r="E95" s="66"/>
      <c r="F95" s="66"/>
      <c r="G95" s="66"/>
      <c r="H95" s="48"/>
      <c r="I95" s="69"/>
      <c r="J95" s="70"/>
      <c r="K95" s="55"/>
      <c r="L95" s="55"/>
      <c r="M95" s="55"/>
      <c r="N95" s="55"/>
      <c r="O95" s="54"/>
      <c r="P95" s="55"/>
      <c r="Q95" s="55"/>
      <c r="R95" s="55"/>
      <c r="S95" s="55"/>
      <c r="T95" s="55"/>
      <c r="U95" s="419"/>
      <c r="V95" s="71"/>
      <c r="W95" s="53"/>
      <c r="X95" s="71"/>
      <c r="Y95" s="72"/>
      <c r="Z95" s="53"/>
      <c r="AA95" s="53"/>
      <c r="AB95" s="53"/>
      <c r="AC95" s="53"/>
      <c r="AD95" s="72"/>
      <c r="AE95" s="53"/>
      <c r="AF95" s="53"/>
      <c r="AG95" s="53"/>
      <c r="AH95" s="53"/>
      <c r="AI95" s="72"/>
      <c r="AJ95" s="53"/>
      <c r="AK95" s="53"/>
      <c r="AL95" s="53"/>
      <c r="AM95" s="53"/>
      <c r="AN95" s="72"/>
      <c r="AO95" s="53"/>
      <c r="AP95" s="53"/>
      <c r="AQ95" s="53"/>
      <c r="AR95" s="53"/>
      <c r="AS95" s="72"/>
      <c r="AT95" s="53"/>
    </row>
    <row r="96" spans="1:46" x14ac:dyDescent="0.25">
      <c r="A96" s="66"/>
      <c r="B96" s="67"/>
      <c r="C96" s="68"/>
      <c r="D96" s="66"/>
      <c r="E96" s="66"/>
      <c r="F96" s="66"/>
      <c r="G96" s="66"/>
      <c r="H96" s="48"/>
      <c r="I96" s="69"/>
      <c r="J96" s="70"/>
      <c r="K96" s="55"/>
      <c r="L96" s="55"/>
      <c r="M96" s="55"/>
      <c r="N96" s="55"/>
      <c r="O96" s="54"/>
      <c r="P96" s="55"/>
      <c r="Q96" s="55"/>
      <c r="R96" s="55"/>
      <c r="S96" s="55"/>
      <c r="T96" s="55"/>
      <c r="U96" s="419"/>
      <c r="V96" s="71"/>
      <c r="W96" s="53"/>
      <c r="X96" s="71"/>
      <c r="Y96" s="72"/>
      <c r="Z96" s="53"/>
      <c r="AA96" s="53"/>
      <c r="AB96" s="53"/>
      <c r="AC96" s="53"/>
      <c r="AD96" s="72"/>
      <c r="AE96" s="53"/>
      <c r="AF96" s="53"/>
      <c r="AG96" s="53"/>
      <c r="AH96" s="53"/>
      <c r="AI96" s="72"/>
      <c r="AJ96" s="53"/>
      <c r="AK96" s="53"/>
      <c r="AL96" s="53"/>
      <c r="AM96" s="53"/>
      <c r="AN96" s="72"/>
      <c r="AO96" s="53"/>
      <c r="AP96" s="53"/>
      <c r="AQ96" s="53"/>
      <c r="AR96" s="53"/>
      <c r="AS96" s="72"/>
      <c r="AT96" s="53"/>
    </row>
    <row r="97" spans="1:46" x14ac:dyDescent="0.25">
      <c r="A97" s="66"/>
      <c r="B97" s="67"/>
      <c r="C97" s="68"/>
      <c r="D97" s="66"/>
      <c r="E97" s="66"/>
      <c r="F97" s="66"/>
      <c r="G97" s="66"/>
      <c r="H97" s="48"/>
      <c r="I97" s="69"/>
      <c r="J97" s="70"/>
      <c r="K97" s="55"/>
      <c r="L97" s="55"/>
      <c r="M97" s="55"/>
      <c r="N97" s="55"/>
      <c r="O97" s="54"/>
      <c r="P97" s="55"/>
      <c r="Q97" s="55"/>
      <c r="R97" s="55"/>
      <c r="S97" s="55"/>
      <c r="T97" s="55"/>
      <c r="U97" s="419"/>
      <c r="V97" s="71"/>
      <c r="W97" s="53"/>
      <c r="X97" s="71"/>
      <c r="Y97" s="72"/>
      <c r="Z97" s="53"/>
      <c r="AA97" s="53"/>
      <c r="AB97" s="53"/>
      <c r="AC97" s="53"/>
      <c r="AD97" s="72"/>
      <c r="AE97" s="53"/>
      <c r="AF97" s="53"/>
      <c r="AG97" s="53"/>
      <c r="AH97" s="53"/>
      <c r="AI97" s="72"/>
      <c r="AJ97" s="53"/>
      <c r="AK97" s="53"/>
      <c r="AL97" s="53"/>
      <c r="AM97" s="53"/>
      <c r="AN97" s="72"/>
      <c r="AO97" s="53"/>
      <c r="AP97" s="53"/>
      <c r="AQ97" s="53"/>
      <c r="AR97" s="53"/>
      <c r="AS97" s="72"/>
      <c r="AT97" s="53"/>
    </row>
    <row r="98" spans="1:46" x14ac:dyDescent="0.25">
      <c r="A98" s="66"/>
      <c r="B98" s="67"/>
      <c r="C98" s="68"/>
      <c r="D98" s="66"/>
      <c r="E98" s="66"/>
      <c r="F98" s="66"/>
      <c r="G98" s="66"/>
      <c r="H98" s="48"/>
      <c r="I98" s="69"/>
      <c r="J98" s="70"/>
      <c r="K98" s="55"/>
      <c r="L98" s="55"/>
      <c r="M98" s="55"/>
      <c r="N98" s="55"/>
      <c r="O98" s="54"/>
      <c r="P98" s="55"/>
      <c r="Q98" s="55"/>
      <c r="R98" s="55"/>
      <c r="S98" s="55"/>
      <c r="T98" s="55"/>
      <c r="U98" s="419"/>
      <c r="V98" s="71"/>
      <c r="W98" s="53"/>
      <c r="X98" s="71"/>
      <c r="Y98" s="72"/>
      <c r="Z98" s="53"/>
      <c r="AA98" s="53"/>
      <c r="AB98" s="53"/>
      <c r="AC98" s="53"/>
      <c r="AD98" s="72"/>
      <c r="AE98" s="53"/>
      <c r="AF98" s="53"/>
      <c r="AG98" s="53"/>
      <c r="AH98" s="53"/>
      <c r="AI98" s="72"/>
      <c r="AJ98" s="53"/>
      <c r="AK98" s="53"/>
      <c r="AL98" s="53"/>
      <c r="AM98" s="53"/>
      <c r="AN98" s="72"/>
      <c r="AO98" s="53"/>
      <c r="AP98" s="53"/>
      <c r="AQ98" s="53"/>
      <c r="AR98" s="53"/>
      <c r="AS98" s="72"/>
      <c r="AT98" s="53"/>
    </row>
    <row r="99" spans="1:46" x14ac:dyDescent="0.25">
      <c r="A99" s="3"/>
      <c r="B99" s="58"/>
      <c r="C99" s="59"/>
      <c r="D99" s="3"/>
      <c r="E99" s="3"/>
      <c r="F99" s="3"/>
      <c r="G99" s="3"/>
      <c r="H99" s="27"/>
      <c r="I99" s="60"/>
      <c r="J99" s="61"/>
      <c r="K99" s="30"/>
      <c r="L99" s="30"/>
      <c r="M99" s="30"/>
      <c r="N99" s="30"/>
      <c r="O99" s="31"/>
      <c r="P99" s="30"/>
      <c r="Q99" s="62"/>
      <c r="R99" s="62"/>
      <c r="S99" s="62"/>
      <c r="T99" s="62"/>
      <c r="U99" s="419"/>
      <c r="V99" s="63"/>
      <c r="W99" s="42"/>
      <c r="X99" s="63"/>
      <c r="Y99" s="65"/>
      <c r="Z99" s="42"/>
      <c r="AA99" s="42"/>
      <c r="AB99" s="42"/>
      <c r="AC99" s="42"/>
      <c r="AD99" s="65"/>
      <c r="AE99" s="42"/>
      <c r="AF99" s="42"/>
      <c r="AG99" s="42"/>
      <c r="AH99" s="42"/>
      <c r="AI99" s="65"/>
      <c r="AJ99" s="42"/>
      <c r="AK99" s="42"/>
      <c r="AL99" s="42"/>
      <c r="AM99" s="42"/>
      <c r="AN99" s="65"/>
      <c r="AO99" s="42"/>
      <c r="AP99" s="42"/>
      <c r="AQ99" s="42"/>
      <c r="AR99" s="42"/>
      <c r="AS99" s="65"/>
      <c r="AT99" s="42"/>
    </row>
    <row r="100" spans="1:46" x14ac:dyDescent="0.25">
      <c r="A100" s="3"/>
      <c r="B100" s="58"/>
      <c r="C100" s="59"/>
      <c r="D100" s="3"/>
      <c r="E100" s="3"/>
      <c r="F100" s="3"/>
      <c r="G100" s="3"/>
      <c r="H100" s="27"/>
      <c r="I100" s="60"/>
      <c r="J100" s="61"/>
      <c r="K100" s="30"/>
      <c r="L100" s="30"/>
      <c r="M100" s="30"/>
      <c r="N100" s="30"/>
      <c r="O100" s="31"/>
      <c r="P100" s="30"/>
      <c r="Q100" s="62"/>
      <c r="R100" s="62"/>
      <c r="S100" s="62"/>
      <c r="T100" s="62"/>
      <c r="U100" s="419"/>
      <c r="V100" s="63"/>
      <c r="W100" s="42"/>
      <c r="X100" s="63"/>
      <c r="Y100" s="65"/>
      <c r="Z100" s="42"/>
      <c r="AA100" s="42"/>
      <c r="AB100" s="42"/>
      <c r="AC100" s="42"/>
      <c r="AD100" s="65"/>
      <c r="AE100" s="42"/>
      <c r="AF100" s="42"/>
      <c r="AG100" s="42"/>
      <c r="AH100" s="42"/>
      <c r="AI100" s="65"/>
      <c r="AJ100" s="42"/>
      <c r="AK100" s="42"/>
      <c r="AL100" s="42"/>
      <c r="AM100" s="42"/>
      <c r="AN100" s="65"/>
      <c r="AO100" s="42"/>
      <c r="AP100" s="42"/>
      <c r="AQ100" s="42"/>
      <c r="AR100" s="42"/>
      <c r="AS100" s="65"/>
      <c r="AT100" s="42"/>
    </row>
    <row r="101" spans="1:46" x14ac:dyDescent="0.25">
      <c r="A101" s="3"/>
      <c r="B101" s="58"/>
      <c r="C101" s="59"/>
      <c r="D101" s="3"/>
      <c r="E101" s="3"/>
      <c r="F101" s="3"/>
      <c r="G101" s="3"/>
      <c r="H101" s="27"/>
      <c r="I101" s="60"/>
      <c r="J101" s="61"/>
      <c r="K101" s="30"/>
      <c r="L101" s="30"/>
      <c r="M101" s="30"/>
      <c r="N101" s="30"/>
      <c r="O101" s="31"/>
      <c r="P101" s="30"/>
      <c r="Q101" s="62"/>
      <c r="R101" s="62"/>
      <c r="S101" s="62"/>
      <c r="T101" s="62"/>
      <c r="U101" s="419"/>
      <c r="V101" s="63"/>
      <c r="W101" s="42"/>
      <c r="X101" s="63"/>
      <c r="Y101" s="65"/>
      <c r="Z101" s="42"/>
      <c r="AA101" s="42"/>
      <c r="AB101" s="42"/>
      <c r="AC101" s="42"/>
      <c r="AD101" s="65"/>
      <c r="AE101" s="42"/>
      <c r="AF101" s="42"/>
      <c r="AG101" s="42"/>
      <c r="AH101" s="42"/>
      <c r="AI101" s="65"/>
      <c r="AJ101" s="42"/>
      <c r="AK101" s="42"/>
      <c r="AL101" s="42"/>
      <c r="AM101" s="42"/>
      <c r="AN101" s="65"/>
      <c r="AO101" s="42"/>
      <c r="AP101" s="42"/>
      <c r="AQ101" s="42"/>
      <c r="AR101" s="42"/>
      <c r="AS101" s="65"/>
      <c r="AT101" s="42"/>
    </row>
    <row r="102" spans="1:46" x14ac:dyDescent="0.25">
      <c r="A102" s="3"/>
      <c r="B102" s="58"/>
      <c r="C102" s="59"/>
      <c r="D102" s="3"/>
      <c r="E102" s="3"/>
      <c r="F102" s="3"/>
      <c r="G102" s="3"/>
      <c r="H102" s="27"/>
      <c r="I102" s="60"/>
      <c r="J102" s="61"/>
      <c r="K102" s="30"/>
      <c r="L102" s="30"/>
      <c r="M102" s="30"/>
      <c r="N102" s="30"/>
      <c r="O102" s="31"/>
      <c r="P102" s="30"/>
      <c r="Q102" s="62"/>
      <c r="R102" s="62"/>
      <c r="S102" s="62"/>
      <c r="T102" s="62"/>
      <c r="U102" s="419"/>
      <c r="V102" s="63"/>
      <c r="W102" s="42"/>
      <c r="X102" s="63"/>
      <c r="Y102" s="65"/>
      <c r="Z102" s="42"/>
      <c r="AA102" s="42"/>
      <c r="AB102" s="42"/>
      <c r="AC102" s="42"/>
      <c r="AD102" s="65"/>
      <c r="AE102" s="42"/>
      <c r="AF102" s="42"/>
      <c r="AG102" s="42"/>
      <c r="AH102" s="42"/>
      <c r="AI102" s="65"/>
      <c r="AJ102" s="42"/>
      <c r="AK102" s="42"/>
      <c r="AL102" s="42"/>
      <c r="AM102" s="42"/>
      <c r="AN102" s="65"/>
      <c r="AO102" s="42"/>
      <c r="AP102" s="42"/>
      <c r="AQ102" s="42"/>
      <c r="AR102" s="42"/>
      <c r="AS102" s="65"/>
      <c r="AT102" s="42"/>
    </row>
    <row r="103" spans="1:46" x14ac:dyDescent="0.25">
      <c r="A103" s="3"/>
      <c r="B103" s="58"/>
      <c r="C103" s="59"/>
      <c r="D103" s="3"/>
      <c r="E103" s="3"/>
      <c r="F103" s="3"/>
      <c r="G103" s="3"/>
      <c r="H103" s="27"/>
      <c r="I103" s="60"/>
      <c r="J103" s="61"/>
      <c r="K103" s="30"/>
      <c r="L103" s="30"/>
      <c r="M103" s="30"/>
      <c r="N103" s="30"/>
      <c r="O103" s="31"/>
      <c r="P103" s="30"/>
      <c r="Q103" s="62"/>
      <c r="R103" s="62"/>
      <c r="S103" s="62"/>
      <c r="T103" s="62"/>
      <c r="U103" s="419"/>
      <c r="V103" s="63"/>
      <c r="W103" s="42"/>
      <c r="X103" s="63"/>
      <c r="Y103" s="65"/>
      <c r="Z103" s="42"/>
      <c r="AA103" s="42"/>
      <c r="AB103" s="42"/>
      <c r="AC103" s="42"/>
      <c r="AD103" s="65"/>
      <c r="AE103" s="42"/>
      <c r="AF103" s="42"/>
      <c r="AG103" s="42"/>
      <c r="AH103" s="42"/>
      <c r="AI103" s="65"/>
      <c r="AJ103" s="42"/>
      <c r="AK103" s="42"/>
      <c r="AL103" s="42"/>
      <c r="AM103" s="42"/>
      <c r="AN103" s="65"/>
      <c r="AO103" s="42"/>
      <c r="AP103" s="42"/>
      <c r="AQ103" s="42"/>
      <c r="AR103" s="42"/>
      <c r="AS103" s="65"/>
      <c r="AT103" s="42"/>
    </row>
    <row r="104" spans="1:46" x14ac:dyDescent="0.25">
      <c r="A104" s="66"/>
      <c r="B104" s="67"/>
      <c r="C104" s="68"/>
      <c r="D104" s="66"/>
      <c r="E104" s="66"/>
      <c r="F104" s="66"/>
      <c r="G104" s="66"/>
      <c r="H104" s="48"/>
      <c r="I104" s="69"/>
      <c r="J104" s="70"/>
      <c r="K104" s="55"/>
      <c r="L104" s="55"/>
      <c r="M104" s="55"/>
      <c r="N104" s="55"/>
      <c r="O104" s="54"/>
      <c r="P104" s="55"/>
      <c r="Q104" s="55"/>
      <c r="R104" s="55"/>
      <c r="S104" s="55"/>
      <c r="T104" s="55"/>
      <c r="U104" s="419"/>
      <c r="V104" s="71"/>
      <c r="W104" s="53"/>
      <c r="X104" s="71"/>
      <c r="Y104" s="72"/>
      <c r="Z104" s="53"/>
      <c r="AA104" s="53"/>
      <c r="AB104" s="53"/>
      <c r="AC104" s="53"/>
      <c r="AD104" s="72"/>
      <c r="AE104" s="53"/>
      <c r="AF104" s="53"/>
      <c r="AG104" s="53"/>
      <c r="AH104" s="53"/>
      <c r="AI104" s="72"/>
      <c r="AJ104" s="53"/>
      <c r="AK104" s="53"/>
      <c r="AL104" s="53"/>
      <c r="AM104" s="53"/>
      <c r="AN104" s="72"/>
      <c r="AO104" s="53"/>
      <c r="AP104" s="53"/>
      <c r="AQ104" s="53"/>
      <c r="AR104" s="53"/>
      <c r="AS104" s="72"/>
      <c r="AT104" s="53"/>
    </row>
    <row r="105" spans="1:46" x14ac:dyDescent="0.25">
      <c r="A105" s="66"/>
      <c r="B105" s="67"/>
      <c r="C105" s="68"/>
      <c r="D105" s="66"/>
      <c r="E105" s="66"/>
      <c r="F105" s="66"/>
      <c r="G105" s="66"/>
      <c r="H105" s="48"/>
      <c r="I105" s="69"/>
      <c r="J105" s="70"/>
      <c r="K105" s="55"/>
      <c r="L105" s="55"/>
      <c r="M105" s="55"/>
      <c r="N105" s="55"/>
      <c r="O105" s="54"/>
      <c r="P105" s="55"/>
      <c r="Q105" s="55"/>
      <c r="R105" s="55"/>
      <c r="S105" s="55"/>
      <c r="T105" s="55"/>
      <c r="U105" s="419"/>
      <c r="V105" s="71"/>
      <c r="W105" s="53"/>
      <c r="X105" s="71"/>
      <c r="Y105" s="72"/>
      <c r="Z105" s="53"/>
      <c r="AA105" s="53"/>
      <c r="AB105" s="53"/>
      <c r="AC105" s="53"/>
      <c r="AD105" s="72"/>
      <c r="AE105" s="53"/>
      <c r="AF105" s="53"/>
      <c r="AG105" s="53"/>
      <c r="AH105" s="53"/>
      <c r="AI105" s="72"/>
      <c r="AJ105" s="53"/>
      <c r="AK105" s="53"/>
      <c r="AL105" s="53"/>
      <c r="AM105" s="53"/>
      <c r="AN105" s="72"/>
      <c r="AO105" s="53"/>
      <c r="AP105" s="53"/>
      <c r="AQ105" s="53"/>
      <c r="AR105" s="53"/>
      <c r="AS105" s="72"/>
      <c r="AT105" s="53"/>
    </row>
    <row r="106" spans="1:46" x14ac:dyDescent="0.25">
      <c r="A106" s="66"/>
      <c r="B106" s="67"/>
      <c r="C106" s="68"/>
      <c r="D106" s="66"/>
      <c r="E106" s="66"/>
      <c r="F106" s="66"/>
      <c r="G106" s="66"/>
      <c r="H106" s="48"/>
      <c r="I106" s="69"/>
      <c r="J106" s="70"/>
      <c r="K106" s="55"/>
      <c r="L106" s="55"/>
      <c r="M106" s="55"/>
      <c r="N106" s="55"/>
      <c r="O106" s="54"/>
      <c r="P106" s="55"/>
      <c r="Q106" s="55"/>
      <c r="R106" s="55"/>
      <c r="S106" s="55"/>
      <c r="T106" s="55"/>
      <c r="U106" s="419"/>
      <c r="V106" s="71"/>
      <c r="W106" s="53"/>
      <c r="X106" s="71"/>
      <c r="Y106" s="72"/>
      <c r="Z106" s="53"/>
      <c r="AA106" s="53"/>
      <c r="AB106" s="53"/>
      <c r="AC106" s="53"/>
      <c r="AD106" s="72"/>
      <c r="AE106" s="53"/>
      <c r="AF106" s="53"/>
      <c r="AG106" s="53"/>
      <c r="AH106" s="53"/>
      <c r="AI106" s="72"/>
      <c r="AJ106" s="53"/>
      <c r="AK106" s="53"/>
      <c r="AL106" s="53"/>
      <c r="AM106" s="53"/>
      <c r="AN106" s="72"/>
      <c r="AO106" s="53"/>
      <c r="AP106" s="53"/>
      <c r="AQ106" s="53"/>
      <c r="AR106" s="53"/>
      <c r="AS106" s="72"/>
      <c r="AT106" s="53"/>
    </row>
    <row r="107" spans="1:46" x14ac:dyDescent="0.25">
      <c r="A107" s="66"/>
      <c r="B107" s="67"/>
      <c r="C107" s="68"/>
      <c r="D107" s="66"/>
      <c r="E107" s="66"/>
      <c r="F107" s="66"/>
      <c r="G107" s="66"/>
      <c r="H107" s="48"/>
      <c r="I107" s="69"/>
      <c r="J107" s="70"/>
      <c r="K107" s="55"/>
      <c r="L107" s="55"/>
      <c r="M107" s="55"/>
      <c r="N107" s="55"/>
      <c r="O107" s="54"/>
      <c r="P107" s="55"/>
      <c r="Q107" s="55"/>
      <c r="R107" s="55"/>
      <c r="S107" s="55"/>
      <c r="T107" s="55"/>
      <c r="U107" s="419"/>
      <c r="V107" s="71"/>
      <c r="W107" s="53"/>
      <c r="X107" s="71"/>
      <c r="Y107" s="72"/>
      <c r="Z107" s="53"/>
      <c r="AA107" s="53"/>
      <c r="AB107" s="53"/>
      <c r="AC107" s="53"/>
      <c r="AD107" s="72"/>
      <c r="AE107" s="53"/>
      <c r="AF107" s="53"/>
      <c r="AG107" s="53"/>
      <c r="AH107" s="53"/>
      <c r="AI107" s="72"/>
      <c r="AJ107" s="53"/>
      <c r="AK107" s="53"/>
      <c r="AL107" s="53"/>
      <c r="AM107" s="53"/>
      <c r="AN107" s="72"/>
      <c r="AO107" s="53"/>
      <c r="AP107" s="53"/>
      <c r="AQ107" s="53"/>
      <c r="AR107" s="53"/>
      <c r="AS107" s="72"/>
      <c r="AT107" s="53"/>
    </row>
    <row r="108" spans="1:46" x14ac:dyDescent="0.25">
      <c r="A108" s="66"/>
      <c r="B108" s="67"/>
      <c r="C108" s="68"/>
      <c r="D108" s="66"/>
      <c r="E108" s="66"/>
      <c r="F108" s="66"/>
      <c r="G108" s="66"/>
      <c r="H108" s="48"/>
      <c r="I108" s="69"/>
      <c r="J108" s="70"/>
      <c r="K108" s="55"/>
      <c r="L108" s="55"/>
      <c r="M108" s="55"/>
      <c r="N108" s="55"/>
      <c r="O108" s="54"/>
      <c r="P108" s="55"/>
      <c r="Q108" s="55"/>
      <c r="R108" s="55"/>
      <c r="S108" s="55"/>
      <c r="T108" s="55"/>
      <c r="U108" s="419"/>
      <c r="V108" s="71"/>
      <c r="W108" s="53"/>
      <c r="X108" s="71"/>
      <c r="Y108" s="72"/>
      <c r="Z108" s="53"/>
      <c r="AA108" s="53"/>
      <c r="AB108" s="53"/>
      <c r="AC108" s="53"/>
      <c r="AD108" s="72"/>
      <c r="AE108" s="53"/>
      <c r="AF108" s="53"/>
      <c r="AG108" s="53"/>
      <c r="AH108" s="53"/>
      <c r="AI108" s="72"/>
      <c r="AJ108" s="53"/>
      <c r="AK108" s="53"/>
      <c r="AL108" s="53"/>
      <c r="AM108" s="53"/>
      <c r="AN108" s="72"/>
      <c r="AO108" s="53"/>
      <c r="AP108" s="53"/>
      <c r="AQ108" s="53"/>
      <c r="AR108" s="53"/>
      <c r="AS108" s="72"/>
      <c r="AT108" s="53"/>
    </row>
    <row r="109" spans="1:46" x14ac:dyDescent="0.25">
      <c r="A109" s="3"/>
      <c r="B109" s="58"/>
      <c r="C109" s="59"/>
      <c r="D109" s="3"/>
      <c r="E109" s="3"/>
      <c r="F109" s="3"/>
      <c r="G109" s="3"/>
      <c r="H109" s="27"/>
      <c r="I109" s="60"/>
      <c r="J109" s="61"/>
      <c r="K109" s="30"/>
      <c r="L109" s="30"/>
      <c r="M109" s="30"/>
      <c r="N109" s="30"/>
      <c r="O109" s="31"/>
      <c r="P109" s="30"/>
      <c r="Q109" s="62"/>
      <c r="R109" s="62"/>
      <c r="S109" s="62"/>
      <c r="T109" s="62"/>
      <c r="U109" s="419"/>
      <c r="V109" s="63"/>
      <c r="W109" s="42"/>
      <c r="X109" s="63"/>
      <c r="Y109" s="65"/>
      <c r="Z109" s="42"/>
      <c r="AA109" s="42"/>
      <c r="AB109" s="42"/>
      <c r="AC109" s="42"/>
      <c r="AD109" s="65"/>
      <c r="AE109" s="42"/>
      <c r="AF109" s="42"/>
      <c r="AG109" s="42"/>
      <c r="AH109" s="42"/>
      <c r="AI109" s="65"/>
      <c r="AJ109" s="42"/>
      <c r="AK109" s="42"/>
      <c r="AL109" s="42"/>
      <c r="AM109" s="42"/>
      <c r="AN109" s="65"/>
      <c r="AO109" s="42"/>
      <c r="AP109" s="42"/>
      <c r="AQ109" s="42"/>
      <c r="AR109" s="42"/>
      <c r="AS109" s="65"/>
      <c r="AT109" s="42"/>
    </row>
    <row r="110" spans="1:46" x14ac:dyDescent="0.25">
      <c r="A110" s="3"/>
      <c r="B110" s="58"/>
      <c r="C110" s="59"/>
      <c r="D110" s="3"/>
      <c r="E110" s="3"/>
      <c r="F110" s="3"/>
      <c r="G110" s="3"/>
      <c r="H110" s="27"/>
      <c r="I110" s="60"/>
      <c r="J110" s="61"/>
      <c r="K110" s="30"/>
      <c r="L110" s="30"/>
      <c r="M110" s="30"/>
      <c r="N110" s="30"/>
      <c r="O110" s="31"/>
      <c r="P110" s="30"/>
      <c r="Q110" s="62"/>
      <c r="R110" s="62"/>
      <c r="S110" s="62"/>
      <c r="T110" s="62"/>
      <c r="U110" s="419"/>
      <c r="V110" s="63"/>
      <c r="W110" s="42"/>
      <c r="X110" s="63"/>
      <c r="Y110" s="65"/>
      <c r="Z110" s="42"/>
      <c r="AA110" s="42"/>
      <c r="AB110" s="42"/>
      <c r="AC110" s="42"/>
      <c r="AD110" s="65"/>
      <c r="AE110" s="42"/>
      <c r="AF110" s="42"/>
      <c r="AG110" s="42"/>
      <c r="AH110" s="42"/>
      <c r="AI110" s="65"/>
      <c r="AJ110" s="42"/>
      <c r="AK110" s="42"/>
      <c r="AL110" s="42"/>
      <c r="AM110" s="42"/>
      <c r="AN110" s="65"/>
      <c r="AO110" s="42"/>
      <c r="AP110" s="42"/>
      <c r="AQ110" s="42"/>
      <c r="AR110" s="42"/>
      <c r="AS110" s="65"/>
      <c r="AT110" s="42"/>
    </row>
    <row r="111" spans="1:46" x14ac:dyDescent="0.25">
      <c r="A111" s="3"/>
      <c r="B111" s="58"/>
      <c r="C111" s="59"/>
      <c r="D111" s="3"/>
      <c r="E111" s="3"/>
      <c r="F111" s="3"/>
      <c r="G111" s="3"/>
      <c r="H111" s="27"/>
      <c r="I111" s="60"/>
      <c r="J111" s="61"/>
      <c r="K111" s="30"/>
      <c r="L111" s="30"/>
      <c r="M111" s="30"/>
      <c r="N111" s="30"/>
      <c r="O111" s="31"/>
      <c r="P111" s="30"/>
      <c r="Q111" s="62"/>
      <c r="R111" s="62"/>
      <c r="S111" s="62"/>
      <c r="T111" s="62"/>
      <c r="U111" s="419"/>
      <c r="V111" s="63"/>
      <c r="W111" s="42"/>
      <c r="X111" s="63"/>
      <c r="Y111" s="65"/>
      <c r="Z111" s="42"/>
      <c r="AA111" s="42"/>
      <c r="AB111" s="42"/>
      <c r="AC111" s="42"/>
      <c r="AD111" s="65"/>
      <c r="AE111" s="42"/>
      <c r="AF111" s="42"/>
      <c r="AG111" s="42"/>
      <c r="AH111" s="42"/>
      <c r="AI111" s="65"/>
      <c r="AJ111" s="42"/>
      <c r="AK111" s="42"/>
      <c r="AL111" s="42"/>
      <c r="AM111" s="42"/>
      <c r="AN111" s="65"/>
      <c r="AO111" s="42"/>
      <c r="AP111" s="42"/>
      <c r="AQ111" s="42"/>
      <c r="AR111" s="42"/>
      <c r="AS111" s="65"/>
      <c r="AT111" s="42"/>
    </row>
    <row r="112" spans="1:46" x14ac:dyDescent="0.25">
      <c r="A112" s="3"/>
      <c r="B112" s="58"/>
      <c r="C112" s="59"/>
      <c r="D112" s="3"/>
      <c r="E112" s="3"/>
      <c r="F112" s="3"/>
      <c r="G112" s="3"/>
      <c r="H112" s="27"/>
      <c r="I112" s="60"/>
      <c r="J112" s="61"/>
      <c r="K112" s="30"/>
      <c r="L112" s="30"/>
      <c r="M112" s="30"/>
      <c r="N112" s="30"/>
      <c r="O112" s="31"/>
      <c r="P112" s="30"/>
      <c r="Q112" s="62"/>
      <c r="R112" s="62"/>
      <c r="S112" s="62"/>
      <c r="T112" s="62"/>
      <c r="U112" s="419"/>
      <c r="V112" s="63"/>
      <c r="W112" s="42"/>
      <c r="X112" s="63"/>
      <c r="Y112" s="65"/>
      <c r="Z112" s="42"/>
      <c r="AA112" s="42"/>
      <c r="AB112" s="42"/>
      <c r="AC112" s="42"/>
      <c r="AD112" s="65"/>
      <c r="AE112" s="42"/>
      <c r="AF112" s="42"/>
      <c r="AG112" s="42"/>
      <c r="AH112" s="42"/>
      <c r="AI112" s="65"/>
      <c r="AJ112" s="42"/>
      <c r="AK112" s="42"/>
      <c r="AL112" s="42"/>
      <c r="AM112" s="42"/>
      <c r="AN112" s="65"/>
      <c r="AO112" s="42"/>
      <c r="AP112" s="42"/>
      <c r="AQ112" s="42"/>
      <c r="AR112" s="42"/>
      <c r="AS112" s="65"/>
      <c r="AT112" s="42"/>
    </row>
    <row r="113" spans="1:46" x14ac:dyDescent="0.25">
      <c r="A113" s="3"/>
      <c r="B113" s="58"/>
      <c r="C113" s="59"/>
      <c r="D113" s="3"/>
      <c r="E113" s="3"/>
      <c r="F113" s="3"/>
      <c r="G113" s="3"/>
      <c r="H113" s="27"/>
      <c r="I113" s="60"/>
      <c r="J113" s="61"/>
      <c r="K113" s="30"/>
      <c r="L113" s="30"/>
      <c r="M113" s="30"/>
      <c r="N113" s="30"/>
      <c r="O113" s="31"/>
      <c r="P113" s="30"/>
      <c r="Q113" s="62"/>
      <c r="R113" s="62"/>
      <c r="S113" s="62"/>
      <c r="T113" s="62"/>
      <c r="U113" s="419"/>
      <c r="V113" s="63"/>
      <c r="W113" s="42"/>
      <c r="X113" s="63"/>
      <c r="Y113" s="65"/>
      <c r="Z113" s="42"/>
      <c r="AA113" s="42"/>
      <c r="AB113" s="42"/>
      <c r="AC113" s="42"/>
      <c r="AD113" s="65"/>
      <c r="AE113" s="42"/>
      <c r="AF113" s="42"/>
      <c r="AG113" s="42"/>
      <c r="AH113" s="42"/>
      <c r="AI113" s="65"/>
      <c r="AJ113" s="42"/>
      <c r="AK113" s="42"/>
      <c r="AL113" s="42"/>
      <c r="AM113" s="42"/>
      <c r="AN113" s="65"/>
      <c r="AO113" s="42"/>
      <c r="AP113" s="42"/>
      <c r="AQ113" s="42"/>
      <c r="AR113" s="42"/>
      <c r="AS113" s="65"/>
      <c r="AT113" s="42"/>
    </row>
    <row r="114" spans="1:46" x14ac:dyDescent="0.25">
      <c r="A114" s="66"/>
      <c r="B114" s="67"/>
      <c r="C114" s="68"/>
      <c r="D114" s="66"/>
      <c r="E114" s="66"/>
      <c r="F114" s="66"/>
      <c r="G114" s="66"/>
      <c r="H114" s="48"/>
      <c r="I114" s="69"/>
      <c r="J114" s="70"/>
      <c r="K114" s="55"/>
      <c r="L114" s="55"/>
      <c r="M114" s="55"/>
      <c r="N114" s="55"/>
      <c r="O114" s="54"/>
      <c r="P114" s="55"/>
      <c r="Q114" s="55"/>
      <c r="R114" s="55"/>
      <c r="S114" s="55"/>
      <c r="T114" s="55"/>
      <c r="U114" s="419"/>
      <c r="V114" s="71"/>
      <c r="W114" s="53"/>
      <c r="X114" s="71"/>
      <c r="Y114" s="72"/>
      <c r="Z114" s="53"/>
      <c r="AA114" s="53"/>
      <c r="AB114" s="53"/>
      <c r="AC114" s="53"/>
      <c r="AD114" s="72"/>
      <c r="AE114" s="53"/>
      <c r="AF114" s="53"/>
      <c r="AG114" s="53"/>
      <c r="AH114" s="53"/>
      <c r="AI114" s="72"/>
      <c r="AJ114" s="53"/>
      <c r="AK114" s="53"/>
      <c r="AL114" s="53"/>
      <c r="AM114" s="53"/>
      <c r="AN114" s="72"/>
      <c r="AO114" s="53"/>
      <c r="AP114" s="53"/>
      <c r="AQ114" s="53"/>
      <c r="AR114" s="53"/>
      <c r="AS114" s="72"/>
      <c r="AT114" s="53"/>
    </row>
    <row r="115" spans="1:46" x14ac:dyDescent="0.25">
      <c r="A115" s="66"/>
      <c r="B115" s="67"/>
      <c r="C115" s="68"/>
      <c r="D115" s="66"/>
      <c r="E115" s="66"/>
      <c r="F115" s="66"/>
      <c r="G115" s="66"/>
      <c r="H115" s="48"/>
      <c r="I115" s="69"/>
      <c r="J115" s="70"/>
      <c r="K115" s="55"/>
      <c r="L115" s="55"/>
      <c r="M115" s="55"/>
      <c r="N115" s="55"/>
      <c r="O115" s="54"/>
      <c r="P115" s="55"/>
      <c r="Q115" s="55"/>
      <c r="R115" s="55"/>
      <c r="S115" s="55"/>
      <c r="T115" s="55"/>
      <c r="U115" s="419"/>
      <c r="V115" s="71"/>
      <c r="W115" s="53"/>
      <c r="X115" s="71"/>
      <c r="Y115" s="72"/>
      <c r="Z115" s="53"/>
      <c r="AA115" s="53"/>
      <c r="AB115" s="53"/>
      <c r="AC115" s="53"/>
      <c r="AD115" s="72"/>
      <c r="AE115" s="53"/>
      <c r="AF115" s="53"/>
      <c r="AG115" s="53"/>
      <c r="AH115" s="53"/>
      <c r="AI115" s="72"/>
      <c r="AJ115" s="53"/>
      <c r="AK115" s="53"/>
      <c r="AL115" s="53"/>
      <c r="AM115" s="53"/>
      <c r="AN115" s="72"/>
      <c r="AO115" s="53"/>
      <c r="AP115" s="53"/>
      <c r="AQ115" s="53"/>
      <c r="AR115" s="53"/>
      <c r="AS115" s="72"/>
      <c r="AT115" s="53"/>
    </row>
    <row r="116" spans="1:46" x14ac:dyDescent="0.25">
      <c r="A116" s="66"/>
      <c r="B116" s="67"/>
      <c r="C116" s="68"/>
      <c r="D116" s="66"/>
      <c r="E116" s="66"/>
      <c r="F116" s="66"/>
      <c r="G116" s="66"/>
      <c r="H116" s="48"/>
      <c r="I116" s="69"/>
      <c r="J116" s="70"/>
      <c r="K116" s="55"/>
      <c r="L116" s="55"/>
      <c r="M116" s="55"/>
      <c r="N116" s="55"/>
      <c r="O116" s="54"/>
      <c r="P116" s="55"/>
      <c r="Q116" s="55"/>
      <c r="R116" s="55"/>
      <c r="S116" s="55"/>
      <c r="T116" s="55"/>
      <c r="U116" s="419"/>
      <c r="V116" s="71"/>
      <c r="W116" s="53"/>
      <c r="X116" s="71"/>
      <c r="Y116" s="72"/>
      <c r="Z116" s="53"/>
      <c r="AA116" s="53"/>
      <c r="AB116" s="53"/>
      <c r="AC116" s="53"/>
      <c r="AD116" s="72"/>
      <c r="AE116" s="53"/>
      <c r="AF116" s="53"/>
      <c r="AG116" s="53"/>
      <c r="AH116" s="53"/>
      <c r="AI116" s="72"/>
      <c r="AJ116" s="53"/>
      <c r="AK116" s="53"/>
      <c r="AL116" s="53"/>
      <c r="AM116" s="53"/>
      <c r="AN116" s="72"/>
      <c r="AO116" s="53"/>
      <c r="AP116" s="53"/>
      <c r="AQ116" s="53"/>
      <c r="AR116" s="53"/>
      <c r="AS116" s="72"/>
      <c r="AT116" s="53"/>
    </row>
    <row r="117" spans="1:46" x14ac:dyDescent="0.25">
      <c r="A117" s="66"/>
      <c r="B117" s="67"/>
      <c r="C117" s="68"/>
      <c r="D117" s="66"/>
      <c r="E117" s="66"/>
      <c r="F117" s="66"/>
      <c r="G117" s="66"/>
      <c r="H117" s="48"/>
      <c r="I117" s="69"/>
      <c r="J117" s="70"/>
      <c r="K117" s="55"/>
      <c r="L117" s="55"/>
      <c r="M117" s="55"/>
      <c r="N117" s="55"/>
      <c r="O117" s="54"/>
      <c r="P117" s="55"/>
      <c r="Q117" s="55"/>
      <c r="R117" s="55"/>
      <c r="S117" s="55"/>
      <c r="T117" s="55"/>
      <c r="U117" s="419"/>
      <c r="V117" s="71"/>
      <c r="W117" s="53"/>
      <c r="X117" s="71"/>
      <c r="Y117" s="72"/>
      <c r="Z117" s="53"/>
      <c r="AA117" s="53"/>
      <c r="AB117" s="53"/>
      <c r="AC117" s="53"/>
      <c r="AD117" s="72"/>
      <c r="AE117" s="53"/>
      <c r="AF117" s="53"/>
      <c r="AG117" s="53"/>
      <c r="AH117" s="53"/>
      <c r="AI117" s="72"/>
      <c r="AJ117" s="53"/>
      <c r="AK117" s="53"/>
      <c r="AL117" s="53"/>
      <c r="AM117" s="53"/>
      <c r="AN117" s="72"/>
      <c r="AO117" s="53"/>
      <c r="AP117" s="53"/>
      <c r="AQ117" s="53"/>
      <c r="AR117" s="53"/>
      <c r="AS117" s="72"/>
      <c r="AT117" s="53"/>
    </row>
    <row r="118" spans="1:46" x14ac:dyDescent="0.25">
      <c r="A118" s="66"/>
      <c r="B118" s="67"/>
      <c r="C118" s="68"/>
      <c r="D118" s="66"/>
      <c r="E118" s="66"/>
      <c r="F118" s="66"/>
      <c r="G118" s="66"/>
      <c r="H118" s="48"/>
      <c r="I118" s="69"/>
      <c r="J118" s="70"/>
      <c r="K118" s="55"/>
      <c r="L118" s="55"/>
      <c r="M118" s="55"/>
      <c r="N118" s="55"/>
      <c r="O118" s="54"/>
      <c r="P118" s="55"/>
      <c r="Q118" s="55"/>
      <c r="R118" s="55"/>
      <c r="S118" s="55"/>
      <c r="T118" s="55"/>
      <c r="U118" s="419"/>
      <c r="V118" s="71"/>
      <c r="W118" s="53"/>
      <c r="X118" s="71"/>
      <c r="Y118" s="72"/>
      <c r="Z118" s="53"/>
      <c r="AA118" s="53"/>
      <c r="AB118" s="53"/>
      <c r="AC118" s="53"/>
      <c r="AD118" s="72"/>
      <c r="AE118" s="53"/>
      <c r="AF118" s="53"/>
      <c r="AG118" s="53"/>
      <c r="AH118" s="53"/>
      <c r="AI118" s="72"/>
      <c r="AJ118" s="53"/>
      <c r="AK118" s="53"/>
      <c r="AL118" s="53"/>
      <c r="AM118" s="53"/>
      <c r="AN118" s="72"/>
      <c r="AO118" s="53"/>
      <c r="AP118" s="53"/>
      <c r="AQ118" s="53"/>
      <c r="AR118" s="53"/>
      <c r="AS118" s="72"/>
      <c r="AT118" s="53"/>
    </row>
    <row r="119" spans="1:46" x14ac:dyDescent="0.25">
      <c r="A119" s="3"/>
      <c r="B119" s="58"/>
      <c r="C119" s="59"/>
      <c r="D119" s="3"/>
      <c r="E119" s="3"/>
      <c r="F119" s="3"/>
      <c r="G119" s="3"/>
      <c r="H119" s="27"/>
      <c r="I119" s="60"/>
      <c r="J119" s="61"/>
      <c r="K119" s="30"/>
      <c r="L119" s="30"/>
      <c r="M119" s="30"/>
      <c r="N119" s="30"/>
      <c r="O119" s="31"/>
      <c r="P119" s="30"/>
      <c r="Q119" s="62"/>
      <c r="R119" s="62"/>
      <c r="S119" s="62"/>
      <c r="T119" s="62"/>
      <c r="U119" s="419"/>
      <c r="V119" s="63"/>
      <c r="W119" s="42"/>
      <c r="X119" s="63"/>
      <c r="Y119" s="65"/>
      <c r="Z119" s="42"/>
      <c r="AA119" s="42"/>
      <c r="AB119" s="42"/>
      <c r="AC119" s="42"/>
      <c r="AD119" s="65"/>
      <c r="AE119" s="42"/>
      <c r="AF119" s="42"/>
      <c r="AG119" s="42"/>
      <c r="AH119" s="42"/>
      <c r="AI119" s="65"/>
      <c r="AJ119" s="42"/>
      <c r="AK119" s="42"/>
      <c r="AL119" s="42"/>
      <c r="AM119" s="42"/>
      <c r="AN119" s="65"/>
      <c r="AO119" s="42"/>
      <c r="AP119" s="42"/>
      <c r="AQ119" s="42"/>
      <c r="AR119" s="42"/>
      <c r="AS119" s="65"/>
      <c r="AT119" s="42"/>
    </row>
    <row r="120" spans="1:46" x14ac:dyDescent="0.25">
      <c r="A120" s="3"/>
      <c r="B120" s="58"/>
      <c r="C120" s="59"/>
      <c r="D120" s="3"/>
      <c r="E120" s="3"/>
      <c r="F120" s="3"/>
      <c r="G120" s="3"/>
      <c r="H120" s="27"/>
      <c r="I120" s="60"/>
      <c r="J120" s="61"/>
      <c r="K120" s="30"/>
      <c r="L120" s="30"/>
      <c r="M120" s="30"/>
      <c r="N120" s="30"/>
      <c r="O120" s="31"/>
      <c r="P120" s="30"/>
      <c r="Q120" s="62"/>
      <c r="R120" s="62"/>
      <c r="S120" s="62"/>
      <c r="T120" s="62"/>
      <c r="U120" s="419"/>
      <c r="V120" s="63"/>
      <c r="W120" s="42"/>
      <c r="X120" s="63"/>
      <c r="Y120" s="65"/>
      <c r="Z120" s="42"/>
      <c r="AA120" s="42"/>
      <c r="AB120" s="42"/>
      <c r="AC120" s="42"/>
      <c r="AD120" s="65"/>
      <c r="AE120" s="42"/>
      <c r="AF120" s="42"/>
      <c r="AG120" s="42"/>
      <c r="AH120" s="42"/>
      <c r="AI120" s="65"/>
      <c r="AJ120" s="42"/>
      <c r="AK120" s="42"/>
      <c r="AL120" s="42"/>
      <c r="AM120" s="42"/>
      <c r="AN120" s="65"/>
      <c r="AO120" s="42"/>
      <c r="AP120" s="42"/>
      <c r="AQ120" s="42"/>
      <c r="AR120" s="42"/>
      <c r="AS120" s="65"/>
      <c r="AT120" s="42"/>
    </row>
    <row r="121" spans="1:46" x14ac:dyDescent="0.25">
      <c r="A121" s="3"/>
      <c r="B121" s="58"/>
      <c r="C121" s="59"/>
      <c r="D121" s="3"/>
      <c r="E121" s="3"/>
      <c r="F121" s="3"/>
      <c r="G121" s="3"/>
      <c r="H121" s="27"/>
      <c r="I121" s="60"/>
      <c r="J121" s="61"/>
      <c r="K121" s="30"/>
      <c r="L121" s="30"/>
      <c r="M121" s="30"/>
      <c r="N121" s="30"/>
      <c r="O121" s="31"/>
      <c r="P121" s="30"/>
      <c r="Q121" s="62"/>
      <c r="R121" s="62"/>
      <c r="S121" s="62"/>
      <c r="T121" s="62"/>
      <c r="U121" s="419"/>
      <c r="V121" s="63"/>
      <c r="W121" s="42"/>
      <c r="X121" s="63"/>
      <c r="Y121" s="65"/>
      <c r="Z121" s="42"/>
      <c r="AA121" s="42"/>
      <c r="AB121" s="42"/>
      <c r="AC121" s="42"/>
      <c r="AD121" s="65"/>
      <c r="AE121" s="42"/>
      <c r="AF121" s="42"/>
      <c r="AG121" s="42"/>
      <c r="AH121" s="42"/>
      <c r="AI121" s="65"/>
      <c r="AJ121" s="42"/>
      <c r="AK121" s="42"/>
      <c r="AL121" s="42"/>
      <c r="AM121" s="42"/>
      <c r="AN121" s="65"/>
      <c r="AO121" s="42"/>
      <c r="AP121" s="42"/>
      <c r="AQ121" s="42"/>
      <c r="AR121" s="42"/>
      <c r="AS121" s="65"/>
      <c r="AT121" s="42"/>
    </row>
    <row r="122" spans="1:46" x14ac:dyDescent="0.25">
      <c r="A122" s="3"/>
      <c r="B122" s="58"/>
      <c r="C122" s="59"/>
      <c r="D122" s="3"/>
      <c r="E122" s="3"/>
      <c r="F122" s="3"/>
      <c r="G122" s="3"/>
      <c r="H122" s="27"/>
      <c r="I122" s="60"/>
      <c r="J122" s="61"/>
      <c r="K122" s="30"/>
      <c r="L122" s="30"/>
      <c r="M122" s="30"/>
      <c r="N122" s="30"/>
      <c r="O122" s="31"/>
      <c r="P122" s="30"/>
      <c r="Q122" s="62"/>
      <c r="R122" s="62"/>
      <c r="S122" s="62"/>
      <c r="T122" s="62"/>
      <c r="U122" s="419"/>
      <c r="V122" s="63"/>
      <c r="W122" s="42"/>
      <c r="X122" s="63"/>
      <c r="Y122" s="65"/>
      <c r="Z122" s="42"/>
      <c r="AA122" s="42"/>
      <c r="AB122" s="42"/>
      <c r="AC122" s="42"/>
      <c r="AD122" s="65"/>
      <c r="AE122" s="42"/>
      <c r="AF122" s="42"/>
      <c r="AG122" s="42"/>
      <c r="AH122" s="42"/>
      <c r="AI122" s="65"/>
      <c r="AJ122" s="42"/>
      <c r="AK122" s="42"/>
      <c r="AL122" s="42"/>
      <c r="AM122" s="42"/>
      <c r="AN122" s="65"/>
      <c r="AO122" s="42"/>
      <c r="AP122" s="42"/>
      <c r="AQ122" s="42"/>
      <c r="AR122" s="42"/>
      <c r="AS122" s="65"/>
      <c r="AT122" s="42"/>
    </row>
    <row r="123" spans="1:46" x14ac:dyDescent="0.25">
      <c r="A123" s="3"/>
      <c r="B123" s="58"/>
      <c r="C123" s="59"/>
      <c r="D123" s="3"/>
      <c r="E123" s="3"/>
      <c r="F123" s="3"/>
      <c r="G123" s="3"/>
      <c r="H123" s="27"/>
      <c r="I123" s="60"/>
      <c r="J123" s="61"/>
      <c r="K123" s="30"/>
      <c r="L123" s="30"/>
      <c r="M123" s="30"/>
      <c r="N123" s="30"/>
      <c r="O123" s="31"/>
      <c r="P123" s="30"/>
      <c r="Q123" s="62"/>
      <c r="R123" s="62"/>
      <c r="S123" s="62"/>
      <c r="T123" s="62"/>
      <c r="U123" s="419"/>
      <c r="V123" s="63"/>
      <c r="W123" s="42"/>
      <c r="X123" s="63"/>
      <c r="Y123" s="65"/>
      <c r="Z123" s="42"/>
      <c r="AA123" s="42"/>
      <c r="AB123" s="42"/>
      <c r="AC123" s="42"/>
      <c r="AD123" s="65"/>
      <c r="AE123" s="42"/>
      <c r="AF123" s="42"/>
      <c r="AG123" s="42"/>
      <c r="AH123" s="42"/>
      <c r="AI123" s="65"/>
      <c r="AJ123" s="42"/>
      <c r="AK123" s="42"/>
      <c r="AL123" s="42"/>
      <c r="AM123" s="42"/>
      <c r="AN123" s="65"/>
      <c r="AO123" s="42"/>
      <c r="AP123" s="42"/>
      <c r="AQ123" s="42"/>
      <c r="AR123" s="42"/>
      <c r="AS123" s="65"/>
      <c r="AT123" s="42"/>
    </row>
    <row r="124" spans="1:46" x14ac:dyDescent="0.25">
      <c r="A124" s="66"/>
      <c r="B124" s="67"/>
      <c r="C124" s="68"/>
      <c r="D124" s="66"/>
      <c r="E124" s="66"/>
      <c r="F124" s="66"/>
      <c r="G124" s="66"/>
      <c r="H124" s="48"/>
      <c r="I124" s="69"/>
      <c r="J124" s="70"/>
      <c r="K124" s="55"/>
      <c r="L124" s="55"/>
      <c r="M124" s="55"/>
      <c r="N124" s="55"/>
      <c r="O124" s="54"/>
      <c r="P124" s="55"/>
      <c r="Q124" s="55"/>
      <c r="R124" s="55"/>
      <c r="S124" s="55"/>
      <c r="T124" s="55"/>
      <c r="U124" s="419"/>
      <c r="V124" s="71"/>
      <c r="W124" s="53"/>
      <c r="X124" s="71"/>
      <c r="Y124" s="72"/>
      <c r="Z124" s="53"/>
      <c r="AA124" s="53"/>
      <c r="AB124" s="53"/>
      <c r="AC124" s="53"/>
      <c r="AD124" s="72"/>
      <c r="AE124" s="53"/>
      <c r="AF124" s="53"/>
      <c r="AG124" s="53"/>
      <c r="AH124" s="53"/>
      <c r="AI124" s="72"/>
      <c r="AJ124" s="53"/>
      <c r="AK124" s="53"/>
      <c r="AL124" s="53"/>
      <c r="AM124" s="53"/>
      <c r="AN124" s="72"/>
      <c r="AO124" s="53"/>
      <c r="AP124" s="53"/>
      <c r="AQ124" s="53"/>
      <c r="AR124" s="53"/>
      <c r="AS124" s="72"/>
      <c r="AT124" s="53"/>
    </row>
    <row r="125" spans="1:46" x14ac:dyDescent="0.25">
      <c r="A125" s="66"/>
      <c r="B125" s="67"/>
      <c r="C125" s="68"/>
      <c r="D125" s="66"/>
      <c r="E125" s="66"/>
      <c r="F125" s="66"/>
      <c r="G125" s="66"/>
      <c r="H125" s="48"/>
      <c r="I125" s="69"/>
      <c r="J125" s="70"/>
      <c r="K125" s="55"/>
      <c r="L125" s="55"/>
      <c r="M125" s="55"/>
      <c r="N125" s="55"/>
      <c r="O125" s="54"/>
      <c r="P125" s="55"/>
      <c r="Q125" s="55"/>
      <c r="R125" s="55"/>
      <c r="S125" s="55"/>
      <c r="T125" s="55"/>
      <c r="U125" s="419"/>
      <c r="V125" s="71"/>
      <c r="W125" s="53"/>
      <c r="X125" s="71"/>
      <c r="Y125" s="72"/>
      <c r="Z125" s="53"/>
      <c r="AA125" s="53"/>
      <c r="AB125" s="53"/>
      <c r="AC125" s="53"/>
      <c r="AD125" s="72"/>
      <c r="AE125" s="53"/>
      <c r="AF125" s="53"/>
      <c r="AG125" s="53"/>
      <c r="AH125" s="53"/>
      <c r="AI125" s="72"/>
      <c r="AJ125" s="53"/>
      <c r="AK125" s="53"/>
      <c r="AL125" s="53"/>
      <c r="AM125" s="53"/>
      <c r="AN125" s="72"/>
      <c r="AO125" s="53"/>
      <c r="AP125" s="53"/>
      <c r="AQ125" s="53"/>
      <c r="AR125" s="53"/>
      <c r="AS125" s="72"/>
      <c r="AT125" s="53"/>
    </row>
    <row r="126" spans="1:46" x14ac:dyDescent="0.25">
      <c r="A126" s="66"/>
      <c r="B126" s="67"/>
      <c r="C126" s="68"/>
      <c r="D126" s="66"/>
      <c r="E126" s="66"/>
      <c r="F126" s="66"/>
      <c r="G126" s="66"/>
      <c r="H126" s="48"/>
      <c r="I126" s="69"/>
      <c r="J126" s="70"/>
      <c r="K126" s="55"/>
      <c r="L126" s="55"/>
      <c r="M126" s="55"/>
      <c r="N126" s="55"/>
      <c r="O126" s="54"/>
      <c r="P126" s="55"/>
      <c r="Q126" s="55"/>
      <c r="R126" s="55"/>
      <c r="S126" s="55"/>
      <c r="T126" s="55"/>
      <c r="U126" s="419"/>
      <c r="V126" s="71"/>
      <c r="W126" s="53"/>
      <c r="X126" s="71"/>
      <c r="Y126" s="72"/>
      <c r="Z126" s="53"/>
      <c r="AA126" s="53"/>
      <c r="AB126" s="53"/>
      <c r="AC126" s="53"/>
      <c r="AD126" s="72"/>
      <c r="AE126" s="53"/>
      <c r="AF126" s="53"/>
      <c r="AG126" s="53"/>
      <c r="AH126" s="53"/>
      <c r="AI126" s="72"/>
      <c r="AJ126" s="53"/>
      <c r="AK126" s="53"/>
      <c r="AL126" s="53"/>
      <c r="AM126" s="53"/>
      <c r="AN126" s="72"/>
      <c r="AO126" s="53"/>
      <c r="AP126" s="53"/>
      <c r="AQ126" s="53"/>
      <c r="AR126" s="53"/>
      <c r="AS126" s="72"/>
      <c r="AT126" s="53"/>
    </row>
    <row r="127" spans="1:46" x14ac:dyDescent="0.25">
      <c r="A127" s="66"/>
      <c r="B127" s="67"/>
      <c r="C127" s="68"/>
      <c r="D127" s="66"/>
      <c r="E127" s="66"/>
      <c r="F127" s="66"/>
      <c r="G127" s="66"/>
      <c r="H127" s="48"/>
      <c r="I127" s="69"/>
      <c r="J127" s="70"/>
      <c r="K127" s="55"/>
      <c r="L127" s="55"/>
      <c r="M127" s="55"/>
      <c r="N127" s="55"/>
      <c r="O127" s="54"/>
      <c r="P127" s="55"/>
      <c r="Q127" s="55"/>
      <c r="R127" s="55"/>
      <c r="S127" s="55"/>
      <c r="T127" s="55"/>
      <c r="U127" s="419"/>
      <c r="V127" s="71"/>
      <c r="W127" s="53"/>
      <c r="X127" s="71"/>
      <c r="Y127" s="72"/>
      <c r="Z127" s="53"/>
      <c r="AA127" s="53"/>
      <c r="AB127" s="53"/>
      <c r="AC127" s="53"/>
      <c r="AD127" s="72"/>
      <c r="AE127" s="53"/>
      <c r="AF127" s="53"/>
      <c r="AG127" s="53"/>
      <c r="AH127" s="53"/>
      <c r="AI127" s="72"/>
      <c r="AJ127" s="53"/>
      <c r="AK127" s="53"/>
      <c r="AL127" s="53"/>
      <c r="AM127" s="53"/>
      <c r="AN127" s="72"/>
      <c r="AO127" s="53"/>
      <c r="AP127" s="53"/>
      <c r="AQ127" s="53"/>
      <c r="AR127" s="53"/>
      <c r="AS127" s="72"/>
      <c r="AT127" s="53"/>
    </row>
    <row r="128" spans="1:46" x14ac:dyDescent="0.25">
      <c r="A128" s="66"/>
      <c r="B128" s="67"/>
      <c r="C128" s="68"/>
      <c r="D128" s="66"/>
      <c r="E128" s="66"/>
      <c r="F128" s="66"/>
      <c r="G128" s="66"/>
      <c r="H128" s="48"/>
      <c r="I128" s="69"/>
      <c r="J128" s="70"/>
      <c r="K128" s="55"/>
      <c r="L128" s="55"/>
      <c r="M128" s="55"/>
      <c r="N128" s="55"/>
      <c r="O128" s="54"/>
      <c r="P128" s="55"/>
      <c r="Q128" s="55"/>
      <c r="R128" s="55"/>
      <c r="S128" s="55"/>
      <c r="T128" s="55"/>
      <c r="U128" s="419"/>
      <c r="V128" s="71"/>
      <c r="W128" s="53"/>
      <c r="X128" s="71"/>
      <c r="Y128" s="72"/>
      <c r="Z128" s="53"/>
      <c r="AA128" s="53"/>
      <c r="AB128" s="53"/>
      <c r="AC128" s="53"/>
      <c r="AD128" s="72"/>
      <c r="AE128" s="53"/>
      <c r="AF128" s="53"/>
      <c r="AG128" s="53"/>
      <c r="AH128" s="53"/>
      <c r="AI128" s="72"/>
      <c r="AJ128" s="53"/>
      <c r="AK128" s="53"/>
      <c r="AL128" s="53"/>
      <c r="AM128" s="53"/>
      <c r="AN128" s="72"/>
      <c r="AO128" s="53"/>
      <c r="AP128" s="53"/>
      <c r="AQ128" s="53"/>
      <c r="AR128" s="53"/>
      <c r="AS128" s="72"/>
      <c r="AT128" s="53"/>
    </row>
    <row r="129" spans="1:46" x14ac:dyDescent="0.25">
      <c r="A129" s="3"/>
      <c r="B129" s="58"/>
      <c r="C129" s="59"/>
      <c r="D129" s="3"/>
      <c r="E129" s="3"/>
      <c r="F129" s="3"/>
      <c r="G129" s="3"/>
      <c r="H129" s="27"/>
      <c r="I129" s="60"/>
      <c r="J129" s="61"/>
      <c r="K129" s="30"/>
      <c r="L129" s="30"/>
      <c r="M129" s="30"/>
      <c r="N129" s="30"/>
      <c r="O129" s="31"/>
      <c r="P129" s="30"/>
      <c r="Q129" s="62"/>
      <c r="R129" s="62"/>
      <c r="S129" s="62"/>
      <c r="T129" s="62"/>
      <c r="U129" s="419"/>
      <c r="V129" s="63"/>
      <c r="W129" s="42"/>
      <c r="X129" s="63"/>
      <c r="Y129" s="65"/>
      <c r="Z129" s="42"/>
      <c r="AA129" s="42"/>
      <c r="AB129" s="42"/>
      <c r="AC129" s="42"/>
      <c r="AD129" s="65"/>
      <c r="AE129" s="42"/>
      <c r="AF129" s="42"/>
      <c r="AG129" s="42"/>
      <c r="AH129" s="42"/>
      <c r="AI129" s="65"/>
      <c r="AJ129" s="42"/>
      <c r="AK129" s="42"/>
      <c r="AL129" s="42"/>
      <c r="AM129" s="42"/>
      <c r="AN129" s="65"/>
      <c r="AO129" s="42"/>
      <c r="AP129" s="42"/>
      <c r="AQ129" s="42"/>
      <c r="AR129" s="42"/>
      <c r="AS129" s="65"/>
      <c r="AT129" s="42"/>
    </row>
    <row r="130" spans="1:46" x14ac:dyDescent="0.25">
      <c r="A130" s="3"/>
      <c r="B130" s="58"/>
      <c r="C130" s="59"/>
      <c r="D130" s="3"/>
      <c r="E130" s="3"/>
      <c r="F130" s="3"/>
      <c r="G130" s="3"/>
      <c r="H130" s="27"/>
      <c r="I130" s="60"/>
      <c r="J130" s="61"/>
      <c r="K130" s="30"/>
      <c r="L130" s="30"/>
      <c r="M130" s="30"/>
      <c r="N130" s="30"/>
      <c r="O130" s="31"/>
      <c r="P130" s="30"/>
      <c r="Q130" s="62"/>
      <c r="R130" s="62"/>
      <c r="S130" s="62"/>
      <c r="T130" s="62"/>
      <c r="U130" s="419"/>
      <c r="V130" s="63"/>
      <c r="W130" s="42"/>
      <c r="X130" s="63"/>
      <c r="Y130" s="65"/>
      <c r="Z130" s="42"/>
      <c r="AA130" s="42"/>
      <c r="AB130" s="42"/>
      <c r="AC130" s="42"/>
      <c r="AD130" s="65"/>
      <c r="AE130" s="42"/>
      <c r="AF130" s="42"/>
      <c r="AG130" s="42"/>
      <c r="AH130" s="42"/>
      <c r="AI130" s="65"/>
      <c r="AJ130" s="42"/>
      <c r="AK130" s="42"/>
      <c r="AL130" s="42"/>
      <c r="AM130" s="42"/>
      <c r="AN130" s="65"/>
      <c r="AO130" s="42"/>
      <c r="AP130" s="42"/>
      <c r="AQ130" s="42"/>
      <c r="AR130" s="42"/>
      <c r="AS130" s="65"/>
      <c r="AT130" s="42"/>
    </row>
    <row r="131" spans="1:46" x14ac:dyDescent="0.25">
      <c r="A131" s="3"/>
      <c r="B131" s="58"/>
      <c r="C131" s="59"/>
      <c r="D131" s="3"/>
      <c r="E131" s="3"/>
      <c r="F131" s="3"/>
      <c r="G131" s="3"/>
      <c r="H131" s="27"/>
      <c r="I131" s="60"/>
      <c r="J131" s="61"/>
      <c r="K131" s="30"/>
      <c r="L131" s="30"/>
      <c r="M131" s="30"/>
      <c r="N131" s="30"/>
      <c r="O131" s="31"/>
      <c r="P131" s="30"/>
      <c r="Q131" s="62"/>
      <c r="R131" s="62"/>
      <c r="S131" s="62"/>
      <c r="T131" s="62"/>
      <c r="U131" s="419"/>
      <c r="V131" s="63"/>
      <c r="W131" s="42"/>
      <c r="X131" s="63"/>
      <c r="Y131" s="65"/>
      <c r="Z131" s="42"/>
      <c r="AA131" s="42"/>
      <c r="AB131" s="42"/>
      <c r="AC131" s="42"/>
      <c r="AD131" s="65"/>
      <c r="AE131" s="42"/>
      <c r="AF131" s="42"/>
      <c r="AG131" s="42"/>
      <c r="AH131" s="42"/>
      <c r="AI131" s="65"/>
      <c r="AJ131" s="42"/>
      <c r="AK131" s="42"/>
      <c r="AL131" s="42"/>
      <c r="AM131" s="42"/>
      <c r="AN131" s="65"/>
      <c r="AO131" s="42"/>
      <c r="AP131" s="42"/>
      <c r="AQ131" s="42"/>
      <c r="AR131" s="42"/>
      <c r="AS131" s="65"/>
      <c r="AT131" s="42"/>
    </row>
    <row r="132" spans="1:46" x14ac:dyDescent="0.25">
      <c r="A132" s="3"/>
      <c r="B132" s="58"/>
      <c r="C132" s="59"/>
      <c r="D132" s="3"/>
      <c r="E132" s="3"/>
      <c r="F132" s="3"/>
      <c r="G132" s="3"/>
      <c r="H132" s="27"/>
      <c r="I132" s="60"/>
      <c r="J132" s="61"/>
      <c r="K132" s="30"/>
      <c r="L132" s="30"/>
      <c r="M132" s="30"/>
      <c r="N132" s="30"/>
      <c r="O132" s="31"/>
      <c r="P132" s="30"/>
      <c r="Q132" s="62"/>
      <c r="R132" s="62"/>
      <c r="S132" s="62"/>
      <c r="T132" s="62"/>
      <c r="U132" s="419"/>
      <c r="V132" s="63"/>
      <c r="W132" s="42"/>
      <c r="X132" s="63"/>
      <c r="Y132" s="65"/>
      <c r="Z132" s="42"/>
      <c r="AA132" s="42"/>
      <c r="AB132" s="42"/>
      <c r="AC132" s="42"/>
      <c r="AD132" s="65"/>
      <c r="AE132" s="42"/>
      <c r="AF132" s="42"/>
      <c r="AG132" s="42"/>
      <c r="AH132" s="42"/>
      <c r="AI132" s="65"/>
      <c r="AJ132" s="42"/>
      <c r="AK132" s="42"/>
      <c r="AL132" s="42"/>
      <c r="AM132" s="42"/>
      <c r="AN132" s="65"/>
      <c r="AO132" s="42"/>
      <c r="AP132" s="42"/>
      <c r="AQ132" s="42"/>
      <c r="AR132" s="42"/>
      <c r="AS132" s="65"/>
      <c r="AT132" s="42"/>
    </row>
    <row r="133" spans="1:46" x14ac:dyDescent="0.25">
      <c r="A133" s="3"/>
      <c r="B133" s="58"/>
      <c r="C133" s="59"/>
      <c r="D133" s="3"/>
      <c r="E133" s="3"/>
      <c r="F133" s="3"/>
      <c r="G133" s="3"/>
      <c r="H133" s="27"/>
      <c r="I133" s="60"/>
      <c r="J133" s="61"/>
      <c r="K133" s="30"/>
      <c r="L133" s="30"/>
      <c r="M133" s="30"/>
      <c r="N133" s="30"/>
      <c r="O133" s="31"/>
      <c r="P133" s="30"/>
      <c r="Q133" s="62"/>
      <c r="R133" s="62"/>
      <c r="S133" s="62"/>
      <c r="T133" s="62"/>
      <c r="U133" s="419"/>
      <c r="V133" s="63"/>
      <c r="W133" s="42"/>
      <c r="X133" s="63"/>
      <c r="Y133" s="65"/>
      <c r="Z133" s="42"/>
      <c r="AA133" s="42"/>
      <c r="AB133" s="42"/>
      <c r="AC133" s="42"/>
      <c r="AD133" s="65"/>
      <c r="AE133" s="42"/>
      <c r="AF133" s="42"/>
      <c r="AG133" s="42"/>
      <c r="AH133" s="42"/>
      <c r="AI133" s="65"/>
      <c r="AJ133" s="42"/>
      <c r="AK133" s="42"/>
      <c r="AL133" s="42"/>
      <c r="AM133" s="42"/>
      <c r="AN133" s="65"/>
      <c r="AO133" s="42"/>
      <c r="AP133" s="42"/>
      <c r="AQ133" s="42"/>
      <c r="AR133" s="42"/>
      <c r="AS133" s="65"/>
      <c r="AT133" s="42"/>
    </row>
    <row r="134" spans="1:46" x14ac:dyDescent="0.25">
      <c r="A134" s="66"/>
      <c r="B134" s="67"/>
      <c r="C134" s="68"/>
      <c r="D134" s="66"/>
      <c r="E134" s="66"/>
      <c r="F134" s="66"/>
      <c r="G134" s="66"/>
      <c r="H134" s="48"/>
      <c r="I134" s="69"/>
      <c r="J134" s="70"/>
      <c r="K134" s="55"/>
      <c r="L134" s="55"/>
      <c r="M134" s="55"/>
      <c r="N134" s="55"/>
      <c r="O134" s="54"/>
      <c r="P134" s="55"/>
      <c r="Q134" s="55"/>
      <c r="R134" s="55"/>
      <c r="S134" s="55"/>
      <c r="T134" s="55"/>
      <c r="U134" s="419"/>
      <c r="V134" s="71"/>
      <c r="W134" s="53"/>
      <c r="X134" s="71"/>
      <c r="Y134" s="72"/>
      <c r="Z134" s="53"/>
      <c r="AA134" s="53"/>
      <c r="AB134" s="53"/>
      <c r="AC134" s="53"/>
      <c r="AD134" s="72"/>
      <c r="AE134" s="53"/>
      <c r="AF134" s="53"/>
      <c r="AG134" s="53"/>
      <c r="AH134" s="53"/>
      <c r="AI134" s="72"/>
      <c r="AJ134" s="53"/>
      <c r="AK134" s="53"/>
      <c r="AL134" s="53"/>
      <c r="AM134" s="53"/>
      <c r="AN134" s="72"/>
      <c r="AO134" s="53"/>
      <c r="AP134" s="53"/>
      <c r="AQ134" s="53"/>
      <c r="AR134" s="53"/>
      <c r="AS134" s="72"/>
      <c r="AT134" s="53"/>
    </row>
    <row r="135" spans="1:46" x14ac:dyDescent="0.25">
      <c r="A135" s="66"/>
      <c r="B135" s="67"/>
      <c r="C135" s="68"/>
      <c r="D135" s="66"/>
      <c r="E135" s="66"/>
      <c r="F135" s="66"/>
      <c r="G135" s="66"/>
      <c r="H135" s="48"/>
      <c r="I135" s="69"/>
      <c r="J135" s="70"/>
      <c r="K135" s="55"/>
      <c r="L135" s="55"/>
      <c r="M135" s="55"/>
      <c r="N135" s="55"/>
      <c r="O135" s="54"/>
      <c r="P135" s="55"/>
      <c r="Q135" s="55"/>
      <c r="R135" s="55"/>
      <c r="S135" s="55"/>
      <c r="T135" s="55"/>
      <c r="U135" s="419"/>
      <c r="V135" s="71"/>
      <c r="W135" s="53"/>
      <c r="X135" s="71"/>
      <c r="Y135" s="72"/>
      <c r="Z135" s="53"/>
      <c r="AA135" s="53"/>
      <c r="AB135" s="53"/>
      <c r="AC135" s="53"/>
      <c r="AD135" s="72"/>
      <c r="AE135" s="53"/>
      <c r="AF135" s="53"/>
      <c r="AG135" s="53"/>
      <c r="AH135" s="53"/>
      <c r="AI135" s="72"/>
      <c r="AJ135" s="53"/>
      <c r="AK135" s="53"/>
      <c r="AL135" s="53"/>
      <c r="AM135" s="53"/>
      <c r="AN135" s="72"/>
      <c r="AO135" s="53"/>
      <c r="AP135" s="53"/>
      <c r="AQ135" s="53"/>
      <c r="AR135" s="53"/>
      <c r="AS135" s="72"/>
      <c r="AT135" s="53"/>
    </row>
    <row r="136" spans="1:46" x14ac:dyDescent="0.25">
      <c r="A136" s="66"/>
      <c r="B136" s="67"/>
      <c r="C136" s="68"/>
      <c r="D136" s="66"/>
      <c r="E136" s="66"/>
      <c r="F136" s="66"/>
      <c r="G136" s="66"/>
      <c r="H136" s="48"/>
      <c r="I136" s="69"/>
      <c r="J136" s="70"/>
      <c r="K136" s="55"/>
      <c r="L136" s="55"/>
      <c r="M136" s="55"/>
      <c r="N136" s="55"/>
      <c r="O136" s="54"/>
      <c r="P136" s="55"/>
      <c r="Q136" s="55"/>
      <c r="R136" s="55"/>
      <c r="S136" s="55"/>
      <c r="T136" s="55"/>
      <c r="U136" s="419"/>
      <c r="V136" s="71"/>
      <c r="W136" s="53"/>
      <c r="X136" s="71"/>
      <c r="Y136" s="72"/>
      <c r="Z136" s="53"/>
      <c r="AA136" s="53"/>
      <c r="AB136" s="53"/>
      <c r="AC136" s="53"/>
      <c r="AD136" s="72"/>
      <c r="AE136" s="53"/>
      <c r="AF136" s="53"/>
      <c r="AG136" s="53"/>
      <c r="AH136" s="53"/>
      <c r="AI136" s="72"/>
      <c r="AJ136" s="53"/>
      <c r="AK136" s="53"/>
      <c r="AL136" s="53"/>
      <c r="AM136" s="53"/>
      <c r="AN136" s="72"/>
      <c r="AO136" s="53"/>
      <c r="AP136" s="53"/>
      <c r="AQ136" s="53"/>
      <c r="AR136" s="53"/>
      <c r="AS136" s="72"/>
      <c r="AT136" s="53"/>
    </row>
    <row r="137" spans="1:46" x14ac:dyDescent="0.25">
      <c r="A137" s="66"/>
      <c r="B137" s="67"/>
      <c r="C137" s="68"/>
      <c r="D137" s="66"/>
      <c r="E137" s="66"/>
      <c r="F137" s="66"/>
      <c r="G137" s="66"/>
      <c r="H137" s="48"/>
      <c r="I137" s="69"/>
      <c r="J137" s="70"/>
      <c r="K137" s="55"/>
      <c r="L137" s="55"/>
      <c r="M137" s="55"/>
      <c r="N137" s="55"/>
      <c r="O137" s="54"/>
      <c r="P137" s="55"/>
      <c r="Q137" s="55"/>
      <c r="R137" s="55"/>
      <c r="S137" s="55"/>
      <c r="T137" s="55"/>
      <c r="U137" s="419"/>
      <c r="V137" s="71"/>
      <c r="W137" s="53"/>
      <c r="X137" s="71"/>
      <c r="Y137" s="72"/>
      <c r="Z137" s="53"/>
      <c r="AA137" s="53"/>
      <c r="AB137" s="53"/>
      <c r="AC137" s="53"/>
      <c r="AD137" s="72"/>
      <c r="AE137" s="53"/>
      <c r="AF137" s="53"/>
      <c r="AG137" s="53"/>
      <c r="AH137" s="53"/>
      <c r="AI137" s="72"/>
      <c r="AJ137" s="53"/>
      <c r="AK137" s="53"/>
      <c r="AL137" s="53"/>
      <c r="AM137" s="53"/>
      <c r="AN137" s="72"/>
      <c r="AO137" s="53"/>
      <c r="AP137" s="53"/>
      <c r="AQ137" s="53"/>
      <c r="AR137" s="53"/>
      <c r="AS137" s="72"/>
      <c r="AT137" s="53"/>
    </row>
    <row r="138" spans="1:46" x14ac:dyDescent="0.25">
      <c r="A138" s="66"/>
      <c r="B138" s="67"/>
      <c r="C138" s="68"/>
      <c r="D138" s="66"/>
      <c r="E138" s="66"/>
      <c r="F138" s="66"/>
      <c r="G138" s="66"/>
      <c r="H138" s="48"/>
      <c r="I138" s="69"/>
      <c r="J138" s="70"/>
      <c r="K138" s="55"/>
      <c r="L138" s="55"/>
      <c r="M138" s="55"/>
      <c r="N138" s="55"/>
      <c r="O138" s="54"/>
      <c r="P138" s="55"/>
      <c r="Q138" s="55"/>
      <c r="R138" s="55"/>
      <c r="S138" s="55"/>
      <c r="T138" s="55"/>
      <c r="U138" s="419"/>
      <c r="V138" s="71"/>
      <c r="W138" s="53"/>
      <c r="X138" s="71"/>
      <c r="Y138" s="72"/>
      <c r="Z138" s="53"/>
      <c r="AA138" s="53"/>
      <c r="AB138" s="53"/>
      <c r="AC138" s="53"/>
      <c r="AD138" s="72"/>
      <c r="AE138" s="53"/>
      <c r="AF138" s="53"/>
      <c r="AG138" s="53"/>
      <c r="AH138" s="53"/>
      <c r="AI138" s="72"/>
      <c r="AJ138" s="53"/>
      <c r="AK138" s="53"/>
      <c r="AL138" s="53"/>
      <c r="AM138" s="53"/>
      <c r="AN138" s="72"/>
      <c r="AO138" s="53"/>
      <c r="AP138" s="53"/>
      <c r="AQ138" s="53"/>
      <c r="AR138" s="53"/>
      <c r="AS138" s="72"/>
      <c r="AT138" s="53"/>
    </row>
    <row r="139" spans="1:46" x14ac:dyDescent="0.25">
      <c r="A139" s="3"/>
      <c r="B139" s="58"/>
      <c r="C139" s="59"/>
      <c r="D139" s="3"/>
      <c r="E139" s="3"/>
      <c r="F139" s="3"/>
      <c r="G139" s="3"/>
      <c r="H139" s="27"/>
      <c r="I139" s="60"/>
      <c r="J139" s="61"/>
      <c r="K139" s="30"/>
      <c r="L139" s="30"/>
      <c r="M139" s="30"/>
      <c r="N139" s="30"/>
      <c r="O139" s="31"/>
      <c r="P139" s="30"/>
      <c r="Q139" s="62"/>
      <c r="R139" s="62"/>
      <c r="S139" s="62"/>
      <c r="T139" s="62"/>
      <c r="U139" s="419"/>
      <c r="V139" s="63"/>
      <c r="W139" s="42"/>
      <c r="X139" s="63"/>
      <c r="Y139" s="65"/>
      <c r="Z139" s="42"/>
      <c r="AA139" s="42"/>
      <c r="AB139" s="42"/>
      <c r="AC139" s="42"/>
      <c r="AD139" s="65"/>
      <c r="AE139" s="42"/>
      <c r="AF139" s="42"/>
      <c r="AG139" s="42"/>
      <c r="AH139" s="42"/>
      <c r="AI139" s="65"/>
      <c r="AJ139" s="42"/>
      <c r="AK139" s="42"/>
      <c r="AL139" s="42"/>
      <c r="AM139" s="42"/>
      <c r="AN139" s="65"/>
      <c r="AO139" s="42"/>
      <c r="AP139" s="42"/>
      <c r="AQ139" s="42"/>
      <c r="AR139" s="42"/>
      <c r="AS139" s="65"/>
      <c r="AT139" s="42"/>
    </row>
    <row r="140" spans="1:46" x14ac:dyDescent="0.25">
      <c r="A140" s="3"/>
      <c r="B140" s="58"/>
      <c r="C140" s="59"/>
      <c r="D140" s="3"/>
      <c r="E140" s="3"/>
      <c r="F140" s="3"/>
      <c r="G140" s="3"/>
      <c r="H140" s="27"/>
      <c r="I140" s="60"/>
      <c r="J140" s="61"/>
      <c r="K140" s="30"/>
      <c r="L140" s="30"/>
      <c r="M140" s="30"/>
      <c r="N140" s="30"/>
      <c r="O140" s="31"/>
      <c r="P140" s="30"/>
      <c r="Q140" s="62"/>
      <c r="R140" s="62"/>
      <c r="S140" s="62"/>
      <c r="T140" s="62"/>
      <c r="U140" s="419"/>
      <c r="V140" s="63"/>
      <c r="W140" s="42"/>
      <c r="X140" s="63"/>
      <c r="Y140" s="65"/>
      <c r="Z140" s="42"/>
      <c r="AA140" s="42"/>
      <c r="AB140" s="42"/>
      <c r="AC140" s="42"/>
      <c r="AD140" s="65"/>
      <c r="AE140" s="42"/>
      <c r="AF140" s="42"/>
      <c r="AG140" s="42"/>
      <c r="AH140" s="42"/>
      <c r="AI140" s="65"/>
      <c r="AJ140" s="42"/>
      <c r="AK140" s="42"/>
      <c r="AL140" s="42"/>
      <c r="AM140" s="42"/>
      <c r="AN140" s="65"/>
      <c r="AO140" s="42"/>
      <c r="AP140" s="42"/>
      <c r="AQ140" s="42"/>
      <c r="AR140" s="42"/>
      <c r="AS140" s="65"/>
      <c r="AT140" s="42"/>
    </row>
    <row r="141" spans="1:46" x14ac:dyDescent="0.25">
      <c r="A141" s="3"/>
      <c r="B141" s="58"/>
      <c r="C141" s="59"/>
      <c r="D141" s="3"/>
      <c r="E141" s="3"/>
      <c r="F141" s="3"/>
      <c r="G141" s="3"/>
      <c r="H141" s="27"/>
      <c r="I141" s="60"/>
      <c r="J141" s="61"/>
      <c r="K141" s="30"/>
      <c r="L141" s="30"/>
      <c r="M141" s="30"/>
      <c r="N141" s="30"/>
      <c r="O141" s="31"/>
      <c r="P141" s="30"/>
      <c r="Q141" s="62"/>
      <c r="R141" s="62"/>
      <c r="S141" s="62"/>
      <c r="T141" s="62"/>
      <c r="U141" s="419"/>
      <c r="V141" s="63"/>
      <c r="W141" s="42"/>
      <c r="X141" s="63"/>
      <c r="Y141" s="65"/>
      <c r="Z141" s="42"/>
      <c r="AA141" s="42"/>
      <c r="AB141" s="42"/>
      <c r="AC141" s="42"/>
      <c r="AD141" s="65"/>
      <c r="AE141" s="42"/>
      <c r="AF141" s="42"/>
      <c r="AG141" s="42"/>
      <c r="AH141" s="42"/>
      <c r="AI141" s="65"/>
      <c r="AJ141" s="42"/>
      <c r="AK141" s="42"/>
      <c r="AL141" s="42"/>
      <c r="AM141" s="42"/>
      <c r="AN141" s="65"/>
      <c r="AO141" s="42"/>
      <c r="AP141" s="42"/>
      <c r="AQ141" s="42"/>
      <c r="AR141" s="42"/>
      <c r="AS141" s="65"/>
      <c r="AT141" s="42"/>
    </row>
    <row r="142" spans="1:46" x14ac:dyDescent="0.25">
      <c r="A142" s="3"/>
      <c r="B142" s="58"/>
      <c r="C142" s="59"/>
      <c r="D142" s="3"/>
      <c r="E142" s="3"/>
      <c r="F142" s="3"/>
      <c r="G142" s="3"/>
      <c r="H142" s="27"/>
      <c r="I142" s="60"/>
      <c r="J142" s="61"/>
      <c r="K142" s="30"/>
      <c r="L142" s="30"/>
      <c r="M142" s="30"/>
      <c r="N142" s="30"/>
      <c r="O142" s="31"/>
      <c r="P142" s="30"/>
      <c r="Q142" s="62"/>
      <c r="R142" s="62"/>
      <c r="S142" s="62"/>
      <c r="T142" s="62"/>
      <c r="U142" s="419"/>
      <c r="V142" s="63"/>
      <c r="W142" s="42"/>
      <c r="X142" s="63"/>
      <c r="Y142" s="65"/>
      <c r="Z142" s="42"/>
      <c r="AA142" s="42"/>
      <c r="AB142" s="42"/>
      <c r="AC142" s="42"/>
      <c r="AD142" s="65"/>
      <c r="AE142" s="42"/>
      <c r="AF142" s="42"/>
      <c r="AG142" s="42"/>
      <c r="AH142" s="42"/>
      <c r="AI142" s="65"/>
      <c r="AJ142" s="42"/>
      <c r="AK142" s="42"/>
      <c r="AL142" s="42"/>
      <c r="AM142" s="42"/>
      <c r="AN142" s="65"/>
      <c r="AO142" s="42"/>
      <c r="AP142" s="42"/>
      <c r="AQ142" s="42"/>
      <c r="AR142" s="42"/>
      <c r="AS142" s="65"/>
      <c r="AT142" s="42"/>
    </row>
    <row r="143" spans="1:46" x14ac:dyDescent="0.25">
      <c r="A143" s="3"/>
      <c r="B143" s="58"/>
      <c r="C143" s="59"/>
      <c r="D143" s="3"/>
      <c r="E143" s="3"/>
      <c r="F143" s="3"/>
      <c r="G143" s="3"/>
      <c r="H143" s="27"/>
      <c r="I143" s="60"/>
      <c r="J143" s="61"/>
      <c r="K143" s="30"/>
      <c r="L143" s="30"/>
      <c r="M143" s="30"/>
      <c r="N143" s="30"/>
      <c r="O143" s="31"/>
      <c r="P143" s="30"/>
      <c r="Q143" s="62"/>
      <c r="R143" s="62"/>
      <c r="S143" s="62"/>
      <c r="T143" s="62"/>
      <c r="U143" s="419"/>
      <c r="V143" s="63"/>
      <c r="W143" s="42"/>
      <c r="X143" s="63"/>
      <c r="Y143" s="65"/>
      <c r="Z143" s="42"/>
      <c r="AA143" s="42"/>
      <c r="AB143" s="42"/>
      <c r="AC143" s="42"/>
      <c r="AD143" s="65"/>
      <c r="AE143" s="42"/>
      <c r="AF143" s="42"/>
      <c r="AG143" s="42"/>
      <c r="AH143" s="42"/>
      <c r="AI143" s="65"/>
      <c r="AJ143" s="42"/>
      <c r="AK143" s="42"/>
      <c r="AL143" s="42"/>
      <c r="AM143" s="42"/>
      <c r="AN143" s="65"/>
      <c r="AO143" s="42"/>
      <c r="AP143" s="42"/>
      <c r="AQ143" s="42"/>
      <c r="AR143" s="42"/>
      <c r="AS143" s="65"/>
      <c r="AT143" s="42"/>
    </row>
    <row r="144" spans="1:46" x14ac:dyDescent="0.25">
      <c r="A144" s="66"/>
      <c r="B144" s="67"/>
      <c r="C144" s="68"/>
      <c r="D144" s="66"/>
      <c r="E144" s="66"/>
      <c r="F144" s="66"/>
      <c r="G144" s="66"/>
      <c r="H144" s="48"/>
      <c r="I144" s="69"/>
      <c r="J144" s="70"/>
      <c r="K144" s="55"/>
      <c r="L144" s="55"/>
      <c r="M144" s="55"/>
      <c r="N144" s="55"/>
      <c r="O144" s="54"/>
      <c r="P144" s="55"/>
      <c r="Q144" s="55"/>
      <c r="R144" s="55"/>
      <c r="S144" s="55"/>
      <c r="T144" s="55"/>
      <c r="U144" s="419"/>
      <c r="V144" s="71"/>
      <c r="W144" s="53"/>
      <c r="X144" s="71"/>
      <c r="Y144" s="72"/>
      <c r="Z144" s="53"/>
      <c r="AA144" s="53"/>
      <c r="AB144" s="53"/>
      <c r="AC144" s="53"/>
      <c r="AD144" s="72"/>
      <c r="AE144" s="53"/>
      <c r="AF144" s="53"/>
      <c r="AG144" s="53"/>
      <c r="AH144" s="53"/>
      <c r="AI144" s="72"/>
      <c r="AJ144" s="53"/>
      <c r="AK144" s="53"/>
      <c r="AL144" s="53"/>
      <c r="AM144" s="53"/>
      <c r="AN144" s="72"/>
      <c r="AO144" s="53"/>
      <c r="AP144" s="53"/>
      <c r="AQ144" s="53"/>
      <c r="AR144" s="53"/>
      <c r="AS144" s="72"/>
      <c r="AT144" s="53"/>
    </row>
    <row r="145" spans="1:46" x14ac:dyDescent="0.25">
      <c r="A145" s="66"/>
      <c r="B145" s="67"/>
      <c r="C145" s="68"/>
      <c r="D145" s="66"/>
      <c r="E145" s="66"/>
      <c r="F145" s="66"/>
      <c r="G145" s="66"/>
      <c r="H145" s="48"/>
      <c r="I145" s="69"/>
      <c r="J145" s="70"/>
      <c r="K145" s="55"/>
      <c r="L145" s="55"/>
      <c r="M145" s="55"/>
      <c r="N145" s="55"/>
      <c r="O145" s="54"/>
      <c r="P145" s="55"/>
      <c r="Q145" s="55"/>
      <c r="R145" s="55"/>
      <c r="S145" s="55"/>
      <c r="T145" s="55"/>
      <c r="U145" s="419"/>
      <c r="V145" s="71"/>
      <c r="W145" s="53"/>
      <c r="X145" s="71"/>
      <c r="Y145" s="72"/>
      <c r="Z145" s="53"/>
      <c r="AA145" s="53"/>
      <c r="AB145" s="53"/>
      <c r="AC145" s="53"/>
      <c r="AD145" s="72"/>
      <c r="AE145" s="53"/>
      <c r="AF145" s="53"/>
      <c r="AG145" s="53"/>
      <c r="AH145" s="53"/>
      <c r="AI145" s="72"/>
      <c r="AJ145" s="53"/>
      <c r="AK145" s="53"/>
      <c r="AL145" s="53"/>
      <c r="AM145" s="53"/>
      <c r="AN145" s="72"/>
      <c r="AO145" s="53"/>
      <c r="AP145" s="53"/>
      <c r="AQ145" s="53"/>
      <c r="AR145" s="53"/>
      <c r="AS145" s="72"/>
      <c r="AT145" s="53"/>
    </row>
    <row r="146" spans="1:46" x14ac:dyDescent="0.25">
      <c r="A146" s="66"/>
      <c r="B146" s="67"/>
      <c r="C146" s="68"/>
      <c r="D146" s="66"/>
      <c r="E146" s="66"/>
      <c r="F146" s="66"/>
      <c r="G146" s="66"/>
      <c r="H146" s="48"/>
      <c r="I146" s="69"/>
      <c r="J146" s="70"/>
      <c r="K146" s="55"/>
      <c r="L146" s="55"/>
      <c r="M146" s="55"/>
      <c r="N146" s="55"/>
      <c r="O146" s="54"/>
      <c r="P146" s="55"/>
      <c r="Q146" s="55"/>
      <c r="R146" s="55"/>
      <c r="S146" s="55"/>
      <c r="T146" s="55"/>
      <c r="U146" s="419"/>
      <c r="V146" s="71"/>
      <c r="W146" s="53"/>
      <c r="X146" s="71"/>
      <c r="Y146" s="72"/>
      <c r="Z146" s="53"/>
      <c r="AA146" s="53"/>
      <c r="AB146" s="53"/>
      <c r="AC146" s="53"/>
      <c r="AD146" s="72"/>
      <c r="AE146" s="53"/>
      <c r="AF146" s="53"/>
      <c r="AG146" s="53"/>
      <c r="AH146" s="53"/>
      <c r="AI146" s="72"/>
      <c r="AJ146" s="53"/>
      <c r="AK146" s="53"/>
      <c r="AL146" s="53"/>
      <c r="AM146" s="53"/>
      <c r="AN146" s="72"/>
      <c r="AO146" s="53"/>
      <c r="AP146" s="53"/>
      <c r="AQ146" s="53"/>
      <c r="AR146" s="53"/>
      <c r="AS146" s="72"/>
      <c r="AT146" s="53"/>
    </row>
    <row r="147" spans="1:46" x14ac:dyDescent="0.25">
      <c r="A147" s="66"/>
      <c r="B147" s="67"/>
      <c r="C147" s="68"/>
      <c r="D147" s="66"/>
      <c r="E147" s="66"/>
      <c r="F147" s="66"/>
      <c r="G147" s="66"/>
      <c r="H147" s="48"/>
      <c r="I147" s="69"/>
      <c r="J147" s="70"/>
      <c r="K147" s="55"/>
      <c r="L147" s="55"/>
      <c r="M147" s="55"/>
      <c r="N147" s="55"/>
      <c r="O147" s="54"/>
      <c r="P147" s="55"/>
      <c r="Q147" s="55"/>
      <c r="R147" s="55"/>
      <c r="S147" s="55"/>
      <c r="T147" s="55"/>
      <c r="U147" s="419"/>
      <c r="V147" s="71"/>
      <c r="W147" s="53"/>
      <c r="X147" s="71"/>
      <c r="Y147" s="72"/>
      <c r="Z147" s="53"/>
      <c r="AA147" s="53"/>
      <c r="AB147" s="53"/>
      <c r="AC147" s="53"/>
      <c r="AD147" s="72"/>
      <c r="AE147" s="53"/>
      <c r="AF147" s="53"/>
      <c r="AG147" s="53"/>
      <c r="AH147" s="53"/>
      <c r="AI147" s="72"/>
      <c r="AJ147" s="53"/>
      <c r="AK147" s="53"/>
      <c r="AL147" s="53"/>
      <c r="AM147" s="53"/>
      <c r="AN147" s="72"/>
      <c r="AO147" s="53"/>
      <c r="AP147" s="53"/>
      <c r="AQ147" s="53"/>
      <c r="AR147" s="53"/>
      <c r="AS147" s="72"/>
      <c r="AT147" s="53"/>
    </row>
    <row r="148" spans="1:46" x14ac:dyDescent="0.25">
      <c r="A148" s="66"/>
      <c r="B148" s="67"/>
      <c r="C148" s="68"/>
      <c r="D148" s="66"/>
      <c r="E148" s="66"/>
      <c r="F148" s="66"/>
      <c r="G148" s="66"/>
      <c r="H148" s="48"/>
      <c r="I148" s="69"/>
      <c r="J148" s="70"/>
      <c r="K148" s="55"/>
      <c r="L148" s="55"/>
      <c r="M148" s="55"/>
      <c r="N148" s="55"/>
      <c r="O148" s="54"/>
      <c r="P148" s="55"/>
      <c r="Q148" s="55"/>
      <c r="R148" s="55"/>
      <c r="S148" s="55"/>
      <c r="T148" s="55"/>
      <c r="U148" s="419"/>
      <c r="V148" s="71"/>
      <c r="W148" s="53"/>
      <c r="X148" s="71"/>
      <c r="Y148" s="72"/>
      <c r="Z148" s="53"/>
      <c r="AA148" s="53"/>
      <c r="AB148" s="53"/>
      <c r="AC148" s="53"/>
      <c r="AD148" s="72"/>
      <c r="AE148" s="53"/>
      <c r="AF148" s="53"/>
      <c r="AG148" s="53"/>
      <c r="AH148" s="53"/>
      <c r="AI148" s="72"/>
      <c r="AJ148" s="53"/>
      <c r="AK148" s="53"/>
      <c r="AL148" s="53"/>
      <c r="AM148" s="53"/>
      <c r="AN148" s="72"/>
      <c r="AO148" s="53"/>
      <c r="AP148" s="53"/>
      <c r="AQ148" s="53"/>
      <c r="AR148" s="53"/>
      <c r="AS148" s="72"/>
      <c r="AT148" s="53"/>
    </row>
    <row r="149" spans="1:46" x14ac:dyDescent="0.25">
      <c r="A149" s="3"/>
      <c r="B149" s="58"/>
      <c r="C149" s="59"/>
      <c r="D149" s="3"/>
      <c r="E149" s="3"/>
      <c r="F149" s="3"/>
      <c r="G149" s="3"/>
      <c r="H149" s="27"/>
      <c r="I149" s="60"/>
      <c r="J149" s="61"/>
      <c r="K149" s="30"/>
      <c r="L149" s="30"/>
      <c r="M149" s="30"/>
      <c r="N149" s="30"/>
      <c r="O149" s="31"/>
      <c r="P149" s="30"/>
      <c r="Q149" s="62"/>
      <c r="R149" s="62"/>
      <c r="S149" s="62"/>
      <c r="T149" s="62"/>
      <c r="U149" s="419"/>
      <c r="V149" s="63"/>
      <c r="W149" s="42"/>
      <c r="X149" s="63"/>
      <c r="Y149" s="65"/>
      <c r="Z149" s="42"/>
      <c r="AA149" s="42"/>
      <c r="AB149" s="42"/>
      <c r="AC149" s="42"/>
      <c r="AD149" s="65"/>
      <c r="AE149" s="42"/>
      <c r="AF149" s="42"/>
      <c r="AG149" s="42"/>
      <c r="AH149" s="42"/>
      <c r="AI149" s="65"/>
      <c r="AJ149" s="42"/>
      <c r="AK149" s="42"/>
      <c r="AL149" s="42"/>
      <c r="AM149" s="42"/>
      <c r="AN149" s="65"/>
      <c r="AO149" s="42"/>
      <c r="AP149" s="42"/>
      <c r="AQ149" s="42"/>
      <c r="AR149" s="42"/>
      <c r="AS149" s="65"/>
      <c r="AT149" s="42"/>
    </row>
    <row r="150" spans="1:46" x14ac:dyDescent="0.25">
      <c r="A150" s="3"/>
      <c r="B150" s="58"/>
      <c r="C150" s="59"/>
      <c r="D150" s="3"/>
      <c r="E150" s="3"/>
      <c r="F150" s="3"/>
      <c r="G150" s="3"/>
      <c r="H150" s="27"/>
      <c r="I150" s="60"/>
      <c r="J150" s="61"/>
      <c r="K150" s="30"/>
      <c r="L150" s="30"/>
      <c r="M150" s="30"/>
      <c r="N150" s="30"/>
      <c r="O150" s="31"/>
      <c r="P150" s="30"/>
      <c r="Q150" s="62"/>
      <c r="R150" s="62"/>
      <c r="S150" s="62"/>
      <c r="T150" s="62"/>
      <c r="U150" s="419"/>
      <c r="V150" s="63"/>
      <c r="W150" s="42"/>
      <c r="X150" s="63"/>
      <c r="Y150" s="65"/>
      <c r="Z150" s="42"/>
      <c r="AA150" s="42"/>
      <c r="AB150" s="42"/>
      <c r="AC150" s="42"/>
      <c r="AD150" s="65"/>
      <c r="AE150" s="42"/>
      <c r="AF150" s="42"/>
      <c r="AG150" s="42"/>
      <c r="AH150" s="42"/>
      <c r="AI150" s="65"/>
      <c r="AJ150" s="42"/>
      <c r="AK150" s="42"/>
      <c r="AL150" s="42"/>
      <c r="AM150" s="42"/>
      <c r="AN150" s="65"/>
      <c r="AO150" s="42"/>
      <c r="AP150" s="42"/>
      <c r="AQ150" s="42"/>
      <c r="AR150" s="42"/>
      <c r="AS150" s="65"/>
      <c r="AT150" s="42"/>
    </row>
    <row r="151" spans="1:46" x14ac:dyDescent="0.25">
      <c r="A151" s="3"/>
      <c r="B151" s="58"/>
      <c r="C151" s="59"/>
      <c r="D151" s="3"/>
      <c r="E151" s="3"/>
      <c r="F151" s="3"/>
      <c r="G151" s="3"/>
      <c r="H151" s="27"/>
      <c r="I151" s="60"/>
      <c r="J151" s="61"/>
      <c r="K151" s="30"/>
      <c r="L151" s="30"/>
      <c r="M151" s="30"/>
      <c r="N151" s="30"/>
      <c r="O151" s="31"/>
      <c r="P151" s="30"/>
      <c r="Q151" s="62"/>
      <c r="R151" s="62"/>
      <c r="S151" s="62"/>
      <c r="T151" s="62"/>
      <c r="U151" s="419"/>
      <c r="V151" s="63"/>
      <c r="W151" s="42"/>
      <c r="X151" s="63"/>
      <c r="Y151" s="65"/>
      <c r="Z151" s="42"/>
      <c r="AA151" s="42"/>
      <c r="AB151" s="42"/>
      <c r="AC151" s="42"/>
      <c r="AD151" s="65"/>
      <c r="AE151" s="42"/>
      <c r="AF151" s="42"/>
      <c r="AG151" s="42"/>
      <c r="AH151" s="42"/>
      <c r="AI151" s="65"/>
      <c r="AJ151" s="42"/>
      <c r="AK151" s="42"/>
      <c r="AL151" s="42"/>
      <c r="AM151" s="42"/>
      <c r="AN151" s="65"/>
      <c r="AO151" s="42"/>
      <c r="AP151" s="42"/>
      <c r="AQ151" s="42"/>
      <c r="AR151" s="42"/>
      <c r="AS151" s="65"/>
      <c r="AT151" s="42"/>
    </row>
    <row r="152" spans="1:46" x14ac:dyDescent="0.25">
      <c r="A152" s="3"/>
      <c r="B152" s="58"/>
      <c r="C152" s="59"/>
      <c r="D152" s="3"/>
      <c r="E152" s="3"/>
      <c r="F152" s="3"/>
      <c r="G152" s="3"/>
      <c r="H152" s="27"/>
      <c r="I152" s="60"/>
      <c r="J152" s="61"/>
      <c r="K152" s="30"/>
      <c r="L152" s="30"/>
      <c r="M152" s="30"/>
      <c r="N152" s="30"/>
      <c r="O152" s="31"/>
      <c r="P152" s="30"/>
      <c r="Q152" s="62"/>
      <c r="R152" s="62"/>
      <c r="S152" s="62"/>
      <c r="T152" s="62"/>
      <c r="U152" s="419"/>
      <c r="V152" s="63"/>
      <c r="W152" s="42"/>
      <c r="X152" s="63"/>
      <c r="Y152" s="65"/>
      <c r="Z152" s="42"/>
      <c r="AA152" s="42"/>
      <c r="AB152" s="42"/>
      <c r="AC152" s="42"/>
      <c r="AD152" s="65"/>
      <c r="AE152" s="42"/>
      <c r="AF152" s="42"/>
      <c r="AG152" s="42"/>
      <c r="AH152" s="42"/>
      <c r="AI152" s="65"/>
      <c r="AJ152" s="42"/>
      <c r="AK152" s="42"/>
      <c r="AL152" s="42"/>
      <c r="AM152" s="42"/>
      <c r="AN152" s="65"/>
      <c r="AO152" s="42"/>
      <c r="AP152" s="42"/>
      <c r="AQ152" s="42"/>
      <c r="AR152" s="42"/>
      <c r="AS152" s="65"/>
      <c r="AT152" s="42"/>
    </row>
    <row r="153" spans="1:46" x14ac:dyDescent="0.25">
      <c r="A153" s="3"/>
      <c r="B153" s="58"/>
      <c r="C153" s="59"/>
      <c r="D153" s="3"/>
      <c r="E153" s="3"/>
      <c r="F153" s="3"/>
      <c r="G153" s="3"/>
      <c r="H153" s="27"/>
      <c r="I153" s="60"/>
      <c r="J153" s="61"/>
      <c r="K153" s="30"/>
      <c r="L153" s="30"/>
      <c r="M153" s="30"/>
      <c r="N153" s="30"/>
      <c r="O153" s="31"/>
      <c r="P153" s="30"/>
      <c r="Q153" s="62"/>
      <c r="R153" s="62"/>
      <c r="S153" s="62"/>
      <c r="T153" s="62"/>
      <c r="U153" s="419"/>
      <c r="V153" s="63"/>
      <c r="W153" s="42"/>
      <c r="X153" s="63"/>
      <c r="Y153" s="65"/>
      <c r="Z153" s="42"/>
      <c r="AA153" s="42"/>
      <c r="AB153" s="42"/>
      <c r="AC153" s="42"/>
      <c r="AD153" s="65"/>
      <c r="AE153" s="42"/>
      <c r="AF153" s="42"/>
      <c r="AG153" s="42"/>
      <c r="AH153" s="42"/>
      <c r="AI153" s="65"/>
      <c r="AJ153" s="42"/>
      <c r="AK153" s="42"/>
      <c r="AL153" s="42"/>
      <c r="AM153" s="42"/>
      <c r="AN153" s="65"/>
      <c r="AO153" s="42"/>
      <c r="AP153" s="42"/>
      <c r="AQ153" s="42"/>
      <c r="AR153" s="42"/>
      <c r="AS153" s="65"/>
      <c r="AT153" s="42"/>
    </row>
    <row r="154" spans="1:46" x14ac:dyDescent="0.25">
      <c r="A154" s="66"/>
      <c r="B154" s="67"/>
      <c r="C154" s="68"/>
      <c r="D154" s="66"/>
      <c r="E154" s="66"/>
      <c r="F154" s="66"/>
      <c r="G154" s="66"/>
      <c r="H154" s="48"/>
      <c r="I154" s="69"/>
      <c r="J154" s="70"/>
      <c r="K154" s="55"/>
      <c r="L154" s="55"/>
      <c r="M154" s="55"/>
      <c r="N154" s="55"/>
      <c r="O154" s="54"/>
      <c r="P154" s="55"/>
      <c r="Q154" s="55"/>
      <c r="R154" s="55"/>
      <c r="S154" s="55"/>
      <c r="T154" s="55"/>
      <c r="U154" s="419"/>
      <c r="V154" s="71"/>
      <c r="W154" s="53"/>
      <c r="X154" s="71"/>
      <c r="Y154" s="72"/>
      <c r="Z154" s="53"/>
      <c r="AA154" s="53"/>
      <c r="AB154" s="53"/>
      <c r="AC154" s="53"/>
      <c r="AD154" s="72"/>
      <c r="AE154" s="53"/>
      <c r="AF154" s="53"/>
      <c r="AG154" s="53"/>
      <c r="AH154" s="53"/>
      <c r="AI154" s="72"/>
      <c r="AJ154" s="53"/>
      <c r="AK154" s="53"/>
      <c r="AL154" s="53"/>
      <c r="AM154" s="53"/>
      <c r="AN154" s="72"/>
      <c r="AO154" s="53"/>
      <c r="AP154" s="53"/>
      <c r="AQ154" s="53"/>
      <c r="AR154" s="53"/>
      <c r="AS154" s="72"/>
      <c r="AT154" s="53"/>
    </row>
    <row r="155" spans="1:46" x14ac:dyDescent="0.25">
      <c r="A155" s="66"/>
      <c r="B155" s="67"/>
      <c r="C155" s="68"/>
      <c r="D155" s="66"/>
      <c r="E155" s="66"/>
      <c r="F155" s="66"/>
      <c r="G155" s="66"/>
      <c r="H155" s="48"/>
      <c r="I155" s="69"/>
      <c r="J155" s="70"/>
      <c r="K155" s="55"/>
      <c r="L155" s="55"/>
      <c r="M155" s="55"/>
      <c r="N155" s="55"/>
      <c r="O155" s="54"/>
      <c r="P155" s="55"/>
      <c r="Q155" s="55"/>
      <c r="R155" s="55"/>
      <c r="S155" s="55"/>
      <c r="T155" s="55"/>
      <c r="U155" s="419"/>
      <c r="V155" s="71"/>
      <c r="W155" s="53"/>
      <c r="X155" s="71"/>
      <c r="Y155" s="72"/>
      <c r="Z155" s="53"/>
      <c r="AA155" s="53"/>
      <c r="AB155" s="53"/>
      <c r="AC155" s="53"/>
      <c r="AD155" s="72"/>
      <c r="AE155" s="53"/>
      <c r="AF155" s="53"/>
      <c r="AG155" s="53"/>
      <c r="AH155" s="53"/>
      <c r="AI155" s="72"/>
      <c r="AJ155" s="53"/>
      <c r="AK155" s="53"/>
      <c r="AL155" s="53"/>
      <c r="AM155" s="53"/>
      <c r="AN155" s="72"/>
      <c r="AO155" s="53"/>
      <c r="AP155" s="53"/>
      <c r="AQ155" s="53"/>
      <c r="AR155" s="53"/>
      <c r="AS155" s="72"/>
      <c r="AT155" s="53"/>
    </row>
    <row r="156" spans="1:46" x14ac:dyDescent="0.25">
      <c r="A156" s="66"/>
      <c r="B156" s="67"/>
      <c r="C156" s="68"/>
      <c r="D156" s="66"/>
      <c r="E156" s="66"/>
      <c r="F156" s="66"/>
      <c r="G156" s="66"/>
      <c r="H156" s="48"/>
      <c r="I156" s="69"/>
      <c r="J156" s="70"/>
      <c r="K156" s="55"/>
      <c r="L156" s="55"/>
      <c r="M156" s="55"/>
      <c r="N156" s="55"/>
      <c r="O156" s="54"/>
      <c r="P156" s="55"/>
      <c r="Q156" s="55"/>
      <c r="R156" s="55"/>
      <c r="S156" s="55"/>
      <c r="T156" s="55"/>
      <c r="U156" s="419"/>
      <c r="V156" s="71"/>
      <c r="W156" s="53"/>
      <c r="X156" s="71"/>
      <c r="Y156" s="72"/>
      <c r="Z156" s="53"/>
      <c r="AA156" s="53"/>
      <c r="AB156" s="53"/>
      <c r="AC156" s="53"/>
      <c r="AD156" s="72"/>
      <c r="AE156" s="53"/>
      <c r="AF156" s="53"/>
      <c r="AG156" s="53"/>
      <c r="AH156" s="53"/>
      <c r="AI156" s="72"/>
      <c r="AJ156" s="53"/>
      <c r="AK156" s="53"/>
      <c r="AL156" s="53"/>
      <c r="AM156" s="53"/>
      <c r="AN156" s="72"/>
      <c r="AO156" s="53"/>
      <c r="AP156" s="53"/>
      <c r="AQ156" s="53"/>
      <c r="AR156" s="53"/>
      <c r="AS156" s="72"/>
      <c r="AT156" s="53"/>
    </row>
    <row r="157" spans="1:46" x14ac:dyDescent="0.25">
      <c r="A157" s="66"/>
      <c r="B157" s="67"/>
      <c r="C157" s="68"/>
      <c r="D157" s="66"/>
      <c r="E157" s="66"/>
      <c r="F157" s="66"/>
      <c r="G157" s="66"/>
      <c r="H157" s="48"/>
      <c r="I157" s="69"/>
      <c r="J157" s="70"/>
      <c r="K157" s="55"/>
      <c r="L157" s="55"/>
      <c r="M157" s="55"/>
      <c r="N157" s="55"/>
      <c r="O157" s="54"/>
      <c r="P157" s="55"/>
      <c r="Q157" s="55"/>
      <c r="R157" s="55"/>
      <c r="S157" s="55"/>
      <c r="T157" s="55"/>
      <c r="U157" s="419"/>
      <c r="V157" s="71"/>
      <c r="W157" s="53"/>
      <c r="X157" s="71"/>
      <c r="Y157" s="72"/>
      <c r="Z157" s="53"/>
      <c r="AA157" s="53"/>
      <c r="AB157" s="53"/>
      <c r="AC157" s="53"/>
      <c r="AD157" s="72"/>
      <c r="AE157" s="53"/>
      <c r="AF157" s="53"/>
      <c r="AG157" s="53"/>
      <c r="AH157" s="53"/>
      <c r="AI157" s="72"/>
      <c r="AJ157" s="53"/>
      <c r="AK157" s="53"/>
      <c r="AL157" s="53"/>
      <c r="AM157" s="53"/>
      <c r="AN157" s="72"/>
      <c r="AO157" s="53"/>
      <c r="AP157" s="53"/>
      <c r="AQ157" s="53"/>
      <c r="AR157" s="53"/>
      <c r="AS157" s="72"/>
      <c r="AT157" s="53"/>
    </row>
    <row r="158" spans="1:46" x14ac:dyDescent="0.25">
      <c r="A158" s="66"/>
      <c r="B158" s="67"/>
      <c r="C158" s="68"/>
      <c r="D158" s="66"/>
      <c r="E158" s="66"/>
      <c r="F158" s="66"/>
      <c r="G158" s="66"/>
      <c r="H158" s="48"/>
      <c r="I158" s="69"/>
      <c r="J158" s="70"/>
      <c r="K158" s="55"/>
      <c r="L158" s="55"/>
      <c r="M158" s="55"/>
      <c r="N158" s="55"/>
      <c r="O158" s="54"/>
      <c r="P158" s="55"/>
      <c r="Q158" s="55"/>
      <c r="R158" s="55"/>
      <c r="S158" s="55"/>
      <c r="T158" s="55"/>
      <c r="U158" s="419"/>
      <c r="V158" s="71"/>
      <c r="W158" s="53"/>
      <c r="X158" s="71"/>
      <c r="Y158" s="72"/>
      <c r="Z158" s="53"/>
      <c r="AA158" s="53"/>
      <c r="AB158" s="53"/>
      <c r="AC158" s="53"/>
      <c r="AD158" s="72"/>
      <c r="AE158" s="53"/>
      <c r="AF158" s="53"/>
      <c r="AG158" s="53"/>
      <c r="AH158" s="53"/>
      <c r="AI158" s="72"/>
      <c r="AJ158" s="53"/>
      <c r="AK158" s="53"/>
      <c r="AL158" s="53"/>
      <c r="AM158" s="53"/>
      <c r="AN158" s="72"/>
      <c r="AO158" s="53"/>
      <c r="AP158" s="53"/>
      <c r="AQ158" s="53"/>
      <c r="AR158" s="53"/>
      <c r="AS158" s="72"/>
      <c r="AT158" s="53"/>
    </row>
    <row r="159" spans="1:46" x14ac:dyDescent="0.25">
      <c r="A159" s="3"/>
      <c r="B159" s="58"/>
      <c r="C159" s="59"/>
      <c r="D159" s="3"/>
      <c r="E159" s="3"/>
      <c r="F159" s="3"/>
      <c r="G159" s="3"/>
      <c r="H159" s="27"/>
      <c r="I159" s="60"/>
      <c r="J159" s="61"/>
      <c r="K159" s="30"/>
      <c r="L159" s="30"/>
      <c r="M159" s="30"/>
      <c r="N159" s="30"/>
      <c r="O159" s="31"/>
      <c r="P159" s="30"/>
      <c r="Q159" s="62"/>
      <c r="R159" s="62"/>
      <c r="S159" s="62"/>
      <c r="T159" s="62"/>
      <c r="U159" s="419"/>
      <c r="V159" s="63"/>
      <c r="W159" s="42"/>
      <c r="X159" s="63"/>
      <c r="Y159" s="65"/>
      <c r="Z159" s="42"/>
      <c r="AA159" s="42"/>
      <c r="AB159" s="42"/>
      <c r="AC159" s="42"/>
      <c r="AD159" s="65"/>
      <c r="AE159" s="42"/>
      <c r="AF159" s="42"/>
      <c r="AG159" s="42"/>
      <c r="AH159" s="42"/>
      <c r="AI159" s="65"/>
      <c r="AJ159" s="42"/>
      <c r="AK159" s="42"/>
      <c r="AL159" s="42"/>
      <c r="AM159" s="42"/>
      <c r="AN159" s="65"/>
      <c r="AO159" s="42"/>
      <c r="AP159" s="42"/>
      <c r="AQ159" s="42"/>
      <c r="AR159" s="42"/>
      <c r="AS159" s="65"/>
      <c r="AT159" s="42"/>
    </row>
    <row r="160" spans="1:46" x14ac:dyDescent="0.25">
      <c r="A160" s="3"/>
      <c r="B160" s="58"/>
      <c r="C160" s="59"/>
      <c r="D160" s="3"/>
      <c r="E160" s="3"/>
      <c r="F160" s="3"/>
      <c r="G160" s="3"/>
      <c r="H160" s="27"/>
      <c r="I160" s="60"/>
      <c r="J160" s="61"/>
      <c r="K160" s="30"/>
      <c r="L160" s="30"/>
      <c r="M160" s="30"/>
      <c r="N160" s="30"/>
      <c r="O160" s="31"/>
      <c r="P160" s="30"/>
      <c r="Q160" s="62"/>
      <c r="R160" s="62"/>
      <c r="S160" s="62"/>
      <c r="T160" s="62"/>
      <c r="U160" s="419"/>
      <c r="V160" s="63"/>
      <c r="W160" s="42"/>
      <c r="X160" s="63"/>
      <c r="Y160" s="65"/>
      <c r="Z160" s="42"/>
      <c r="AA160" s="42"/>
      <c r="AB160" s="42"/>
      <c r="AC160" s="42"/>
      <c r="AD160" s="65"/>
      <c r="AE160" s="42"/>
      <c r="AF160" s="42"/>
      <c r="AG160" s="42"/>
      <c r="AH160" s="42"/>
      <c r="AI160" s="65"/>
      <c r="AJ160" s="42"/>
      <c r="AK160" s="42"/>
      <c r="AL160" s="42"/>
      <c r="AM160" s="42"/>
      <c r="AN160" s="65"/>
      <c r="AO160" s="42"/>
      <c r="AP160" s="42"/>
      <c r="AQ160" s="42"/>
      <c r="AR160" s="42"/>
      <c r="AS160" s="65"/>
      <c r="AT160" s="42"/>
    </row>
    <row r="161" spans="1:46" x14ac:dyDescent="0.25">
      <c r="A161" s="3"/>
      <c r="B161" s="58"/>
      <c r="C161" s="59"/>
      <c r="D161" s="3"/>
      <c r="E161" s="3"/>
      <c r="F161" s="3"/>
      <c r="G161" s="3"/>
      <c r="H161" s="27"/>
      <c r="I161" s="60"/>
      <c r="J161" s="61"/>
      <c r="K161" s="30"/>
      <c r="L161" s="30"/>
      <c r="M161" s="30"/>
      <c r="N161" s="30"/>
      <c r="O161" s="31"/>
      <c r="P161" s="30"/>
      <c r="Q161" s="62"/>
      <c r="R161" s="62"/>
      <c r="S161" s="62"/>
      <c r="T161" s="62"/>
      <c r="U161" s="419"/>
      <c r="V161" s="63"/>
      <c r="W161" s="42"/>
      <c r="X161" s="63"/>
      <c r="Y161" s="65"/>
      <c r="Z161" s="42"/>
      <c r="AA161" s="42"/>
      <c r="AB161" s="42"/>
      <c r="AC161" s="42"/>
      <c r="AD161" s="65"/>
      <c r="AE161" s="42"/>
      <c r="AF161" s="42"/>
      <c r="AG161" s="42"/>
      <c r="AH161" s="42"/>
      <c r="AI161" s="65"/>
      <c r="AJ161" s="42"/>
      <c r="AK161" s="42"/>
      <c r="AL161" s="42"/>
      <c r="AM161" s="42"/>
      <c r="AN161" s="65"/>
      <c r="AO161" s="42"/>
      <c r="AP161" s="42"/>
      <c r="AQ161" s="42"/>
      <c r="AR161" s="42"/>
      <c r="AS161" s="65"/>
      <c r="AT161" s="42"/>
    </row>
    <row r="162" spans="1:46" x14ac:dyDescent="0.25">
      <c r="A162" s="3"/>
      <c r="B162" s="58"/>
      <c r="C162" s="59"/>
      <c r="D162" s="3"/>
      <c r="E162" s="3"/>
      <c r="F162" s="3"/>
      <c r="G162" s="3"/>
      <c r="H162" s="27"/>
      <c r="I162" s="60"/>
      <c r="J162" s="61"/>
      <c r="K162" s="30"/>
      <c r="L162" s="30"/>
      <c r="M162" s="30"/>
      <c r="N162" s="30"/>
      <c r="O162" s="31"/>
      <c r="P162" s="30"/>
      <c r="Q162" s="62"/>
      <c r="R162" s="62"/>
      <c r="S162" s="62"/>
      <c r="T162" s="62"/>
      <c r="U162" s="419"/>
      <c r="V162" s="63"/>
      <c r="W162" s="42"/>
      <c r="X162" s="63"/>
      <c r="Y162" s="65"/>
      <c r="Z162" s="42"/>
      <c r="AA162" s="42"/>
      <c r="AB162" s="42"/>
      <c r="AC162" s="42"/>
      <c r="AD162" s="65"/>
      <c r="AE162" s="42"/>
      <c r="AF162" s="42"/>
      <c r="AG162" s="42"/>
      <c r="AH162" s="42"/>
      <c r="AI162" s="65"/>
      <c r="AJ162" s="42"/>
      <c r="AK162" s="42"/>
      <c r="AL162" s="42"/>
      <c r="AM162" s="42"/>
      <c r="AN162" s="65"/>
      <c r="AO162" s="42"/>
      <c r="AP162" s="42"/>
      <c r="AQ162" s="42"/>
      <c r="AR162" s="42"/>
      <c r="AS162" s="65"/>
      <c r="AT162" s="42"/>
    </row>
    <row r="163" spans="1:46" x14ac:dyDescent="0.25">
      <c r="A163" s="3"/>
      <c r="B163" s="58"/>
      <c r="C163" s="59"/>
      <c r="D163" s="3"/>
      <c r="E163" s="3"/>
      <c r="F163" s="3"/>
      <c r="G163" s="3"/>
      <c r="H163" s="27"/>
      <c r="I163" s="60"/>
      <c r="J163" s="61"/>
      <c r="K163" s="30"/>
      <c r="L163" s="30"/>
      <c r="M163" s="30"/>
      <c r="N163" s="30"/>
      <c r="O163" s="31"/>
      <c r="P163" s="30"/>
      <c r="Q163" s="62"/>
      <c r="R163" s="62"/>
      <c r="S163" s="62"/>
      <c r="T163" s="62"/>
      <c r="U163" s="419"/>
      <c r="V163" s="63"/>
      <c r="W163" s="42"/>
      <c r="X163" s="63"/>
      <c r="Y163" s="65"/>
      <c r="Z163" s="42"/>
      <c r="AA163" s="42"/>
      <c r="AB163" s="42"/>
      <c r="AC163" s="42"/>
      <c r="AD163" s="65"/>
      <c r="AE163" s="42"/>
      <c r="AF163" s="42"/>
      <c r="AG163" s="42"/>
      <c r="AH163" s="42"/>
      <c r="AI163" s="65"/>
      <c r="AJ163" s="42"/>
      <c r="AK163" s="42"/>
      <c r="AL163" s="42"/>
      <c r="AM163" s="42"/>
      <c r="AN163" s="65"/>
      <c r="AO163" s="42"/>
      <c r="AP163" s="42"/>
      <c r="AQ163" s="42"/>
      <c r="AR163" s="42"/>
      <c r="AS163" s="65"/>
      <c r="AT163" s="42"/>
    </row>
    <row r="164" spans="1:46" x14ac:dyDescent="0.25">
      <c r="A164" s="66"/>
      <c r="B164" s="67"/>
      <c r="C164" s="68"/>
      <c r="D164" s="66"/>
      <c r="E164" s="66"/>
      <c r="F164" s="66"/>
      <c r="G164" s="66"/>
      <c r="H164" s="48"/>
      <c r="I164" s="69"/>
      <c r="J164" s="70"/>
      <c r="K164" s="55"/>
      <c r="L164" s="55"/>
      <c r="M164" s="55"/>
      <c r="N164" s="55"/>
      <c r="O164" s="54"/>
      <c r="P164" s="55"/>
      <c r="Q164" s="55"/>
      <c r="R164" s="55"/>
      <c r="S164" s="55"/>
      <c r="T164" s="55"/>
      <c r="U164" s="419"/>
      <c r="V164" s="71"/>
      <c r="W164" s="53"/>
      <c r="X164" s="71"/>
      <c r="Y164" s="72"/>
      <c r="Z164" s="53"/>
      <c r="AA164" s="53"/>
      <c r="AB164" s="53"/>
      <c r="AC164" s="53"/>
      <c r="AD164" s="72"/>
      <c r="AE164" s="53"/>
      <c r="AF164" s="53"/>
      <c r="AG164" s="53"/>
      <c r="AH164" s="53"/>
      <c r="AI164" s="72"/>
      <c r="AJ164" s="53"/>
      <c r="AK164" s="53"/>
      <c r="AL164" s="53"/>
      <c r="AM164" s="53"/>
      <c r="AN164" s="72"/>
      <c r="AO164" s="53"/>
      <c r="AP164" s="53"/>
      <c r="AQ164" s="53"/>
      <c r="AR164" s="53"/>
      <c r="AS164" s="72"/>
      <c r="AT164" s="53"/>
    </row>
    <row r="165" spans="1:46" x14ac:dyDescent="0.25">
      <c r="A165" s="66"/>
      <c r="B165" s="67"/>
      <c r="C165" s="68"/>
      <c r="D165" s="66"/>
      <c r="E165" s="66"/>
      <c r="F165" s="66"/>
      <c r="G165" s="66"/>
      <c r="H165" s="48"/>
      <c r="I165" s="69"/>
      <c r="J165" s="70"/>
      <c r="K165" s="55"/>
      <c r="L165" s="55"/>
      <c r="M165" s="55"/>
      <c r="N165" s="55"/>
      <c r="O165" s="54"/>
      <c r="P165" s="55"/>
      <c r="Q165" s="55"/>
      <c r="R165" s="55"/>
      <c r="S165" s="55"/>
      <c r="T165" s="55"/>
      <c r="U165" s="419"/>
      <c r="V165" s="71"/>
      <c r="W165" s="53"/>
      <c r="X165" s="71"/>
      <c r="Y165" s="72"/>
      <c r="Z165" s="53"/>
      <c r="AA165" s="53"/>
      <c r="AB165" s="53"/>
      <c r="AC165" s="53"/>
      <c r="AD165" s="72"/>
      <c r="AE165" s="53"/>
      <c r="AF165" s="53"/>
      <c r="AG165" s="53"/>
      <c r="AH165" s="53"/>
      <c r="AI165" s="72"/>
      <c r="AJ165" s="53"/>
      <c r="AK165" s="53"/>
      <c r="AL165" s="53"/>
      <c r="AM165" s="53"/>
      <c r="AN165" s="72"/>
      <c r="AO165" s="53"/>
      <c r="AP165" s="53"/>
      <c r="AQ165" s="53"/>
      <c r="AR165" s="53"/>
      <c r="AS165" s="72"/>
      <c r="AT165" s="53"/>
    </row>
    <row r="166" spans="1:46" x14ac:dyDescent="0.25">
      <c r="A166" s="66"/>
      <c r="B166" s="67"/>
      <c r="C166" s="68"/>
      <c r="D166" s="66"/>
      <c r="E166" s="66"/>
      <c r="F166" s="66"/>
      <c r="G166" s="66"/>
      <c r="H166" s="48"/>
      <c r="I166" s="69"/>
      <c r="J166" s="70"/>
      <c r="K166" s="55"/>
      <c r="L166" s="55"/>
      <c r="M166" s="55"/>
      <c r="N166" s="55"/>
      <c r="O166" s="54"/>
      <c r="P166" s="55"/>
      <c r="Q166" s="55"/>
      <c r="R166" s="55"/>
      <c r="S166" s="55"/>
      <c r="T166" s="55"/>
      <c r="U166" s="419"/>
      <c r="V166" s="71"/>
      <c r="W166" s="53"/>
      <c r="X166" s="71"/>
      <c r="Y166" s="72"/>
      <c r="Z166" s="53"/>
      <c r="AA166" s="53"/>
      <c r="AB166" s="53"/>
      <c r="AC166" s="53"/>
      <c r="AD166" s="72"/>
      <c r="AE166" s="53"/>
      <c r="AF166" s="53"/>
      <c r="AG166" s="53"/>
      <c r="AH166" s="53"/>
      <c r="AI166" s="72"/>
      <c r="AJ166" s="53"/>
      <c r="AK166" s="53"/>
      <c r="AL166" s="53"/>
      <c r="AM166" s="53"/>
      <c r="AN166" s="72"/>
      <c r="AO166" s="53"/>
      <c r="AP166" s="53"/>
      <c r="AQ166" s="53"/>
      <c r="AR166" s="53"/>
      <c r="AS166" s="72"/>
      <c r="AT166" s="53"/>
    </row>
    <row r="167" spans="1:46" x14ac:dyDescent="0.25">
      <c r="A167" s="66"/>
      <c r="B167" s="67"/>
      <c r="C167" s="68"/>
      <c r="D167" s="66"/>
      <c r="E167" s="66"/>
      <c r="F167" s="66"/>
      <c r="G167" s="66"/>
      <c r="H167" s="48"/>
      <c r="I167" s="69"/>
      <c r="J167" s="70"/>
      <c r="K167" s="55"/>
      <c r="L167" s="55"/>
      <c r="M167" s="55"/>
      <c r="N167" s="55"/>
      <c r="O167" s="54"/>
      <c r="P167" s="55"/>
      <c r="Q167" s="55"/>
      <c r="R167" s="55"/>
      <c r="S167" s="55"/>
      <c r="T167" s="55"/>
      <c r="U167" s="419"/>
      <c r="V167" s="71"/>
      <c r="W167" s="53"/>
      <c r="X167" s="71"/>
      <c r="Y167" s="72"/>
      <c r="Z167" s="53"/>
      <c r="AA167" s="53"/>
      <c r="AB167" s="53"/>
      <c r="AC167" s="53"/>
      <c r="AD167" s="72"/>
      <c r="AE167" s="53"/>
      <c r="AF167" s="53"/>
      <c r="AG167" s="53"/>
      <c r="AH167" s="53"/>
      <c r="AI167" s="72"/>
      <c r="AJ167" s="53"/>
      <c r="AK167" s="53"/>
      <c r="AL167" s="53"/>
      <c r="AM167" s="53"/>
      <c r="AN167" s="72"/>
      <c r="AO167" s="53"/>
      <c r="AP167" s="53"/>
      <c r="AQ167" s="53"/>
      <c r="AR167" s="53"/>
      <c r="AS167" s="72"/>
      <c r="AT167" s="53"/>
    </row>
    <row r="168" spans="1:46" x14ac:dyDescent="0.25">
      <c r="A168" s="66"/>
      <c r="B168" s="67"/>
      <c r="C168" s="68"/>
      <c r="D168" s="66"/>
      <c r="E168" s="66"/>
      <c r="F168" s="66"/>
      <c r="G168" s="66"/>
      <c r="H168" s="48"/>
      <c r="I168" s="69"/>
      <c r="J168" s="70"/>
      <c r="K168" s="55"/>
      <c r="L168" s="55"/>
      <c r="M168" s="55"/>
      <c r="N168" s="55"/>
      <c r="O168" s="54"/>
      <c r="P168" s="55"/>
      <c r="Q168" s="55"/>
      <c r="R168" s="55"/>
      <c r="S168" s="55"/>
      <c r="T168" s="55"/>
      <c r="U168" s="419"/>
      <c r="V168" s="71"/>
      <c r="W168" s="53"/>
      <c r="X168" s="71"/>
      <c r="Y168" s="72"/>
      <c r="Z168" s="53"/>
      <c r="AA168" s="53"/>
      <c r="AB168" s="53"/>
      <c r="AC168" s="53"/>
      <c r="AD168" s="72"/>
      <c r="AE168" s="53"/>
      <c r="AF168" s="53"/>
      <c r="AG168" s="53"/>
      <c r="AH168" s="53"/>
      <c r="AI168" s="72"/>
      <c r="AJ168" s="53"/>
      <c r="AK168" s="53"/>
      <c r="AL168" s="53"/>
      <c r="AM168" s="53"/>
      <c r="AN168" s="72"/>
      <c r="AO168" s="53"/>
      <c r="AP168" s="53"/>
      <c r="AQ168" s="53"/>
      <c r="AR168" s="53"/>
      <c r="AS168" s="72"/>
      <c r="AT168" s="53"/>
    </row>
    <row r="169" spans="1:46" x14ac:dyDescent="0.25">
      <c r="A169" s="3"/>
      <c r="B169" s="58"/>
      <c r="C169" s="59"/>
      <c r="D169" s="3"/>
      <c r="E169" s="3"/>
      <c r="F169" s="3"/>
      <c r="G169" s="3"/>
      <c r="H169" s="27"/>
      <c r="I169" s="60"/>
      <c r="J169" s="61"/>
      <c r="K169" s="30"/>
      <c r="L169" s="30"/>
      <c r="M169" s="30"/>
      <c r="N169" s="30"/>
      <c r="O169" s="31"/>
      <c r="P169" s="30"/>
      <c r="Q169" s="62"/>
      <c r="R169" s="62"/>
      <c r="S169" s="62"/>
      <c r="T169" s="62"/>
      <c r="U169" s="419"/>
      <c r="V169" s="63"/>
      <c r="W169" s="42"/>
      <c r="X169" s="63"/>
      <c r="Y169" s="65"/>
      <c r="Z169" s="42"/>
      <c r="AA169" s="42"/>
      <c r="AB169" s="42"/>
      <c r="AC169" s="42"/>
      <c r="AD169" s="65"/>
      <c r="AE169" s="42"/>
      <c r="AF169" s="42"/>
      <c r="AG169" s="42"/>
      <c r="AH169" s="42"/>
      <c r="AI169" s="65"/>
      <c r="AJ169" s="42"/>
      <c r="AK169" s="42"/>
      <c r="AL169" s="42"/>
      <c r="AM169" s="42"/>
      <c r="AN169" s="65"/>
      <c r="AO169" s="42"/>
      <c r="AP169" s="42"/>
      <c r="AQ169" s="42"/>
      <c r="AR169" s="42"/>
      <c r="AS169" s="65"/>
      <c r="AT169" s="42"/>
    </row>
    <row r="170" spans="1:46" x14ac:dyDescent="0.25">
      <c r="A170" s="3"/>
      <c r="B170" s="58"/>
      <c r="C170" s="59"/>
      <c r="D170" s="3"/>
      <c r="E170" s="3"/>
      <c r="F170" s="3"/>
      <c r="G170" s="3"/>
      <c r="H170" s="27"/>
      <c r="I170" s="60"/>
      <c r="J170" s="61"/>
      <c r="K170" s="30"/>
      <c r="L170" s="30"/>
      <c r="M170" s="30"/>
      <c r="N170" s="30"/>
      <c r="O170" s="31"/>
      <c r="P170" s="30"/>
      <c r="Q170" s="62"/>
      <c r="R170" s="62"/>
      <c r="S170" s="62"/>
      <c r="T170" s="62"/>
      <c r="U170" s="419"/>
      <c r="V170" s="63"/>
      <c r="W170" s="42"/>
      <c r="X170" s="63"/>
      <c r="Y170" s="65"/>
      <c r="Z170" s="42"/>
      <c r="AA170" s="42"/>
      <c r="AB170" s="42"/>
      <c r="AC170" s="42"/>
      <c r="AD170" s="65"/>
      <c r="AE170" s="42"/>
      <c r="AF170" s="42"/>
      <c r="AG170" s="42"/>
      <c r="AH170" s="42"/>
      <c r="AI170" s="65"/>
      <c r="AJ170" s="42"/>
      <c r="AK170" s="42"/>
      <c r="AL170" s="42"/>
      <c r="AM170" s="42"/>
      <c r="AN170" s="65"/>
      <c r="AO170" s="42"/>
      <c r="AP170" s="42"/>
      <c r="AQ170" s="42"/>
      <c r="AR170" s="42"/>
      <c r="AS170" s="65"/>
      <c r="AT170" s="42"/>
    </row>
    <row r="171" spans="1:46" x14ac:dyDescent="0.25">
      <c r="A171" s="3"/>
      <c r="B171" s="58"/>
      <c r="C171" s="59"/>
      <c r="D171" s="3"/>
      <c r="E171" s="3"/>
      <c r="F171" s="3"/>
      <c r="G171" s="3"/>
      <c r="H171" s="27"/>
      <c r="I171" s="60"/>
      <c r="J171" s="61"/>
      <c r="K171" s="30"/>
      <c r="L171" s="30"/>
      <c r="M171" s="30"/>
      <c r="N171" s="30"/>
      <c r="O171" s="31"/>
      <c r="P171" s="30"/>
      <c r="Q171" s="62"/>
      <c r="R171" s="62"/>
      <c r="S171" s="62"/>
      <c r="T171" s="62"/>
      <c r="U171" s="419"/>
      <c r="V171" s="63"/>
      <c r="W171" s="42"/>
      <c r="X171" s="63"/>
      <c r="Y171" s="65"/>
      <c r="Z171" s="42"/>
      <c r="AA171" s="42"/>
      <c r="AB171" s="42"/>
      <c r="AC171" s="42"/>
      <c r="AD171" s="65"/>
      <c r="AE171" s="42"/>
      <c r="AF171" s="42"/>
      <c r="AG171" s="42"/>
      <c r="AH171" s="42"/>
      <c r="AI171" s="65"/>
      <c r="AJ171" s="42"/>
      <c r="AK171" s="42"/>
      <c r="AL171" s="42"/>
      <c r="AM171" s="42"/>
      <c r="AN171" s="65"/>
      <c r="AO171" s="42"/>
      <c r="AP171" s="42"/>
      <c r="AQ171" s="42"/>
      <c r="AR171" s="42"/>
      <c r="AS171" s="65"/>
      <c r="AT171" s="42"/>
    </row>
    <row r="172" spans="1:46" x14ac:dyDescent="0.25">
      <c r="A172" s="3"/>
      <c r="B172" s="58"/>
      <c r="C172" s="59"/>
      <c r="D172" s="3"/>
      <c r="E172" s="3"/>
      <c r="F172" s="3"/>
      <c r="G172" s="3"/>
      <c r="H172" s="27"/>
      <c r="I172" s="60"/>
      <c r="J172" s="61"/>
      <c r="K172" s="30"/>
      <c r="L172" s="30"/>
      <c r="M172" s="30"/>
      <c r="N172" s="30"/>
      <c r="O172" s="31"/>
      <c r="P172" s="30"/>
      <c r="Q172" s="62"/>
      <c r="R172" s="62"/>
      <c r="S172" s="62"/>
      <c r="T172" s="62"/>
      <c r="U172" s="419"/>
      <c r="V172" s="63"/>
      <c r="W172" s="42"/>
      <c r="X172" s="63"/>
      <c r="Y172" s="65"/>
      <c r="Z172" s="42"/>
      <c r="AA172" s="42"/>
      <c r="AB172" s="42"/>
      <c r="AC172" s="42"/>
      <c r="AD172" s="65"/>
      <c r="AE172" s="42"/>
      <c r="AF172" s="42"/>
      <c r="AG172" s="42"/>
      <c r="AH172" s="42"/>
      <c r="AI172" s="65"/>
      <c r="AJ172" s="42"/>
      <c r="AK172" s="42"/>
      <c r="AL172" s="42"/>
      <c r="AM172" s="42"/>
      <c r="AN172" s="65"/>
      <c r="AO172" s="42"/>
      <c r="AP172" s="42"/>
      <c r="AQ172" s="42"/>
      <c r="AR172" s="42"/>
      <c r="AS172" s="65"/>
      <c r="AT172" s="42"/>
    </row>
    <row r="173" spans="1:46" x14ac:dyDescent="0.25">
      <c r="A173" s="3"/>
      <c r="B173" s="58"/>
      <c r="C173" s="59"/>
      <c r="D173" s="3"/>
      <c r="E173" s="3"/>
      <c r="F173" s="3"/>
      <c r="G173" s="3"/>
      <c r="H173" s="27"/>
      <c r="I173" s="60"/>
      <c r="J173" s="61"/>
      <c r="K173" s="30"/>
      <c r="L173" s="30"/>
      <c r="M173" s="30"/>
      <c r="N173" s="30"/>
      <c r="O173" s="31"/>
      <c r="P173" s="30"/>
      <c r="Q173" s="62"/>
      <c r="R173" s="62"/>
      <c r="S173" s="62"/>
      <c r="T173" s="62"/>
      <c r="U173" s="419"/>
      <c r="V173" s="63"/>
      <c r="W173" s="42"/>
      <c r="X173" s="63"/>
      <c r="Y173" s="65"/>
      <c r="Z173" s="42"/>
      <c r="AA173" s="42"/>
      <c r="AB173" s="42"/>
      <c r="AC173" s="42"/>
      <c r="AD173" s="65"/>
      <c r="AE173" s="42"/>
      <c r="AF173" s="42"/>
      <c r="AG173" s="42"/>
      <c r="AH173" s="42"/>
      <c r="AI173" s="65"/>
      <c r="AJ173" s="42"/>
      <c r="AK173" s="42"/>
      <c r="AL173" s="42"/>
      <c r="AM173" s="42"/>
      <c r="AN173" s="65"/>
      <c r="AO173" s="42"/>
      <c r="AP173" s="42"/>
      <c r="AQ173" s="42"/>
      <c r="AR173" s="42"/>
      <c r="AS173" s="65"/>
      <c r="AT173" s="42"/>
    </row>
    <row r="174" spans="1:46" x14ac:dyDescent="0.25">
      <c r="A174" s="66"/>
      <c r="B174" s="67"/>
      <c r="C174" s="68"/>
      <c r="D174" s="66"/>
      <c r="E174" s="66"/>
      <c r="F174" s="66"/>
      <c r="G174" s="66"/>
      <c r="H174" s="48"/>
      <c r="I174" s="69"/>
      <c r="J174" s="70"/>
      <c r="K174" s="55"/>
      <c r="L174" s="55"/>
      <c r="M174" s="55"/>
      <c r="N174" s="55"/>
      <c r="O174" s="54"/>
      <c r="P174" s="55"/>
      <c r="Q174" s="55"/>
      <c r="R174" s="55"/>
      <c r="S174" s="55"/>
      <c r="T174" s="55"/>
      <c r="U174" s="419"/>
      <c r="V174" s="71"/>
      <c r="W174" s="53"/>
      <c r="X174" s="71"/>
      <c r="Y174" s="72"/>
      <c r="Z174" s="53"/>
      <c r="AA174" s="53"/>
      <c r="AB174" s="53"/>
      <c r="AC174" s="53"/>
      <c r="AD174" s="72"/>
      <c r="AE174" s="53"/>
      <c r="AF174" s="53"/>
      <c r="AG174" s="53"/>
      <c r="AH174" s="53"/>
      <c r="AI174" s="72"/>
      <c r="AJ174" s="53"/>
      <c r="AK174" s="53"/>
      <c r="AL174" s="53"/>
      <c r="AM174" s="53"/>
      <c r="AN174" s="72"/>
      <c r="AO174" s="53"/>
      <c r="AP174" s="53"/>
      <c r="AQ174" s="53"/>
      <c r="AR174" s="53"/>
      <c r="AS174" s="72"/>
      <c r="AT174" s="53"/>
    </row>
    <row r="175" spans="1:46" x14ac:dyDescent="0.25">
      <c r="A175" s="66"/>
      <c r="B175" s="67"/>
      <c r="C175" s="68"/>
      <c r="D175" s="66"/>
      <c r="E175" s="66"/>
      <c r="F175" s="66"/>
      <c r="G175" s="66"/>
      <c r="H175" s="48"/>
      <c r="I175" s="69"/>
      <c r="J175" s="70"/>
      <c r="K175" s="55"/>
      <c r="L175" s="55"/>
      <c r="M175" s="55"/>
      <c r="N175" s="55"/>
      <c r="O175" s="54"/>
      <c r="P175" s="55"/>
      <c r="Q175" s="55"/>
      <c r="R175" s="55"/>
      <c r="S175" s="55"/>
      <c r="T175" s="55"/>
      <c r="U175" s="419"/>
      <c r="V175" s="71"/>
      <c r="W175" s="53"/>
      <c r="X175" s="71"/>
      <c r="Y175" s="72"/>
      <c r="Z175" s="53"/>
      <c r="AA175" s="53"/>
      <c r="AB175" s="53"/>
      <c r="AC175" s="53"/>
      <c r="AD175" s="72"/>
      <c r="AE175" s="53"/>
      <c r="AF175" s="53"/>
      <c r="AG175" s="53"/>
      <c r="AH175" s="53"/>
      <c r="AI175" s="72"/>
      <c r="AJ175" s="53"/>
      <c r="AK175" s="53"/>
      <c r="AL175" s="53"/>
      <c r="AM175" s="53"/>
      <c r="AN175" s="72"/>
      <c r="AO175" s="53"/>
      <c r="AP175" s="53"/>
      <c r="AQ175" s="53"/>
      <c r="AR175" s="53"/>
      <c r="AS175" s="72"/>
      <c r="AT175" s="53"/>
    </row>
    <row r="176" spans="1:46" x14ac:dyDescent="0.25">
      <c r="A176" s="66"/>
      <c r="B176" s="67"/>
      <c r="C176" s="68"/>
      <c r="D176" s="66"/>
      <c r="E176" s="66"/>
      <c r="F176" s="66"/>
      <c r="G176" s="66"/>
      <c r="H176" s="48"/>
      <c r="I176" s="69"/>
      <c r="J176" s="70"/>
      <c r="K176" s="55"/>
      <c r="L176" s="55"/>
      <c r="M176" s="55"/>
      <c r="N176" s="55"/>
      <c r="O176" s="54"/>
      <c r="P176" s="55"/>
      <c r="Q176" s="55"/>
      <c r="R176" s="55"/>
      <c r="S176" s="55"/>
      <c r="T176" s="55"/>
      <c r="U176" s="419"/>
      <c r="V176" s="71"/>
      <c r="W176" s="53"/>
      <c r="X176" s="71"/>
      <c r="Y176" s="72"/>
      <c r="Z176" s="53"/>
      <c r="AA176" s="53"/>
      <c r="AB176" s="53"/>
      <c r="AC176" s="53"/>
      <c r="AD176" s="72"/>
      <c r="AE176" s="53"/>
      <c r="AF176" s="53"/>
      <c r="AG176" s="53"/>
      <c r="AH176" s="53"/>
      <c r="AI176" s="72"/>
      <c r="AJ176" s="53"/>
      <c r="AK176" s="53"/>
      <c r="AL176" s="53"/>
      <c r="AM176" s="53"/>
      <c r="AN176" s="72"/>
      <c r="AO176" s="53"/>
      <c r="AP176" s="53"/>
      <c r="AQ176" s="53"/>
      <c r="AR176" s="53"/>
      <c r="AS176" s="72"/>
      <c r="AT176" s="53"/>
    </row>
    <row r="177" spans="1:46" x14ac:dyDescent="0.25">
      <c r="A177" s="66"/>
      <c r="B177" s="67"/>
      <c r="C177" s="68"/>
      <c r="D177" s="66"/>
      <c r="E177" s="66"/>
      <c r="F177" s="66"/>
      <c r="G177" s="66"/>
      <c r="H177" s="48"/>
      <c r="I177" s="69"/>
      <c r="J177" s="70"/>
      <c r="K177" s="55"/>
      <c r="L177" s="55"/>
      <c r="M177" s="55"/>
      <c r="N177" s="55"/>
      <c r="O177" s="54"/>
      <c r="P177" s="55"/>
      <c r="Q177" s="55"/>
      <c r="R177" s="55"/>
      <c r="S177" s="55"/>
      <c r="T177" s="55"/>
      <c r="U177" s="419"/>
      <c r="V177" s="71"/>
      <c r="W177" s="53"/>
      <c r="X177" s="71"/>
      <c r="Y177" s="72"/>
      <c r="Z177" s="53"/>
      <c r="AA177" s="53"/>
      <c r="AB177" s="53"/>
      <c r="AC177" s="53"/>
      <c r="AD177" s="72"/>
      <c r="AE177" s="53"/>
      <c r="AF177" s="53"/>
      <c r="AG177" s="53"/>
      <c r="AH177" s="53"/>
      <c r="AI177" s="72"/>
      <c r="AJ177" s="53"/>
      <c r="AK177" s="53"/>
      <c r="AL177" s="53"/>
      <c r="AM177" s="53"/>
      <c r="AN177" s="72"/>
      <c r="AO177" s="53"/>
      <c r="AP177" s="53"/>
      <c r="AQ177" s="53"/>
      <c r="AR177" s="53"/>
      <c r="AS177" s="72"/>
      <c r="AT177" s="53"/>
    </row>
    <row r="178" spans="1:46" x14ac:dyDescent="0.25">
      <c r="A178" s="66"/>
      <c r="B178" s="67"/>
      <c r="C178" s="68"/>
      <c r="D178" s="66"/>
      <c r="E178" s="66"/>
      <c r="F178" s="66"/>
      <c r="G178" s="66"/>
      <c r="H178" s="48"/>
      <c r="I178" s="69"/>
      <c r="J178" s="70"/>
      <c r="K178" s="55"/>
      <c r="L178" s="55"/>
      <c r="M178" s="55"/>
      <c r="N178" s="55"/>
      <c r="O178" s="54"/>
      <c r="P178" s="55"/>
      <c r="Q178" s="55"/>
      <c r="R178" s="55"/>
      <c r="S178" s="55"/>
      <c r="T178" s="55"/>
      <c r="U178" s="419"/>
      <c r="V178" s="71"/>
      <c r="W178" s="53"/>
      <c r="X178" s="71"/>
      <c r="Y178" s="72"/>
      <c r="Z178" s="53"/>
      <c r="AA178" s="53"/>
      <c r="AB178" s="53"/>
      <c r="AC178" s="53"/>
      <c r="AD178" s="72"/>
      <c r="AE178" s="53"/>
      <c r="AF178" s="53"/>
      <c r="AG178" s="53"/>
      <c r="AH178" s="53"/>
      <c r="AI178" s="72"/>
      <c r="AJ178" s="53"/>
      <c r="AK178" s="53"/>
      <c r="AL178" s="53"/>
      <c r="AM178" s="53"/>
      <c r="AN178" s="72"/>
      <c r="AO178" s="53"/>
      <c r="AP178" s="53"/>
      <c r="AQ178" s="53"/>
      <c r="AR178" s="53"/>
      <c r="AS178" s="72"/>
      <c r="AT178" s="53"/>
    </row>
    <row r="179" spans="1:46" x14ac:dyDescent="0.25">
      <c r="A179" s="3"/>
      <c r="B179" s="58"/>
      <c r="C179" s="59"/>
      <c r="D179" s="3"/>
      <c r="E179" s="3"/>
      <c r="F179" s="3"/>
      <c r="G179" s="3"/>
      <c r="H179" s="27"/>
      <c r="I179" s="60"/>
      <c r="J179" s="61"/>
      <c r="K179" s="30"/>
      <c r="L179" s="30"/>
      <c r="M179" s="30"/>
      <c r="N179" s="30"/>
      <c r="O179" s="31"/>
      <c r="P179" s="30"/>
      <c r="Q179" s="62"/>
      <c r="R179" s="62"/>
      <c r="S179" s="62"/>
      <c r="T179" s="62"/>
      <c r="U179" s="419"/>
      <c r="V179" s="63"/>
      <c r="W179" s="42"/>
      <c r="X179" s="63"/>
      <c r="Y179" s="65"/>
      <c r="Z179" s="42"/>
      <c r="AA179" s="42"/>
      <c r="AB179" s="42"/>
      <c r="AC179" s="42"/>
      <c r="AD179" s="65"/>
      <c r="AE179" s="42"/>
      <c r="AF179" s="42"/>
      <c r="AG179" s="42"/>
      <c r="AH179" s="42"/>
      <c r="AI179" s="65"/>
      <c r="AJ179" s="42"/>
      <c r="AK179" s="42"/>
      <c r="AL179" s="42"/>
      <c r="AM179" s="42"/>
      <c r="AN179" s="65"/>
      <c r="AO179" s="42"/>
      <c r="AP179" s="42"/>
      <c r="AQ179" s="42"/>
      <c r="AR179" s="42"/>
      <c r="AS179" s="65"/>
      <c r="AT179" s="42"/>
    </row>
    <row r="180" spans="1:46" x14ac:dyDescent="0.25">
      <c r="A180" s="3"/>
      <c r="B180" s="58"/>
      <c r="C180" s="59"/>
      <c r="D180" s="3"/>
      <c r="E180" s="3"/>
      <c r="F180" s="3"/>
      <c r="G180" s="3"/>
      <c r="H180" s="27"/>
      <c r="I180" s="60"/>
      <c r="J180" s="61"/>
      <c r="K180" s="30"/>
      <c r="L180" s="30"/>
      <c r="M180" s="30"/>
      <c r="N180" s="30"/>
      <c r="O180" s="31"/>
      <c r="P180" s="30"/>
      <c r="Q180" s="62"/>
      <c r="R180" s="62"/>
      <c r="S180" s="62"/>
      <c r="T180" s="62"/>
      <c r="U180" s="419"/>
      <c r="V180" s="63"/>
      <c r="W180" s="42"/>
      <c r="X180" s="63"/>
      <c r="Y180" s="65"/>
      <c r="Z180" s="42"/>
      <c r="AA180" s="42"/>
      <c r="AB180" s="42"/>
      <c r="AC180" s="42"/>
      <c r="AD180" s="65"/>
      <c r="AE180" s="42"/>
      <c r="AF180" s="42"/>
      <c r="AG180" s="42"/>
      <c r="AH180" s="42"/>
      <c r="AI180" s="65"/>
      <c r="AJ180" s="42"/>
      <c r="AK180" s="42"/>
      <c r="AL180" s="42"/>
      <c r="AM180" s="42"/>
      <c r="AN180" s="65"/>
      <c r="AO180" s="42"/>
      <c r="AP180" s="42"/>
      <c r="AQ180" s="42"/>
      <c r="AR180" s="42"/>
      <c r="AS180" s="65"/>
      <c r="AT180" s="42"/>
    </row>
    <row r="181" spans="1:46" x14ac:dyDescent="0.25">
      <c r="A181" s="3"/>
      <c r="B181" s="58"/>
      <c r="C181" s="59"/>
      <c r="D181" s="3"/>
      <c r="E181" s="3"/>
      <c r="F181" s="3"/>
      <c r="G181" s="3"/>
      <c r="H181" s="27"/>
      <c r="I181" s="60"/>
      <c r="J181" s="61"/>
      <c r="K181" s="30"/>
      <c r="L181" s="30"/>
      <c r="M181" s="30"/>
      <c r="N181" s="30"/>
      <c r="O181" s="31"/>
      <c r="P181" s="30"/>
      <c r="Q181" s="62"/>
      <c r="R181" s="62"/>
      <c r="S181" s="62"/>
      <c r="T181" s="62"/>
      <c r="U181" s="419"/>
      <c r="V181" s="63"/>
      <c r="W181" s="42"/>
      <c r="X181" s="63"/>
      <c r="Y181" s="65"/>
      <c r="Z181" s="42"/>
      <c r="AA181" s="42"/>
      <c r="AB181" s="42"/>
      <c r="AC181" s="42"/>
      <c r="AD181" s="65"/>
      <c r="AE181" s="42"/>
      <c r="AF181" s="42"/>
      <c r="AG181" s="42"/>
      <c r="AH181" s="42"/>
      <c r="AI181" s="65"/>
      <c r="AJ181" s="42"/>
      <c r="AK181" s="42"/>
      <c r="AL181" s="42"/>
      <c r="AM181" s="42"/>
      <c r="AN181" s="65"/>
      <c r="AO181" s="42"/>
      <c r="AP181" s="42"/>
      <c r="AQ181" s="42"/>
      <c r="AR181" s="42"/>
      <c r="AS181" s="65"/>
      <c r="AT181" s="42"/>
    </row>
    <row r="182" spans="1:46" x14ac:dyDescent="0.25">
      <c r="A182" s="3"/>
      <c r="B182" s="58"/>
      <c r="C182" s="59"/>
      <c r="D182" s="3"/>
      <c r="E182" s="3"/>
      <c r="F182" s="3"/>
      <c r="G182" s="3"/>
      <c r="H182" s="27"/>
      <c r="I182" s="60"/>
      <c r="J182" s="61"/>
      <c r="K182" s="30"/>
      <c r="L182" s="30"/>
      <c r="M182" s="30"/>
      <c r="N182" s="30"/>
      <c r="O182" s="31"/>
      <c r="P182" s="30"/>
      <c r="Q182" s="62"/>
      <c r="R182" s="62"/>
      <c r="S182" s="62"/>
      <c r="T182" s="62"/>
      <c r="U182" s="419"/>
      <c r="V182" s="63"/>
      <c r="W182" s="42"/>
      <c r="X182" s="63"/>
      <c r="Y182" s="65"/>
      <c r="Z182" s="42"/>
      <c r="AA182" s="42"/>
      <c r="AB182" s="42"/>
      <c r="AC182" s="42"/>
      <c r="AD182" s="65"/>
      <c r="AE182" s="42"/>
      <c r="AF182" s="42"/>
      <c r="AG182" s="42"/>
      <c r="AH182" s="42"/>
      <c r="AI182" s="65"/>
      <c r="AJ182" s="42"/>
      <c r="AK182" s="42"/>
      <c r="AL182" s="42"/>
      <c r="AM182" s="42"/>
      <c r="AN182" s="65"/>
      <c r="AO182" s="42"/>
      <c r="AP182" s="42"/>
      <c r="AQ182" s="42"/>
      <c r="AR182" s="42"/>
      <c r="AS182" s="65"/>
      <c r="AT182" s="42"/>
    </row>
    <row r="183" spans="1:46" x14ac:dyDescent="0.25">
      <c r="A183" s="3"/>
      <c r="B183" s="58"/>
      <c r="C183" s="59"/>
      <c r="D183" s="3"/>
      <c r="E183" s="3"/>
      <c r="F183" s="3"/>
      <c r="G183" s="3"/>
      <c r="H183" s="27"/>
      <c r="I183" s="60"/>
      <c r="J183" s="61"/>
      <c r="K183" s="30"/>
      <c r="L183" s="30"/>
      <c r="M183" s="30"/>
      <c r="N183" s="30"/>
      <c r="O183" s="31"/>
      <c r="P183" s="30"/>
      <c r="Q183" s="62"/>
      <c r="R183" s="62"/>
      <c r="S183" s="62"/>
      <c r="T183" s="62"/>
      <c r="U183" s="419"/>
      <c r="V183" s="63"/>
      <c r="W183" s="42"/>
      <c r="X183" s="63"/>
      <c r="Y183" s="65"/>
      <c r="Z183" s="42"/>
      <c r="AA183" s="42"/>
      <c r="AB183" s="42"/>
      <c r="AC183" s="42"/>
      <c r="AD183" s="65"/>
      <c r="AE183" s="42"/>
      <c r="AF183" s="42"/>
      <c r="AG183" s="42"/>
      <c r="AH183" s="42"/>
      <c r="AI183" s="65"/>
      <c r="AJ183" s="42"/>
      <c r="AK183" s="42"/>
      <c r="AL183" s="42"/>
      <c r="AM183" s="42"/>
      <c r="AN183" s="65"/>
      <c r="AO183" s="42"/>
      <c r="AP183" s="42"/>
      <c r="AQ183" s="42"/>
      <c r="AR183" s="42"/>
      <c r="AS183" s="65"/>
      <c r="AT183" s="42"/>
    </row>
    <row r="184" spans="1:46" x14ac:dyDescent="0.25">
      <c r="A184" s="66"/>
      <c r="B184" s="67"/>
      <c r="C184" s="68"/>
      <c r="D184" s="66"/>
      <c r="E184" s="66"/>
      <c r="F184" s="66"/>
      <c r="G184" s="66"/>
      <c r="H184" s="48"/>
      <c r="I184" s="69"/>
      <c r="J184" s="70"/>
      <c r="K184" s="55"/>
      <c r="L184" s="55"/>
      <c r="M184" s="55"/>
      <c r="N184" s="55"/>
      <c r="O184" s="54"/>
      <c r="P184" s="55"/>
      <c r="Q184" s="55"/>
      <c r="R184" s="55"/>
      <c r="S184" s="55"/>
      <c r="T184" s="55"/>
      <c r="U184" s="419"/>
      <c r="V184" s="71"/>
      <c r="W184" s="53"/>
      <c r="X184" s="71"/>
      <c r="Y184" s="72"/>
      <c r="Z184" s="53"/>
      <c r="AA184" s="53"/>
      <c r="AB184" s="53"/>
      <c r="AC184" s="53"/>
      <c r="AD184" s="72"/>
      <c r="AE184" s="53"/>
      <c r="AF184" s="53"/>
      <c r="AG184" s="53"/>
      <c r="AH184" s="53"/>
      <c r="AI184" s="72"/>
      <c r="AJ184" s="53"/>
      <c r="AK184" s="53"/>
      <c r="AL184" s="53"/>
      <c r="AM184" s="53"/>
      <c r="AN184" s="72"/>
      <c r="AO184" s="53"/>
      <c r="AP184" s="53"/>
      <c r="AQ184" s="53"/>
      <c r="AR184" s="53"/>
      <c r="AS184" s="72"/>
      <c r="AT184" s="53"/>
    </row>
    <row r="185" spans="1:46" x14ac:dyDescent="0.25">
      <c r="A185" s="66"/>
      <c r="B185" s="67"/>
      <c r="C185" s="68"/>
      <c r="D185" s="66"/>
      <c r="E185" s="66"/>
      <c r="F185" s="66"/>
      <c r="G185" s="66"/>
      <c r="H185" s="48"/>
      <c r="I185" s="69"/>
      <c r="J185" s="70"/>
      <c r="K185" s="55"/>
      <c r="L185" s="55"/>
      <c r="M185" s="55"/>
      <c r="N185" s="55"/>
      <c r="O185" s="54"/>
      <c r="P185" s="55"/>
      <c r="Q185" s="55"/>
      <c r="R185" s="55"/>
      <c r="S185" s="55"/>
      <c r="T185" s="55"/>
      <c r="U185" s="419"/>
      <c r="V185" s="71"/>
      <c r="W185" s="53"/>
      <c r="X185" s="71"/>
      <c r="Y185" s="72"/>
      <c r="Z185" s="53"/>
      <c r="AA185" s="53"/>
      <c r="AB185" s="53"/>
      <c r="AC185" s="53"/>
      <c r="AD185" s="72"/>
      <c r="AE185" s="53"/>
      <c r="AF185" s="53"/>
      <c r="AG185" s="53"/>
      <c r="AH185" s="53"/>
      <c r="AI185" s="72"/>
      <c r="AJ185" s="53"/>
      <c r="AK185" s="53"/>
      <c r="AL185" s="53"/>
      <c r="AM185" s="53"/>
      <c r="AN185" s="72"/>
      <c r="AO185" s="53"/>
      <c r="AP185" s="53"/>
      <c r="AQ185" s="53"/>
      <c r="AR185" s="53"/>
      <c r="AS185" s="72"/>
      <c r="AT185" s="53"/>
    </row>
    <row r="186" spans="1:46" x14ac:dyDescent="0.25">
      <c r="A186" s="66"/>
      <c r="B186" s="67"/>
      <c r="C186" s="68"/>
      <c r="D186" s="66"/>
      <c r="E186" s="66"/>
      <c r="F186" s="66"/>
      <c r="G186" s="66"/>
      <c r="H186" s="48"/>
      <c r="I186" s="69"/>
      <c r="J186" s="70"/>
      <c r="K186" s="55"/>
      <c r="L186" s="55"/>
      <c r="M186" s="55"/>
      <c r="N186" s="55"/>
      <c r="O186" s="54"/>
      <c r="P186" s="55"/>
      <c r="Q186" s="55"/>
      <c r="R186" s="55"/>
      <c r="S186" s="55"/>
      <c r="T186" s="55"/>
      <c r="U186" s="419"/>
      <c r="V186" s="71"/>
      <c r="W186" s="53"/>
      <c r="X186" s="71"/>
      <c r="Y186" s="72"/>
      <c r="Z186" s="53"/>
      <c r="AA186" s="53"/>
      <c r="AB186" s="53"/>
      <c r="AC186" s="53"/>
      <c r="AD186" s="72"/>
      <c r="AE186" s="53"/>
      <c r="AF186" s="53"/>
      <c r="AG186" s="53"/>
      <c r="AH186" s="53"/>
      <c r="AI186" s="72"/>
      <c r="AJ186" s="53"/>
      <c r="AK186" s="53"/>
      <c r="AL186" s="53"/>
      <c r="AM186" s="53"/>
      <c r="AN186" s="72"/>
      <c r="AO186" s="53"/>
      <c r="AP186" s="53"/>
      <c r="AQ186" s="53"/>
      <c r="AR186" s="53"/>
      <c r="AS186" s="72"/>
      <c r="AT186" s="53"/>
    </row>
    <row r="187" spans="1:46" x14ac:dyDescent="0.25">
      <c r="A187" s="66"/>
      <c r="B187" s="67"/>
      <c r="C187" s="68"/>
      <c r="D187" s="66"/>
      <c r="E187" s="66"/>
      <c r="F187" s="66"/>
      <c r="G187" s="66"/>
      <c r="H187" s="48"/>
      <c r="I187" s="69"/>
      <c r="J187" s="70"/>
      <c r="K187" s="55"/>
      <c r="L187" s="55"/>
      <c r="M187" s="55"/>
      <c r="N187" s="55"/>
      <c r="O187" s="54"/>
      <c r="P187" s="55"/>
      <c r="Q187" s="55"/>
      <c r="R187" s="55"/>
      <c r="S187" s="55"/>
      <c r="T187" s="55"/>
      <c r="U187" s="419"/>
      <c r="V187" s="71"/>
      <c r="W187" s="53"/>
      <c r="X187" s="71"/>
      <c r="Y187" s="72"/>
      <c r="Z187" s="53"/>
      <c r="AA187" s="53"/>
      <c r="AB187" s="53"/>
      <c r="AC187" s="53"/>
      <c r="AD187" s="72"/>
      <c r="AE187" s="53"/>
      <c r="AF187" s="53"/>
      <c r="AG187" s="53"/>
      <c r="AH187" s="53"/>
      <c r="AI187" s="72"/>
      <c r="AJ187" s="53"/>
      <c r="AK187" s="53"/>
      <c r="AL187" s="53"/>
      <c r="AM187" s="53"/>
      <c r="AN187" s="72"/>
      <c r="AO187" s="53"/>
      <c r="AP187" s="53"/>
      <c r="AQ187" s="53"/>
      <c r="AR187" s="53"/>
      <c r="AS187" s="72"/>
      <c r="AT187" s="53"/>
    </row>
    <row r="188" spans="1:46" x14ac:dyDescent="0.25">
      <c r="A188" s="66"/>
      <c r="B188" s="67"/>
      <c r="C188" s="68"/>
      <c r="D188" s="66"/>
      <c r="E188" s="66"/>
      <c r="F188" s="66"/>
      <c r="G188" s="66"/>
      <c r="H188" s="48"/>
      <c r="I188" s="69"/>
      <c r="J188" s="70"/>
      <c r="K188" s="55"/>
      <c r="L188" s="55"/>
      <c r="M188" s="55"/>
      <c r="N188" s="55"/>
      <c r="O188" s="54"/>
      <c r="P188" s="55"/>
      <c r="Q188" s="55"/>
      <c r="R188" s="55"/>
      <c r="S188" s="55"/>
      <c r="T188" s="55"/>
      <c r="U188" s="419"/>
      <c r="V188" s="71"/>
      <c r="W188" s="53"/>
      <c r="X188" s="71"/>
      <c r="Y188" s="72"/>
      <c r="Z188" s="53"/>
      <c r="AA188" s="53"/>
      <c r="AB188" s="53"/>
      <c r="AC188" s="53"/>
      <c r="AD188" s="72"/>
      <c r="AE188" s="53"/>
      <c r="AF188" s="53"/>
      <c r="AG188" s="53"/>
      <c r="AH188" s="53"/>
      <c r="AI188" s="72"/>
      <c r="AJ188" s="53"/>
      <c r="AK188" s="53"/>
      <c r="AL188" s="53"/>
      <c r="AM188" s="53"/>
      <c r="AN188" s="72"/>
      <c r="AO188" s="53"/>
      <c r="AP188" s="53"/>
      <c r="AQ188" s="53"/>
      <c r="AR188" s="53"/>
      <c r="AS188" s="72"/>
      <c r="AT188" s="53"/>
    </row>
    <row r="189" spans="1:46" x14ac:dyDescent="0.25">
      <c r="A189" s="3"/>
      <c r="B189" s="58"/>
      <c r="C189" s="59"/>
      <c r="D189" s="3"/>
      <c r="E189" s="3"/>
      <c r="F189" s="3"/>
      <c r="G189" s="3"/>
      <c r="H189" s="27"/>
      <c r="I189" s="60"/>
      <c r="J189" s="61"/>
      <c r="K189" s="30"/>
      <c r="L189" s="30"/>
      <c r="M189" s="30"/>
      <c r="N189" s="30"/>
      <c r="O189" s="31"/>
      <c r="P189" s="30"/>
      <c r="Q189" s="62"/>
      <c r="R189" s="62"/>
      <c r="S189" s="62"/>
      <c r="T189" s="62"/>
      <c r="U189" s="419"/>
      <c r="V189" s="63"/>
      <c r="W189" s="42"/>
      <c r="X189" s="63"/>
      <c r="Y189" s="65"/>
      <c r="Z189" s="42"/>
      <c r="AA189" s="42"/>
      <c r="AB189" s="42"/>
      <c r="AC189" s="42"/>
      <c r="AD189" s="65"/>
      <c r="AE189" s="42"/>
      <c r="AF189" s="42"/>
      <c r="AG189" s="42"/>
      <c r="AH189" s="42"/>
      <c r="AI189" s="65"/>
      <c r="AJ189" s="42"/>
      <c r="AK189" s="42"/>
      <c r="AL189" s="42"/>
      <c r="AM189" s="42"/>
      <c r="AN189" s="65"/>
      <c r="AO189" s="42"/>
      <c r="AP189" s="42"/>
      <c r="AQ189" s="42"/>
      <c r="AR189" s="42"/>
      <c r="AS189" s="65"/>
      <c r="AT189" s="42"/>
    </row>
    <row r="190" spans="1:46" x14ac:dyDescent="0.25">
      <c r="A190" s="3"/>
      <c r="B190" s="58"/>
      <c r="C190" s="59"/>
      <c r="D190" s="3"/>
      <c r="E190" s="3"/>
      <c r="F190" s="3"/>
      <c r="G190" s="3"/>
      <c r="H190" s="27"/>
      <c r="I190" s="60"/>
      <c r="J190" s="61"/>
      <c r="K190" s="30"/>
      <c r="L190" s="30"/>
      <c r="M190" s="30"/>
      <c r="N190" s="30"/>
      <c r="O190" s="31"/>
      <c r="P190" s="30"/>
      <c r="Q190" s="62"/>
      <c r="R190" s="62"/>
      <c r="S190" s="62"/>
      <c r="T190" s="62"/>
      <c r="U190" s="419"/>
      <c r="V190" s="63"/>
      <c r="W190" s="42"/>
      <c r="X190" s="63"/>
      <c r="Y190" s="65"/>
      <c r="Z190" s="42"/>
      <c r="AA190" s="42"/>
      <c r="AB190" s="42"/>
      <c r="AC190" s="42"/>
      <c r="AD190" s="65"/>
      <c r="AE190" s="42"/>
      <c r="AF190" s="42"/>
      <c r="AG190" s="42"/>
      <c r="AH190" s="42"/>
      <c r="AI190" s="65"/>
      <c r="AJ190" s="42"/>
      <c r="AK190" s="42"/>
      <c r="AL190" s="42"/>
      <c r="AM190" s="42"/>
      <c r="AN190" s="65"/>
      <c r="AO190" s="42"/>
      <c r="AP190" s="42"/>
      <c r="AQ190" s="42"/>
      <c r="AR190" s="42"/>
      <c r="AS190" s="65"/>
      <c r="AT190" s="42"/>
    </row>
    <row r="191" spans="1:46" x14ac:dyDescent="0.25">
      <c r="A191" s="3"/>
      <c r="B191" s="58"/>
      <c r="C191" s="59"/>
      <c r="D191" s="3"/>
      <c r="E191" s="3"/>
      <c r="F191" s="3"/>
      <c r="G191" s="3"/>
      <c r="H191" s="27"/>
      <c r="I191" s="60"/>
      <c r="J191" s="61"/>
      <c r="K191" s="30"/>
      <c r="L191" s="30"/>
      <c r="M191" s="30"/>
      <c r="N191" s="30"/>
      <c r="O191" s="31"/>
      <c r="P191" s="30"/>
      <c r="Q191" s="62"/>
      <c r="R191" s="62"/>
      <c r="S191" s="62"/>
      <c r="T191" s="62"/>
      <c r="U191" s="419"/>
      <c r="V191" s="63"/>
      <c r="W191" s="42"/>
      <c r="X191" s="63"/>
      <c r="Y191" s="65"/>
      <c r="Z191" s="42"/>
      <c r="AA191" s="42"/>
      <c r="AB191" s="42"/>
      <c r="AC191" s="42"/>
      <c r="AD191" s="65"/>
      <c r="AE191" s="42"/>
      <c r="AF191" s="42"/>
      <c r="AG191" s="42"/>
      <c r="AH191" s="42"/>
      <c r="AI191" s="65"/>
      <c r="AJ191" s="42"/>
      <c r="AK191" s="42"/>
      <c r="AL191" s="42"/>
      <c r="AM191" s="42"/>
      <c r="AN191" s="65"/>
      <c r="AO191" s="42"/>
      <c r="AP191" s="42"/>
      <c r="AQ191" s="42"/>
      <c r="AR191" s="42"/>
      <c r="AS191" s="65"/>
      <c r="AT191" s="42"/>
    </row>
    <row r="192" spans="1:46" x14ac:dyDescent="0.25">
      <c r="A192" s="3"/>
      <c r="B192" s="58"/>
      <c r="C192" s="59"/>
      <c r="D192" s="3"/>
      <c r="E192" s="3"/>
      <c r="F192" s="3"/>
      <c r="G192" s="3"/>
      <c r="H192" s="27"/>
      <c r="I192" s="60"/>
      <c r="J192" s="61"/>
      <c r="K192" s="30"/>
      <c r="L192" s="30"/>
      <c r="M192" s="30"/>
      <c r="N192" s="30"/>
      <c r="O192" s="31"/>
      <c r="P192" s="30"/>
      <c r="Q192" s="62"/>
      <c r="R192" s="62"/>
      <c r="S192" s="62"/>
      <c r="T192" s="62"/>
      <c r="U192" s="419"/>
      <c r="V192" s="63"/>
      <c r="W192" s="42"/>
      <c r="X192" s="63"/>
      <c r="Y192" s="65"/>
      <c r="Z192" s="42"/>
      <c r="AA192" s="42"/>
      <c r="AB192" s="42"/>
      <c r="AC192" s="42"/>
      <c r="AD192" s="65"/>
      <c r="AE192" s="42"/>
      <c r="AF192" s="42"/>
      <c r="AG192" s="42"/>
      <c r="AH192" s="42"/>
      <c r="AI192" s="65"/>
      <c r="AJ192" s="42"/>
      <c r="AK192" s="42"/>
      <c r="AL192" s="42"/>
      <c r="AM192" s="42"/>
      <c r="AN192" s="65"/>
      <c r="AO192" s="42"/>
      <c r="AP192" s="42"/>
      <c r="AQ192" s="42"/>
      <c r="AR192" s="42"/>
      <c r="AS192" s="65"/>
      <c r="AT192" s="42"/>
    </row>
    <row r="193" spans="1:46" x14ac:dyDescent="0.25">
      <c r="A193" s="3"/>
      <c r="B193" s="58"/>
      <c r="C193" s="59"/>
      <c r="D193" s="3"/>
      <c r="E193" s="3"/>
      <c r="F193" s="3"/>
      <c r="G193" s="3"/>
      <c r="H193" s="27"/>
      <c r="I193" s="60"/>
      <c r="J193" s="61"/>
      <c r="K193" s="30"/>
      <c r="L193" s="30"/>
      <c r="M193" s="30"/>
      <c r="N193" s="30"/>
      <c r="O193" s="31"/>
      <c r="P193" s="30"/>
      <c r="Q193" s="62"/>
      <c r="R193" s="62"/>
      <c r="S193" s="62"/>
      <c r="T193" s="62"/>
      <c r="U193" s="419"/>
      <c r="V193" s="63"/>
      <c r="W193" s="42"/>
      <c r="X193" s="63"/>
      <c r="Y193" s="65"/>
      <c r="Z193" s="42"/>
      <c r="AA193" s="42"/>
      <c r="AB193" s="42"/>
      <c r="AC193" s="42"/>
      <c r="AD193" s="65"/>
      <c r="AE193" s="42"/>
      <c r="AF193" s="42"/>
      <c r="AG193" s="42"/>
      <c r="AH193" s="42"/>
      <c r="AI193" s="65"/>
      <c r="AJ193" s="42"/>
      <c r="AK193" s="42"/>
      <c r="AL193" s="42"/>
      <c r="AM193" s="42"/>
      <c r="AN193" s="65"/>
      <c r="AO193" s="42"/>
      <c r="AP193" s="42"/>
      <c r="AQ193" s="42"/>
      <c r="AR193" s="42"/>
      <c r="AS193" s="65"/>
      <c r="AT193" s="42"/>
    </row>
    <row r="194" spans="1:46" x14ac:dyDescent="0.25">
      <c r="A194" s="66"/>
      <c r="B194" s="67"/>
      <c r="C194" s="68"/>
      <c r="D194" s="66"/>
      <c r="E194" s="66"/>
      <c r="F194" s="66"/>
      <c r="G194" s="66"/>
      <c r="H194" s="48"/>
      <c r="I194" s="69"/>
      <c r="J194" s="70"/>
      <c r="K194" s="55"/>
      <c r="L194" s="55"/>
      <c r="M194" s="55"/>
      <c r="N194" s="55"/>
      <c r="O194" s="54"/>
      <c r="P194" s="55"/>
      <c r="Q194" s="55"/>
      <c r="R194" s="55"/>
      <c r="S194" s="55"/>
      <c r="T194" s="55"/>
      <c r="U194" s="419"/>
      <c r="V194" s="71"/>
      <c r="W194" s="53"/>
      <c r="X194" s="71"/>
      <c r="Y194" s="72"/>
      <c r="Z194" s="53"/>
      <c r="AA194" s="53"/>
      <c r="AB194" s="53"/>
      <c r="AC194" s="53"/>
      <c r="AD194" s="72"/>
      <c r="AE194" s="53"/>
      <c r="AF194" s="53"/>
      <c r="AG194" s="53"/>
      <c r="AH194" s="53"/>
      <c r="AI194" s="72"/>
      <c r="AJ194" s="53"/>
      <c r="AK194" s="53"/>
      <c r="AL194" s="53"/>
      <c r="AM194" s="53"/>
      <c r="AN194" s="72"/>
      <c r="AO194" s="53"/>
      <c r="AP194" s="53"/>
      <c r="AQ194" s="53"/>
      <c r="AR194" s="53"/>
      <c r="AS194" s="72"/>
      <c r="AT194" s="53"/>
    </row>
    <row r="195" spans="1:46" x14ac:dyDescent="0.25">
      <c r="A195" s="66"/>
      <c r="B195" s="67"/>
      <c r="C195" s="68"/>
      <c r="D195" s="66"/>
      <c r="E195" s="66"/>
      <c r="F195" s="66"/>
      <c r="G195" s="66"/>
      <c r="H195" s="48"/>
      <c r="I195" s="69"/>
      <c r="J195" s="70"/>
      <c r="K195" s="55"/>
      <c r="L195" s="55"/>
      <c r="M195" s="55"/>
      <c r="N195" s="55"/>
      <c r="O195" s="54"/>
      <c r="P195" s="55"/>
      <c r="Q195" s="55"/>
      <c r="R195" s="55"/>
      <c r="S195" s="55"/>
      <c r="T195" s="55"/>
      <c r="U195" s="419"/>
      <c r="V195" s="71"/>
      <c r="W195" s="53"/>
      <c r="X195" s="71"/>
      <c r="Y195" s="72"/>
      <c r="Z195" s="53"/>
      <c r="AA195" s="53"/>
      <c r="AB195" s="53"/>
      <c r="AC195" s="53"/>
      <c r="AD195" s="72"/>
      <c r="AE195" s="53"/>
      <c r="AF195" s="53"/>
      <c r="AG195" s="53"/>
      <c r="AH195" s="53"/>
      <c r="AI195" s="72"/>
      <c r="AJ195" s="53"/>
      <c r="AK195" s="53"/>
      <c r="AL195" s="53"/>
      <c r="AM195" s="53"/>
      <c r="AN195" s="72"/>
      <c r="AO195" s="53"/>
      <c r="AP195" s="53"/>
      <c r="AQ195" s="53"/>
      <c r="AR195" s="53"/>
      <c r="AS195" s="72"/>
      <c r="AT195" s="53"/>
    </row>
    <row r="196" spans="1:46" x14ac:dyDescent="0.25">
      <c r="A196" s="66"/>
      <c r="B196" s="67"/>
      <c r="C196" s="68"/>
      <c r="D196" s="66"/>
      <c r="E196" s="66"/>
      <c r="F196" s="66"/>
      <c r="G196" s="66"/>
      <c r="H196" s="48"/>
      <c r="I196" s="69"/>
      <c r="J196" s="70"/>
      <c r="K196" s="55"/>
      <c r="L196" s="55"/>
      <c r="M196" s="55"/>
      <c r="N196" s="55"/>
      <c r="O196" s="54"/>
      <c r="P196" s="55"/>
      <c r="Q196" s="55"/>
      <c r="R196" s="55"/>
      <c r="S196" s="55"/>
      <c r="T196" s="55"/>
      <c r="U196" s="419"/>
      <c r="V196" s="71"/>
      <c r="W196" s="53"/>
      <c r="X196" s="71"/>
      <c r="Y196" s="72"/>
      <c r="Z196" s="53"/>
      <c r="AA196" s="53"/>
      <c r="AB196" s="53"/>
      <c r="AC196" s="53"/>
      <c r="AD196" s="72"/>
      <c r="AE196" s="53"/>
      <c r="AF196" s="53"/>
      <c r="AG196" s="53"/>
      <c r="AH196" s="53"/>
      <c r="AI196" s="72"/>
      <c r="AJ196" s="53"/>
      <c r="AK196" s="53"/>
      <c r="AL196" s="53"/>
      <c r="AM196" s="53"/>
      <c r="AN196" s="72"/>
      <c r="AO196" s="53"/>
      <c r="AP196" s="53"/>
      <c r="AQ196" s="53"/>
      <c r="AR196" s="53"/>
      <c r="AS196" s="72"/>
      <c r="AT196" s="53"/>
    </row>
    <row r="197" spans="1:46" x14ac:dyDescent="0.25">
      <c r="A197" s="66"/>
      <c r="B197" s="67"/>
      <c r="C197" s="68"/>
      <c r="D197" s="66"/>
      <c r="E197" s="66"/>
      <c r="F197" s="66"/>
      <c r="G197" s="66"/>
      <c r="H197" s="48"/>
      <c r="I197" s="69"/>
      <c r="J197" s="70"/>
      <c r="K197" s="55"/>
      <c r="L197" s="55"/>
      <c r="M197" s="55"/>
      <c r="N197" s="55"/>
      <c r="O197" s="54"/>
      <c r="P197" s="55"/>
      <c r="Q197" s="55"/>
      <c r="R197" s="55"/>
      <c r="S197" s="55"/>
      <c r="T197" s="55"/>
      <c r="U197" s="419"/>
      <c r="V197" s="71"/>
      <c r="W197" s="53"/>
      <c r="X197" s="71"/>
      <c r="Y197" s="72"/>
      <c r="Z197" s="53"/>
      <c r="AA197" s="53"/>
      <c r="AB197" s="53"/>
      <c r="AC197" s="53"/>
      <c r="AD197" s="72"/>
      <c r="AE197" s="53"/>
      <c r="AF197" s="53"/>
      <c r="AG197" s="53"/>
      <c r="AH197" s="53"/>
      <c r="AI197" s="72"/>
      <c r="AJ197" s="53"/>
      <c r="AK197" s="53"/>
      <c r="AL197" s="53"/>
      <c r="AM197" s="53"/>
      <c r="AN197" s="72"/>
      <c r="AO197" s="53"/>
      <c r="AP197" s="53"/>
      <c r="AQ197" s="53"/>
      <c r="AR197" s="53"/>
      <c r="AS197" s="72"/>
      <c r="AT197" s="53"/>
    </row>
    <row r="198" spans="1:46" x14ac:dyDescent="0.25">
      <c r="A198" s="66"/>
      <c r="B198" s="67"/>
      <c r="C198" s="68"/>
      <c r="D198" s="66"/>
      <c r="E198" s="66"/>
      <c r="F198" s="66"/>
      <c r="G198" s="66"/>
      <c r="H198" s="48"/>
      <c r="I198" s="69"/>
      <c r="J198" s="70"/>
      <c r="K198" s="55"/>
      <c r="L198" s="55"/>
      <c r="M198" s="55"/>
      <c r="N198" s="55"/>
      <c r="O198" s="54"/>
      <c r="P198" s="55"/>
      <c r="Q198" s="55"/>
      <c r="R198" s="55"/>
      <c r="S198" s="55"/>
      <c r="T198" s="55"/>
      <c r="U198" s="419"/>
      <c r="V198" s="71"/>
      <c r="W198" s="53"/>
      <c r="X198" s="71"/>
      <c r="Y198" s="72"/>
      <c r="Z198" s="53"/>
      <c r="AA198" s="53"/>
      <c r="AB198" s="53"/>
      <c r="AC198" s="53"/>
      <c r="AD198" s="72"/>
      <c r="AE198" s="53"/>
      <c r="AF198" s="53"/>
      <c r="AG198" s="53"/>
      <c r="AH198" s="53"/>
      <c r="AI198" s="72"/>
      <c r="AJ198" s="53"/>
      <c r="AK198" s="53"/>
      <c r="AL198" s="53"/>
      <c r="AM198" s="53"/>
      <c r="AN198" s="72"/>
      <c r="AO198" s="53"/>
      <c r="AP198" s="53"/>
      <c r="AQ198" s="53"/>
      <c r="AR198" s="53"/>
      <c r="AS198" s="72"/>
      <c r="AT198" s="53"/>
    </row>
    <row r="199" spans="1:46" x14ac:dyDescent="0.25">
      <c r="A199" s="3"/>
      <c r="B199" s="58"/>
      <c r="C199" s="59"/>
      <c r="D199" s="3"/>
      <c r="E199" s="3"/>
      <c r="F199" s="3"/>
      <c r="G199" s="3"/>
      <c r="H199" s="27"/>
      <c r="I199" s="60"/>
      <c r="J199" s="61"/>
      <c r="K199" s="30"/>
      <c r="L199" s="30"/>
      <c r="M199" s="30"/>
      <c r="N199" s="30"/>
      <c r="O199" s="31"/>
      <c r="P199" s="30"/>
      <c r="Q199" s="62"/>
      <c r="R199" s="62"/>
      <c r="S199" s="62"/>
      <c r="T199" s="62"/>
      <c r="U199" s="419"/>
      <c r="V199" s="63"/>
      <c r="W199" s="42"/>
      <c r="X199" s="63"/>
      <c r="Y199" s="65"/>
      <c r="Z199" s="42"/>
      <c r="AA199" s="42"/>
      <c r="AB199" s="42"/>
      <c r="AC199" s="42"/>
      <c r="AD199" s="65"/>
      <c r="AE199" s="42"/>
      <c r="AF199" s="42"/>
      <c r="AG199" s="42"/>
      <c r="AH199" s="42"/>
      <c r="AI199" s="65"/>
      <c r="AJ199" s="42"/>
      <c r="AK199" s="42"/>
      <c r="AL199" s="42"/>
      <c r="AM199" s="42"/>
      <c r="AN199" s="65"/>
      <c r="AO199" s="42"/>
      <c r="AP199" s="42"/>
      <c r="AQ199" s="42"/>
      <c r="AR199" s="42"/>
      <c r="AS199" s="65"/>
      <c r="AT199" s="42"/>
    </row>
    <row r="200" spans="1:46" x14ac:dyDescent="0.25">
      <c r="A200" s="3"/>
      <c r="B200" s="58"/>
      <c r="C200" s="59"/>
      <c r="D200" s="3"/>
      <c r="E200" s="3"/>
      <c r="F200" s="3"/>
      <c r="G200" s="3"/>
      <c r="H200" s="27"/>
      <c r="I200" s="60"/>
      <c r="J200" s="61"/>
      <c r="K200" s="30"/>
      <c r="L200" s="30"/>
      <c r="M200" s="30"/>
      <c r="N200" s="30"/>
      <c r="O200" s="31"/>
      <c r="P200" s="30"/>
      <c r="Q200" s="62"/>
      <c r="R200" s="62"/>
      <c r="S200" s="62"/>
      <c r="T200" s="62"/>
      <c r="U200" s="419"/>
      <c r="V200" s="63"/>
      <c r="W200" s="42"/>
      <c r="X200" s="63"/>
      <c r="Y200" s="65"/>
      <c r="Z200" s="42"/>
      <c r="AA200" s="42"/>
      <c r="AB200" s="42"/>
      <c r="AC200" s="42"/>
      <c r="AD200" s="65"/>
      <c r="AE200" s="42"/>
      <c r="AF200" s="42"/>
      <c r="AG200" s="42"/>
      <c r="AH200" s="42"/>
      <c r="AI200" s="65"/>
      <c r="AJ200" s="42"/>
      <c r="AK200" s="42"/>
      <c r="AL200" s="42"/>
      <c r="AM200" s="42"/>
      <c r="AN200" s="65"/>
      <c r="AO200" s="42"/>
      <c r="AP200" s="42"/>
      <c r="AQ200" s="42"/>
      <c r="AR200" s="42"/>
      <c r="AS200" s="65"/>
      <c r="AT200" s="42"/>
    </row>
    <row r="201" spans="1:46" x14ac:dyDescent="0.25">
      <c r="A201" s="3"/>
      <c r="B201" s="58"/>
      <c r="C201" s="59"/>
      <c r="D201" s="3"/>
      <c r="E201" s="3"/>
      <c r="F201" s="3"/>
      <c r="G201" s="3"/>
      <c r="H201" s="27"/>
      <c r="I201" s="60"/>
      <c r="J201" s="61"/>
      <c r="K201" s="30"/>
      <c r="L201" s="30"/>
      <c r="M201" s="30"/>
      <c r="N201" s="30"/>
      <c r="O201" s="31"/>
      <c r="P201" s="30"/>
      <c r="Q201" s="62"/>
      <c r="R201" s="62"/>
      <c r="S201" s="62"/>
      <c r="T201" s="62"/>
      <c r="U201" s="419"/>
      <c r="V201" s="63"/>
      <c r="W201" s="42"/>
      <c r="X201" s="63"/>
      <c r="Y201" s="65"/>
      <c r="Z201" s="42"/>
      <c r="AA201" s="42"/>
      <c r="AB201" s="42"/>
      <c r="AC201" s="42"/>
      <c r="AD201" s="65"/>
      <c r="AE201" s="42"/>
      <c r="AF201" s="42"/>
      <c r="AG201" s="42"/>
      <c r="AH201" s="42"/>
      <c r="AI201" s="65"/>
      <c r="AJ201" s="42"/>
      <c r="AK201" s="42"/>
      <c r="AL201" s="42"/>
      <c r="AM201" s="42"/>
      <c r="AN201" s="65"/>
      <c r="AO201" s="42"/>
      <c r="AP201" s="42"/>
      <c r="AQ201" s="42"/>
      <c r="AR201" s="42"/>
      <c r="AS201" s="65"/>
      <c r="AT201" s="42"/>
    </row>
    <row r="202" spans="1:46" x14ac:dyDescent="0.25">
      <c r="A202" s="3"/>
      <c r="B202" s="58"/>
      <c r="C202" s="59"/>
      <c r="D202" s="3"/>
      <c r="E202" s="3"/>
      <c r="F202" s="3"/>
      <c r="G202" s="3"/>
      <c r="H202" s="27"/>
      <c r="I202" s="60"/>
      <c r="J202" s="61"/>
      <c r="K202" s="30"/>
      <c r="L202" s="30"/>
      <c r="M202" s="30"/>
      <c r="N202" s="30"/>
      <c r="O202" s="31"/>
      <c r="P202" s="30"/>
      <c r="Q202" s="62"/>
      <c r="R202" s="62"/>
      <c r="S202" s="62"/>
      <c r="T202" s="62"/>
      <c r="U202" s="419"/>
      <c r="V202" s="63"/>
      <c r="W202" s="42"/>
      <c r="X202" s="63"/>
      <c r="Y202" s="65"/>
      <c r="Z202" s="42"/>
      <c r="AA202" s="42"/>
      <c r="AB202" s="42"/>
      <c r="AC202" s="42"/>
      <c r="AD202" s="65"/>
      <c r="AE202" s="42"/>
      <c r="AF202" s="42"/>
      <c r="AG202" s="42"/>
      <c r="AH202" s="42"/>
      <c r="AI202" s="65"/>
      <c r="AJ202" s="42"/>
      <c r="AK202" s="42"/>
      <c r="AL202" s="42"/>
      <c r="AM202" s="42"/>
      <c r="AN202" s="65"/>
      <c r="AO202" s="42"/>
      <c r="AP202" s="42"/>
      <c r="AQ202" s="42"/>
      <c r="AR202" s="42"/>
      <c r="AS202" s="65"/>
      <c r="AT202" s="42"/>
    </row>
    <row r="203" spans="1:46" x14ac:dyDescent="0.25">
      <c r="A203" s="3"/>
      <c r="B203" s="58"/>
      <c r="C203" s="59"/>
      <c r="D203" s="3"/>
      <c r="E203" s="3"/>
      <c r="F203" s="3"/>
      <c r="G203" s="3"/>
      <c r="H203" s="27"/>
      <c r="I203" s="60"/>
      <c r="J203" s="61"/>
      <c r="K203" s="30"/>
      <c r="L203" s="30"/>
      <c r="M203" s="30"/>
      <c r="N203" s="30"/>
      <c r="O203" s="31"/>
      <c r="P203" s="30"/>
      <c r="Q203" s="62"/>
      <c r="R203" s="62"/>
      <c r="S203" s="62"/>
      <c r="T203" s="62"/>
      <c r="U203" s="419"/>
      <c r="V203" s="63"/>
      <c r="W203" s="42"/>
      <c r="X203" s="63"/>
      <c r="Y203" s="65"/>
      <c r="Z203" s="42"/>
      <c r="AA203" s="42"/>
      <c r="AB203" s="42"/>
      <c r="AC203" s="42"/>
      <c r="AD203" s="65"/>
      <c r="AE203" s="42"/>
      <c r="AF203" s="42"/>
      <c r="AG203" s="42"/>
      <c r="AH203" s="42"/>
      <c r="AI203" s="65"/>
      <c r="AJ203" s="42"/>
      <c r="AK203" s="42"/>
      <c r="AL203" s="42"/>
      <c r="AM203" s="42"/>
      <c r="AN203" s="65"/>
      <c r="AO203" s="42"/>
      <c r="AP203" s="42"/>
      <c r="AQ203" s="42"/>
      <c r="AR203" s="42"/>
      <c r="AS203" s="65"/>
      <c r="AT203" s="42"/>
    </row>
    <row r="204" spans="1:46" x14ac:dyDescent="0.25">
      <c r="A204" s="66"/>
      <c r="B204" s="67"/>
      <c r="C204" s="68"/>
      <c r="D204" s="66"/>
      <c r="E204" s="66"/>
      <c r="F204" s="66"/>
      <c r="G204" s="66"/>
      <c r="H204" s="48"/>
      <c r="I204" s="69"/>
      <c r="J204" s="70"/>
      <c r="K204" s="55"/>
      <c r="L204" s="55"/>
      <c r="M204" s="55"/>
      <c r="N204" s="55"/>
      <c r="O204" s="54"/>
      <c r="P204" s="55"/>
      <c r="Q204" s="55"/>
      <c r="R204" s="55"/>
      <c r="S204" s="55"/>
      <c r="T204" s="55"/>
      <c r="U204" s="419"/>
      <c r="V204" s="71"/>
      <c r="W204" s="53"/>
      <c r="X204" s="71"/>
      <c r="Y204" s="72"/>
      <c r="Z204" s="53"/>
      <c r="AA204" s="53"/>
      <c r="AB204" s="53"/>
      <c r="AC204" s="53"/>
      <c r="AD204" s="72"/>
      <c r="AE204" s="53"/>
      <c r="AF204" s="53"/>
      <c r="AG204" s="53"/>
      <c r="AH204" s="53"/>
      <c r="AI204" s="72"/>
      <c r="AJ204" s="53"/>
      <c r="AK204" s="53"/>
      <c r="AL204" s="53"/>
      <c r="AM204" s="53"/>
      <c r="AN204" s="72"/>
      <c r="AO204" s="53"/>
      <c r="AP204" s="53"/>
      <c r="AQ204" s="53"/>
      <c r="AR204" s="53"/>
      <c r="AS204" s="72"/>
      <c r="AT204" s="53"/>
    </row>
    <row r="205" spans="1:46" x14ac:dyDescent="0.25">
      <c r="A205" s="66"/>
      <c r="B205" s="67"/>
      <c r="C205" s="68"/>
      <c r="D205" s="66"/>
      <c r="E205" s="66"/>
      <c r="F205" s="66"/>
      <c r="G205" s="66"/>
      <c r="H205" s="48"/>
      <c r="I205" s="69"/>
      <c r="J205" s="70"/>
      <c r="K205" s="55"/>
      <c r="L205" s="55"/>
      <c r="M205" s="55"/>
      <c r="N205" s="55"/>
      <c r="O205" s="54"/>
      <c r="P205" s="55"/>
      <c r="Q205" s="55"/>
      <c r="R205" s="55"/>
      <c r="S205" s="55"/>
      <c r="T205" s="55"/>
      <c r="U205" s="419"/>
      <c r="V205" s="71"/>
      <c r="W205" s="53"/>
      <c r="X205" s="71"/>
      <c r="Y205" s="72"/>
      <c r="Z205" s="53"/>
      <c r="AA205" s="53"/>
      <c r="AB205" s="53"/>
      <c r="AC205" s="53"/>
      <c r="AD205" s="72"/>
      <c r="AE205" s="53"/>
      <c r="AF205" s="53"/>
      <c r="AG205" s="53"/>
      <c r="AH205" s="53"/>
      <c r="AI205" s="72"/>
      <c r="AJ205" s="53"/>
      <c r="AK205" s="53"/>
      <c r="AL205" s="53"/>
      <c r="AM205" s="53"/>
      <c r="AN205" s="72"/>
      <c r="AO205" s="53"/>
      <c r="AP205" s="53"/>
      <c r="AQ205" s="53"/>
      <c r="AR205" s="53"/>
      <c r="AS205" s="72"/>
      <c r="AT205" s="53"/>
    </row>
    <row r="206" spans="1:46" x14ac:dyDescent="0.25">
      <c r="A206" s="66"/>
      <c r="B206" s="67"/>
      <c r="C206" s="68"/>
      <c r="D206" s="66"/>
      <c r="E206" s="66"/>
      <c r="F206" s="66"/>
      <c r="G206" s="66"/>
      <c r="H206" s="48"/>
      <c r="I206" s="69"/>
      <c r="J206" s="70"/>
      <c r="K206" s="55"/>
      <c r="L206" s="55"/>
      <c r="M206" s="55"/>
      <c r="N206" s="55"/>
      <c r="O206" s="54"/>
      <c r="P206" s="55"/>
      <c r="Q206" s="55"/>
      <c r="R206" s="55"/>
      <c r="S206" s="55"/>
      <c r="T206" s="55"/>
      <c r="U206" s="419"/>
      <c r="V206" s="71"/>
      <c r="W206" s="53"/>
      <c r="X206" s="71"/>
      <c r="Y206" s="72"/>
      <c r="Z206" s="53"/>
      <c r="AA206" s="53"/>
      <c r="AB206" s="53"/>
      <c r="AC206" s="53"/>
      <c r="AD206" s="72"/>
      <c r="AE206" s="53"/>
      <c r="AF206" s="53"/>
      <c r="AG206" s="53"/>
      <c r="AH206" s="53"/>
      <c r="AI206" s="72"/>
      <c r="AJ206" s="53"/>
      <c r="AK206" s="53"/>
      <c r="AL206" s="53"/>
      <c r="AM206" s="53"/>
      <c r="AN206" s="72"/>
      <c r="AO206" s="53"/>
      <c r="AP206" s="53"/>
      <c r="AQ206" s="53"/>
      <c r="AR206" s="53"/>
      <c r="AS206" s="72"/>
      <c r="AT206" s="53"/>
    </row>
    <row r="207" spans="1:46" x14ac:dyDescent="0.25">
      <c r="A207" s="66"/>
      <c r="B207" s="67"/>
      <c r="C207" s="68"/>
      <c r="D207" s="66"/>
      <c r="E207" s="66"/>
      <c r="F207" s="66"/>
      <c r="G207" s="66"/>
      <c r="H207" s="48"/>
      <c r="I207" s="69"/>
      <c r="J207" s="70"/>
      <c r="K207" s="55"/>
      <c r="L207" s="55"/>
      <c r="M207" s="55"/>
      <c r="N207" s="55"/>
      <c r="O207" s="54"/>
      <c r="P207" s="55"/>
      <c r="Q207" s="55"/>
      <c r="R207" s="55"/>
      <c r="S207" s="55"/>
      <c r="T207" s="55"/>
      <c r="U207" s="419"/>
      <c r="V207" s="71"/>
      <c r="W207" s="53"/>
      <c r="X207" s="71"/>
      <c r="Y207" s="72"/>
      <c r="Z207" s="53"/>
      <c r="AA207" s="53"/>
      <c r="AB207" s="53"/>
      <c r="AC207" s="53"/>
      <c r="AD207" s="72"/>
      <c r="AE207" s="53"/>
      <c r="AF207" s="53"/>
      <c r="AG207" s="53"/>
      <c r="AH207" s="53"/>
      <c r="AI207" s="72"/>
      <c r="AJ207" s="53"/>
      <c r="AK207" s="53"/>
      <c r="AL207" s="53"/>
      <c r="AM207" s="53"/>
      <c r="AN207" s="72"/>
      <c r="AO207" s="53"/>
      <c r="AP207" s="53"/>
      <c r="AQ207" s="53"/>
      <c r="AR207" s="53"/>
      <c r="AS207" s="72"/>
      <c r="AT207" s="53"/>
    </row>
    <row r="208" spans="1:46" x14ac:dyDescent="0.25">
      <c r="A208" s="66"/>
      <c r="B208" s="67"/>
      <c r="C208" s="68"/>
      <c r="D208" s="66"/>
      <c r="E208" s="66"/>
      <c r="F208" s="66"/>
      <c r="G208" s="66"/>
      <c r="H208" s="48"/>
      <c r="I208" s="69"/>
      <c r="J208" s="70"/>
      <c r="K208" s="55"/>
      <c r="L208" s="55"/>
      <c r="M208" s="55"/>
      <c r="N208" s="55"/>
      <c r="O208" s="54"/>
      <c r="P208" s="55"/>
      <c r="Q208" s="55"/>
      <c r="R208" s="55"/>
      <c r="S208" s="55"/>
      <c r="T208" s="55"/>
      <c r="U208" s="419"/>
      <c r="V208" s="71"/>
      <c r="W208" s="53"/>
      <c r="X208" s="71"/>
      <c r="Y208" s="72"/>
      <c r="Z208" s="53"/>
      <c r="AA208" s="53"/>
      <c r="AB208" s="53"/>
      <c r="AC208" s="53"/>
      <c r="AD208" s="72"/>
      <c r="AE208" s="53"/>
      <c r="AF208" s="53"/>
      <c r="AG208" s="53"/>
      <c r="AH208" s="53"/>
      <c r="AI208" s="72"/>
      <c r="AJ208" s="53"/>
      <c r="AK208" s="53"/>
      <c r="AL208" s="53"/>
      <c r="AM208" s="53"/>
      <c r="AN208" s="72"/>
      <c r="AO208" s="53"/>
      <c r="AP208" s="53"/>
      <c r="AQ208" s="53"/>
      <c r="AR208" s="53"/>
      <c r="AS208" s="72"/>
      <c r="AT208" s="53"/>
    </row>
    <row r="209" spans="1:46" x14ac:dyDescent="0.25">
      <c r="A209" s="3"/>
      <c r="B209" s="58"/>
      <c r="C209" s="59"/>
      <c r="D209" s="3"/>
      <c r="E209" s="3"/>
      <c r="F209" s="3"/>
      <c r="G209" s="3"/>
      <c r="H209" s="27"/>
      <c r="I209" s="60"/>
      <c r="J209" s="61"/>
      <c r="K209" s="30"/>
      <c r="L209" s="30"/>
      <c r="M209" s="30"/>
      <c r="N209" s="30"/>
      <c r="O209" s="31"/>
      <c r="P209" s="30"/>
      <c r="Q209" s="62"/>
      <c r="R209" s="62"/>
      <c r="S209" s="62"/>
      <c r="T209" s="62"/>
      <c r="U209" s="62"/>
      <c r="V209" s="63"/>
      <c r="W209" s="42"/>
      <c r="X209" s="63"/>
      <c r="Y209" s="65"/>
      <c r="Z209" s="42"/>
      <c r="AA209" s="42"/>
      <c r="AB209" s="42"/>
      <c r="AC209" s="42"/>
      <c r="AD209" s="65"/>
      <c r="AE209" s="42"/>
      <c r="AF209" s="42"/>
      <c r="AG209" s="42"/>
      <c r="AH209" s="42"/>
      <c r="AI209" s="65"/>
      <c r="AJ209" s="42"/>
      <c r="AK209" s="42"/>
      <c r="AL209" s="42"/>
      <c r="AM209" s="42"/>
      <c r="AN209" s="65"/>
      <c r="AO209" s="42"/>
      <c r="AP209" s="42"/>
      <c r="AQ209" s="42"/>
      <c r="AR209" s="42"/>
      <c r="AS209" s="65"/>
      <c r="AT209" s="42"/>
    </row>
    <row r="210" spans="1:46" x14ac:dyDescent="0.25">
      <c r="A210" s="3"/>
      <c r="B210" s="58"/>
      <c r="C210" s="59"/>
      <c r="D210" s="3"/>
      <c r="E210" s="3"/>
      <c r="F210" s="3"/>
      <c r="G210" s="3"/>
      <c r="H210" s="27"/>
      <c r="I210" s="60"/>
      <c r="J210" s="61"/>
      <c r="K210" s="30"/>
      <c r="L210" s="30"/>
      <c r="M210" s="30"/>
      <c r="N210" s="30"/>
      <c r="O210" s="31"/>
      <c r="P210" s="30"/>
      <c r="Q210" s="62"/>
      <c r="R210" s="62"/>
      <c r="S210" s="62"/>
      <c r="T210" s="62"/>
      <c r="U210" s="62"/>
      <c r="V210" s="63"/>
      <c r="W210" s="42"/>
      <c r="X210" s="63"/>
      <c r="Y210" s="65"/>
      <c r="Z210" s="42"/>
      <c r="AA210" s="42"/>
      <c r="AB210" s="42"/>
      <c r="AC210" s="42"/>
      <c r="AD210" s="65"/>
      <c r="AE210" s="42"/>
      <c r="AF210" s="42"/>
      <c r="AG210" s="42"/>
      <c r="AH210" s="42"/>
      <c r="AI210" s="65"/>
      <c r="AJ210" s="42"/>
      <c r="AK210" s="42"/>
      <c r="AL210" s="42"/>
      <c r="AM210" s="42"/>
      <c r="AN210" s="65"/>
      <c r="AO210" s="42"/>
      <c r="AP210" s="42"/>
      <c r="AQ210" s="42"/>
      <c r="AR210" s="42"/>
      <c r="AS210" s="65"/>
      <c r="AT210" s="42"/>
    </row>
    <row r="211" spans="1:46" x14ac:dyDescent="0.25">
      <c r="A211" s="3"/>
      <c r="B211" s="58"/>
      <c r="C211" s="59"/>
      <c r="D211" s="3"/>
      <c r="E211" s="3"/>
      <c r="F211" s="3"/>
      <c r="G211" s="3"/>
      <c r="H211" s="27"/>
      <c r="I211" s="60"/>
      <c r="J211" s="61"/>
      <c r="K211" s="30"/>
      <c r="L211" s="30"/>
      <c r="M211" s="30"/>
      <c r="N211" s="30"/>
      <c r="O211" s="31"/>
      <c r="P211" s="30"/>
      <c r="Q211" s="62"/>
      <c r="R211" s="62"/>
      <c r="S211" s="62"/>
      <c r="T211" s="62"/>
      <c r="U211" s="62"/>
      <c r="V211" s="63"/>
      <c r="W211" s="42"/>
      <c r="X211" s="63"/>
      <c r="Y211" s="65"/>
      <c r="Z211" s="42"/>
      <c r="AA211" s="42"/>
      <c r="AB211" s="42"/>
      <c r="AC211" s="42"/>
      <c r="AD211" s="65"/>
      <c r="AE211" s="42"/>
      <c r="AF211" s="42"/>
      <c r="AG211" s="42"/>
      <c r="AH211" s="42"/>
      <c r="AI211" s="65"/>
      <c r="AJ211" s="42"/>
      <c r="AK211" s="42"/>
      <c r="AL211" s="42"/>
      <c r="AM211" s="42"/>
      <c r="AN211" s="65"/>
      <c r="AO211" s="42"/>
      <c r="AP211" s="42"/>
      <c r="AQ211" s="42"/>
      <c r="AR211" s="42"/>
      <c r="AS211" s="65"/>
      <c r="AT211" s="42"/>
    </row>
    <row r="212" spans="1:46" x14ac:dyDescent="0.25">
      <c r="A212" s="3"/>
      <c r="B212" s="58"/>
      <c r="C212" s="59"/>
      <c r="D212" s="3"/>
      <c r="E212" s="3"/>
      <c r="F212" s="3"/>
      <c r="G212" s="3"/>
      <c r="H212" s="27"/>
      <c r="I212" s="60"/>
      <c r="J212" s="61"/>
      <c r="K212" s="30"/>
      <c r="L212" s="30"/>
      <c r="M212" s="30"/>
      <c r="N212" s="30"/>
      <c r="O212" s="31"/>
      <c r="P212" s="30"/>
      <c r="Q212" s="62"/>
      <c r="R212" s="62"/>
      <c r="S212" s="62"/>
      <c r="T212" s="62"/>
      <c r="U212" s="62"/>
      <c r="V212" s="63"/>
      <c r="W212" s="42"/>
      <c r="X212" s="63"/>
      <c r="Y212" s="65"/>
      <c r="Z212" s="42"/>
      <c r="AA212" s="42"/>
      <c r="AB212" s="42"/>
      <c r="AC212" s="42"/>
      <c r="AD212" s="65"/>
      <c r="AE212" s="42"/>
      <c r="AF212" s="42"/>
      <c r="AG212" s="42"/>
      <c r="AH212" s="42"/>
      <c r="AI212" s="65"/>
      <c r="AJ212" s="42"/>
      <c r="AK212" s="42"/>
      <c r="AL212" s="42"/>
      <c r="AM212" s="42"/>
      <c r="AN212" s="65"/>
      <c r="AO212" s="42"/>
      <c r="AP212" s="42"/>
      <c r="AQ212" s="42"/>
      <c r="AR212" s="42"/>
      <c r="AS212" s="65"/>
      <c r="AT212" s="42"/>
    </row>
    <row r="213" spans="1:46" x14ac:dyDescent="0.25">
      <c r="A213" s="3"/>
      <c r="B213" s="58"/>
      <c r="C213" s="59"/>
      <c r="D213" s="3"/>
      <c r="E213" s="3"/>
      <c r="F213" s="3"/>
      <c r="G213" s="3"/>
      <c r="H213" s="27"/>
      <c r="I213" s="60"/>
      <c r="J213" s="61"/>
      <c r="K213" s="30"/>
      <c r="L213" s="30"/>
      <c r="M213" s="30"/>
      <c r="N213" s="30"/>
      <c r="O213" s="31"/>
      <c r="P213" s="30"/>
      <c r="Q213" s="62"/>
      <c r="R213" s="62"/>
      <c r="S213" s="62"/>
      <c r="T213" s="62"/>
      <c r="U213" s="62"/>
      <c r="V213" s="63"/>
      <c r="W213" s="42"/>
      <c r="X213" s="63"/>
      <c r="Y213" s="65"/>
      <c r="Z213" s="42"/>
      <c r="AA213" s="42"/>
      <c r="AB213" s="42"/>
      <c r="AC213" s="42"/>
      <c r="AD213" s="65"/>
      <c r="AE213" s="42"/>
      <c r="AF213" s="42"/>
      <c r="AG213" s="42"/>
      <c r="AH213" s="42"/>
      <c r="AI213" s="65"/>
      <c r="AJ213" s="42"/>
      <c r="AK213" s="42"/>
      <c r="AL213" s="42"/>
      <c r="AM213" s="42"/>
      <c r="AN213" s="65"/>
      <c r="AO213" s="42"/>
      <c r="AP213" s="42"/>
      <c r="AQ213" s="42"/>
      <c r="AR213" s="42"/>
      <c r="AS213" s="65"/>
      <c r="AT213" s="42"/>
    </row>
    <row r="214" spans="1:46" x14ac:dyDescent="0.25">
      <c r="A214" s="3"/>
      <c r="B214" s="58"/>
      <c r="C214" s="59"/>
      <c r="D214" s="3"/>
      <c r="E214" s="3"/>
      <c r="F214" s="3"/>
      <c r="G214" s="3"/>
      <c r="H214" s="27"/>
      <c r="I214" s="60"/>
      <c r="J214" s="61"/>
      <c r="K214" s="30"/>
      <c r="L214" s="30"/>
      <c r="M214" s="30"/>
      <c r="N214" s="30"/>
      <c r="O214" s="31"/>
      <c r="P214" s="30"/>
      <c r="Q214" s="62"/>
      <c r="R214" s="62"/>
      <c r="S214" s="62"/>
      <c r="T214" s="62"/>
      <c r="U214" s="62"/>
      <c r="V214" s="63"/>
      <c r="W214" s="42"/>
      <c r="X214" s="63"/>
      <c r="Y214" s="65"/>
      <c r="Z214" s="42"/>
      <c r="AA214" s="42"/>
      <c r="AB214" s="42"/>
      <c r="AC214" s="42"/>
      <c r="AD214" s="65"/>
      <c r="AE214" s="42"/>
      <c r="AF214" s="42"/>
      <c r="AG214" s="42"/>
      <c r="AH214" s="42"/>
      <c r="AI214" s="65"/>
      <c r="AJ214" s="42"/>
      <c r="AK214" s="42"/>
      <c r="AL214" s="42"/>
      <c r="AM214" s="42"/>
      <c r="AN214" s="65"/>
      <c r="AO214" s="42"/>
      <c r="AP214" s="42"/>
      <c r="AQ214" s="42"/>
      <c r="AR214" s="42"/>
      <c r="AS214" s="65"/>
      <c r="AT214" s="42"/>
    </row>
    <row r="215" spans="1:46" x14ac:dyDescent="0.25">
      <c r="A215" s="3"/>
      <c r="B215" s="58"/>
      <c r="C215" s="59"/>
      <c r="D215" s="3"/>
      <c r="E215" s="3"/>
      <c r="F215" s="3"/>
      <c r="G215" s="3"/>
      <c r="H215" s="27"/>
      <c r="I215" s="60"/>
      <c r="J215" s="61"/>
      <c r="K215" s="30"/>
      <c r="L215" s="30"/>
      <c r="M215" s="30"/>
      <c r="N215" s="30"/>
      <c r="O215" s="31"/>
      <c r="P215" s="30"/>
      <c r="Q215" s="62"/>
      <c r="R215" s="62"/>
      <c r="S215" s="62"/>
      <c r="T215" s="62"/>
      <c r="U215" s="62"/>
      <c r="V215" s="63"/>
      <c r="W215" s="42"/>
      <c r="X215" s="63"/>
      <c r="Y215" s="65"/>
      <c r="Z215" s="42"/>
      <c r="AA215" s="42"/>
      <c r="AB215" s="42"/>
      <c r="AC215" s="42"/>
      <c r="AD215" s="65"/>
      <c r="AE215" s="42"/>
      <c r="AF215" s="42"/>
      <c r="AG215" s="42"/>
      <c r="AH215" s="42"/>
      <c r="AI215" s="65"/>
      <c r="AJ215" s="42"/>
      <c r="AK215" s="42"/>
      <c r="AL215" s="42"/>
      <c r="AM215" s="42"/>
      <c r="AN215" s="65"/>
      <c r="AO215" s="42"/>
      <c r="AP215" s="42"/>
      <c r="AQ215" s="42"/>
      <c r="AR215" s="42"/>
      <c r="AS215" s="65"/>
      <c r="AT215" s="42"/>
    </row>
    <row r="216" spans="1:46" x14ac:dyDescent="0.25">
      <c r="A216" s="3"/>
      <c r="B216" s="58"/>
      <c r="C216" s="59"/>
      <c r="D216" s="3"/>
      <c r="E216" s="3"/>
      <c r="F216" s="3"/>
      <c r="G216" s="3"/>
      <c r="H216" s="27"/>
      <c r="I216" s="60"/>
      <c r="J216" s="61"/>
      <c r="K216" s="30"/>
      <c r="L216" s="30"/>
      <c r="M216" s="30"/>
      <c r="N216" s="30"/>
      <c r="O216" s="31"/>
      <c r="P216" s="30"/>
      <c r="Q216" s="62"/>
      <c r="R216" s="62"/>
      <c r="S216" s="62"/>
      <c r="T216" s="62"/>
      <c r="U216" s="62"/>
      <c r="V216" s="63"/>
      <c r="W216" s="42"/>
      <c r="X216" s="63"/>
      <c r="Y216" s="65"/>
      <c r="Z216" s="42"/>
      <c r="AA216" s="42"/>
      <c r="AB216" s="42"/>
      <c r="AC216" s="42"/>
      <c r="AD216" s="65"/>
      <c r="AE216" s="42"/>
      <c r="AF216" s="42"/>
      <c r="AG216" s="42"/>
      <c r="AH216" s="42"/>
      <c r="AI216" s="65"/>
      <c r="AJ216" s="42"/>
      <c r="AK216" s="42"/>
      <c r="AL216" s="42"/>
      <c r="AM216" s="42"/>
      <c r="AN216" s="65"/>
      <c r="AO216" s="42"/>
      <c r="AP216" s="42"/>
      <c r="AQ216" s="42"/>
      <c r="AR216" s="42"/>
      <c r="AS216" s="65"/>
      <c r="AT216" s="42"/>
    </row>
    <row r="217" spans="1:46" x14ac:dyDescent="0.25">
      <c r="A217" s="3"/>
      <c r="B217" s="58"/>
      <c r="C217" s="59"/>
      <c r="D217" s="3"/>
      <c r="E217" s="3"/>
      <c r="F217" s="3"/>
      <c r="G217" s="3"/>
      <c r="H217" s="27"/>
      <c r="I217" s="60"/>
      <c r="J217" s="61"/>
      <c r="K217" s="30"/>
      <c r="L217" s="30"/>
      <c r="M217" s="30"/>
      <c r="N217" s="30"/>
      <c r="O217" s="31"/>
      <c r="P217" s="30"/>
      <c r="Q217" s="62"/>
      <c r="R217" s="62"/>
      <c r="S217" s="62"/>
      <c r="T217" s="62"/>
      <c r="U217" s="62"/>
      <c r="V217" s="63"/>
      <c r="W217" s="42"/>
      <c r="X217" s="63"/>
      <c r="Y217" s="65"/>
      <c r="Z217" s="42"/>
      <c r="AA217" s="42"/>
      <c r="AB217" s="42"/>
      <c r="AC217" s="42"/>
      <c r="AD217" s="65"/>
      <c r="AE217" s="42"/>
      <c r="AF217" s="42"/>
      <c r="AG217" s="42"/>
      <c r="AH217" s="42"/>
      <c r="AI217" s="65"/>
      <c r="AJ217" s="42"/>
      <c r="AK217" s="42"/>
      <c r="AL217" s="42"/>
      <c r="AM217" s="42"/>
      <c r="AN217" s="65"/>
      <c r="AO217" s="42"/>
      <c r="AP217" s="42"/>
      <c r="AQ217" s="42"/>
      <c r="AR217" s="42"/>
      <c r="AS217" s="65"/>
      <c r="AT217" s="42"/>
    </row>
    <row r="218" spans="1:46" x14ac:dyDescent="0.25">
      <c r="A218" s="3"/>
      <c r="B218" s="58"/>
      <c r="C218" s="59"/>
      <c r="D218" s="3"/>
      <c r="E218" s="3"/>
      <c r="F218" s="3"/>
      <c r="G218" s="3"/>
      <c r="H218" s="27"/>
      <c r="I218" s="60"/>
      <c r="J218" s="61"/>
      <c r="K218" s="30"/>
      <c r="L218" s="30"/>
      <c r="M218" s="30"/>
      <c r="N218" s="30"/>
      <c r="O218" s="31"/>
      <c r="P218" s="30"/>
      <c r="Q218" s="62"/>
      <c r="R218" s="62"/>
      <c r="S218" s="62"/>
      <c r="T218" s="62"/>
      <c r="U218" s="62"/>
      <c r="V218" s="63"/>
      <c r="W218" s="42"/>
      <c r="X218" s="63"/>
      <c r="Y218" s="65"/>
      <c r="Z218" s="42"/>
      <c r="AA218" s="42"/>
      <c r="AB218" s="42"/>
      <c r="AC218" s="42"/>
      <c r="AD218" s="65"/>
      <c r="AE218" s="42"/>
      <c r="AF218" s="42"/>
      <c r="AG218" s="42"/>
      <c r="AH218" s="42"/>
      <c r="AI218" s="65"/>
      <c r="AJ218" s="42"/>
      <c r="AK218" s="42"/>
      <c r="AL218" s="42"/>
      <c r="AM218" s="42"/>
      <c r="AN218" s="65"/>
      <c r="AO218" s="42"/>
      <c r="AP218" s="42"/>
      <c r="AQ218" s="42"/>
      <c r="AR218" s="42"/>
      <c r="AS218" s="65"/>
      <c r="AT218" s="42"/>
    </row>
    <row r="219" spans="1:46" x14ac:dyDescent="0.25">
      <c r="A219" s="3"/>
      <c r="B219" s="58"/>
      <c r="C219" s="59"/>
      <c r="D219" s="3"/>
      <c r="E219" s="3"/>
      <c r="F219" s="3"/>
      <c r="G219" s="3"/>
      <c r="H219" s="27"/>
      <c r="I219" s="60"/>
      <c r="J219" s="61"/>
      <c r="K219" s="30"/>
      <c r="L219" s="30"/>
      <c r="M219" s="30"/>
      <c r="N219" s="30"/>
      <c r="O219" s="31"/>
      <c r="P219" s="30"/>
      <c r="Q219" s="62"/>
      <c r="R219" s="62"/>
      <c r="S219" s="62"/>
      <c r="T219" s="62"/>
      <c r="U219" s="62"/>
      <c r="V219" s="63"/>
      <c r="W219" s="42"/>
      <c r="X219" s="63"/>
      <c r="Y219" s="65"/>
      <c r="Z219" s="42"/>
      <c r="AA219" s="42"/>
      <c r="AB219" s="42"/>
      <c r="AC219" s="42"/>
      <c r="AD219" s="65"/>
      <c r="AE219" s="42"/>
      <c r="AF219" s="42"/>
      <c r="AG219" s="42"/>
      <c r="AH219" s="42"/>
      <c r="AI219" s="65"/>
      <c r="AJ219" s="42"/>
      <c r="AK219" s="42"/>
      <c r="AL219" s="42"/>
      <c r="AM219" s="42"/>
      <c r="AN219" s="65"/>
      <c r="AO219" s="42"/>
      <c r="AP219" s="42"/>
      <c r="AQ219" s="42"/>
      <c r="AR219" s="42"/>
      <c r="AS219" s="65"/>
      <c r="AT219" s="42"/>
    </row>
    <row r="220" spans="1:46" x14ac:dyDescent="0.25">
      <c r="A220" s="3"/>
      <c r="B220" s="58"/>
      <c r="C220" s="59"/>
      <c r="D220" s="3"/>
      <c r="E220" s="3"/>
      <c r="F220" s="3"/>
      <c r="G220" s="3"/>
      <c r="H220" s="27"/>
      <c r="I220" s="60"/>
      <c r="J220" s="61"/>
      <c r="K220" s="30"/>
      <c r="L220" s="30"/>
      <c r="M220" s="30"/>
      <c r="N220" s="30"/>
      <c r="O220" s="31"/>
      <c r="P220" s="30"/>
      <c r="Q220" s="62"/>
      <c r="R220" s="62"/>
      <c r="S220" s="62"/>
      <c r="T220" s="62"/>
      <c r="U220" s="62"/>
      <c r="V220" s="63"/>
      <c r="W220" s="42"/>
      <c r="X220" s="63"/>
      <c r="Y220" s="65"/>
      <c r="Z220" s="42"/>
      <c r="AA220" s="42"/>
      <c r="AB220" s="42"/>
      <c r="AC220" s="42"/>
      <c r="AD220" s="65"/>
      <c r="AE220" s="42"/>
      <c r="AF220" s="42"/>
      <c r="AG220" s="42"/>
      <c r="AH220" s="42"/>
      <c r="AI220" s="65"/>
      <c r="AJ220" s="42"/>
      <c r="AK220" s="42"/>
      <c r="AL220" s="42"/>
      <c r="AM220" s="42"/>
      <c r="AN220" s="65"/>
      <c r="AO220" s="42"/>
      <c r="AP220" s="42"/>
      <c r="AQ220" s="42"/>
      <c r="AR220" s="42"/>
      <c r="AS220" s="65"/>
      <c r="AT220" s="42"/>
    </row>
    <row r="221" spans="1:46" x14ac:dyDescent="0.25">
      <c r="A221" s="3"/>
      <c r="B221" s="58"/>
      <c r="C221" s="59"/>
      <c r="D221" s="3"/>
      <c r="E221" s="3"/>
      <c r="F221" s="3"/>
      <c r="G221" s="3"/>
      <c r="H221" s="27"/>
      <c r="I221" s="60"/>
      <c r="J221" s="61"/>
      <c r="K221" s="30"/>
      <c r="L221" s="30"/>
      <c r="M221" s="30"/>
      <c r="N221" s="30"/>
      <c r="O221" s="31"/>
      <c r="P221" s="30"/>
      <c r="Q221" s="62"/>
      <c r="R221" s="62"/>
      <c r="S221" s="62"/>
      <c r="T221" s="62"/>
      <c r="U221" s="62"/>
      <c r="V221" s="63"/>
      <c r="W221" s="42"/>
      <c r="X221" s="63"/>
      <c r="Y221" s="65"/>
      <c r="Z221" s="42"/>
      <c r="AA221" s="42"/>
      <c r="AB221" s="42"/>
      <c r="AC221" s="42"/>
      <c r="AD221" s="65"/>
      <c r="AE221" s="42"/>
      <c r="AF221" s="42"/>
      <c r="AG221" s="42"/>
      <c r="AH221" s="42"/>
      <c r="AI221" s="65"/>
      <c r="AJ221" s="42"/>
      <c r="AK221" s="42"/>
      <c r="AL221" s="42"/>
      <c r="AM221" s="42"/>
      <c r="AN221" s="65"/>
      <c r="AO221" s="42"/>
      <c r="AP221" s="42"/>
      <c r="AQ221" s="42"/>
      <c r="AR221" s="42"/>
      <c r="AS221" s="65"/>
      <c r="AT221" s="42"/>
    </row>
    <row r="222" spans="1:46" x14ac:dyDescent="0.25">
      <c r="A222" s="3"/>
      <c r="B222" s="58"/>
      <c r="C222" s="59"/>
      <c r="D222" s="3"/>
      <c r="E222" s="3"/>
      <c r="F222" s="3"/>
      <c r="G222" s="3"/>
      <c r="H222" s="27"/>
      <c r="I222" s="60"/>
      <c r="J222" s="61"/>
      <c r="K222" s="30"/>
      <c r="L222" s="30"/>
      <c r="M222" s="30"/>
      <c r="N222" s="30"/>
      <c r="O222" s="31"/>
      <c r="P222" s="30"/>
      <c r="Q222" s="62"/>
      <c r="R222" s="62"/>
      <c r="S222" s="62"/>
      <c r="T222" s="62"/>
      <c r="U222" s="62"/>
      <c r="V222" s="63"/>
      <c r="W222" s="42"/>
      <c r="X222" s="63"/>
      <c r="Y222" s="65"/>
      <c r="Z222" s="42"/>
      <c r="AA222" s="42"/>
      <c r="AB222" s="42"/>
      <c r="AC222" s="42"/>
      <c r="AD222" s="65"/>
      <c r="AE222" s="42"/>
      <c r="AF222" s="42"/>
      <c r="AG222" s="42"/>
      <c r="AH222" s="42"/>
      <c r="AI222" s="65"/>
      <c r="AJ222" s="42"/>
      <c r="AK222" s="42"/>
      <c r="AL222" s="42"/>
      <c r="AM222" s="42"/>
      <c r="AN222" s="65"/>
      <c r="AO222" s="42"/>
      <c r="AP222" s="42"/>
      <c r="AQ222" s="42"/>
      <c r="AR222" s="42"/>
      <c r="AS222" s="65"/>
      <c r="AT222" s="42"/>
    </row>
    <row r="223" spans="1:46" x14ac:dyDescent="0.25">
      <c r="A223" s="3"/>
      <c r="B223" s="58"/>
      <c r="C223" s="59"/>
      <c r="D223" s="3"/>
      <c r="E223" s="3"/>
      <c r="F223" s="3"/>
      <c r="G223" s="3"/>
      <c r="H223" s="27"/>
      <c r="I223" s="60"/>
      <c r="J223" s="61"/>
      <c r="K223" s="30"/>
      <c r="L223" s="30"/>
      <c r="M223" s="30"/>
      <c r="N223" s="30"/>
      <c r="O223" s="31"/>
      <c r="P223" s="30"/>
      <c r="Q223" s="62"/>
      <c r="R223" s="62"/>
      <c r="S223" s="62"/>
      <c r="T223" s="62"/>
      <c r="U223" s="62"/>
      <c r="V223" s="63"/>
      <c r="W223" s="42"/>
      <c r="X223" s="63"/>
      <c r="Y223" s="65"/>
      <c r="Z223" s="42"/>
      <c r="AA223" s="42"/>
      <c r="AB223" s="42"/>
      <c r="AC223" s="42"/>
      <c r="AD223" s="65"/>
      <c r="AE223" s="42"/>
      <c r="AF223" s="42"/>
      <c r="AG223" s="42"/>
      <c r="AH223" s="42"/>
      <c r="AI223" s="65"/>
      <c r="AJ223" s="42"/>
      <c r="AK223" s="42"/>
      <c r="AL223" s="42"/>
      <c r="AM223" s="42"/>
      <c r="AN223" s="65"/>
      <c r="AO223" s="42"/>
      <c r="AP223" s="42"/>
      <c r="AQ223" s="42"/>
      <c r="AR223" s="42"/>
      <c r="AS223" s="65"/>
      <c r="AT223" s="42"/>
    </row>
    <row r="224" spans="1:46" x14ac:dyDescent="0.25">
      <c r="A224" s="3"/>
      <c r="B224" s="58"/>
      <c r="C224" s="59"/>
      <c r="D224" s="3"/>
      <c r="E224" s="3"/>
      <c r="F224" s="3"/>
      <c r="G224" s="3"/>
      <c r="H224" s="27"/>
      <c r="I224" s="60"/>
      <c r="J224" s="61"/>
      <c r="K224" s="30"/>
      <c r="L224" s="30"/>
      <c r="M224" s="30"/>
      <c r="N224" s="30"/>
      <c r="O224" s="31"/>
      <c r="P224" s="30"/>
      <c r="Q224" s="62"/>
      <c r="R224" s="62"/>
      <c r="S224" s="62"/>
      <c r="T224" s="62"/>
      <c r="U224" s="62"/>
      <c r="V224" s="63"/>
      <c r="W224" s="42"/>
      <c r="X224" s="63"/>
      <c r="Y224" s="65"/>
      <c r="Z224" s="42"/>
      <c r="AA224" s="42"/>
      <c r="AB224" s="42"/>
      <c r="AC224" s="42"/>
      <c r="AD224" s="65"/>
      <c r="AE224" s="42"/>
      <c r="AF224" s="42"/>
      <c r="AG224" s="42"/>
      <c r="AH224" s="42"/>
      <c r="AI224" s="65"/>
      <c r="AJ224" s="42"/>
      <c r="AK224" s="42"/>
      <c r="AL224" s="42"/>
      <c r="AM224" s="42"/>
      <c r="AN224" s="65"/>
      <c r="AO224" s="42"/>
      <c r="AP224" s="42"/>
      <c r="AQ224" s="42"/>
      <c r="AR224" s="42"/>
      <c r="AS224" s="65"/>
      <c r="AT224" s="42"/>
    </row>
    <row r="225" spans="1:46" x14ac:dyDescent="0.25">
      <c r="A225" s="3"/>
      <c r="B225" s="58"/>
      <c r="C225" s="59"/>
      <c r="D225" s="3"/>
      <c r="E225" s="3"/>
      <c r="F225" s="3"/>
      <c r="G225" s="3"/>
      <c r="H225" s="27"/>
      <c r="I225" s="60"/>
      <c r="J225" s="61"/>
      <c r="K225" s="30"/>
      <c r="L225" s="30"/>
      <c r="M225" s="30"/>
      <c r="N225" s="30"/>
      <c r="O225" s="31"/>
      <c r="P225" s="30"/>
      <c r="Q225" s="62"/>
      <c r="R225" s="62"/>
      <c r="S225" s="62"/>
      <c r="T225" s="62"/>
      <c r="U225" s="62"/>
      <c r="V225" s="63"/>
      <c r="W225" s="42"/>
      <c r="X225" s="63"/>
      <c r="Y225" s="65"/>
      <c r="Z225" s="42"/>
      <c r="AA225" s="42"/>
      <c r="AB225" s="42"/>
      <c r="AC225" s="42"/>
      <c r="AD225" s="65"/>
      <c r="AE225" s="42"/>
      <c r="AF225" s="42"/>
      <c r="AG225" s="42"/>
      <c r="AH225" s="42"/>
      <c r="AI225" s="65"/>
      <c r="AJ225" s="42"/>
      <c r="AK225" s="42"/>
      <c r="AL225" s="42"/>
      <c r="AM225" s="42"/>
      <c r="AN225" s="65"/>
      <c r="AO225" s="42"/>
      <c r="AP225" s="42"/>
      <c r="AQ225" s="42"/>
      <c r="AR225" s="42"/>
      <c r="AS225" s="65"/>
      <c r="AT225" s="42"/>
    </row>
    <row r="226" spans="1:46" x14ac:dyDescent="0.25">
      <c r="A226" s="3"/>
      <c r="B226" s="58"/>
      <c r="C226" s="59"/>
      <c r="D226" s="3"/>
      <c r="E226" s="3"/>
      <c r="F226" s="3"/>
      <c r="G226" s="3"/>
      <c r="H226" s="27"/>
      <c r="I226" s="60"/>
      <c r="J226" s="61"/>
      <c r="K226" s="30"/>
      <c r="L226" s="30"/>
      <c r="M226" s="30"/>
      <c r="N226" s="30"/>
      <c r="O226" s="31"/>
      <c r="P226" s="30"/>
      <c r="Q226" s="62"/>
      <c r="R226" s="62"/>
      <c r="S226" s="62"/>
      <c r="T226" s="62"/>
      <c r="U226" s="62"/>
      <c r="V226" s="63"/>
      <c r="W226" s="42"/>
      <c r="X226" s="63"/>
      <c r="Y226" s="65"/>
      <c r="Z226" s="42"/>
      <c r="AA226" s="42"/>
      <c r="AB226" s="42"/>
      <c r="AC226" s="42"/>
      <c r="AD226" s="65"/>
      <c r="AE226" s="42"/>
      <c r="AF226" s="42"/>
      <c r="AG226" s="42"/>
      <c r="AH226" s="42"/>
      <c r="AI226" s="65"/>
      <c r="AJ226" s="42"/>
      <c r="AK226" s="42"/>
      <c r="AL226" s="42"/>
      <c r="AM226" s="42"/>
      <c r="AN226" s="65"/>
      <c r="AO226" s="42"/>
      <c r="AP226" s="42"/>
      <c r="AQ226" s="42"/>
      <c r="AR226" s="42"/>
      <c r="AS226" s="65"/>
      <c r="AT226" s="42"/>
    </row>
    <row r="227" spans="1:46" x14ac:dyDescent="0.25">
      <c r="A227" s="3"/>
      <c r="B227" s="58"/>
      <c r="C227" s="59"/>
      <c r="D227" s="3"/>
      <c r="E227" s="3"/>
      <c r="F227" s="3"/>
      <c r="G227" s="3"/>
      <c r="H227" s="27"/>
      <c r="I227" s="60"/>
      <c r="J227" s="61"/>
      <c r="K227" s="30"/>
      <c r="L227" s="30"/>
      <c r="M227" s="30"/>
      <c r="N227" s="30"/>
      <c r="O227" s="31"/>
      <c r="P227" s="30"/>
      <c r="Q227" s="62"/>
      <c r="R227" s="62"/>
      <c r="S227" s="62"/>
      <c r="T227" s="62"/>
      <c r="U227" s="62"/>
      <c r="V227" s="63"/>
      <c r="W227" s="42"/>
      <c r="X227" s="63"/>
      <c r="Y227" s="65"/>
      <c r="Z227" s="42"/>
      <c r="AA227" s="42"/>
      <c r="AB227" s="42"/>
      <c r="AC227" s="42"/>
      <c r="AD227" s="65"/>
      <c r="AE227" s="42"/>
      <c r="AF227" s="42"/>
      <c r="AG227" s="42"/>
      <c r="AH227" s="42"/>
      <c r="AI227" s="65"/>
      <c r="AJ227" s="42"/>
      <c r="AK227" s="42"/>
      <c r="AL227" s="42"/>
      <c r="AM227" s="42"/>
      <c r="AN227" s="65"/>
      <c r="AO227" s="42"/>
      <c r="AP227" s="42"/>
      <c r="AQ227" s="42"/>
      <c r="AR227" s="42"/>
      <c r="AS227" s="65"/>
      <c r="AT227" s="42"/>
    </row>
    <row r="228" spans="1:46" x14ac:dyDescent="0.25">
      <c r="A228" s="3"/>
      <c r="B228" s="58"/>
      <c r="C228" s="59"/>
      <c r="D228" s="3"/>
      <c r="E228" s="3"/>
      <c r="F228" s="3"/>
      <c r="G228" s="3"/>
      <c r="H228" s="27"/>
      <c r="I228" s="60"/>
      <c r="J228" s="61"/>
      <c r="K228" s="30"/>
      <c r="L228" s="30"/>
      <c r="M228" s="30"/>
      <c r="N228" s="30"/>
      <c r="O228" s="31"/>
      <c r="P228" s="30"/>
      <c r="Q228" s="62"/>
      <c r="R228" s="62"/>
      <c r="S228" s="62"/>
      <c r="T228" s="62"/>
      <c r="U228" s="62"/>
      <c r="V228" s="63"/>
      <c r="W228" s="42"/>
      <c r="X228" s="63"/>
      <c r="Y228" s="65"/>
      <c r="Z228" s="42"/>
      <c r="AA228" s="42"/>
      <c r="AB228" s="42"/>
      <c r="AC228" s="42"/>
      <c r="AD228" s="65"/>
      <c r="AE228" s="42"/>
      <c r="AF228" s="42"/>
      <c r="AG228" s="42"/>
      <c r="AH228" s="42"/>
      <c r="AI228" s="65"/>
      <c r="AJ228" s="42"/>
      <c r="AK228" s="42"/>
      <c r="AL228" s="42"/>
      <c r="AM228" s="42"/>
      <c r="AN228" s="65"/>
      <c r="AO228" s="42"/>
      <c r="AP228" s="42"/>
      <c r="AQ228" s="42"/>
      <c r="AR228" s="42"/>
      <c r="AS228" s="65"/>
      <c r="AT228" s="42"/>
    </row>
    <row r="229" spans="1:46" x14ac:dyDescent="0.25">
      <c r="A229" s="3"/>
      <c r="B229" s="58"/>
      <c r="C229" s="59"/>
      <c r="D229" s="3"/>
      <c r="E229" s="3"/>
      <c r="F229" s="3"/>
      <c r="G229" s="3"/>
      <c r="H229" s="27"/>
      <c r="I229" s="60"/>
      <c r="J229" s="61"/>
      <c r="K229" s="30"/>
      <c r="L229" s="30"/>
      <c r="M229" s="30"/>
      <c r="N229" s="30"/>
      <c r="O229" s="31"/>
      <c r="P229" s="30"/>
      <c r="Q229" s="62"/>
      <c r="R229" s="62"/>
      <c r="S229" s="62"/>
      <c r="T229" s="62"/>
      <c r="U229" s="62"/>
      <c r="V229" s="63"/>
      <c r="W229" s="42"/>
      <c r="X229" s="63"/>
      <c r="Y229" s="65"/>
      <c r="Z229" s="42"/>
      <c r="AA229" s="42"/>
      <c r="AB229" s="42"/>
      <c r="AC229" s="42"/>
      <c r="AD229" s="65"/>
      <c r="AE229" s="42"/>
      <c r="AF229" s="42"/>
      <c r="AG229" s="42"/>
      <c r="AH229" s="42"/>
      <c r="AI229" s="65"/>
      <c r="AJ229" s="42"/>
      <c r="AK229" s="42"/>
      <c r="AL229" s="42"/>
      <c r="AM229" s="42"/>
      <c r="AN229" s="65"/>
      <c r="AO229" s="42"/>
      <c r="AP229" s="42"/>
      <c r="AQ229" s="42"/>
      <c r="AR229" s="42"/>
      <c r="AS229" s="65"/>
      <c r="AT229" s="42"/>
    </row>
    <row r="230" spans="1:46" x14ac:dyDescent="0.25">
      <c r="A230" s="3"/>
      <c r="B230" s="58"/>
      <c r="C230" s="59"/>
      <c r="D230" s="3"/>
      <c r="E230" s="3"/>
      <c r="F230" s="3"/>
      <c r="G230" s="3"/>
      <c r="H230" s="27"/>
      <c r="I230" s="60"/>
      <c r="J230" s="61"/>
      <c r="K230" s="30"/>
      <c r="L230" s="30"/>
      <c r="M230" s="30"/>
      <c r="N230" s="30"/>
      <c r="O230" s="31"/>
      <c r="P230" s="30"/>
      <c r="Q230" s="62"/>
      <c r="R230" s="62"/>
      <c r="S230" s="62"/>
      <c r="T230" s="62"/>
      <c r="U230" s="62"/>
      <c r="V230" s="63"/>
      <c r="W230" s="42"/>
      <c r="X230" s="63"/>
      <c r="Y230" s="65"/>
      <c r="Z230" s="42"/>
      <c r="AA230" s="42"/>
      <c r="AB230" s="42"/>
      <c r="AC230" s="42"/>
      <c r="AD230" s="65"/>
      <c r="AE230" s="42"/>
      <c r="AF230" s="42"/>
      <c r="AG230" s="42"/>
      <c r="AH230" s="42"/>
      <c r="AI230" s="65"/>
      <c r="AJ230" s="42"/>
      <c r="AK230" s="42"/>
      <c r="AL230" s="42"/>
      <c r="AM230" s="42"/>
      <c r="AN230" s="65"/>
      <c r="AO230" s="42"/>
      <c r="AP230" s="42"/>
      <c r="AQ230" s="42"/>
      <c r="AR230" s="42"/>
      <c r="AS230" s="65"/>
      <c r="AT230" s="42"/>
    </row>
    <row r="231" spans="1:46" x14ac:dyDescent="0.25">
      <c r="A231" s="3"/>
      <c r="B231" s="58"/>
      <c r="C231" s="59"/>
      <c r="D231" s="3"/>
      <c r="E231" s="3"/>
      <c r="F231" s="3"/>
      <c r="G231" s="3"/>
      <c r="H231" s="27"/>
      <c r="I231" s="60"/>
      <c r="J231" s="61"/>
      <c r="K231" s="30"/>
      <c r="L231" s="30"/>
      <c r="M231" s="30"/>
      <c r="N231" s="30"/>
      <c r="O231" s="31"/>
      <c r="P231" s="30"/>
      <c r="Q231" s="62"/>
      <c r="R231" s="62"/>
      <c r="S231" s="62"/>
      <c r="T231" s="62"/>
      <c r="U231" s="62"/>
      <c r="V231" s="63"/>
      <c r="W231" s="42"/>
      <c r="X231" s="63"/>
      <c r="Y231" s="65"/>
      <c r="Z231" s="42"/>
      <c r="AA231" s="42"/>
      <c r="AB231" s="42"/>
      <c r="AC231" s="42"/>
      <c r="AD231" s="65"/>
      <c r="AE231" s="42"/>
      <c r="AF231" s="42"/>
      <c r="AG231" s="42"/>
      <c r="AH231" s="42"/>
      <c r="AI231" s="65"/>
      <c r="AJ231" s="42"/>
      <c r="AK231" s="42"/>
      <c r="AL231" s="42"/>
      <c r="AM231" s="42"/>
      <c r="AN231" s="65"/>
      <c r="AO231" s="42"/>
      <c r="AP231" s="42"/>
      <c r="AQ231" s="42"/>
      <c r="AR231" s="42"/>
      <c r="AS231" s="65"/>
      <c r="AT231" s="42"/>
    </row>
    <row r="232" spans="1:46" x14ac:dyDescent="0.25">
      <c r="A232" s="3"/>
      <c r="B232" s="58"/>
      <c r="C232" s="59"/>
      <c r="D232" s="3"/>
      <c r="E232" s="3"/>
      <c r="F232" s="3"/>
      <c r="G232" s="3"/>
      <c r="H232" s="27"/>
      <c r="I232" s="60"/>
      <c r="J232" s="61"/>
      <c r="K232" s="30"/>
      <c r="L232" s="30"/>
      <c r="M232" s="30"/>
      <c r="N232" s="30"/>
      <c r="O232" s="31"/>
      <c r="P232" s="30"/>
      <c r="Q232" s="62"/>
      <c r="R232" s="62"/>
      <c r="S232" s="62"/>
      <c r="T232" s="62"/>
      <c r="U232" s="62"/>
      <c r="V232" s="63"/>
      <c r="W232" s="42"/>
      <c r="X232" s="63"/>
      <c r="Y232" s="65"/>
      <c r="Z232" s="42"/>
      <c r="AA232" s="42"/>
      <c r="AB232" s="42"/>
      <c r="AC232" s="42"/>
      <c r="AD232" s="65"/>
      <c r="AE232" s="42"/>
      <c r="AF232" s="42"/>
      <c r="AG232" s="42"/>
      <c r="AH232" s="42"/>
      <c r="AI232" s="65"/>
      <c r="AJ232" s="42"/>
      <c r="AK232" s="42"/>
      <c r="AL232" s="42"/>
      <c r="AM232" s="42"/>
      <c r="AN232" s="65"/>
      <c r="AO232" s="42"/>
      <c r="AP232" s="42"/>
      <c r="AQ232" s="42"/>
      <c r="AR232" s="42"/>
      <c r="AS232" s="65"/>
      <c r="AT232" s="42"/>
    </row>
    <row r="233" spans="1:46" x14ac:dyDescent="0.25">
      <c r="A233" s="3"/>
      <c r="B233" s="58"/>
      <c r="C233" s="59"/>
      <c r="D233" s="3"/>
      <c r="E233" s="3"/>
      <c r="F233" s="3"/>
      <c r="G233" s="3"/>
      <c r="H233" s="27"/>
      <c r="I233" s="60"/>
      <c r="J233" s="61"/>
      <c r="K233" s="30"/>
      <c r="L233" s="30"/>
      <c r="M233" s="30"/>
      <c r="N233" s="30"/>
      <c r="O233" s="31"/>
      <c r="P233" s="30"/>
      <c r="Q233" s="62"/>
      <c r="R233" s="62"/>
      <c r="S233" s="62"/>
      <c r="T233" s="62"/>
      <c r="U233" s="62"/>
      <c r="V233" s="63"/>
      <c r="W233" s="42"/>
      <c r="X233" s="63"/>
      <c r="Y233" s="65"/>
      <c r="Z233" s="42"/>
      <c r="AA233" s="42"/>
      <c r="AB233" s="42"/>
      <c r="AC233" s="42"/>
      <c r="AD233" s="65"/>
      <c r="AE233" s="42"/>
      <c r="AF233" s="42"/>
      <c r="AG233" s="42"/>
      <c r="AH233" s="42"/>
      <c r="AI233" s="65"/>
      <c r="AJ233" s="42"/>
      <c r="AK233" s="42"/>
      <c r="AL233" s="42"/>
      <c r="AM233" s="42"/>
      <c r="AN233" s="65"/>
      <c r="AO233" s="42"/>
      <c r="AP233" s="42"/>
      <c r="AQ233" s="42"/>
      <c r="AR233" s="42"/>
      <c r="AS233" s="65"/>
      <c r="AT233" s="42"/>
    </row>
    <row r="234" spans="1:46" x14ac:dyDescent="0.25">
      <c r="A234" s="3"/>
      <c r="B234" s="58"/>
      <c r="C234" s="59"/>
      <c r="D234" s="3"/>
      <c r="E234" s="3"/>
      <c r="F234" s="3"/>
      <c r="G234" s="3"/>
      <c r="H234" s="27"/>
      <c r="I234" s="60"/>
      <c r="J234" s="61"/>
      <c r="K234" s="30"/>
      <c r="L234" s="30"/>
      <c r="M234" s="30"/>
      <c r="N234" s="30"/>
      <c r="O234" s="31"/>
      <c r="P234" s="30"/>
      <c r="Q234" s="62"/>
      <c r="R234" s="62"/>
      <c r="S234" s="62"/>
      <c r="T234" s="62"/>
      <c r="U234" s="62"/>
      <c r="V234" s="63"/>
      <c r="W234" s="42"/>
      <c r="X234" s="63"/>
      <c r="Y234" s="65"/>
      <c r="Z234" s="42"/>
      <c r="AA234" s="42"/>
      <c r="AB234" s="42"/>
      <c r="AC234" s="42"/>
      <c r="AD234" s="65"/>
      <c r="AE234" s="42"/>
      <c r="AF234" s="42"/>
      <c r="AG234" s="42"/>
      <c r="AH234" s="42"/>
      <c r="AI234" s="65"/>
      <c r="AJ234" s="42"/>
      <c r="AK234" s="42"/>
      <c r="AL234" s="42"/>
      <c r="AM234" s="42"/>
      <c r="AN234" s="65"/>
      <c r="AO234" s="42"/>
      <c r="AP234" s="42"/>
      <c r="AQ234" s="42"/>
      <c r="AR234" s="42"/>
      <c r="AS234" s="65"/>
      <c r="AT234" s="42"/>
    </row>
    <row r="235" spans="1:46" x14ac:dyDescent="0.25">
      <c r="A235" s="3"/>
      <c r="B235" s="58"/>
      <c r="C235" s="59"/>
      <c r="D235" s="3"/>
      <c r="E235" s="3"/>
      <c r="F235" s="3"/>
      <c r="G235" s="3"/>
      <c r="H235" s="27"/>
      <c r="I235" s="60"/>
      <c r="J235" s="61"/>
      <c r="K235" s="30"/>
      <c r="L235" s="30"/>
      <c r="M235" s="30"/>
      <c r="N235" s="30"/>
      <c r="O235" s="31"/>
      <c r="P235" s="30"/>
      <c r="Q235" s="62"/>
      <c r="R235" s="62"/>
      <c r="S235" s="62"/>
      <c r="T235" s="62"/>
      <c r="U235" s="62"/>
      <c r="V235" s="63"/>
      <c r="W235" s="42"/>
      <c r="X235" s="63"/>
      <c r="Y235" s="65"/>
      <c r="Z235" s="42"/>
      <c r="AA235" s="42"/>
      <c r="AB235" s="42"/>
      <c r="AC235" s="42"/>
      <c r="AD235" s="65"/>
      <c r="AE235" s="42"/>
      <c r="AF235" s="42"/>
      <c r="AG235" s="42"/>
      <c r="AH235" s="42"/>
      <c r="AI235" s="65"/>
      <c r="AJ235" s="42"/>
      <c r="AK235" s="42"/>
      <c r="AL235" s="42"/>
      <c r="AM235" s="42"/>
      <c r="AN235" s="65"/>
      <c r="AO235" s="42"/>
      <c r="AP235" s="42"/>
      <c r="AQ235" s="42"/>
      <c r="AR235" s="42"/>
      <c r="AS235" s="65"/>
      <c r="AT235" s="42"/>
    </row>
    <row r="236" spans="1:46" x14ac:dyDescent="0.25">
      <c r="A236" s="3"/>
      <c r="B236" s="58"/>
      <c r="C236" s="59"/>
      <c r="D236" s="3"/>
      <c r="E236" s="3"/>
      <c r="F236" s="3"/>
      <c r="G236" s="3"/>
      <c r="H236" s="27"/>
      <c r="I236" s="60"/>
      <c r="J236" s="61"/>
      <c r="K236" s="30"/>
      <c r="L236" s="30"/>
      <c r="M236" s="30"/>
      <c r="N236" s="30"/>
      <c r="O236" s="31"/>
      <c r="P236" s="30"/>
      <c r="Q236" s="62"/>
      <c r="R236" s="62"/>
      <c r="S236" s="62"/>
      <c r="T236" s="62"/>
      <c r="U236" s="62"/>
      <c r="V236" s="63"/>
      <c r="W236" s="42"/>
      <c r="X236" s="63"/>
      <c r="Y236" s="65"/>
      <c r="Z236" s="42"/>
      <c r="AA236" s="42"/>
      <c r="AB236" s="42"/>
      <c r="AC236" s="42"/>
      <c r="AD236" s="65"/>
      <c r="AE236" s="42"/>
      <c r="AF236" s="42"/>
      <c r="AG236" s="42"/>
      <c r="AH236" s="42"/>
      <c r="AI236" s="65"/>
      <c r="AJ236" s="42"/>
      <c r="AK236" s="42"/>
      <c r="AL236" s="42"/>
      <c r="AM236" s="42"/>
      <c r="AN236" s="65"/>
      <c r="AO236" s="42"/>
      <c r="AP236" s="42"/>
      <c r="AQ236" s="42"/>
      <c r="AR236" s="42"/>
      <c r="AS236" s="65"/>
      <c r="AT236" s="42"/>
    </row>
    <row r="237" spans="1:46" x14ac:dyDescent="0.25">
      <c r="A237" s="3"/>
      <c r="B237" s="58"/>
      <c r="C237" s="59"/>
      <c r="D237" s="3"/>
      <c r="E237" s="3"/>
      <c r="F237" s="3"/>
      <c r="G237" s="3"/>
      <c r="H237" s="27"/>
      <c r="I237" s="60"/>
      <c r="J237" s="61"/>
      <c r="K237" s="30"/>
      <c r="L237" s="30"/>
      <c r="M237" s="30"/>
      <c r="N237" s="30"/>
      <c r="O237" s="31"/>
      <c r="P237" s="30"/>
      <c r="Q237" s="62"/>
      <c r="R237" s="62"/>
      <c r="S237" s="62"/>
      <c r="T237" s="62"/>
      <c r="U237" s="62"/>
      <c r="V237" s="63"/>
      <c r="W237" s="42"/>
      <c r="X237" s="63"/>
      <c r="Y237" s="65"/>
      <c r="Z237" s="42"/>
      <c r="AA237" s="42"/>
      <c r="AB237" s="42"/>
      <c r="AC237" s="42"/>
      <c r="AD237" s="65"/>
      <c r="AE237" s="42"/>
      <c r="AF237" s="42"/>
      <c r="AG237" s="42"/>
      <c r="AH237" s="42"/>
      <c r="AI237" s="65"/>
      <c r="AJ237" s="42"/>
      <c r="AK237" s="42"/>
      <c r="AL237" s="42"/>
      <c r="AM237" s="42"/>
      <c r="AN237" s="65"/>
      <c r="AO237" s="42"/>
      <c r="AP237" s="42"/>
      <c r="AQ237" s="42"/>
      <c r="AR237" s="42"/>
      <c r="AS237" s="65"/>
      <c r="AT237" s="42"/>
    </row>
    <row r="238" spans="1:46" x14ac:dyDescent="0.25">
      <c r="A238" s="3"/>
      <c r="B238" s="58"/>
      <c r="C238" s="59"/>
      <c r="D238" s="3"/>
      <c r="E238" s="3"/>
      <c r="F238" s="3"/>
      <c r="G238" s="3"/>
      <c r="H238" s="27"/>
      <c r="I238" s="60"/>
      <c r="J238" s="61"/>
      <c r="K238" s="30"/>
      <c r="L238" s="30"/>
      <c r="M238" s="30"/>
      <c r="N238" s="30"/>
      <c r="O238" s="31"/>
      <c r="P238" s="30"/>
      <c r="Q238" s="62"/>
      <c r="R238" s="62"/>
      <c r="S238" s="62"/>
      <c r="T238" s="62"/>
      <c r="U238" s="62"/>
      <c r="V238" s="63"/>
      <c r="W238" s="42"/>
      <c r="X238" s="63"/>
      <c r="Y238" s="65"/>
      <c r="Z238" s="42"/>
      <c r="AA238" s="42"/>
      <c r="AB238" s="42"/>
      <c r="AC238" s="42"/>
      <c r="AD238" s="65"/>
      <c r="AE238" s="42"/>
      <c r="AF238" s="42"/>
      <c r="AG238" s="42"/>
      <c r="AH238" s="42"/>
      <c r="AI238" s="65"/>
      <c r="AJ238" s="42"/>
      <c r="AK238" s="42"/>
      <c r="AL238" s="42"/>
      <c r="AM238" s="42"/>
      <c r="AN238" s="65"/>
      <c r="AO238" s="42"/>
      <c r="AP238" s="42"/>
      <c r="AQ238" s="42"/>
      <c r="AR238" s="42"/>
      <c r="AS238" s="65"/>
      <c r="AT238" s="42"/>
    </row>
    <row r="239" spans="1:46" x14ac:dyDescent="0.25">
      <c r="A239" s="3"/>
      <c r="B239" s="58"/>
      <c r="C239" s="59"/>
      <c r="D239" s="3"/>
      <c r="E239" s="3"/>
      <c r="F239" s="3"/>
      <c r="G239" s="3"/>
      <c r="H239" s="27"/>
      <c r="I239" s="60"/>
      <c r="J239" s="61"/>
      <c r="K239" s="30"/>
      <c r="L239" s="30"/>
      <c r="M239" s="30"/>
      <c r="N239" s="30"/>
      <c r="O239" s="31"/>
      <c r="P239" s="30"/>
      <c r="Q239" s="62"/>
      <c r="R239" s="62"/>
      <c r="S239" s="62"/>
      <c r="T239" s="62"/>
      <c r="U239" s="62"/>
      <c r="V239" s="63"/>
      <c r="W239" s="42"/>
      <c r="X239" s="63"/>
      <c r="Y239" s="65"/>
      <c r="Z239" s="42"/>
      <c r="AA239" s="42"/>
      <c r="AB239" s="42"/>
      <c r="AC239" s="42"/>
      <c r="AD239" s="65"/>
      <c r="AE239" s="42"/>
      <c r="AF239" s="42"/>
      <c r="AG239" s="42"/>
      <c r="AH239" s="42"/>
      <c r="AI239" s="65"/>
      <c r="AJ239" s="42"/>
      <c r="AK239" s="42"/>
      <c r="AL239" s="42"/>
      <c r="AM239" s="42"/>
      <c r="AN239" s="65"/>
      <c r="AO239" s="42"/>
      <c r="AP239" s="42"/>
      <c r="AQ239" s="42"/>
      <c r="AR239" s="42"/>
      <c r="AS239" s="65"/>
      <c r="AT239" s="42"/>
    </row>
    <row r="240" spans="1:46" x14ac:dyDescent="0.25">
      <c r="A240" s="3"/>
      <c r="B240" s="58"/>
      <c r="C240" s="59"/>
      <c r="D240" s="3"/>
      <c r="E240" s="3"/>
      <c r="F240" s="3"/>
      <c r="G240" s="3"/>
      <c r="H240" s="27"/>
      <c r="I240" s="60"/>
      <c r="J240" s="61"/>
      <c r="K240" s="30"/>
      <c r="L240" s="30"/>
      <c r="M240" s="30"/>
      <c r="N240" s="30"/>
      <c r="O240" s="31"/>
      <c r="P240" s="30"/>
      <c r="Q240" s="62"/>
      <c r="R240" s="62"/>
      <c r="S240" s="62"/>
      <c r="T240" s="62"/>
      <c r="U240" s="62"/>
      <c r="V240" s="63"/>
      <c r="W240" s="42"/>
      <c r="X240" s="63"/>
      <c r="Y240" s="65"/>
      <c r="Z240" s="42"/>
      <c r="AA240" s="42"/>
      <c r="AB240" s="42"/>
      <c r="AC240" s="42"/>
      <c r="AD240" s="65"/>
      <c r="AE240" s="42"/>
      <c r="AF240" s="42"/>
      <c r="AG240" s="42"/>
      <c r="AH240" s="42"/>
      <c r="AI240" s="65"/>
      <c r="AJ240" s="42"/>
      <c r="AK240" s="42"/>
      <c r="AL240" s="42"/>
      <c r="AM240" s="42"/>
      <c r="AN240" s="65"/>
      <c r="AO240" s="42"/>
      <c r="AP240" s="42"/>
      <c r="AQ240" s="42"/>
      <c r="AR240" s="42"/>
      <c r="AS240" s="65"/>
      <c r="AT240" s="42"/>
    </row>
    <row r="241" spans="1:46" x14ac:dyDescent="0.25">
      <c r="A241" s="3"/>
      <c r="B241" s="58"/>
      <c r="C241" s="59"/>
      <c r="D241" s="3"/>
      <c r="E241" s="3"/>
      <c r="F241" s="3"/>
      <c r="G241" s="3"/>
      <c r="H241" s="27"/>
      <c r="I241" s="60"/>
      <c r="J241" s="61"/>
      <c r="K241" s="30"/>
      <c r="L241" s="30"/>
      <c r="M241" s="30"/>
      <c r="N241" s="30"/>
      <c r="O241" s="31"/>
      <c r="P241" s="30"/>
      <c r="Q241" s="62"/>
      <c r="R241" s="62"/>
      <c r="S241" s="62"/>
      <c r="T241" s="62"/>
      <c r="U241" s="62"/>
      <c r="V241" s="63"/>
      <c r="W241" s="42"/>
      <c r="X241" s="63"/>
      <c r="Y241" s="65"/>
      <c r="Z241" s="42"/>
      <c r="AA241" s="42"/>
      <c r="AB241" s="42"/>
      <c r="AC241" s="42"/>
      <c r="AD241" s="65"/>
      <c r="AE241" s="42"/>
      <c r="AF241" s="42"/>
      <c r="AG241" s="42"/>
      <c r="AH241" s="42"/>
      <c r="AI241" s="65"/>
      <c r="AJ241" s="42"/>
      <c r="AK241" s="42"/>
      <c r="AL241" s="42"/>
      <c r="AM241" s="42"/>
      <c r="AN241" s="65"/>
      <c r="AO241" s="42"/>
      <c r="AP241" s="42"/>
      <c r="AQ241" s="42"/>
      <c r="AR241" s="42"/>
      <c r="AS241" s="65"/>
      <c r="AT241" s="42"/>
    </row>
    <row r="242" spans="1:46" x14ac:dyDescent="0.25">
      <c r="A242" s="3"/>
      <c r="B242" s="58"/>
      <c r="C242" s="59"/>
      <c r="D242" s="3"/>
      <c r="E242" s="3"/>
      <c r="F242" s="3"/>
      <c r="G242" s="3"/>
      <c r="H242" s="27"/>
      <c r="I242" s="60"/>
      <c r="J242" s="61"/>
      <c r="K242" s="30"/>
      <c r="L242" s="30"/>
      <c r="M242" s="30"/>
      <c r="N242" s="30"/>
      <c r="O242" s="31"/>
      <c r="P242" s="30"/>
      <c r="Q242" s="62"/>
      <c r="R242" s="62"/>
      <c r="S242" s="62"/>
      <c r="T242" s="62"/>
      <c r="U242" s="62"/>
      <c r="V242" s="63"/>
      <c r="W242" s="42"/>
      <c r="X242" s="63"/>
      <c r="Y242" s="65"/>
      <c r="Z242" s="42"/>
      <c r="AA242" s="42"/>
      <c r="AB242" s="42"/>
      <c r="AC242" s="42"/>
      <c r="AD242" s="65"/>
      <c r="AE242" s="42"/>
      <c r="AF242" s="42"/>
      <c r="AG242" s="42"/>
      <c r="AH242" s="42"/>
      <c r="AI242" s="65"/>
      <c r="AJ242" s="42"/>
      <c r="AK242" s="42"/>
      <c r="AL242" s="42"/>
      <c r="AM242" s="42"/>
      <c r="AN242" s="65"/>
      <c r="AO242" s="42"/>
      <c r="AP242" s="42"/>
      <c r="AQ242" s="42"/>
      <c r="AR242" s="42"/>
      <c r="AS242" s="65"/>
      <c r="AT242" s="42"/>
    </row>
    <row r="243" spans="1:46" x14ac:dyDescent="0.25">
      <c r="A243" s="3"/>
      <c r="B243" s="58"/>
      <c r="C243" s="59"/>
      <c r="D243" s="3"/>
      <c r="E243" s="3"/>
      <c r="F243" s="3"/>
      <c r="G243" s="3"/>
      <c r="H243" s="27"/>
      <c r="I243" s="60"/>
      <c r="J243" s="61"/>
      <c r="K243" s="30"/>
      <c r="L243" s="30"/>
      <c r="M243" s="30"/>
      <c r="N243" s="30"/>
      <c r="O243" s="31"/>
      <c r="P243" s="30"/>
      <c r="Q243" s="62"/>
      <c r="R243" s="62"/>
      <c r="S243" s="62"/>
      <c r="T243" s="62"/>
      <c r="U243" s="62"/>
      <c r="V243" s="63"/>
      <c r="W243" s="42"/>
      <c r="X243" s="63"/>
      <c r="Y243" s="65"/>
      <c r="Z243" s="42"/>
      <c r="AA243" s="42"/>
      <c r="AB243" s="42"/>
      <c r="AC243" s="42"/>
      <c r="AD243" s="65"/>
      <c r="AE243" s="42"/>
      <c r="AF243" s="42"/>
      <c r="AG243" s="42"/>
      <c r="AH243" s="42"/>
      <c r="AI243" s="65"/>
      <c r="AJ243" s="42"/>
      <c r="AK243" s="42"/>
      <c r="AL243" s="42"/>
      <c r="AM243" s="42"/>
      <c r="AN243" s="65"/>
      <c r="AO243" s="42"/>
      <c r="AP243" s="42"/>
      <c r="AQ243" s="42"/>
      <c r="AR243" s="42"/>
      <c r="AS243" s="65"/>
      <c r="AT243" s="42"/>
    </row>
    <row r="244" spans="1:46" x14ac:dyDescent="0.25">
      <c r="A244" s="3"/>
      <c r="B244" s="58"/>
      <c r="C244" s="59"/>
      <c r="D244" s="3"/>
      <c r="E244" s="3"/>
      <c r="F244" s="3"/>
      <c r="G244" s="3"/>
      <c r="H244" s="27"/>
      <c r="I244" s="60"/>
      <c r="J244" s="61"/>
      <c r="K244" s="30"/>
      <c r="L244" s="30"/>
      <c r="M244" s="30"/>
      <c r="N244" s="30"/>
      <c r="O244" s="31"/>
      <c r="P244" s="30"/>
      <c r="Q244" s="62"/>
      <c r="R244" s="62"/>
      <c r="S244" s="62"/>
      <c r="T244" s="62"/>
      <c r="U244" s="62"/>
      <c r="V244" s="63"/>
      <c r="W244" s="42"/>
      <c r="X244" s="63"/>
      <c r="Y244" s="65"/>
      <c r="Z244" s="42"/>
      <c r="AA244" s="42"/>
      <c r="AB244" s="42"/>
      <c r="AC244" s="42"/>
      <c r="AD244" s="65"/>
      <c r="AE244" s="42"/>
      <c r="AF244" s="42"/>
      <c r="AG244" s="42"/>
      <c r="AH244" s="42"/>
      <c r="AI244" s="65"/>
      <c r="AJ244" s="42"/>
      <c r="AK244" s="42"/>
      <c r="AL244" s="42"/>
      <c r="AM244" s="42"/>
      <c r="AN244" s="65"/>
      <c r="AO244" s="42"/>
      <c r="AP244" s="42"/>
      <c r="AQ244" s="42"/>
      <c r="AR244" s="42"/>
      <c r="AS244" s="65"/>
      <c r="AT244" s="42"/>
    </row>
    <row r="245" spans="1:46" x14ac:dyDescent="0.25">
      <c r="A245" s="3"/>
      <c r="B245" s="58"/>
      <c r="C245" s="59"/>
      <c r="D245" s="3"/>
      <c r="E245" s="3"/>
      <c r="F245" s="3"/>
      <c r="G245" s="3"/>
      <c r="H245" s="27"/>
      <c r="I245" s="60"/>
      <c r="J245" s="61"/>
      <c r="K245" s="30"/>
      <c r="L245" s="30"/>
      <c r="M245" s="30"/>
      <c r="N245" s="30"/>
      <c r="O245" s="31"/>
      <c r="P245" s="30"/>
      <c r="Q245" s="62"/>
      <c r="R245" s="62"/>
      <c r="S245" s="62"/>
      <c r="T245" s="62"/>
      <c r="U245" s="62"/>
      <c r="V245" s="63"/>
      <c r="W245" s="42"/>
      <c r="X245" s="63"/>
      <c r="Y245" s="65"/>
      <c r="Z245" s="42"/>
      <c r="AA245" s="42"/>
      <c r="AB245" s="42"/>
      <c r="AC245" s="42"/>
      <c r="AD245" s="65"/>
      <c r="AE245" s="42"/>
      <c r="AF245" s="42"/>
      <c r="AG245" s="42"/>
      <c r="AH245" s="42"/>
      <c r="AI245" s="65"/>
      <c r="AJ245" s="42"/>
      <c r="AK245" s="42"/>
      <c r="AL245" s="42"/>
      <c r="AM245" s="42"/>
      <c r="AN245" s="65"/>
      <c r="AO245" s="42"/>
      <c r="AP245" s="42"/>
      <c r="AQ245" s="42"/>
      <c r="AR245" s="42"/>
      <c r="AS245" s="65"/>
      <c r="AT245" s="42"/>
    </row>
    <row r="246" spans="1:46" x14ac:dyDescent="0.25">
      <c r="A246" s="3"/>
      <c r="B246" s="58"/>
      <c r="C246" s="59"/>
      <c r="D246" s="3"/>
      <c r="E246" s="3"/>
      <c r="F246" s="3"/>
      <c r="G246" s="3"/>
      <c r="H246" s="27"/>
      <c r="I246" s="60"/>
      <c r="J246" s="61"/>
      <c r="K246" s="30"/>
      <c r="L246" s="30"/>
      <c r="M246" s="30"/>
      <c r="N246" s="30"/>
      <c r="O246" s="31"/>
      <c r="P246" s="30"/>
      <c r="Q246" s="62"/>
      <c r="R246" s="62"/>
      <c r="S246" s="62"/>
      <c r="T246" s="62"/>
      <c r="U246" s="62"/>
      <c r="V246" s="63"/>
      <c r="W246" s="42"/>
      <c r="X246" s="63"/>
      <c r="Y246" s="65"/>
      <c r="Z246" s="42"/>
      <c r="AA246" s="42"/>
      <c r="AB246" s="42"/>
      <c r="AC246" s="42"/>
      <c r="AD246" s="65"/>
      <c r="AE246" s="42"/>
      <c r="AF246" s="42"/>
      <c r="AG246" s="42"/>
      <c r="AH246" s="42"/>
      <c r="AI246" s="65"/>
      <c r="AJ246" s="42"/>
      <c r="AK246" s="42"/>
      <c r="AL246" s="42"/>
      <c r="AM246" s="42"/>
      <c r="AN246" s="65"/>
      <c r="AO246" s="42"/>
      <c r="AP246" s="42"/>
      <c r="AQ246" s="42"/>
      <c r="AR246" s="42"/>
      <c r="AS246" s="65"/>
      <c r="AT246" s="42"/>
    </row>
    <row r="247" spans="1:46" x14ac:dyDescent="0.25">
      <c r="A247" s="3"/>
      <c r="B247" s="58"/>
      <c r="C247" s="59"/>
      <c r="D247" s="3"/>
      <c r="E247" s="3"/>
      <c r="F247" s="3"/>
      <c r="G247" s="3"/>
      <c r="H247" s="27"/>
      <c r="I247" s="60"/>
      <c r="J247" s="61"/>
      <c r="K247" s="30"/>
      <c r="L247" s="30"/>
      <c r="M247" s="30"/>
      <c r="N247" s="30"/>
      <c r="O247" s="31"/>
      <c r="P247" s="30"/>
      <c r="Q247" s="62"/>
      <c r="R247" s="62"/>
      <c r="S247" s="62"/>
      <c r="T247" s="62"/>
      <c r="U247" s="62"/>
      <c r="V247" s="63"/>
      <c r="W247" s="42"/>
      <c r="X247" s="63"/>
      <c r="Y247" s="65"/>
      <c r="Z247" s="42"/>
      <c r="AA247" s="42"/>
      <c r="AB247" s="42"/>
      <c r="AC247" s="42"/>
      <c r="AD247" s="65"/>
      <c r="AE247" s="42"/>
      <c r="AF247" s="42"/>
      <c r="AG247" s="42"/>
      <c r="AH247" s="42"/>
      <c r="AI247" s="65"/>
      <c r="AJ247" s="42"/>
      <c r="AK247" s="42"/>
      <c r="AL247" s="42"/>
      <c r="AM247" s="42"/>
      <c r="AN247" s="65"/>
      <c r="AO247" s="42"/>
      <c r="AP247" s="42"/>
      <c r="AQ247" s="42"/>
      <c r="AR247" s="42"/>
      <c r="AS247" s="65"/>
      <c r="AT247" s="42"/>
    </row>
    <row r="248" spans="1:46" x14ac:dyDescent="0.25">
      <c r="A248" s="3"/>
      <c r="B248" s="58"/>
      <c r="C248" s="59"/>
      <c r="D248" s="3"/>
      <c r="E248" s="3"/>
      <c r="F248" s="3"/>
      <c r="G248" s="3"/>
      <c r="H248" s="27"/>
      <c r="I248" s="60"/>
      <c r="J248" s="61"/>
      <c r="K248" s="30"/>
      <c r="L248" s="30"/>
      <c r="M248" s="30"/>
      <c r="N248" s="30"/>
      <c r="O248" s="31"/>
      <c r="P248" s="30"/>
      <c r="Q248" s="62"/>
      <c r="R248" s="62"/>
      <c r="S248" s="62"/>
      <c r="T248" s="62"/>
      <c r="U248" s="62"/>
      <c r="V248" s="63"/>
      <c r="W248" s="42"/>
      <c r="X248" s="63"/>
      <c r="Y248" s="65"/>
      <c r="Z248" s="42"/>
      <c r="AA248" s="42"/>
      <c r="AB248" s="42"/>
      <c r="AC248" s="42"/>
      <c r="AD248" s="65"/>
      <c r="AE248" s="42"/>
      <c r="AF248" s="42"/>
      <c r="AG248" s="42"/>
      <c r="AH248" s="42"/>
      <c r="AI248" s="65"/>
      <c r="AJ248" s="42"/>
      <c r="AK248" s="42"/>
      <c r="AL248" s="42"/>
      <c r="AM248" s="42"/>
      <c r="AN248" s="65"/>
      <c r="AO248" s="42"/>
      <c r="AP248" s="42"/>
      <c r="AQ248" s="42"/>
      <c r="AR248" s="42"/>
      <c r="AS248" s="65"/>
      <c r="AT248" s="42"/>
    </row>
    <row r="249" spans="1:46" x14ac:dyDescent="0.25">
      <c r="A249" s="3"/>
      <c r="B249" s="58"/>
      <c r="C249" s="59"/>
      <c r="D249" s="3"/>
      <c r="E249" s="3"/>
      <c r="F249" s="3"/>
      <c r="G249" s="3"/>
      <c r="H249" s="27"/>
      <c r="I249" s="60"/>
      <c r="J249" s="61"/>
      <c r="K249" s="30"/>
      <c r="L249" s="30"/>
      <c r="M249" s="30"/>
      <c r="N249" s="30"/>
      <c r="O249" s="31"/>
      <c r="P249" s="30"/>
      <c r="Q249" s="62"/>
      <c r="R249" s="62"/>
      <c r="S249" s="62"/>
      <c r="T249" s="62"/>
      <c r="U249" s="62"/>
      <c r="V249" s="63"/>
      <c r="W249" s="42"/>
      <c r="X249" s="63"/>
      <c r="Y249" s="65"/>
      <c r="Z249" s="42"/>
      <c r="AA249" s="42"/>
      <c r="AB249" s="42"/>
      <c r="AC249" s="42"/>
      <c r="AD249" s="65"/>
      <c r="AE249" s="42"/>
      <c r="AF249" s="42"/>
      <c r="AG249" s="42"/>
      <c r="AH249" s="42"/>
      <c r="AI249" s="65"/>
      <c r="AJ249" s="42"/>
      <c r="AK249" s="42"/>
      <c r="AL249" s="42"/>
      <c r="AM249" s="42"/>
      <c r="AN249" s="65"/>
      <c r="AO249" s="42"/>
      <c r="AP249" s="42"/>
      <c r="AQ249" s="42"/>
      <c r="AR249" s="42"/>
      <c r="AS249" s="65"/>
      <c r="AT249" s="42"/>
    </row>
    <row r="250" spans="1:46" x14ac:dyDescent="0.25">
      <c r="A250" s="3"/>
      <c r="B250" s="58"/>
      <c r="C250" s="59"/>
      <c r="D250" s="3"/>
      <c r="E250" s="3"/>
      <c r="F250" s="3"/>
      <c r="G250" s="3"/>
      <c r="H250" s="27"/>
      <c r="I250" s="60"/>
      <c r="J250" s="61"/>
      <c r="K250" s="30"/>
      <c r="L250" s="30"/>
      <c r="M250" s="30"/>
      <c r="N250" s="30"/>
      <c r="O250" s="31"/>
      <c r="P250" s="30"/>
      <c r="Q250" s="62"/>
      <c r="R250" s="62"/>
      <c r="S250" s="62"/>
      <c r="T250" s="62"/>
      <c r="U250" s="62"/>
      <c r="V250" s="63"/>
      <c r="W250" s="42"/>
      <c r="X250" s="63"/>
      <c r="Y250" s="65"/>
      <c r="Z250" s="42"/>
      <c r="AA250" s="42"/>
      <c r="AB250" s="42"/>
      <c r="AC250" s="42"/>
      <c r="AD250" s="65"/>
      <c r="AE250" s="42"/>
      <c r="AF250" s="42"/>
      <c r="AG250" s="42"/>
      <c r="AH250" s="42"/>
      <c r="AI250" s="65"/>
      <c r="AJ250" s="42"/>
      <c r="AK250" s="42"/>
      <c r="AL250" s="42"/>
      <c r="AM250" s="42"/>
      <c r="AN250" s="65"/>
      <c r="AO250" s="42"/>
      <c r="AP250" s="42"/>
      <c r="AQ250" s="42"/>
      <c r="AR250" s="42"/>
      <c r="AS250" s="65"/>
      <c r="AT250" s="42"/>
    </row>
    <row r="251" spans="1:46" x14ac:dyDescent="0.25">
      <c r="A251" s="3"/>
      <c r="B251" s="58"/>
      <c r="C251" s="59"/>
      <c r="D251" s="3"/>
      <c r="E251" s="3"/>
      <c r="F251" s="3"/>
      <c r="G251" s="3"/>
      <c r="H251" s="27"/>
      <c r="I251" s="60"/>
      <c r="J251" s="61"/>
      <c r="K251" s="30"/>
      <c r="L251" s="30"/>
      <c r="M251" s="30"/>
      <c r="N251" s="30"/>
      <c r="O251" s="31"/>
      <c r="P251" s="30"/>
      <c r="Q251" s="62"/>
      <c r="R251" s="62"/>
      <c r="S251" s="62"/>
      <c r="T251" s="62"/>
      <c r="U251" s="62"/>
      <c r="V251" s="63"/>
      <c r="W251" s="42"/>
      <c r="X251" s="63"/>
      <c r="Y251" s="65"/>
      <c r="Z251" s="42"/>
      <c r="AA251" s="42"/>
      <c r="AB251" s="42"/>
      <c r="AC251" s="42"/>
      <c r="AD251" s="65"/>
      <c r="AE251" s="42"/>
      <c r="AF251" s="42"/>
      <c r="AG251" s="42"/>
      <c r="AH251" s="42"/>
      <c r="AI251" s="65"/>
      <c r="AJ251" s="42"/>
      <c r="AK251" s="42"/>
      <c r="AL251" s="42"/>
      <c r="AM251" s="42"/>
      <c r="AN251" s="65"/>
      <c r="AO251" s="42"/>
      <c r="AP251" s="42"/>
      <c r="AQ251" s="42"/>
      <c r="AR251" s="42"/>
      <c r="AS251" s="65"/>
      <c r="AT251" s="42"/>
    </row>
    <row r="252" spans="1:46" x14ac:dyDescent="0.25">
      <c r="A252" s="3"/>
      <c r="B252" s="58"/>
      <c r="C252" s="59"/>
      <c r="D252" s="3"/>
      <c r="E252" s="3"/>
      <c r="F252" s="3"/>
      <c r="G252" s="3"/>
      <c r="H252" s="27"/>
      <c r="I252" s="60"/>
      <c r="J252" s="61"/>
      <c r="K252" s="30"/>
      <c r="L252" s="30"/>
      <c r="M252" s="30"/>
      <c r="N252" s="30"/>
      <c r="O252" s="31"/>
      <c r="P252" s="30"/>
      <c r="Q252" s="62"/>
      <c r="R252" s="62"/>
      <c r="S252" s="62"/>
      <c r="T252" s="62"/>
      <c r="U252" s="62"/>
      <c r="V252" s="63"/>
      <c r="W252" s="42"/>
      <c r="X252" s="63"/>
      <c r="Y252" s="65"/>
      <c r="Z252" s="42"/>
      <c r="AA252" s="42"/>
      <c r="AB252" s="42"/>
      <c r="AC252" s="42"/>
      <c r="AD252" s="65"/>
      <c r="AE252" s="42"/>
      <c r="AF252" s="42"/>
      <c r="AG252" s="42"/>
      <c r="AH252" s="42"/>
      <c r="AI252" s="65"/>
      <c r="AJ252" s="42"/>
      <c r="AK252" s="42"/>
      <c r="AL252" s="42"/>
      <c r="AM252" s="42"/>
      <c r="AN252" s="65"/>
      <c r="AO252" s="42"/>
      <c r="AP252" s="42"/>
      <c r="AQ252" s="42"/>
      <c r="AR252" s="42"/>
      <c r="AS252" s="65"/>
      <c r="AT252" s="42"/>
    </row>
    <row r="253" spans="1:46" x14ac:dyDescent="0.25">
      <c r="A253" s="3"/>
      <c r="B253" s="58"/>
      <c r="C253" s="59"/>
      <c r="D253" s="3"/>
      <c r="E253" s="3"/>
      <c r="F253" s="3"/>
      <c r="G253" s="3"/>
      <c r="H253" s="27"/>
      <c r="I253" s="60"/>
      <c r="J253" s="61"/>
      <c r="K253" s="30"/>
      <c r="L253" s="30"/>
      <c r="M253" s="30"/>
      <c r="N253" s="30"/>
      <c r="O253" s="31"/>
      <c r="P253" s="30"/>
      <c r="Q253" s="62"/>
      <c r="R253" s="62"/>
      <c r="S253" s="62"/>
      <c r="T253" s="62"/>
      <c r="U253" s="62"/>
      <c r="V253" s="63"/>
      <c r="W253" s="42"/>
      <c r="X253" s="63"/>
      <c r="Y253" s="65"/>
      <c r="Z253" s="42"/>
      <c r="AA253" s="42"/>
      <c r="AB253" s="42"/>
      <c r="AC253" s="42"/>
      <c r="AD253" s="65"/>
      <c r="AE253" s="42"/>
      <c r="AF253" s="42"/>
      <c r="AG253" s="42"/>
      <c r="AH253" s="42"/>
      <c r="AI253" s="65"/>
      <c r="AJ253" s="42"/>
      <c r="AK253" s="42"/>
      <c r="AL253" s="42"/>
      <c r="AM253" s="42"/>
      <c r="AN253" s="65"/>
      <c r="AO253" s="42"/>
      <c r="AP253" s="42"/>
      <c r="AQ253" s="42"/>
      <c r="AR253" s="42"/>
      <c r="AS253" s="65"/>
      <c r="AT253" s="42"/>
    </row>
    <row r="254" spans="1:46" x14ac:dyDescent="0.25">
      <c r="A254" s="3"/>
      <c r="B254" s="58"/>
      <c r="C254" s="59"/>
      <c r="D254" s="3"/>
      <c r="E254" s="3"/>
      <c r="F254" s="3"/>
      <c r="G254" s="3"/>
      <c r="H254" s="27"/>
      <c r="I254" s="60"/>
      <c r="J254" s="61"/>
      <c r="K254" s="30"/>
      <c r="L254" s="30"/>
      <c r="M254" s="30"/>
      <c r="N254" s="30"/>
      <c r="O254" s="31"/>
      <c r="P254" s="30"/>
      <c r="Q254" s="62"/>
      <c r="R254" s="62"/>
      <c r="S254" s="62"/>
      <c r="T254" s="62"/>
      <c r="U254" s="62"/>
      <c r="V254" s="63"/>
      <c r="W254" s="42"/>
      <c r="X254" s="63"/>
      <c r="Y254" s="65"/>
      <c r="Z254" s="42"/>
      <c r="AA254" s="42"/>
      <c r="AB254" s="42"/>
      <c r="AC254" s="42"/>
      <c r="AD254" s="65"/>
      <c r="AE254" s="42"/>
      <c r="AF254" s="42"/>
      <c r="AG254" s="42"/>
      <c r="AH254" s="42"/>
      <c r="AI254" s="65"/>
      <c r="AJ254" s="42"/>
      <c r="AK254" s="42"/>
      <c r="AL254" s="42"/>
      <c r="AM254" s="42"/>
      <c r="AN254" s="65"/>
      <c r="AO254" s="42"/>
      <c r="AP254" s="42"/>
      <c r="AQ254" s="42"/>
      <c r="AR254" s="42"/>
      <c r="AS254" s="65"/>
      <c r="AT254" s="42"/>
    </row>
    <row r="255" spans="1:46" x14ac:dyDescent="0.25">
      <c r="A255" s="3"/>
      <c r="B255" s="58"/>
      <c r="C255" s="59"/>
      <c r="D255" s="3"/>
      <c r="E255" s="3"/>
      <c r="F255" s="3"/>
      <c r="G255" s="3"/>
      <c r="H255" s="27"/>
      <c r="I255" s="60"/>
      <c r="J255" s="61"/>
      <c r="K255" s="30"/>
      <c r="L255" s="30"/>
      <c r="M255" s="30"/>
      <c r="N255" s="30"/>
      <c r="O255" s="31"/>
      <c r="P255" s="30"/>
      <c r="Q255" s="62"/>
      <c r="R255" s="62"/>
      <c r="S255" s="62"/>
      <c r="T255" s="62"/>
      <c r="U255" s="62"/>
      <c r="V255" s="63"/>
      <c r="W255" s="42"/>
      <c r="X255" s="63"/>
      <c r="Y255" s="65"/>
      <c r="Z255" s="42"/>
      <c r="AA255" s="42"/>
      <c r="AB255" s="42"/>
      <c r="AC255" s="42"/>
      <c r="AD255" s="65"/>
      <c r="AE255" s="42"/>
      <c r="AF255" s="42"/>
      <c r="AG255" s="42"/>
      <c r="AH255" s="42"/>
      <c r="AI255" s="65"/>
      <c r="AJ255" s="42"/>
      <c r="AK255" s="42"/>
      <c r="AL255" s="42"/>
      <c r="AM255" s="42"/>
      <c r="AN255" s="65"/>
      <c r="AO255" s="42"/>
      <c r="AP255" s="42"/>
      <c r="AQ255" s="42"/>
      <c r="AR255" s="42"/>
      <c r="AS255" s="65"/>
      <c r="AT255" s="42"/>
    </row>
    <row r="256" spans="1:46" x14ac:dyDescent="0.25">
      <c r="A256" s="3"/>
      <c r="B256" s="58"/>
      <c r="C256" s="59"/>
      <c r="D256" s="3"/>
      <c r="E256" s="3"/>
      <c r="F256" s="3"/>
      <c r="G256" s="3"/>
      <c r="H256" s="27"/>
      <c r="I256" s="60"/>
      <c r="J256" s="61"/>
      <c r="K256" s="30"/>
      <c r="L256" s="30"/>
      <c r="M256" s="30"/>
      <c r="N256" s="30"/>
      <c r="O256" s="31"/>
      <c r="P256" s="30"/>
      <c r="Q256" s="62"/>
      <c r="R256" s="62"/>
      <c r="S256" s="62"/>
      <c r="T256" s="62"/>
      <c r="U256" s="62"/>
      <c r="V256" s="63"/>
      <c r="W256" s="42"/>
      <c r="X256" s="63"/>
      <c r="Y256" s="65"/>
      <c r="Z256" s="42"/>
      <c r="AA256" s="42"/>
      <c r="AB256" s="42"/>
      <c r="AC256" s="42"/>
      <c r="AD256" s="65"/>
      <c r="AE256" s="42"/>
      <c r="AF256" s="42"/>
      <c r="AG256" s="42"/>
      <c r="AH256" s="42"/>
      <c r="AI256" s="65"/>
      <c r="AJ256" s="42"/>
      <c r="AK256" s="42"/>
      <c r="AL256" s="42"/>
      <c r="AM256" s="42"/>
      <c r="AN256" s="65"/>
      <c r="AO256" s="42"/>
      <c r="AP256" s="42"/>
      <c r="AQ256" s="42"/>
      <c r="AR256" s="42"/>
      <c r="AS256" s="65"/>
      <c r="AT256" s="42"/>
    </row>
    <row r="257" spans="1:46" x14ac:dyDescent="0.25">
      <c r="A257" s="3"/>
      <c r="B257" s="58"/>
      <c r="C257" s="59"/>
      <c r="D257" s="3"/>
      <c r="E257" s="3"/>
      <c r="F257" s="3"/>
      <c r="G257" s="3"/>
      <c r="H257" s="27"/>
      <c r="I257" s="60"/>
      <c r="J257" s="61"/>
      <c r="K257" s="30"/>
      <c r="L257" s="30"/>
      <c r="M257" s="30"/>
      <c r="N257" s="30"/>
      <c r="O257" s="31"/>
      <c r="P257" s="30"/>
      <c r="Q257" s="62"/>
      <c r="R257" s="62"/>
      <c r="S257" s="62"/>
      <c r="T257" s="62"/>
      <c r="U257" s="62"/>
      <c r="V257" s="63"/>
      <c r="W257" s="42"/>
      <c r="X257" s="63"/>
      <c r="Y257" s="65"/>
      <c r="Z257" s="42"/>
      <c r="AA257" s="42"/>
      <c r="AB257" s="42"/>
      <c r="AC257" s="42"/>
      <c r="AD257" s="65"/>
      <c r="AE257" s="42"/>
      <c r="AF257" s="42"/>
      <c r="AG257" s="42"/>
      <c r="AH257" s="42"/>
      <c r="AI257" s="65"/>
      <c r="AJ257" s="42"/>
      <c r="AK257" s="42"/>
      <c r="AL257" s="42"/>
      <c r="AM257" s="42"/>
      <c r="AN257" s="65"/>
      <c r="AO257" s="42"/>
      <c r="AP257" s="42"/>
      <c r="AQ257" s="42"/>
      <c r="AR257" s="42"/>
      <c r="AS257" s="65"/>
      <c r="AT257" s="42"/>
    </row>
    <row r="258" spans="1:46" x14ac:dyDescent="0.25">
      <c r="A258" s="3"/>
      <c r="B258" s="58"/>
      <c r="C258" s="59"/>
      <c r="D258" s="3"/>
      <c r="E258" s="3"/>
      <c r="F258" s="3"/>
      <c r="G258" s="3"/>
      <c r="H258" s="27"/>
      <c r="I258" s="60"/>
      <c r="J258" s="61"/>
      <c r="K258" s="30"/>
      <c r="L258" s="30"/>
      <c r="M258" s="30"/>
      <c r="N258" s="30"/>
      <c r="O258" s="31"/>
      <c r="P258" s="30"/>
      <c r="Q258" s="62"/>
      <c r="R258" s="62"/>
      <c r="S258" s="62"/>
      <c r="T258" s="62"/>
      <c r="U258" s="62"/>
      <c r="V258" s="63"/>
      <c r="W258" s="42"/>
      <c r="X258" s="63"/>
      <c r="Y258" s="65"/>
      <c r="Z258" s="42"/>
      <c r="AA258" s="42"/>
      <c r="AB258" s="42"/>
      <c r="AC258" s="42"/>
      <c r="AD258" s="65"/>
      <c r="AE258" s="42"/>
      <c r="AF258" s="42"/>
      <c r="AG258" s="42"/>
      <c r="AH258" s="42"/>
      <c r="AI258" s="65"/>
      <c r="AJ258" s="42"/>
      <c r="AK258" s="42"/>
      <c r="AL258" s="42"/>
      <c r="AM258" s="42"/>
      <c r="AN258" s="65"/>
      <c r="AO258" s="42"/>
      <c r="AP258" s="42"/>
      <c r="AQ258" s="42"/>
      <c r="AR258" s="42"/>
      <c r="AS258" s="65"/>
      <c r="AT258" s="42"/>
    </row>
    <row r="259" spans="1:46" x14ac:dyDescent="0.25">
      <c r="A259" s="3"/>
      <c r="B259" s="58"/>
      <c r="C259" s="59"/>
      <c r="D259" s="3"/>
      <c r="E259" s="3"/>
      <c r="F259" s="3"/>
      <c r="G259" s="3"/>
      <c r="H259" s="27"/>
      <c r="I259" s="60"/>
      <c r="J259" s="61"/>
      <c r="K259" s="30"/>
      <c r="L259" s="30"/>
      <c r="M259" s="30"/>
      <c r="N259" s="30"/>
      <c r="O259" s="31"/>
      <c r="P259" s="30"/>
      <c r="Q259" s="62"/>
      <c r="R259" s="62"/>
      <c r="S259" s="62"/>
      <c r="T259" s="62"/>
      <c r="U259" s="62"/>
      <c r="V259" s="63"/>
      <c r="W259" s="42"/>
      <c r="X259" s="63"/>
      <c r="Y259" s="65"/>
      <c r="Z259" s="42"/>
      <c r="AA259" s="42"/>
      <c r="AB259" s="42"/>
      <c r="AC259" s="42"/>
      <c r="AD259" s="65"/>
      <c r="AE259" s="42"/>
      <c r="AF259" s="42"/>
      <c r="AG259" s="42"/>
      <c r="AH259" s="42"/>
      <c r="AI259" s="65"/>
      <c r="AJ259" s="42"/>
      <c r="AK259" s="42"/>
      <c r="AL259" s="42"/>
      <c r="AM259" s="42"/>
      <c r="AN259" s="65"/>
      <c r="AO259" s="42"/>
      <c r="AP259" s="42"/>
      <c r="AQ259" s="42"/>
      <c r="AR259" s="42"/>
      <c r="AS259" s="65"/>
      <c r="AT259" s="42"/>
    </row>
    <row r="260" spans="1:46" x14ac:dyDescent="0.25">
      <c r="A260" s="3"/>
      <c r="B260" s="58"/>
      <c r="C260" s="59"/>
      <c r="D260" s="3"/>
      <c r="E260" s="3"/>
      <c r="F260" s="3"/>
      <c r="G260" s="3"/>
      <c r="H260" s="27"/>
      <c r="I260" s="60"/>
      <c r="J260" s="61"/>
      <c r="K260" s="30"/>
      <c r="L260" s="30"/>
      <c r="M260" s="30"/>
      <c r="N260" s="30"/>
      <c r="O260" s="31"/>
      <c r="P260" s="30"/>
      <c r="Q260" s="62"/>
      <c r="R260" s="62"/>
      <c r="S260" s="62"/>
      <c r="T260" s="62"/>
      <c r="U260" s="62"/>
      <c r="V260" s="63"/>
      <c r="W260" s="42"/>
      <c r="X260" s="63"/>
      <c r="Y260" s="65"/>
      <c r="Z260" s="42"/>
      <c r="AA260" s="42"/>
      <c r="AB260" s="42"/>
      <c r="AC260" s="42"/>
      <c r="AD260" s="65"/>
      <c r="AE260" s="42"/>
      <c r="AF260" s="42"/>
      <c r="AG260" s="42"/>
      <c r="AH260" s="42"/>
      <c r="AI260" s="65"/>
      <c r="AJ260" s="42"/>
      <c r="AK260" s="42"/>
      <c r="AL260" s="42"/>
      <c r="AM260" s="42"/>
      <c r="AN260" s="65"/>
      <c r="AO260" s="42"/>
      <c r="AP260" s="42"/>
      <c r="AQ260" s="42"/>
      <c r="AR260" s="42"/>
      <c r="AS260" s="65"/>
      <c r="AT260" s="42"/>
    </row>
    <row r="261" spans="1:46" x14ac:dyDescent="0.25">
      <c r="A261" s="3"/>
      <c r="B261" s="58"/>
      <c r="C261" s="59"/>
      <c r="D261" s="3"/>
      <c r="E261" s="3"/>
      <c r="F261" s="3"/>
      <c r="G261" s="3"/>
      <c r="H261" s="27"/>
      <c r="I261" s="60"/>
      <c r="J261" s="61"/>
      <c r="K261" s="30"/>
      <c r="L261" s="30"/>
      <c r="M261" s="30"/>
      <c r="N261" s="30"/>
      <c r="O261" s="31"/>
      <c r="P261" s="30"/>
      <c r="Q261" s="62"/>
      <c r="R261" s="62"/>
      <c r="S261" s="62"/>
      <c r="T261" s="62"/>
      <c r="U261" s="62"/>
      <c r="V261" s="63"/>
      <c r="W261" s="42"/>
      <c r="X261" s="63"/>
      <c r="Y261" s="65"/>
      <c r="Z261" s="42"/>
      <c r="AA261" s="42"/>
      <c r="AB261" s="42"/>
      <c r="AC261" s="42"/>
      <c r="AD261" s="65"/>
      <c r="AE261" s="42"/>
      <c r="AF261" s="42"/>
      <c r="AG261" s="42"/>
      <c r="AH261" s="42"/>
      <c r="AI261" s="65"/>
      <c r="AJ261" s="42"/>
      <c r="AK261" s="42"/>
      <c r="AL261" s="42"/>
      <c r="AM261" s="42"/>
      <c r="AN261" s="65"/>
      <c r="AO261" s="42"/>
      <c r="AP261" s="42"/>
      <c r="AQ261" s="42"/>
      <c r="AR261" s="42"/>
      <c r="AS261" s="65"/>
      <c r="AT261" s="42"/>
    </row>
    <row r="262" spans="1:46" x14ac:dyDescent="0.25">
      <c r="A262" s="3"/>
      <c r="B262" s="58"/>
      <c r="C262" s="59"/>
      <c r="D262" s="3"/>
      <c r="E262" s="3"/>
      <c r="F262" s="3"/>
      <c r="G262" s="3"/>
      <c r="H262" s="27"/>
      <c r="I262" s="60"/>
      <c r="J262" s="61"/>
      <c r="K262" s="30"/>
      <c r="L262" s="30"/>
      <c r="M262" s="30"/>
      <c r="N262" s="30"/>
      <c r="O262" s="31"/>
      <c r="P262" s="30"/>
      <c r="Q262" s="62"/>
      <c r="R262" s="62"/>
      <c r="S262" s="62"/>
      <c r="T262" s="62"/>
      <c r="U262" s="62"/>
      <c r="V262" s="63"/>
      <c r="W262" s="42"/>
      <c r="X262" s="63"/>
      <c r="Y262" s="65"/>
      <c r="Z262" s="42"/>
      <c r="AA262" s="42"/>
      <c r="AB262" s="42"/>
      <c r="AC262" s="42"/>
      <c r="AD262" s="65"/>
      <c r="AE262" s="42"/>
      <c r="AF262" s="42"/>
      <c r="AG262" s="42"/>
      <c r="AH262" s="42"/>
      <c r="AI262" s="65"/>
      <c r="AJ262" s="42"/>
      <c r="AK262" s="42"/>
      <c r="AL262" s="42"/>
      <c r="AM262" s="42"/>
      <c r="AN262" s="65"/>
      <c r="AO262" s="42"/>
      <c r="AP262" s="42"/>
      <c r="AQ262" s="42"/>
      <c r="AR262" s="42"/>
      <c r="AS262" s="65"/>
      <c r="AT262" s="42"/>
    </row>
    <row r="263" spans="1:46" x14ac:dyDescent="0.25">
      <c r="A263" s="3"/>
      <c r="B263" s="58"/>
      <c r="C263" s="59"/>
      <c r="D263" s="3"/>
      <c r="E263" s="3"/>
      <c r="F263" s="3"/>
      <c r="G263" s="3"/>
      <c r="H263" s="27"/>
      <c r="I263" s="60"/>
      <c r="J263" s="61"/>
      <c r="K263" s="30"/>
      <c r="L263" s="30"/>
      <c r="M263" s="30"/>
      <c r="N263" s="30"/>
      <c r="O263" s="31"/>
      <c r="P263" s="30"/>
      <c r="Q263" s="62"/>
      <c r="R263" s="62"/>
      <c r="S263" s="62"/>
      <c r="T263" s="62"/>
      <c r="U263" s="62"/>
      <c r="V263" s="63"/>
      <c r="W263" s="42"/>
      <c r="X263" s="63"/>
      <c r="Y263" s="65"/>
      <c r="Z263" s="42"/>
      <c r="AA263" s="42"/>
      <c r="AB263" s="42"/>
      <c r="AC263" s="42"/>
      <c r="AD263" s="65"/>
      <c r="AE263" s="42"/>
      <c r="AF263" s="42"/>
      <c r="AG263" s="42"/>
      <c r="AH263" s="42"/>
      <c r="AI263" s="65"/>
      <c r="AJ263" s="42"/>
      <c r="AK263" s="42"/>
      <c r="AL263" s="42"/>
      <c r="AM263" s="42"/>
      <c r="AN263" s="65"/>
      <c r="AO263" s="42"/>
      <c r="AP263" s="42"/>
      <c r="AQ263" s="42"/>
      <c r="AR263" s="42"/>
      <c r="AS263" s="65"/>
      <c r="AT263" s="42"/>
    </row>
    <row r="264" spans="1:46" x14ac:dyDescent="0.25">
      <c r="A264" s="3"/>
      <c r="B264" s="58"/>
      <c r="C264" s="59"/>
      <c r="D264" s="3"/>
      <c r="E264" s="3"/>
      <c r="F264" s="3"/>
      <c r="G264" s="3"/>
      <c r="H264" s="27"/>
      <c r="I264" s="60"/>
      <c r="J264" s="61"/>
      <c r="K264" s="30"/>
      <c r="L264" s="30"/>
      <c r="M264" s="30"/>
      <c r="N264" s="30"/>
      <c r="O264" s="31"/>
      <c r="P264" s="30"/>
      <c r="Q264" s="62"/>
      <c r="R264" s="62"/>
      <c r="S264" s="62"/>
      <c r="T264" s="62"/>
      <c r="U264" s="62"/>
      <c r="V264" s="63"/>
      <c r="W264" s="42"/>
      <c r="X264" s="63"/>
      <c r="Y264" s="65"/>
      <c r="Z264" s="42"/>
      <c r="AA264" s="42"/>
      <c r="AB264" s="42"/>
      <c r="AC264" s="42"/>
      <c r="AD264" s="65"/>
      <c r="AE264" s="42"/>
      <c r="AF264" s="42"/>
      <c r="AG264" s="42"/>
      <c r="AH264" s="42"/>
      <c r="AI264" s="65"/>
      <c r="AJ264" s="42"/>
      <c r="AK264" s="42"/>
      <c r="AL264" s="42"/>
      <c r="AM264" s="42"/>
      <c r="AN264" s="65"/>
      <c r="AO264" s="42"/>
      <c r="AP264" s="42"/>
      <c r="AQ264" s="42"/>
      <c r="AR264" s="42"/>
      <c r="AS264" s="65"/>
      <c r="AT264" s="42"/>
    </row>
    <row r="265" spans="1:46" x14ac:dyDescent="0.25">
      <c r="A265" s="3"/>
      <c r="B265" s="58"/>
      <c r="C265" s="59"/>
      <c r="D265" s="3"/>
      <c r="E265" s="3"/>
      <c r="F265" s="3"/>
      <c r="G265" s="3"/>
      <c r="H265" s="27"/>
      <c r="I265" s="60"/>
      <c r="J265" s="61"/>
      <c r="K265" s="30"/>
      <c r="L265" s="30"/>
      <c r="M265" s="30"/>
      <c r="N265" s="30"/>
      <c r="O265" s="31"/>
      <c r="P265" s="30"/>
      <c r="Q265" s="62"/>
      <c r="R265" s="62"/>
      <c r="S265" s="62"/>
      <c r="T265" s="62"/>
      <c r="U265" s="62"/>
      <c r="V265" s="63"/>
      <c r="W265" s="42"/>
      <c r="X265" s="63"/>
      <c r="Y265" s="65"/>
      <c r="Z265" s="42"/>
      <c r="AA265" s="42"/>
      <c r="AB265" s="42"/>
      <c r="AC265" s="42"/>
      <c r="AD265" s="65"/>
      <c r="AE265" s="42"/>
      <c r="AF265" s="42"/>
      <c r="AG265" s="42"/>
      <c r="AH265" s="42"/>
      <c r="AI265" s="65"/>
      <c r="AJ265" s="42"/>
      <c r="AK265" s="42"/>
      <c r="AL265" s="42"/>
      <c r="AM265" s="42"/>
      <c r="AN265" s="65"/>
      <c r="AO265" s="42"/>
      <c r="AP265" s="42"/>
      <c r="AQ265" s="42"/>
      <c r="AR265" s="42"/>
      <c r="AS265" s="65"/>
      <c r="AT265" s="42"/>
    </row>
    <row r="266" spans="1:46" x14ac:dyDescent="0.25">
      <c r="A266" s="3"/>
      <c r="B266" s="58"/>
      <c r="C266" s="59"/>
      <c r="D266" s="3"/>
      <c r="E266" s="3"/>
      <c r="F266" s="3"/>
      <c r="G266" s="3"/>
      <c r="H266" s="27"/>
      <c r="I266" s="60"/>
      <c r="J266" s="61"/>
      <c r="K266" s="30"/>
      <c r="L266" s="30"/>
      <c r="M266" s="30"/>
      <c r="N266" s="30"/>
      <c r="O266" s="31"/>
      <c r="P266" s="30"/>
      <c r="Q266" s="62"/>
      <c r="R266" s="62"/>
      <c r="S266" s="62"/>
      <c r="T266" s="62"/>
      <c r="U266" s="62"/>
      <c r="V266" s="63"/>
      <c r="W266" s="42"/>
      <c r="X266" s="63"/>
      <c r="Y266" s="65"/>
      <c r="Z266" s="42"/>
      <c r="AA266" s="42"/>
      <c r="AB266" s="42"/>
      <c r="AC266" s="42"/>
      <c r="AD266" s="65"/>
      <c r="AE266" s="42"/>
      <c r="AF266" s="42"/>
      <c r="AG266" s="42"/>
      <c r="AH266" s="42"/>
      <c r="AI266" s="65"/>
      <c r="AJ266" s="42"/>
      <c r="AK266" s="42"/>
      <c r="AL266" s="42"/>
      <c r="AM266" s="42"/>
      <c r="AN266" s="65"/>
      <c r="AO266" s="42"/>
      <c r="AP266" s="42"/>
      <c r="AQ266" s="42"/>
      <c r="AR266" s="42"/>
      <c r="AS266" s="65"/>
      <c r="AT266" s="42"/>
    </row>
    <row r="267" spans="1:46" x14ac:dyDescent="0.25">
      <c r="A267" s="3"/>
      <c r="B267" s="58"/>
      <c r="C267" s="59"/>
      <c r="D267" s="3"/>
      <c r="E267" s="3"/>
      <c r="F267" s="3"/>
      <c r="G267" s="3"/>
      <c r="H267" s="27"/>
      <c r="I267" s="60"/>
      <c r="J267" s="61"/>
      <c r="K267" s="30"/>
      <c r="L267" s="30"/>
      <c r="M267" s="30"/>
      <c r="N267" s="30"/>
      <c r="O267" s="31"/>
      <c r="P267" s="30"/>
      <c r="Q267" s="62"/>
      <c r="R267" s="62"/>
      <c r="S267" s="62"/>
      <c r="T267" s="62"/>
      <c r="U267" s="62"/>
      <c r="V267" s="63"/>
      <c r="W267" s="42"/>
      <c r="X267" s="63"/>
      <c r="Y267" s="65"/>
      <c r="Z267" s="42"/>
      <c r="AA267" s="42"/>
      <c r="AB267" s="42"/>
      <c r="AC267" s="42"/>
      <c r="AD267" s="65"/>
      <c r="AE267" s="42"/>
      <c r="AF267" s="42"/>
      <c r="AG267" s="42"/>
      <c r="AH267" s="42"/>
      <c r="AI267" s="65"/>
      <c r="AJ267" s="42"/>
      <c r="AK267" s="42"/>
      <c r="AL267" s="42"/>
      <c r="AM267" s="42"/>
      <c r="AN267" s="65"/>
      <c r="AO267" s="42"/>
      <c r="AP267" s="42"/>
      <c r="AQ267" s="42"/>
      <c r="AR267" s="42"/>
      <c r="AS267" s="65"/>
      <c r="AT267" s="42"/>
    </row>
    <row r="268" spans="1:46" x14ac:dyDescent="0.25">
      <c r="A268" s="3"/>
      <c r="B268" s="58"/>
      <c r="C268" s="59"/>
      <c r="D268" s="3"/>
      <c r="E268" s="3"/>
      <c r="F268" s="3"/>
      <c r="G268" s="3"/>
      <c r="H268" s="27"/>
      <c r="I268" s="60"/>
      <c r="J268" s="61"/>
      <c r="K268" s="30"/>
      <c r="L268" s="30"/>
      <c r="M268" s="30"/>
      <c r="N268" s="30"/>
      <c r="O268" s="31"/>
      <c r="P268" s="30"/>
      <c r="Q268" s="62"/>
      <c r="R268" s="62"/>
      <c r="S268" s="62"/>
      <c r="T268" s="62"/>
      <c r="U268" s="62"/>
      <c r="V268" s="63"/>
      <c r="W268" s="42"/>
      <c r="X268" s="63"/>
      <c r="Y268" s="65"/>
      <c r="Z268" s="42"/>
      <c r="AA268" s="42"/>
      <c r="AB268" s="42"/>
      <c r="AC268" s="42"/>
      <c r="AD268" s="65"/>
      <c r="AE268" s="42"/>
      <c r="AF268" s="42"/>
      <c r="AG268" s="42"/>
      <c r="AH268" s="42"/>
      <c r="AI268" s="65"/>
      <c r="AJ268" s="42"/>
      <c r="AK268" s="42"/>
      <c r="AL268" s="42"/>
      <c r="AM268" s="42"/>
      <c r="AN268" s="65"/>
      <c r="AO268" s="42"/>
      <c r="AP268" s="42"/>
      <c r="AQ268" s="42"/>
      <c r="AR268" s="42"/>
      <c r="AS268" s="65"/>
      <c r="AT268" s="42"/>
    </row>
    <row r="269" spans="1:46" x14ac:dyDescent="0.25">
      <c r="A269" s="3"/>
      <c r="B269" s="58"/>
      <c r="C269" s="59"/>
      <c r="D269" s="3"/>
      <c r="E269" s="3"/>
      <c r="F269" s="3"/>
      <c r="G269" s="3"/>
      <c r="H269" s="27"/>
      <c r="I269" s="60"/>
      <c r="J269" s="61"/>
      <c r="K269" s="30"/>
      <c r="L269" s="30"/>
      <c r="M269" s="30"/>
      <c r="N269" s="30"/>
      <c r="O269" s="31"/>
      <c r="P269" s="30"/>
      <c r="Q269" s="62"/>
      <c r="R269" s="62"/>
      <c r="S269" s="62"/>
      <c r="T269" s="62"/>
      <c r="U269" s="62"/>
      <c r="V269" s="63"/>
      <c r="W269" s="42"/>
      <c r="X269" s="63"/>
      <c r="Y269" s="65"/>
      <c r="Z269" s="42"/>
      <c r="AA269" s="42"/>
      <c r="AB269" s="42"/>
      <c r="AC269" s="42"/>
      <c r="AD269" s="65"/>
      <c r="AE269" s="42"/>
      <c r="AF269" s="42"/>
      <c r="AG269" s="42"/>
      <c r="AH269" s="42"/>
      <c r="AI269" s="65"/>
      <c r="AJ269" s="42"/>
      <c r="AK269" s="42"/>
      <c r="AL269" s="42"/>
      <c r="AM269" s="42"/>
      <c r="AN269" s="65"/>
      <c r="AO269" s="42"/>
      <c r="AP269" s="42"/>
      <c r="AQ269" s="42"/>
      <c r="AR269" s="42"/>
      <c r="AS269" s="65"/>
      <c r="AT269" s="42"/>
    </row>
    <row r="270" spans="1:46" x14ac:dyDescent="0.25">
      <c r="A270" s="3"/>
      <c r="B270" s="58"/>
      <c r="C270" s="59"/>
      <c r="D270" s="3"/>
      <c r="E270" s="3"/>
      <c r="F270" s="3"/>
      <c r="G270" s="3"/>
      <c r="H270" s="27"/>
      <c r="I270" s="60"/>
      <c r="J270" s="61"/>
      <c r="K270" s="30"/>
      <c r="L270" s="30"/>
      <c r="M270" s="30"/>
      <c r="N270" s="30"/>
      <c r="O270" s="31"/>
      <c r="P270" s="30"/>
      <c r="Q270" s="62"/>
      <c r="R270" s="62"/>
      <c r="S270" s="62"/>
      <c r="T270" s="62"/>
      <c r="U270" s="62"/>
      <c r="V270" s="63"/>
      <c r="W270" s="42"/>
      <c r="X270" s="63"/>
      <c r="Y270" s="65"/>
      <c r="Z270" s="42"/>
      <c r="AA270" s="42"/>
      <c r="AB270" s="42"/>
      <c r="AC270" s="42"/>
      <c r="AD270" s="65"/>
      <c r="AE270" s="42"/>
      <c r="AF270" s="42"/>
      <c r="AG270" s="42"/>
      <c r="AH270" s="42"/>
      <c r="AI270" s="65"/>
      <c r="AJ270" s="42"/>
      <c r="AK270" s="42"/>
      <c r="AL270" s="42"/>
      <c r="AM270" s="42"/>
      <c r="AN270" s="65"/>
      <c r="AO270" s="42"/>
      <c r="AP270" s="42"/>
      <c r="AQ270" s="42"/>
      <c r="AR270" s="42"/>
      <c r="AS270" s="65"/>
      <c r="AT270" s="42"/>
    </row>
    <row r="271" spans="1:46" x14ac:dyDescent="0.25">
      <c r="A271" s="3"/>
      <c r="B271" s="58"/>
      <c r="C271" s="59"/>
      <c r="D271" s="3"/>
      <c r="E271" s="3"/>
      <c r="F271" s="3"/>
      <c r="G271" s="3"/>
      <c r="H271" s="27"/>
      <c r="I271" s="60"/>
      <c r="J271" s="61"/>
      <c r="K271" s="30"/>
      <c r="L271" s="30"/>
      <c r="M271" s="30"/>
      <c r="N271" s="30"/>
      <c r="O271" s="31"/>
      <c r="P271" s="30"/>
      <c r="Q271" s="62"/>
      <c r="R271" s="62"/>
      <c r="S271" s="62"/>
      <c r="T271" s="62"/>
      <c r="U271" s="62"/>
      <c r="V271" s="63"/>
      <c r="W271" s="42"/>
      <c r="X271" s="63"/>
      <c r="Y271" s="65"/>
      <c r="Z271" s="42"/>
      <c r="AA271" s="42"/>
      <c r="AB271" s="42"/>
      <c r="AC271" s="42"/>
      <c r="AD271" s="65"/>
      <c r="AE271" s="42"/>
      <c r="AF271" s="42"/>
      <c r="AG271" s="42"/>
      <c r="AH271" s="42"/>
      <c r="AI271" s="65"/>
      <c r="AJ271" s="42"/>
      <c r="AK271" s="42"/>
      <c r="AL271" s="42"/>
      <c r="AM271" s="42"/>
      <c r="AN271" s="65"/>
      <c r="AO271" s="42"/>
      <c r="AP271" s="42"/>
      <c r="AQ271" s="42"/>
      <c r="AR271" s="42"/>
      <c r="AS271" s="65"/>
      <c r="AT271" s="42"/>
    </row>
    <row r="272" spans="1:46" x14ac:dyDescent="0.25">
      <c r="A272" s="3"/>
      <c r="B272" s="58"/>
      <c r="C272" s="59"/>
      <c r="D272" s="3"/>
      <c r="E272" s="3"/>
      <c r="F272" s="3"/>
      <c r="G272" s="3"/>
      <c r="H272" s="27"/>
      <c r="I272" s="60"/>
      <c r="J272" s="61"/>
      <c r="K272" s="30"/>
      <c r="L272" s="30"/>
      <c r="M272" s="30"/>
      <c r="N272" s="30"/>
      <c r="O272" s="31"/>
      <c r="P272" s="30"/>
      <c r="Q272" s="62"/>
      <c r="R272" s="62"/>
      <c r="S272" s="62"/>
      <c r="T272" s="62"/>
      <c r="U272" s="62"/>
      <c r="V272" s="63"/>
      <c r="W272" s="42"/>
      <c r="X272" s="63"/>
      <c r="Y272" s="65"/>
      <c r="Z272" s="42"/>
      <c r="AA272" s="42"/>
      <c r="AB272" s="42"/>
      <c r="AC272" s="42"/>
      <c r="AD272" s="65"/>
      <c r="AE272" s="42"/>
      <c r="AF272" s="42"/>
      <c r="AG272" s="42"/>
      <c r="AH272" s="42"/>
      <c r="AI272" s="65"/>
      <c r="AJ272" s="42"/>
      <c r="AK272" s="42"/>
      <c r="AL272" s="42"/>
      <c r="AM272" s="42"/>
      <c r="AN272" s="65"/>
      <c r="AO272" s="42"/>
      <c r="AP272" s="42"/>
      <c r="AQ272" s="42"/>
      <c r="AR272" s="42"/>
      <c r="AS272" s="65"/>
      <c r="AT272" s="42"/>
    </row>
    <row r="273" spans="1:46" x14ac:dyDescent="0.25">
      <c r="A273" s="3"/>
      <c r="B273" s="58"/>
      <c r="C273" s="59"/>
      <c r="D273" s="3"/>
      <c r="E273" s="3"/>
      <c r="F273" s="3"/>
      <c r="G273" s="3"/>
      <c r="H273" s="27"/>
      <c r="I273" s="60"/>
      <c r="J273" s="61"/>
      <c r="K273" s="30"/>
      <c r="L273" s="30"/>
      <c r="M273" s="30"/>
      <c r="N273" s="30"/>
      <c r="O273" s="31"/>
      <c r="P273" s="30"/>
      <c r="Q273" s="62"/>
      <c r="R273" s="62"/>
      <c r="S273" s="62"/>
      <c r="T273" s="62"/>
      <c r="U273" s="62"/>
      <c r="V273" s="63"/>
      <c r="W273" s="42"/>
      <c r="X273" s="63"/>
      <c r="Y273" s="65"/>
      <c r="Z273" s="42"/>
      <c r="AA273" s="42"/>
      <c r="AB273" s="42"/>
      <c r="AC273" s="42"/>
      <c r="AD273" s="65"/>
      <c r="AE273" s="42"/>
      <c r="AF273" s="42"/>
      <c r="AG273" s="42"/>
      <c r="AH273" s="42"/>
      <c r="AI273" s="65"/>
      <c r="AJ273" s="42"/>
      <c r="AK273" s="42"/>
      <c r="AL273" s="42"/>
      <c r="AM273" s="42"/>
      <c r="AN273" s="65"/>
      <c r="AO273" s="42"/>
      <c r="AP273" s="42"/>
      <c r="AQ273" s="42"/>
      <c r="AR273" s="42"/>
      <c r="AS273" s="65"/>
      <c r="AT273" s="42"/>
    </row>
    <row r="274" spans="1:46" x14ac:dyDescent="0.25">
      <c r="A274" s="3"/>
      <c r="B274" s="58"/>
      <c r="C274" s="59"/>
      <c r="D274" s="3"/>
      <c r="E274" s="3"/>
      <c r="F274" s="3"/>
      <c r="G274" s="3"/>
      <c r="H274" s="27"/>
      <c r="I274" s="60"/>
      <c r="J274" s="61"/>
      <c r="K274" s="30"/>
      <c r="L274" s="30"/>
      <c r="M274" s="30"/>
      <c r="N274" s="30"/>
      <c r="O274" s="31"/>
      <c r="P274" s="30"/>
      <c r="Q274" s="62"/>
      <c r="R274" s="62"/>
      <c r="S274" s="62"/>
      <c r="T274" s="62"/>
      <c r="U274" s="62"/>
      <c r="V274" s="63"/>
      <c r="W274" s="42"/>
      <c r="X274" s="63"/>
      <c r="Y274" s="65"/>
      <c r="Z274" s="42"/>
      <c r="AA274" s="42"/>
      <c r="AB274" s="42"/>
      <c r="AC274" s="42"/>
      <c r="AD274" s="65"/>
      <c r="AE274" s="42"/>
      <c r="AF274" s="42"/>
      <c r="AG274" s="42"/>
      <c r="AH274" s="42"/>
      <c r="AI274" s="65"/>
      <c r="AJ274" s="42"/>
      <c r="AK274" s="42"/>
      <c r="AL274" s="42"/>
      <c r="AM274" s="42"/>
      <c r="AN274" s="65"/>
      <c r="AO274" s="42"/>
      <c r="AP274" s="42"/>
      <c r="AQ274" s="42"/>
      <c r="AR274" s="42"/>
      <c r="AS274" s="65"/>
      <c r="AT274" s="42"/>
    </row>
    <row r="275" spans="1:46" x14ac:dyDescent="0.25">
      <c r="A275" s="3"/>
      <c r="B275" s="58"/>
      <c r="C275" s="59"/>
      <c r="D275" s="3"/>
      <c r="E275" s="3"/>
      <c r="F275" s="3"/>
      <c r="G275" s="3"/>
      <c r="H275" s="27"/>
      <c r="I275" s="60"/>
      <c r="J275" s="61"/>
      <c r="K275" s="30"/>
      <c r="L275" s="30"/>
      <c r="M275" s="30"/>
      <c r="N275" s="30"/>
      <c r="O275" s="31"/>
      <c r="P275" s="30"/>
      <c r="Q275" s="62"/>
      <c r="R275" s="62"/>
      <c r="S275" s="62"/>
      <c r="T275" s="62"/>
      <c r="U275" s="62"/>
      <c r="V275" s="63"/>
      <c r="W275" s="42"/>
      <c r="X275" s="63"/>
      <c r="Y275" s="65"/>
      <c r="Z275" s="42"/>
      <c r="AA275" s="42"/>
      <c r="AB275" s="42"/>
      <c r="AC275" s="42"/>
      <c r="AD275" s="65"/>
      <c r="AE275" s="42"/>
      <c r="AF275" s="42"/>
      <c r="AG275" s="42"/>
      <c r="AH275" s="42"/>
      <c r="AI275" s="65"/>
      <c r="AJ275" s="42"/>
      <c r="AK275" s="42"/>
      <c r="AL275" s="42"/>
      <c r="AM275" s="42"/>
      <c r="AN275" s="65"/>
      <c r="AO275" s="42"/>
      <c r="AP275" s="42"/>
      <c r="AQ275" s="42"/>
      <c r="AR275" s="42"/>
      <c r="AS275" s="65"/>
      <c r="AT275" s="42"/>
    </row>
    <row r="276" spans="1:46" x14ac:dyDescent="0.25">
      <c r="A276" s="3"/>
      <c r="B276" s="58"/>
      <c r="C276" s="59"/>
      <c r="D276" s="3"/>
      <c r="E276" s="3"/>
      <c r="F276" s="3"/>
      <c r="G276" s="3"/>
      <c r="H276" s="27"/>
      <c r="I276" s="60"/>
      <c r="J276" s="61"/>
      <c r="K276" s="30"/>
      <c r="L276" s="30"/>
      <c r="M276" s="30"/>
      <c r="N276" s="30"/>
      <c r="O276" s="31"/>
      <c r="P276" s="30"/>
      <c r="Q276" s="62"/>
      <c r="R276" s="62"/>
      <c r="S276" s="62"/>
      <c r="T276" s="62"/>
      <c r="U276" s="62"/>
      <c r="V276" s="63"/>
      <c r="W276" s="42"/>
      <c r="X276" s="63"/>
      <c r="Y276" s="65"/>
      <c r="Z276" s="42"/>
      <c r="AA276" s="42"/>
      <c r="AB276" s="42"/>
      <c r="AC276" s="42"/>
      <c r="AD276" s="65"/>
      <c r="AE276" s="42"/>
      <c r="AF276" s="42"/>
      <c r="AG276" s="42"/>
      <c r="AH276" s="42"/>
      <c r="AI276" s="65"/>
      <c r="AJ276" s="42"/>
      <c r="AK276" s="42"/>
      <c r="AL276" s="42"/>
      <c r="AM276" s="42"/>
      <c r="AN276" s="65"/>
      <c r="AO276" s="42"/>
      <c r="AP276" s="42"/>
      <c r="AQ276" s="42"/>
      <c r="AR276" s="42"/>
      <c r="AS276" s="65"/>
      <c r="AT276" s="42"/>
    </row>
    <row r="277" spans="1:46" x14ac:dyDescent="0.25">
      <c r="A277" s="3"/>
      <c r="B277" s="58"/>
      <c r="C277" s="59"/>
      <c r="D277" s="3"/>
      <c r="E277" s="3"/>
      <c r="F277" s="3"/>
      <c r="G277" s="3"/>
      <c r="H277" s="27"/>
      <c r="I277" s="60"/>
      <c r="J277" s="61"/>
      <c r="K277" s="30"/>
      <c r="L277" s="30"/>
      <c r="M277" s="30"/>
      <c r="N277" s="30"/>
      <c r="O277" s="31"/>
      <c r="P277" s="30"/>
      <c r="Q277" s="62"/>
      <c r="R277" s="62"/>
      <c r="S277" s="62"/>
      <c r="T277" s="62"/>
      <c r="U277" s="62"/>
      <c r="V277" s="63"/>
      <c r="W277" s="42"/>
      <c r="X277" s="63"/>
      <c r="Y277" s="65"/>
      <c r="Z277" s="42"/>
      <c r="AA277" s="42"/>
      <c r="AB277" s="42"/>
      <c r="AC277" s="42"/>
      <c r="AD277" s="65"/>
      <c r="AE277" s="42"/>
      <c r="AF277" s="42"/>
      <c r="AG277" s="42"/>
      <c r="AH277" s="42"/>
      <c r="AI277" s="65"/>
      <c r="AJ277" s="42"/>
      <c r="AK277" s="42"/>
      <c r="AL277" s="42"/>
      <c r="AM277" s="42"/>
      <c r="AN277" s="65"/>
      <c r="AO277" s="42"/>
      <c r="AP277" s="42"/>
      <c r="AQ277" s="42"/>
      <c r="AR277" s="42"/>
      <c r="AS277" s="65"/>
      <c r="AT277" s="42"/>
    </row>
    <row r="278" spans="1:46" x14ac:dyDescent="0.25">
      <c r="A278" s="3"/>
      <c r="B278" s="58"/>
      <c r="C278" s="59"/>
      <c r="D278" s="3"/>
      <c r="E278" s="3"/>
      <c r="F278" s="3"/>
      <c r="G278" s="3"/>
      <c r="H278" s="27"/>
      <c r="I278" s="60"/>
      <c r="J278" s="61"/>
      <c r="K278" s="30"/>
      <c r="L278" s="30"/>
      <c r="M278" s="30"/>
      <c r="N278" s="30"/>
      <c r="O278" s="31"/>
      <c r="P278" s="30"/>
      <c r="Q278" s="62"/>
      <c r="R278" s="62"/>
      <c r="S278" s="62"/>
      <c r="T278" s="62"/>
      <c r="U278" s="62"/>
      <c r="V278" s="63"/>
      <c r="W278" s="42"/>
      <c r="X278" s="63"/>
      <c r="Y278" s="65"/>
      <c r="Z278" s="42"/>
      <c r="AA278" s="42"/>
      <c r="AB278" s="42"/>
      <c r="AC278" s="42"/>
      <c r="AD278" s="65"/>
      <c r="AE278" s="42"/>
      <c r="AF278" s="42"/>
      <c r="AG278" s="42"/>
      <c r="AH278" s="42"/>
      <c r="AI278" s="65"/>
      <c r="AJ278" s="42"/>
      <c r="AK278" s="42"/>
      <c r="AL278" s="42"/>
      <c r="AM278" s="42"/>
      <c r="AN278" s="65"/>
      <c r="AO278" s="42"/>
      <c r="AP278" s="42"/>
      <c r="AQ278" s="42"/>
      <c r="AR278" s="42"/>
      <c r="AS278" s="65"/>
      <c r="AT278" s="42"/>
    </row>
    <row r="279" spans="1:46" x14ac:dyDescent="0.25">
      <c r="A279" s="3"/>
      <c r="B279" s="58"/>
      <c r="C279" s="59"/>
      <c r="D279" s="3"/>
      <c r="E279" s="3"/>
      <c r="F279" s="3"/>
      <c r="G279" s="3"/>
      <c r="H279" s="27"/>
      <c r="I279" s="60"/>
      <c r="J279" s="61"/>
      <c r="K279" s="30"/>
      <c r="L279" s="30"/>
      <c r="M279" s="30"/>
      <c r="N279" s="30"/>
      <c r="O279" s="31"/>
      <c r="P279" s="30"/>
      <c r="Q279" s="62"/>
      <c r="R279" s="62"/>
      <c r="S279" s="62"/>
      <c r="T279" s="62"/>
      <c r="U279" s="62"/>
      <c r="V279" s="63"/>
      <c r="W279" s="42"/>
      <c r="X279" s="63"/>
      <c r="Y279" s="65"/>
      <c r="Z279" s="42"/>
      <c r="AA279" s="42"/>
      <c r="AB279" s="42"/>
      <c r="AC279" s="42"/>
      <c r="AD279" s="65"/>
      <c r="AE279" s="42"/>
      <c r="AF279" s="42"/>
      <c r="AG279" s="42"/>
      <c r="AH279" s="42"/>
      <c r="AI279" s="65"/>
      <c r="AJ279" s="42"/>
      <c r="AK279" s="42"/>
      <c r="AL279" s="42"/>
      <c r="AM279" s="42"/>
      <c r="AN279" s="65"/>
      <c r="AO279" s="42"/>
      <c r="AP279" s="42"/>
      <c r="AQ279" s="42"/>
      <c r="AR279" s="42"/>
      <c r="AS279" s="65"/>
      <c r="AT279" s="42"/>
    </row>
    <row r="280" spans="1:46" x14ac:dyDescent="0.25">
      <c r="A280" s="3"/>
      <c r="B280" s="58"/>
      <c r="C280" s="59"/>
      <c r="D280" s="3"/>
      <c r="E280" s="3"/>
      <c r="F280" s="3"/>
      <c r="G280" s="3"/>
      <c r="H280" s="27"/>
      <c r="I280" s="60"/>
      <c r="J280" s="61"/>
      <c r="K280" s="30"/>
      <c r="L280" s="30"/>
      <c r="M280" s="30"/>
      <c r="N280" s="30"/>
      <c r="O280" s="31"/>
      <c r="P280" s="30"/>
      <c r="Q280" s="62"/>
      <c r="R280" s="62"/>
      <c r="S280" s="62"/>
      <c r="T280" s="62"/>
      <c r="U280" s="62"/>
      <c r="V280" s="63"/>
      <c r="W280" s="42"/>
      <c r="X280" s="63"/>
      <c r="Y280" s="65"/>
      <c r="Z280" s="42"/>
      <c r="AA280" s="42"/>
      <c r="AB280" s="42"/>
      <c r="AC280" s="42"/>
      <c r="AD280" s="65"/>
      <c r="AE280" s="42"/>
      <c r="AF280" s="42"/>
      <c r="AG280" s="42"/>
      <c r="AH280" s="42"/>
      <c r="AI280" s="65"/>
      <c r="AJ280" s="42"/>
      <c r="AK280" s="42"/>
      <c r="AL280" s="42"/>
      <c r="AM280" s="42"/>
      <c r="AN280" s="65"/>
      <c r="AO280" s="42"/>
      <c r="AP280" s="42"/>
      <c r="AQ280" s="42"/>
      <c r="AR280" s="42"/>
      <c r="AS280" s="65"/>
      <c r="AT280" s="42"/>
    </row>
    <row r="281" spans="1:46" x14ac:dyDescent="0.25">
      <c r="A281" s="3"/>
      <c r="B281" s="58"/>
      <c r="C281" s="59"/>
      <c r="D281" s="3"/>
      <c r="E281" s="3"/>
      <c r="F281" s="3"/>
      <c r="G281" s="3"/>
      <c r="H281" s="27"/>
      <c r="I281" s="60"/>
      <c r="J281" s="61"/>
      <c r="K281" s="30"/>
      <c r="L281" s="30"/>
      <c r="M281" s="30"/>
      <c r="N281" s="30"/>
      <c r="O281" s="31"/>
      <c r="P281" s="30"/>
      <c r="Q281" s="62"/>
      <c r="R281" s="62"/>
      <c r="S281" s="62"/>
      <c r="T281" s="62"/>
      <c r="U281" s="62"/>
      <c r="V281" s="63"/>
      <c r="W281" s="42"/>
      <c r="X281" s="63"/>
      <c r="Y281" s="65"/>
      <c r="Z281" s="42"/>
      <c r="AA281" s="42"/>
      <c r="AB281" s="42"/>
      <c r="AC281" s="42"/>
      <c r="AD281" s="65"/>
      <c r="AE281" s="42"/>
      <c r="AF281" s="42"/>
      <c r="AG281" s="42"/>
      <c r="AH281" s="42"/>
      <c r="AI281" s="65"/>
      <c r="AJ281" s="42"/>
      <c r="AK281" s="42"/>
      <c r="AL281" s="42"/>
      <c r="AM281" s="42"/>
      <c r="AN281" s="65"/>
      <c r="AO281" s="42"/>
      <c r="AP281" s="42"/>
      <c r="AQ281" s="42"/>
      <c r="AR281" s="42"/>
      <c r="AS281" s="65"/>
      <c r="AT281" s="42"/>
    </row>
    <row r="282" spans="1:46" x14ac:dyDescent="0.25">
      <c r="A282" s="3"/>
      <c r="B282" s="58"/>
      <c r="C282" s="59"/>
      <c r="D282" s="3"/>
      <c r="E282" s="3"/>
      <c r="F282" s="3"/>
      <c r="G282" s="3"/>
      <c r="H282" s="27"/>
      <c r="I282" s="60"/>
      <c r="J282" s="61"/>
      <c r="K282" s="30"/>
      <c r="L282" s="30"/>
      <c r="M282" s="30"/>
      <c r="N282" s="30"/>
      <c r="O282" s="31"/>
      <c r="P282" s="30"/>
      <c r="Q282" s="62"/>
      <c r="R282" s="62"/>
      <c r="S282" s="62"/>
      <c r="T282" s="62"/>
      <c r="U282" s="62"/>
      <c r="V282" s="63"/>
      <c r="W282" s="42"/>
      <c r="X282" s="63"/>
      <c r="Y282" s="65"/>
      <c r="Z282" s="42"/>
      <c r="AA282" s="42"/>
      <c r="AB282" s="42"/>
      <c r="AC282" s="42"/>
      <c r="AD282" s="65"/>
      <c r="AE282" s="42"/>
      <c r="AF282" s="42"/>
      <c r="AG282" s="42"/>
      <c r="AH282" s="42"/>
      <c r="AI282" s="65"/>
      <c r="AJ282" s="42"/>
      <c r="AK282" s="42"/>
      <c r="AL282" s="42"/>
      <c r="AM282" s="42"/>
      <c r="AN282" s="65"/>
      <c r="AO282" s="42"/>
      <c r="AP282" s="42"/>
      <c r="AQ282" s="42"/>
      <c r="AR282" s="42"/>
      <c r="AS282" s="65"/>
      <c r="AT282" s="42"/>
    </row>
    <row r="283" spans="1:46" x14ac:dyDescent="0.25">
      <c r="A283" s="3"/>
      <c r="B283" s="58"/>
      <c r="C283" s="59"/>
      <c r="D283" s="3"/>
      <c r="E283" s="3"/>
      <c r="F283" s="3"/>
      <c r="G283" s="3"/>
      <c r="H283" s="27"/>
      <c r="I283" s="60"/>
      <c r="J283" s="61"/>
      <c r="K283" s="30"/>
      <c r="L283" s="30"/>
      <c r="M283" s="30"/>
      <c r="N283" s="30"/>
      <c r="O283" s="31"/>
      <c r="P283" s="30"/>
      <c r="Q283" s="62"/>
      <c r="R283" s="62"/>
      <c r="S283" s="62"/>
      <c r="T283" s="62"/>
      <c r="U283" s="62"/>
      <c r="V283" s="63"/>
      <c r="W283" s="42"/>
      <c r="X283" s="63"/>
      <c r="Y283" s="65"/>
      <c r="Z283" s="42"/>
      <c r="AA283" s="42"/>
      <c r="AB283" s="42"/>
      <c r="AC283" s="42"/>
      <c r="AD283" s="65"/>
      <c r="AE283" s="42"/>
      <c r="AF283" s="42"/>
      <c r="AG283" s="42"/>
      <c r="AH283" s="42"/>
      <c r="AI283" s="65"/>
      <c r="AJ283" s="42"/>
      <c r="AK283" s="42"/>
      <c r="AL283" s="42"/>
      <c r="AM283" s="42"/>
      <c r="AN283" s="65"/>
      <c r="AO283" s="42"/>
      <c r="AP283" s="42"/>
      <c r="AQ283" s="42"/>
      <c r="AR283" s="42"/>
      <c r="AS283" s="65"/>
      <c r="AT283" s="42"/>
    </row>
    <row r="284" spans="1:46" x14ac:dyDescent="0.25">
      <c r="A284" s="3"/>
      <c r="B284" s="58"/>
      <c r="C284" s="59"/>
      <c r="D284" s="3"/>
      <c r="E284" s="3"/>
      <c r="F284" s="3"/>
      <c r="G284" s="3"/>
      <c r="H284" s="27"/>
      <c r="I284" s="60"/>
      <c r="J284" s="61"/>
      <c r="K284" s="30"/>
      <c r="L284" s="30"/>
      <c r="M284" s="30"/>
      <c r="N284" s="30"/>
      <c r="O284" s="31"/>
      <c r="P284" s="30"/>
      <c r="Q284" s="62"/>
      <c r="R284" s="62"/>
      <c r="S284" s="62"/>
      <c r="T284" s="62"/>
      <c r="U284" s="62"/>
      <c r="V284" s="63"/>
      <c r="W284" s="42"/>
      <c r="X284" s="63"/>
      <c r="Y284" s="65"/>
      <c r="Z284" s="42"/>
      <c r="AA284" s="42"/>
      <c r="AB284" s="42"/>
      <c r="AC284" s="42"/>
      <c r="AD284" s="65"/>
      <c r="AE284" s="42"/>
      <c r="AF284" s="42"/>
      <c r="AG284" s="42"/>
      <c r="AH284" s="42"/>
      <c r="AI284" s="65"/>
      <c r="AJ284" s="42"/>
      <c r="AK284" s="42"/>
      <c r="AL284" s="42"/>
      <c r="AM284" s="42"/>
      <c r="AN284" s="65"/>
      <c r="AO284" s="42"/>
      <c r="AP284" s="42"/>
      <c r="AQ284" s="42"/>
      <c r="AR284" s="42"/>
      <c r="AS284" s="65"/>
      <c r="AT284" s="42"/>
    </row>
    <row r="285" spans="1:46" x14ac:dyDescent="0.25">
      <c r="A285" s="3"/>
      <c r="B285" s="58"/>
      <c r="C285" s="59"/>
      <c r="D285" s="3"/>
      <c r="E285" s="3"/>
      <c r="F285" s="3"/>
      <c r="G285" s="3"/>
      <c r="H285" s="27"/>
      <c r="I285" s="60"/>
      <c r="J285" s="61"/>
      <c r="K285" s="30"/>
      <c r="L285" s="30"/>
      <c r="M285" s="30"/>
      <c r="N285" s="30"/>
      <c r="O285" s="31"/>
      <c r="P285" s="30"/>
      <c r="Q285" s="62"/>
      <c r="R285" s="62"/>
      <c r="S285" s="62"/>
      <c r="T285" s="62"/>
      <c r="U285" s="62"/>
      <c r="V285" s="63"/>
      <c r="W285" s="42"/>
      <c r="X285" s="63"/>
      <c r="Y285" s="65"/>
      <c r="Z285" s="42"/>
      <c r="AA285" s="42"/>
      <c r="AB285" s="42"/>
      <c r="AC285" s="42"/>
      <c r="AD285" s="65"/>
      <c r="AE285" s="42"/>
      <c r="AF285" s="42"/>
      <c r="AG285" s="42"/>
      <c r="AH285" s="42"/>
      <c r="AI285" s="65"/>
      <c r="AJ285" s="42"/>
      <c r="AK285" s="42"/>
      <c r="AL285" s="42"/>
      <c r="AM285" s="42"/>
      <c r="AN285" s="65"/>
      <c r="AO285" s="42"/>
      <c r="AP285" s="42"/>
      <c r="AQ285" s="42"/>
      <c r="AR285" s="42"/>
      <c r="AS285" s="65"/>
      <c r="AT285" s="42"/>
    </row>
    <row r="286" spans="1:46" x14ac:dyDescent="0.25">
      <c r="A286" s="3"/>
      <c r="B286" s="58"/>
      <c r="C286" s="59"/>
      <c r="D286" s="3"/>
      <c r="E286" s="3"/>
      <c r="F286" s="3"/>
      <c r="G286" s="3"/>
      <c r="H286" s="27"/>
      <c r="I286" s="60"/>
      <c r="J286" s="61"/>
      <c r="K286" s="30"/>
      <c r="L286" s="30"/>
      <c r="M286" s="30"/>
      <c r="N286" s="30"/>
      <c r="O286" s="31"/>
      <c r="P286" s="30"/>
      <c r="Q286" s="62"/>
      <c r="R286" s="62"/>
      <c r="S286" s="62"/>
      <c r="T286" s="62"/>
      <c r="U286" s="62"/>
      <c r="V286" s="63"/>
      <c r="W286" s="42"/>
      <c r="X286" s="63"/>
      <c r="Y286" s="65"/>
      <c r="Z286" s="42"/>
      <c r="AA286" s="42"/>
      <c r="AB286" s="42"/>
      <c r="AC286" s="42"/>
      <c r="AD286" s="65"/>
      <c r="AE286" s="42"/>
      <c r="AF286" s="42"/>
      <c r="AG286" s="42"/>
      <c r="AH286" s="42"/>
      <c r="AI286" s="65"/>
      <c r="AJ286" s="42"/>
      <c r="AK286" s="42"/>
      <c r="AL286" s="42"/>
      <c r="AM286" s="42"/>
      <c r="AN286" s="65"/>
      <c r="AO286" s="42"/>
      <c r="AP286" s="42"/>
      <c r="AQ286" s="42"/>
      <c r="AR286" s="42"/>
      <c r="AS286" s="65"/>
      <c r="AT286" s="42"/>
    </row>
    <row r="287" spans="1:46" x14ac:dyDescent="0.25">
      <c r="A287" s="3"/>
      <c r="B287" s="58"/>
      <c r="C287" s="59"/>
      <c r="D287" s="3"/>
      <c r="E287" s="3"/>
      <c r="F287" s="3"/>
      <c r="G287" s="3"/>
      <c r="H287" s="27"/>
      <c r="I287" s="60"/>
      <c r="J287" s="61"/>
      <c r="K287" s="30"/>
      <c r="L287" s="30"/>
      <c r="M287" s="30"/>
      <c r="N287" s="30"/>
      <c r="O287" s="31"/>
      <c r="P287" s="30"/>
      <c r="Q287" s="62"/>
      <c r="R287" s="62"/>
      <c r="S287" s="62"/>
      <c r="T287" s="62"/>
      <c r="U287" s="62"/>
      <c r="V287" s="63"/>
      <c r="W287" s="42"/>
      <c r="X287" s="63"/>
      <c r="Y287" s="65"/>
      <c r="Z287" s="42"/>
      <c r="AA287" s="42"/>
      <c r="AB287" s="42"/>
      <c r="AC287" s="42"/>
      <c r="AD287" s="65"/>
      <c r="AE287" s="42"/>
      <c r="AF287" s="42"/>
      <c r="AG287" s="42"/>
      <c r="AH287" s="42"/>
      <c r="AI287" s="65"/>
      <c r="AJ287" s="42"/>
      <c r="AK287" s="42"/>
      <c r="AL287" s="42"/>
      <c r="AM287" s="42"/>
      <c r="AN287" s="65"/>
      <c r="AO287" s="42"/>
      <c r="AP287" s="42"/>
      <c r="AQ287" s="42"/>
      <c r="AR287" s="42"/>
      <c r="AS287" s="65"/>
      <c r="AT287" s="42"/>
    </row>
    <row r="288" spans="1:46" x14ac:dyDescent="0.25">
      <c r="A288" s="3"/>
      <c r="B288" s="58"/>
      <c r="C288" s="59"/>
      <c r="D288" s="3"/>
      <c r="E288" s="3"/>
      <c r="F288" s="3"/>
      <c r="G288" s="3"/>
      <c r="H288" s="27"/>
      <c r="I288" s="60"/>
      <c r="J288" s="61"/>
      <c r="K288" s="30"/>
      <c r="L288" s="30"/>
      <c r="M288" s="30"/>
      <c r="N288" s="30"/>
      <c r="O288" s="31"/>
      <c r="P288" s="30"/>
      <c r="Q288" s="62"/>
      <c r="R288" s="62"/>
      <c r="S288" s="62"/>
      <c r="T288" s="62"/>
      <c r="U288" s="62"/>
      <c r="V288" s="63"/>
      <c r="W288" s="42"/>
      <c r="X288" s="63"/>
      <c r="Y288" s="65"/>
      <c r="Z288" s="42"/>
      <c r="AA288" s="42"/>
      <c r="AB288" s="42"/>
      <c r="AC288" s="42"/>
      <c r="AD288" s="65"/>
      <c r="AE288" s="42"/>
      <c r="AF288" s="42"/>
      <c r="AG288" s="42"/>
      <c r="AH288" s="42"/>
      <c r="AI288" s="65"/>
      <c r="AJ288" s="42"/>
      <c r="AK288" s="42"/>
      <c r="AL288" s="42"/>
      <c r="AM288" s="42"/>
      <c r="AN288" s="65"/>
      <c r="AO288" s="42"/>
      <c r="AP288" s="42"/>
      <c r="AQ288" s="42"/>
      <c r="AR288" s="42"/>
      <c r="AS288" s="65"/>
      <c r="AT288" s="42"/>
    </row>
    <row r="289" spans="1:46" x14ac:dyDescent="0.25">
      <c r="A289" s="3"/>
      <c r="B289" s="58"/>
      <c r="C289" s="59"/>
      <c r="D289" s="3"/>
      <c r="E289" s="3"/>
      <c r="F289" s="3"/>
      <c r="G289" s="3"/>
      <c r="H289" s="27"/>
      <c r="I289" s="60"/>
      <c r="J289" s="61"/>
      <c r="K289" s="30"/>
      <c r="L289" s="30"/>
      <c r="M289" s="30"/>
      <c r="N289" s="30"/>
      <c r="O289" s="31"/>
      <c r="P289" s="30"/>
      <c r="Q289" s="62"/>
      <c r="R289" s="62"/>
      <c r="S289" s="62"/>
      <c r="T289" s="62"/>
      <c r="U289" s="62"/>
      <c r="V289" s="63"/>
      <c r="W289" s="42"/>
      <c r="X289" s="63"/>
      <c r="Y289" s="65"/>
      <c r="Z289" s="42"/>
      <c r="AA289" s="42"/>
      <c r="AB289" s="42"/>
      <c r="AC289" s="42"/>
      <c r="AD289" s="65"/>
      <c r="AE289" s="42"/>
      <c r="AF289" s="42"/>
      <c r="AG289" s="42"/>
      <c r="AH289" s="42"/>
      <c r="AI289" s="65"/>
      <c r="AJ289" s="42"/>
      <c r="AK289" s="42"/>
      <c r="AL289" s="42"/>
      <c r="AM289" s="42"/>
      <c r="AN289" s="65"/>
      <c r="AO289" s="42"/>
      <c r="AP289" s="42"/>
      <c r="AQ289" s="42"/>
      <c r="AR289" s="42"/>
      <c r="AS289" s="65"/>
      <c r="AT289" s="42"/>
    </row>
    <row r="290" spans="1:46" x14ac:dyDescent="0.25">
      <c r="A290" s="3"/>
      <c r="B290" s="58"/>
      <c r="C290" s="59"/>
      <c r="D290" s="3"/>
      <c r="E290" s="3"/>
      <c r="F290" s="3"/>
      <c r="G290" s="3"/>
      <c r="H290" s="27"/>
      <c r="I290" s="60"/>
      <c r="J290" s="61"/>
      <c r="K290" s="30"/>
      <c r="L290" s="30"/>
      <c r="M290" s="30"/>
      <c r="N290" s="30"/>
      <c r="O290" s="31"/>
      <c r="P290" s="30"/>
      <c r="Q290" s="62"/>
      <c r="R290" s="62"/>
      <c r="S290" s="62"/>
      <c r="T290" s="62"/>
      <c r="U290" s="62"/>
      <c r="V290" s="63"/>
      <c r="W290" s="42"/>
      <c r="X290" s="63"/>
      <c r="Y290" s="65"/>
      <c r="Z290" s="42"/>
      <c r="AA290" s="42"/>
      <c r="AB290" s="42"/>
      <c r="AC290" s="42"/>
      <c r="AD290" s="65"/>
      <c r="AE290" s="42"/>
      <c r="AF290" s="42"/>
      <c r="AG290" s="42"/>
      <c r="AH290" s="42"/>
      <c r="AI290" s="65"/>
      <c r="AJ290" s="42"/>
      <c r="AK290" s="42"/>
      <c r="AL290" s="42"/>
      <c r="AM290" s="42"/>
      <c r="AN290" s="65"/>
      <c r="AO290" s="42"/>
      <c r="AP290" s="42"/>
      <c r="AQ290" s="42"/>
      <c r="AR290" s="42"/>
      <c r="AS290" s="65"/>
      <c r="AT290" s="42"/>
    </row>
    <row r="291" spans="1:46" x14ac:dyDescent="0.25">
      <c r="A291" s="3"/>
      <c r="B291" s="58"/>
      <c r="C291" s="59"/>
      <c r="D291" s="3"/>
      <c r="E291" s="3"/>
      <c r="F291" s="3"/>
      <c r="G291" s="3"/>
      <c r="H291" s="27"/>
      <c r="I291" s="60"/>
      <c r="J291" s="61"/>
      <c r="K291" s="30"/>
      <c r="L291" s="30"/>
      <c r="M291" s="30"/>
      <c r="N291" s="30"/>
      <c r="O291" s="31"/>
      <c r="P291" s="30"/>
      <c r="Q291" s="62"/>
      <c r="R291" s="62"/>
      <c r="S291" s="62"/>
      <c r="T291" s="62"/>
      <c r="U291" s="62"/>
      <c r="V291" s="63"/>
      <c r="W291" s="42"/>
      <c r="X291" s="63"/>
      <c r="Y291" s="65"/>
      <c r="Z291" s="42"/>
      <c r="AA291" s="42"/>
      <c r="AB291" s="42"/>
      <c r="AC291" s="42"/>
      <c r="AD291" s="65"/>
      <c r="AE291" s="42"/>
      <c r="AF291" s="42"/>
      <c r="AG291" s="42"/>
      <c r="AH291" s="42"/>
      <c r="AI291" s="65"/>
      <c r="AJ291" s="42"/>
      <c r="AK291" s="42"/>
      <c r="AL291" s="42"/>
      <c r="AM291" s="42"/>
      <c r="AN291" s="65"/>
      <c r="AO291" s="42"/>
      <c r="AP291" s="42"/>
      <c r="AQ291" s="42"/>
      <c r="AR291" s="42"/>
      <c r="AS291" s="65"/>
      <c r="AT291" s="42"/>
    </row>
    <row r="292" spans="1:46" x14ac:dyDescent="0.25">
      <c r="A292" s="3"/>
      <c r="B292" s="58"/>
      <c r="C292" s="59"/>
      <c r="D292" s="3"/>
      <c r="E292" s="3"/>
      <c r="F292" s="3"/>
      <c r="G292" s="3"/>
      <c r="H292" s="27"/>
      <c r="I292" s="60"/>
      <c r="J292" s="61"/>
      <c r="K292" s="30"/>
      <c r="L292" s="30"/>
      <c r="M292" s="30"/>
      <c r="N292" s="30"/>
      <c r="O292" s="31"/>
      <c r="P292" s="30"/>
      <c r="Q292" s="62"/>
      <c r="R292" s="62"/>
      <c r="S292" s="62"/>
      <c r="T292" s="62"/>
      <c r="U292" s="62"/>
      <c r="V292" s="63"/>
      <c r="W292" s="42"/>
      <c r="X292" s="63"/>
      <c r="Y292" s="65"/>
      <c r="Z292" s="42"/>
      <c r="AA292" s="42"/>
      <c r="AB292" s="42"/>
      <c r="AC292" s="42"/>
      <c r="AD292" s="65"/>
      <c r="AE292" s="42"/>
      <c r="AF292" s="42"/>
      <c r="AG292" s="42"/>
      <c r="AH292" s="42"/>
      <c r="AI292" s="65"/>
      <c r="AJ292" s="42"/>
      <c r="AK292" s="42"/>
      <c r="AL292" s="42"/>
      <c r="AM292" s="42"/>
      <c r="AN292" s="65"/>
      <c r="AO292" s="42"/>
      <c r="AP292" s="42"/>
      <c r="AQ292" s="42"/>
      <c r="AR292" s="42"/>
      <c r="AS292" s="65"/>
      <c r="AT292" s="42"/>
    </row>
    <row r="293" spans="1:46" x14ac:dyDescent="0.25">
      <c r="A293" s="3"/>
      <c r="B293" s="58"/>
      <c r="C293" s="59"/>
      <c r="D293" s="3"/>
      <c r="E293" s="3"/>
      <c r="F293" s="3"/>
      <c r="G293" s="3"/>
      <c r="H293" s="27"/>
      <c r="I293" s="60"/>
      <c r="J293" s="61"/>
      <c r="K293" s="30"/>
      <c r="L293" s="30"/>
      <c r="M293" s="30"/>
      <c r="N293" s="30"/>
      <c r="O293" s="31"/>
      <c r="P293" s="30"/>
      <c r="Q293" s="62"/>
      <c r="R293" s="62"/>
      <c r="S293" s="62"/>
      <c r="T293" s="62"/>
      <c r="U293" s="62"/>
      <c r="V293" s="63"/>
      <c r="W293" s="42"/>
      <c r="X293" s="63"/>
      <c r="Y293" s="65"/>
      <c r="Z293" s="42"/>
      <c r="AA293" s="42"/>
      <c r="AB293" s="42"/>
      <c r="AC293" s="42"/>
      <c r="AD293" s="65"/>
      <c r="AE293" s="42"/>
      <c r="AF293" s="42"/>
      <c r="AG293" s="42"/>
      <c r="AH293" s="42"/>
      <c r="AI293" s="65"/>
      <c r="AJ293" s="42"/>
      <c r="AK293" s="42"/>
      <c r="AL293" s="42"/>
      <c r="AM293" s="42"/>
      <c r="AN293" s="65"/>
      <c r="AO293" s="42"/>
      <c r="AP293" s="42"/>
      <c r="AQ293" s="42"/>
      <c r="AR293" s="42"/>
      <c r="AS293" s="65"/>
      <c r="AT293" s="42"/>
    </row>
    <row r="294" spans="1:46" x14ac:dyDescent="0.25">
      <c r="A294" s="3"/>
      <c r="B294" s="58"/>
      <c r="C294" s="59"/>
      <c r="D294" s="3"/>
      <c r="E294" s="3"/>
      <c r="F294" s="3"/>
      <c r="G294" s="3"/>
      <c r="H294" s="27"/>
      <c r="I294" s="60"/>
      <c r="J294" s="61"/>
      <c r="K294" s="30"/>
      <c r="L294" s="30"/>
      <c r="M294" s="30"/>
      <c r="N294" s="30"/>
      <c r="O294" s="31"/>
      <c r="P294" s="30"/>
      <c r="Q294" s="62"/>
      <c r="R294" s="62"/>
      <c r="S294" s="62"/>
      <c r="T294" s="62"/>
      <c r="U294" s="62"/>
      <c r="V294" s="63"/>
      <c r="W294" s="42"/>
      <c r="X294" s="63"/>
      <c r="Y294" s="65"/>
      <c r="Z294" s="42"/>
      <c r="AA294" s="42"/>
      <c r="AB294" s="42"/>
      <c r="AC294" s="42"/>
      <c r="AD294" s="65"/>
      <c r="AE294" s="42"/>
      <c r="AF294" s="42"/>
      <c r="AG294" s="42"/>
      <c r="AH294" s="42"/>
      <c r="AI294" s="65"/>
      <c r="AJ294" s="42"/>
      <c r="AK294" s="42"/>
      <c r="AL294" s="42"/>
      <c r="AM294" s="42"/>
      <c r="AN294" s="65"/>
      <c r="AO294" s="42"/>
      <c r="AP294" s="42"/>
      <c r="AQ294" s="42"/>
      <c r="AR294" s="42"/>
      <c r="AS294" s="65"/>
      <c r="AT294" s="42"/>
    </row>
    <row r="295" spans="1:46" x14ac:dyDescent="0.25">
      <c r="A295" s="3"/>
      <c r="B295" s="58"/>
      <c r="C295" s="59"/>
      <c r="D295" s="3"/>
      <c r="E295" s="3"/>
      <c r="F295" s="3"/>
      <c r="G295" s="3"/>
      <c r="H295" s="27"/>
      <c r="I295" s="60"/>
      <c r="J295" s="61"/>
      <c r="K295" s="30"/>
      <c r="L295" s="30"/>
      <c r="M295" s="30"/>
      <c r="N295" s="30"/>
      <c r="O295" s="31"/>
      <c r="P295" s="30"/>
      <c r="Q295" s="62"/>
      <c r="R295" s="62"/>
      <c r="S295" s="62"/>
      <c r="T295" s="62"/>
      <c r="U295" s="62"/>
      <c r="V295" s="63"/>
      <c r="W295" s="42"/>
      <c r="X295" s="63"/>
      <c r="Y295" s="65"/>
      <c r="Z295" s="42"/>
      <c r="AA295" s="42"/>
      <c r="AB295" s="42"/>
      <c r="AC295" s="42"/>
      <c r="AD295" s="65"/>
      <c r="AE295" s="42"/>
      <c r="AF295" s="42"/>
      <c r="AG295" s="42"/>
      <c r="AH295" s="42"/>
      <c r="AI295" s="65"/>
      <c r="AJ295" s="42"/>
      <c r="AK295" s="42"/>
      <c r="AL295" s="42"/>
      <c r="AM295" s="42"/>
      <c r="AN295" s="65"/>
      <c r="AO295" s="42"/>
      <c r="AP295" s="42"/>
      <c r="AQ295" s="42"/>
      <c r="AR295" s="42"/>
      <c r="AS295" s="65"/>
      <c r="AT295" s="42"/>
    </row>
    <row r="296" spans="1:46" x14ac:dyDescent="0.25">
      <c r="A296" s="3"/>
      <c r="B296" s="58"/>
      <c r="C296" s="59"/>
      <c r="D296" s="3"/>
      <c r="E296" s="3"/>
      <c r="F296" s="3"/>
      <c r="G296" s="3"/>
      <c r="H296" s="27"/>
      <c r="I296" s="60"/>
      <c r="J296" s="61"/>
      <c r="K296" s="30"/>
      <c r="L296" s="30"/>
      <c r="M296" s="30"/>
      <c r="N296" s="30"/>
      <c r="O296" s="31"/>
      <c r="P296" s="30"/>
      <c r="Q296" s="62"/>
      <c r="R296" s="62"/>
      <c r="S296" s="62"/>
      <c r="T296" s="62"/>
      <c r="U296" s="62"/>
      <c r="V296" s="63"/>
      <c r="W296" s="42"/>
      <c r="X296" s="63"/>
      <c r="Y296" s="65"/>
      <c r="Z296" s="42"/>
      <c r="AA296" s="42"/>
      <c r="AB296" s="42"/>
      <c r="AC296" s="42"/>
      <c r="AD296" s="65"/>
      <c r="AE296" s="42"/>
      <c r="AF296" s="42"/>
      <c r="AG296" s="42"/>
      <c r="AH296" s="42"/>
      <c r="AI296" s="65"/>
      <c r="AJ296" s="42"/>
      <c r="AK296" s="42"/>
      <c r="AL296" s="42"/>
      <c r="AM296" s="42"/>
      <c r="AN296" s="65"/>
      <c r="AO296" s="42"/>
      <c r="AP296" s="42"/>
      <c r="AQ296" s="42"/>
      <c r="AR296" s="42"/>
      <c r="AS296" s="65"/>
      <c r="AT296" s="42"/>
    </row>
    <row r="297" spans="1:46" x14ac:dyDescent="0.25">
      <c r="A297" s="3"/>
      <c r="B297" s="58"/>
      <c r="C297" s="59"/>
      <c r="D297" s="3"/>
      <c r="E297" s="3"/>
      <c r="F297" s="3"/>
      <c r="G297" s="3"/>
      <c r="H297" s="27"/>
      <c r="I297" s="60"/>
      <c r="J297" s="61"/>
      <c r="K297" s="30"/>
      <c r="L297" s="30"/>
      <c r="M297" s="30"/>
      <c r="N297" s="30"/>
      <c r="O297" s="31"/>
      <c r="P297" s="30"/>
      <c r="Q297" s="62"/>
      <c r="R297" s="62"/>
      <c r="S297" s="62"/>
      <c r="T297" s="62"/>
      <c r="U297" s="62"/>
      <c r="V297" s="63"/>
      <c r="W297" s="42"/>
      <c r="X297" s="63"/>
      <c r="Y297" s="65"/>
      <c r="Z297" s="42"/>
      <c r="AA297" s="42"/>
      <c r="AB297" s="42"/>
      <c r="AC297" s="42"/>
      <c r="AD297" s="65"/>
      <c r="AE297" s="42"/>
      <c r="AF297" s="42"/>
      <c r="AG297" s="42"/>
      <c r="AH297" s="42"/>
      <c r="AI297" s="65"/>
      <c r="AJ297" s="42"/>
      <c r="AK297" s="42"/>
      <c r="AL297" s="42"/>
      <c r="AM297" s="42"/>
      <c r="AN297" s="65"/>
      <c r="AO297" s="42"/>
      <c r="AP297" s="42"/>
      <c r="AQ297" s="42"/>
      <c r="AR297" s="42"/>
      <c r="AS297" s="65"/>
      <c r="AT297" s="42"/>
    </row>
    <row r="298" spans="1:46" x14ac:dyDescent="0.25">
      <c r="A298" s="3"/>
      <c r="B298" s="58"/>
      <c r="C298" s="59"/>
      <c r="D298" s="3"/>
      <c r="E298" s="3"/>
      <c r="F298" s="3"/>
      <c r="G298" s="3"/>
      <c r="H298" s="27"/>
      <c r="I298" s="60"/>
      <c r="J298" s="61"/>
      <c r="K298" s="30"/>
      <c r="L298" s="30"/>
      <c r="M298" s="30"/>
      <c r="N298" s="30"/>
      <c r="O298" s="31"/>
      <c r="P298" s="30"/>
      <c r="Q298" s="62"/>
      <c r="R298" s="62"/>
      <c r="S298" s="62"/>
      <c r="T298" s="62"/>
      <c r="U298" s="62"/>
      <c r="V298" s="63"/>
      <c r="W298" s="42"/>
      <c r="X298" s="63"/>
      <c r="Y298" s="65"/>
      <c r="Z298" s="42"/>
      <c r="AA298" s="42"/>
      <c r="AB298" s="42"/>
      <c r="AC298" s="42"/>
      <c r="AD298" s="65"/>
      <c r="AE298" s="42"/>
      <c r="AF298" s="42"/>
      <c r="AG298" s="42"/>
      <c r="AH298" s="42"/>
      <c r="AI298" s="65"/>
      <c r="AJ298" s="42"/>
      <c r="AK298" s="42"/>
      <c r="AL298" s="42"/>
      <c r="AM298" s="42"/>
      <c r="AN298" s="65"/>
      <c r="AO298" s="42"/>
      <c r="AP298" s="42"/>
      <c r="AQ298" s="42"/>
      <c r="AR298" s="42"/>
      <c r="AS298" s="65"/>
      <c r="AT298" s="42"/>
    </row>
    <row r="299" spans="1:46" x14ac:dyDescent="0.25">
      <c r="A299" s="3"/>
      <c r="B299" s="58"/>
      <c r="C299" s="59"/>
      <c r="D299" s="3"/>
      <c r="E299" s="3"/>
      <c r="F299" s="3"/>
      <c r="G299" s="3"/>
      <c r="H299" s="27"/>
      <c r="I299" s="60"/>
      <c r="J299" s="61"/>
      <c r="K299" s="30"/>
      <c r="L299" s="30"/>
      <c r="M299" s="30"/>
      <c r="N299" s="30"/>
      <c r="O299" s="31"/>
      <c r="P299" s="30"/>
      <c r="Q299" s="62"/>
      <c r="R299" s="62"/>
      <c r="S299" s="62"/>
      <c r="T299" s="62"/>
      <c r="U299" s="62"/>
      <c r="V299" s="63"/>
      <c r="W299" s="42"/>
      <c r="X299" s="63"/>
      <c r="Y299" s="65"/>
      <c r="Z299" s="42"/>
      <c r="AA299" s="42"/>
      <c r="AB299" s="42"/>
      <c r="AC299" s="42"/>
      <c r="AD299" s="65"/>
      <c r="AE299" s="42"/>
      <c r="AF299" s="42"/>
      <c r="AG299" s="42"/>
      <c r="AH299" s="42"/>
      <c r="AI299" s="65"/>
      <c r="AJ299" s="42"/>
      <c r="AK299" s="42"/>
      <c r="AL299" s="42"/>
      <c r="AM299" s="42"/>
      <c r="AN299" s="65"/>
      <c r="AO299" s="42"/>
      <c r="AP299" s="42"/>
      <c r="AQ299" s="42"/>
      <c r="AR299" s="42"/>
      <c r="AS299" s="65"/>
      <c r="AT299" s="42"/>
    </row>
    <row r="300" spans="1:46" x14ac:dyDescent="0.25">
      <c r="A300" s="3"/>
      <c r="B300" s="58"/>
      <c r="C300" s="59"/>
      <c r="D300" s="3"/>
      <c r="E300" s="3"/>
      <c r="F300" s="3"/>
      <c r="G300" s="3"/>
      <c r="H300" s="27"/>
      <c r="I300" s="60"/>
      <c r="J300" s="61"/>
      <c r="K300" s="30"/>
      <c r="L300" s="30"/>
      <c r="M300" s="30"/>
      <c r="N300" s="30"/>
      <c r="O300" s="31"/>
      <c r="P300" s="30"/>
      <c r="Q300" s="62"/>
      <c r="R300" s="62"/>
      <c r="S300" s="62"/>
      <c r="T300" s="62"/>
      <c r="U300" s="62"/>
      <c r="V300" s="63"/>
      <c r="W300" s="42"/>
      <c r="X300" s="63"/>
      <c r="Y300" s="65"/>
      <c r="Z300" s="42"/>
      <c r="AA300" s="42"/>
      <c r="AB300" s="42"/>
      <c r="AC300" s="42"/>
      <c r="AD300" s="65"/>
      <c r="AE300" s="42"/>
      <c r="AF300" s="42"/>
      <c r="AG300" s="42"/>
      <c r="AH300" s="42"/>
      <c r="AI300" s="65"/>
      <c r="AJ300" s="42"/>
      <c r="AK300" s="42"/>
      <c r="AL300" s="42"/>
      <c r="AM300" s="42"/>
      <c r="AN300" s="65"/>
      <c r="AO300" s="42"/>
      <c r="AP300" s="42"/>
      <c r="AQ300" s="42"/>
      <c r="AR300" s="42"/>
      <c r="AS300" s="65"/>
      <c r="AT300" s="42"/>
    </row>
    <row r="301" spans="1:46" x14ac:dyDescent="0.25">
      <c r="A301" s="3"/>
      <c r="B301" s="58"/>
      <c r="C301" s="59"/>
      <c r="D301" s="3"/>
      <c r="E301" s="3"/>
      <c r="F301" s="3"/>
      <c r="G301" s="3"/>
      <c r="H301" s="27"/>
      <c r="I301" s="60"/>
      <c r="J301" s="61"/>
      <c r="K301" s="30"/>
      <c r="L301" s="30"/>
      <c r="M301" s="30"/>
      <c r="N301" s="30"/>
      <c r="O301" s="31"/>
      <c r="P301" s="30"/>
      <c r="Q301" s="62"/>
      <c r="R301" s="62"/>
      <c r="S301" s="62"/>
      <c r="T301" s="62"/>
      <c r="U301" s="62"/>
      <c r="V301" s="63"/>
      <c r="W301" s="42"/>
      <c r="X301" s="63"/>
      <c r="Y301" s="65"/>
      <c r="Z301" s="42"/>
      <c r="AA301" s="42"/>
      <c r="AB301" s="42"/>
      <c r="AC301" s="42"/>
      <c r="AD301" s="65"/>
      <c r="AE301" s="42"/>
      <c r="AF301" s="42"/>
      <c r="AG301" s="42"/>
      <c r="AH301" s="42"/>
      <c r="AI301" s="65"/>
      <c r="AJ301" s="42"/>
      <c r="AK301" s="42"/>
      <c r="AL301" s="42"/>
      <c r="AM301" s="42"/>
      <c r="AN301" s="65"/>
      <c r="AO301" s="42"/>
      <c r="AP301" s="42"/>
      <c r="AQ301" s="42"/>
      <c r="AR301" s="42"/>
      <c r="AS301" s="65"/>
      <c r="AT301" s="42"/>
    </row>
    <row r="302" spans="1:46" x14ac:dyDescent="0.25">
      <c r="A302" s="3"/>
      <c r="B302" s="58"/>
      <c r="C302" s="59"/>
      <c r="D302" s="3"/>
      <c r="E302" s="3"/>
      <c r="F302" s="3"/>
      <c r="G302" s="3"/>
      <c r="H302" s="27"/>
      <c r="I302" s="60"/>
      <c r="J302" s="61"/>
      <c r="K302" s="30"/>
      <c r="L302" s="30"/>
      <c r="M302" s="30"/>
      <c r="N302" s="30"/>
      <c r="O302" s="31"/>
      <c r="P302" s="30"/>
      <c r="Q302" s="62"/>
      <c r="R302" s="62"/>
      <c r="S302" s="62"/>
      <c r="T302" s="62"/>
      <c r="U302" s="62"/>
      <c r="V302" s="63"/>
      <c r="W302" s="42"/>
      <c r="X302" s="63"/>
      <c r="Y302" s="65"/>
      <c r="Z302" s="42"/>
      <c r="AA302" s="42"/>
      <c r="AB302" s="42"/>
      <c r="AC302" s="42"/>
      <c r="AD302" s="65"/>
      <c r="AE302" s="42"/>
      <c r="AF302" s="42"/>
      <c r="AG302" s="42"/>
      <c r="AH302" s="42"/>
      <c r="AI302" s="65"/>
      <c r="AJ302" s="42"/>
      <c r="AK302" s="42"/>
      <c r="AL302" s="42"/>
      <c r="AM302" s="42"/>
      <c r="AN302" s="65"/>
      <c r="AO302" s="42"/>
      <c r="AP302" s="42"/>
      <c r="AQ302" s="42"/>
      <c r="AR302" s="42"/>
      <c r="AS302" s="65"/>
      <c r="AT302" s="42"/>
    </row>
    <row r="303" spans="1:46" x14ac:dyDescent="0.25">
      <c r="A303" s="3"/>
      <c r="B303" s="58"/>
      <c r="C303" s="59"/>
      <c r="D303" s="3"/>
      <c r="E303" s="3"/>
      <c r="F303" s="3"/>
      <c r="G303" s="3"/>
      <c r="H303" s="27"/>
      <c r="I303" s="60"/>
      <c r="J303" s="61"/>
      <c r="K303" s="30"/>
      <c r="L303" s="30"/>
      <c r="M303" s="30"/>
      <c r="N303" s="30"/>
      <c r="O303" s="31"/>
      <c r="P303" s="30"/>
      <c r="Q303" s="62"/>
      <c r="R303" s="62"/>
      <c r="S303" s="62"/>
      <c r="T303" s="62"/>
      <c r="U303" s="62"/>
      <c r="V303" s="63"/>
      <c r="W303" s="42"/>
      <c r="X303" s="63"/>
      <c r="Y303" s="65"/>
      <c r="Z303" s="42"/>
      <c r="AA303" s="42"/>
      <c r="AB303" s="42"/>
      <c r="AC303" s="42"/>
      <c r="AD303" s="65"/>
      <c r="AE303" s="42"/>
      <c r="AF303" s="42"/>
      <c r="AG303" s="42"/>
      <c r="AH303" s="42"/>
      <c r="AI303" s="65"/>
      <c r="AJ303" s="42"/>
      <c r="AK303" s="42"/>
      <c r="AL303" s="42"/>
      <c r="AM303" s="42"/>
      <c r="AN303" s="65"/>
      <c r="AO303" s="42"/>
      <c r="AP303" s="42"/>
      <c r="AQ303" s="42"/>
      <c r="AR303" s="42"/>
      <c r="AS303" s="65"/>
      <c r="AT303" s="42"/>
    </row>
    <row r="304" spans="1:46" x14ac:dyDescent="0.25">
      <c r="A304" s="3"/>
      <c r="B304" s="58"/>
      <c r="C304" s="59"/>
      <c r="D304" s="3"/>
      <c r="E304" s="3"/>
      <c r="F304" s="3"/>
      <c r="G304" s="3"/>
      <c r="H304" s="27"/>
      <c r="I304" s="60"/>
      <c r="J304" s="61"/>
      <c r="K304" s="30"/>
      <c r="L304" s="30"/>
      <c r="M304" s="30"/>
      <c r="N304" s="30"/>
      <c r="O304" s="31"/>
      <c r="P304" s="30"/>
      <c r="Q304" s="62"/>
      <c r="R304" s="62"/>
      <c r="S304" s="62"/>
      <c r="T304" s="62"/>
      <c r="U304" s="62"/>
      <c r="V304" s="63"/>
      <c r="W304" s="42"/>
      <c r="X304" s="63"/>
      <c r="Y304" s="65"/>
      <c r="Z304" s="42"/>
      <c r="AA304" s="42"/>
      <c r="AB304" s="42"/>
      <c r="AC304" s="42"/>
      <c r="AD304" s="65"/>
      <c r="AE304" s="42"/>
      <c r="AF304" s="42"/>
      <c r="AG304" s="42"/>
      <c r="AH304" s="42"/>
      <c r="AI304" s="65"/>
      <c r="AJ304" s="42"/>
      <c r="AK304" s="42"/>
      <c r="AL304" s="42"/>
      <c r="AM304" s="42"/>
      <c r="AN304" s="65"/>
      <c r="AO304" s="42"/>
      <c r="AP304" s="42"/>
      <c r="AQ304" s="42"/>
      <c r="AR304" s="42"/>
      <c r="AS304" s="65"/>
      <c r="AT304" s="42"/>
    </row>
    <row r="305" spans="1:46" x14ac:dyDescent="0.25">
      <c r="A305" s="3"/>
      <c r="B305" s="58"/>
      <c r="C305" s="59"/>
      <c r="D305" s="3"/>
      <c r="E305" s="3"/>
      <c r="F305" s="3"/>
      <c r="G305" s="3"/>
      <c r="H305" s="27"/>
      <c r="I305" s="60"/>
      <c r="J305" s="61"/>
      <c r="K305" s="30"/>
      <c r="L305" s="30"/>
      <c r="M305" s="30"/>
      <c r="N305" s="30"/>
      <c r="O305" s="31"/>
      <c r="P305" s="30"/>
      <c r="Q305" s="62"/>
      <c r="R305" s="62"/>
      <c r="S305" s="62"/>
      <c r="T305" s="62"/>
      <c r="U305" s="62"/>
      <c r="V305" s="63"/>
      <c r="W305" s="42"/>
      <c r="X305" s="63"/>
      <c r="Y305" s="65"/>
      <c r="Z305" s="42"/>
      <c r="AA305" s="42"/>
      <c r="AB305" s="42"/>
      <c r="AC305" s="42"/>
      <c r="AD305" s="65"/>
      <c r="AE305" s="42"/>
      <c r="AF305" s="42"/>
      <c r="AG305" s="42"/>
      <c r="AH305" s="42"/>
      <c r="AI305" s="65"/>
      <c r="AJ305" s="42"/>
      <c r="AK305" s="42"/>
      <c r="AL305" s="42"/>
      <c r="AM305" s="42"/>
      <c r="AN305" s="65"/>
      <c r="AO305" s="42"/>
      <c r="AP305" s="42"/>
      <c r="AQ305" s="42"/>
      <c r="AR305" s="42"/>
      <c r="AS305" s="65"/>
      <c r="AT305" s="42"/>
    </row>
    <row r="306" spans="1:46" x14ac:dyDescent="0.25">
      <c r="A306" s="3"/>
      <c r="B306" s="58"/>
      <c r="C306" s="59"/>
      <c r="D306" s="3"/>
      <c r="E306" s="3"/>
      <c r="F306" s="3"/>
      <c r="G306" s="3"/>
      <c r="H306" s="27"/>
      <c r="I306" s="60"/>
      <c r="J306" s="61"/>
      <c r="K306" s="30"/>
      <c r="L306" s="30"/>
      <c r="M306" s="30"/>
      <c r="N306" s="30"/>
      <c r="O306" s="31"/>
      <c r="P306" s="30"/>
      <c r="Q306" s="62"/>
      <c r="R306" s="62"/>
      <c r="S306" s="62"/>
      <c r="T306" s="62"/>
      <c r="U306" s="62"/>
      <c r="V306" s="63"/>
      <c r="W306" s="42"/>
      <c r="X306" s="63"/>
      <c r="Y306" s="65"/>
      <c r="Z306" s="42"/>
      <c r="AA306" s="42"/>
      <c r="AB306" s="42"/>
      <c r="AC306" s="42"/>
      <c r="AD306" s="65"/>
      <c r="AE306" s="42"/>
      <c r="AF306" s="42"/>
      <c r="AG306" s="42"/>
      <c r="AH306" s="42"/>
      <c r="AI306" s="65"/>
      <c r="AJ306" s="42"/>
      <c r="AK306" s="42"/>
      <c r="AL306" s="42"/>
      <c r="AM306" s="42"/>
      <c r="AN306" s="65"/>
      <c r="AO306" s="42"/>
      <c r="AP306" s="42"/>
      <c r="AQ306" s="42"/>
      <c r="AR306" s="42"/>
      <c r="AS306" s="65"/>
      <c r="AT306" s="42"/>
    </row>
    <row r="307" spans="1:46" x14ac:dyDescent="0.25">
      <c r="A307" s="3"/>
      <c r="B307" s="58"/>
      <c r="C307" s="59"/>
      <c r="D307" s="3"/>
      <c r="E307" s="3"/>
      <c r="F307" s="3"/>
      <c r="G307" s="3"/>
      <c r="H307" s="27"/>
      <c r="I307" s="60"/>
      <c r="J307" s="61"/>
      <c r="K307" s="30"/>
      <c r="L307" s="30"/>
      <c r="M307" s="30"/>
      <c r="N307" s="30"/>
      <c r="O307" s="31"/>
      <c r="P307" s="30"/>
      <c r="Q307" s="62"/>
      <c r="R307" s="62"/>
      <c r="S307" s="62"/>
      <c r="T307" s="62"/>
      <c r="U307" s="62"/>
      <c r="V307" s="63"/>
      <c r="W307" s="42"/>
      <c r="X307" s="63"/>
      <c r="Y307" s="65"/>
      <c r="Z307" s="42"/>
      <c r="AA307" s="42"/>
      <c r="AB307" s="42"/>
      <c r="AC307" s="42"/>
      <c r="AD307" s="65"/>
      <c r="AE307" s="42"/>
      <c r="AF307" s="42"/>
      <c r="AG307" s="42"/>
      <c r="AH307" s="42"/>
      <c r="AI307" s="65"/>
      <c r="AJ307" s="42"/>
      <c r="AK307" s="42"/>
      <c r="AL307" s="42"/>
      <c r="AM307" s="42"/>
      <c r="AN307" s="65"/>
      <c r="AO307" s="42"/>
      <c r="AP307" s="42"/>
      <c r="AQ307" s="42"/>
      <c r="AR307" s="42"/>
      <c r="AS307" s="65"/>
      <c r="AT307" s="42"/>
    </row>
    <row r="308" spans="1:46" x14ac:dyDescent="0.25">
      <c r="A308" s="3"/>
      <c r="B308" s="58"/>
      <c r="C308" s="59"/>
      <c r="D308" s="3"/>
      <c r="E308" s="3"/>
      <c r="F308" s="3"/>
      <c r="G308" s="3"/>
      <c r="H308" s="27"/>
      <c r="I308" s="60"/>
      <c r="J308" s="61"/>
      <c r="K308" s="30"/>
      <c r="L308" s="30"/>
      <c r="M308" s="30"/>
      <c r="N308" s="30"/>
      <c r="O308" s="31"/>
      <c r="P308" s="30"/>
      <c r="Q308" s="62"/>
      <c r="R308" s="62"/>
      <c r="S308" s="62"/>
      <c r="T308" s="62"/>
      <c r="U308" s="62"/>
      <c r="V308" s="63"/>
      <c r="W308" s="42"/>
      <c r="X308" s="63"/>
      <c r="Y308" s="65"/>
      <c r="Z308" s="42"/>
      <c r="AA308" s="42"/>
      <c r="AB308" s="42"/>
      <c r="AC308" s="42"/>
      <c r="AD308" s="65"/>
      <c r="AE308" s="42"/>
      <c r="AF308" s="42"/>
      <c r="AG308" s="42"/>
      <c r="AH308" s="42"/>
      <c r="AI308" s="65"/>
      <c r="AJ308" s="42"/>
      <c r="AK308" s="42"/>
      <c r="AL308" s="42"/>
      <c r="AM308" s="42"/>
      <c r="AN308" s="65"/>
      <c r="AO308" s="42"/>
      <c r="AP308" s="42"/>
      <c r="AQ308" s="42"/>
      <c r="AR308" s="42"/>
      <c r="AS308" s="65"/>
      <c r="AT308" s="42"/>
    </row>
    <row r="309" spans="1:46" x14ac:dyDescent="0.25">
      <c r="A309" s="3"/>
      <c r="B309" s="58"/>
      <c r="C309" s="59"/>
      <c r="D309" s="3"/>
      <c r="E309" s="3"/>
      <c r="F309" s="3"/>
      <c r="G309" s="3"/>
      <c r="H309" s="27"/>
      <c r="I309" s="60"/>
      <c r="J309" s="61"/>
      <c r="K309" s="30"/>
      <c r="L309" s="30"/>
      <c r="M309" s="30"/>
      <c r="N309" s="30"/>
      <c r="O309" s="31"/>
      <c r="P309" s="30"/>
      <c r="Q309" s="62"/>
      <c r="R309" s="62"/>
      <c r="S309" s="62"/>
      <c r="T309" s="62"/>
      <c r="U309" s="62"/>
      <c r="V309" s="63"/>
      <c r="W309" s="42"/>
      <c r="X309" s="63"/>
      <c r="Y309" s="65"/>
      <c r="Z309" s="42"/>
      <c r="AA309" s="42"/>
      <c r="AB309" s="42"/>
      <c r="AC309" s="42"/>
      <c r="AD309" s="65"/>
      <c r="AE309" s="42"/>
      <c r="AF309" s="42"/>
      <c r="AG309" s="42"/>
      <c r="AH309" s="42"/>
      <c r="AI309" s="65"/>
      <c r="AJ309" s="42"/>
      <c r="AK309" s="42"/>
      <c r="AL309" s="42"/>
      <c r="AM309" s="42"/>
      <c r="AN309" s="65"/>
      <c r="AO309" s="42"/>
      <c r="AP309" s="42"/>
      <c r="AQ309" s="42"/>
      <c r="AR309" s="42"/>
      <c r="AS309" s="65"/>
      <c r="AT309" s="42"/>
    </row>
    <row r="310" spans="1:46" x14ac:dyDescent="0.25">
      <c r="A310" s="3"/>
      <c r="B310" s="58"/>
      <c r="C310" s="59"/>
      <c r="D310" s="3"/>
      <c r="E310" s="3"/>
      <c r="F310" s="3"/>
      <c r="G310" s="3"/>
      <c r="H310" s="27"/>
      <c r="I310" s="60"/>
      <c r="J310" s="61"/>
      <c r="K310" s="30"/>
      <c r="L310" s="30"/>
      <c r="M310" s="30"/>
      <c r="N310" s="30"/>
      <c r="O310" s="31"/>
      <c r="P310" s="30"/>
      <c r="Q310" s="62"/>
      <c r="R310" s="62"/>
      <c r="S310" s="62"/>
      <c r="T310" s="62"/>
      <c r="U310" s="62"/>
      <c r="V310" s="63"/>
      <c r="W310" s="42"/>
      <c r="X310" s="63"/>
      <c r="Y310" s="65"/>
      <c r="Z310" s="42"/>
      <c r="AA310" s="42"/>
      <c r="AB310" s="42"/>
      <c r="AC310" s="42"/>
      <c r="AD310" s="65"/>
      <c r="AE310" s="42"/>
      <c r="AF310" s="42"/>
      <c r="AG310" s="42"/>
      <c r="AH310" s="42"/>
      <c r="AI310" s="65"/>
      <c r="AJ310" s="42"/>
      <c r="AK310" s="42"/>
      <c r="AL310" s="42"/>
      <c r="AM310" s="42"/>
      <c r="AN310" s="65"/>
      <c r="AO310" s="42"/>
      <c r="AP310" s="42"/>
      <c r="AQ310" s="42"/>
      <c r="AR310" s="42"/>
      <c r="AS310" s="65"/>
      <c r="AT310" s="42"/>
    </row>
    <row r="311" spans="1:46" x14ac:dyDescent="0.25">
      <c r="A311" s="3"/>
      <c r="B311" s="58"/>
      <c r="C311" s="59"/>
      <c r="D311" s="3"/>
      <c r="E311" s="3"/>
      <c r="F311" s="3"/>
      <c r="G311" s="3"/>
      <c r="H311" s="27"/>
      <c r="I311" s="60"/>
      <c r="J311" s="61"/>
      <c r="K311" s="30"/>
      <c r="L311" s="30"/>
      <c r="M311" s="30"/>
      <c r="N311" s="30"/>
      <c r="O311" s="31"/>
      <c r="P311" s="30"/>
      <c r="Q311" s="62"/>
      <c r="R311" s="62"/>
      <c r="S311" s="62"/>
      <c r="T311" s="62"/>
      <c r="U311" s="62"/>
      <c r="V311" s="63"/>
      <c r="W311" s="42"/>
      <c r="X311" s="63"/>
      <c r="Y311" s="65"/>
      <c r="Z311" s="42"/>
      <c r="AA311" s="42"/>
      <c r="AB311" s="42"/>
      <c r="AC311" s="42"/>
      <c r="AD311" s="65"/>
      <c r="AE311" s="42"/>
      <c r="AF311" s="42"/>
      <c r="AG311" s="42"/>
      <c r="AH311" s="42"/>
      <c r="AI311" s="65"/>
      <c r="AJ311" s="42"/>
      <c r="AK311" s="42"/>
      <c r="AL311" s="42"/>
      <c r="AM311" s="42"/>
      <c r="AN311" s="65"/>
      <c r="AO311" s="42"/>
      <c r="AP311" s="42"/>
      <c r="AQ311" s="42"/>
      <c r="AR311" s="42"/>
      <c r="AS311" s="65"/>
      <c r="AT311" s="42"/>
    </row>
    <row r="312" spans="1:46" x14ac:dyDescent="0.25">
      <c r="A312" s="3"/>
      <c r="B312" s="58"/>
      <c r="C312" s="59"/>
      <c r="D312" s="3"/>
      <c r="E312" s="3"/>
      <c r="F312" s="3"/>
      <c r="G312" s="3"/>
      <c r="H312" s="27"/>
      <c r="I312" s="60"/>
      <c r="J312" s="61"/>
      <c r="K312" s="30"/>
      <c r="L312" s="30"/>
      <c r="M312" s="30"/>
      <c r="N312" s="30"/>
      <c r="O312" s="31"/>
      <c r="P312" s="30"/>
      <c r="Q312" s="62"/>
      <c r="R312" s="62"/>
      <c r="S312" s="62"/>
      <c r="T312" s="62"/>
      <c r="U312" s="62"/>
      <c r="V312" s="63"/>
      <c r="W312" s="42"/>
      <c r="X312" s="63"/>
      <c r="Y312" s="65"/>
      <c r="Z312" s="42"/>
      <c r="AA312" s="42"/>
      <c r="AB312" s="42"/>
      <c r="AC312" s="42"/>
      <c r="AD312" s="65"/>
      <c r="AE312" s="42"/>
      <c r="AF312" s="42"/>
      <c r="AG312" s="42"/>
      <c r="AH312" s="42"/>
      <c r="AI312" s="65"/>
      <c r="AJ312" s="42"/>
      <c r="AK312" s="42"/>
      <c r="AL312" s="42"/>
      <c r="AM312" s="42"/>
      <c r="AN312" s="65"/>
      <c r="AO312" s="42"/>
      <c r="AP312" s="42"/>
      <c r="AQ312" s="42"/>
      <c r="AR312" s="42"/>
      <c r="AS312" s="65"/>
      <c r="AT312" s="42"/>
    </row>
    <row r="313" spans="1:46" x14ac:dyDescent="0.25">
      <c r="A313" s="3"/>
      <c r="B313" s="58"/>
      <c r="C313" s="59"/>
      <c r="D313" s="3"/>
      <c r="E313" s="3"/>
      <c r="F313" s="3"/>
      <c r="G313" s="3"/>
      <c r="H313" s="27"/>
      <c r="I313" s="60"/>
      <c r="J313" s="61"/>
      <c r="K313" s="30"/>
      <c r="L313" s="30"/>
      <c r="M313" s="30"/>
      <c r="N313" s="30"/>
      <c r="O313" s="31"/>
      <c r="P313" s="30"/>
      <c r="Q313" s="62"/>
      <c r="R313" s="62"/>
      <c r="S313" s="62"/>
      <c r="T313" s="62"/>
      <c r="U313" s="62"/>
      <c r="V313" s="63"/>
      <c r="W313" s="42"/>
      <c r="X313" s="63"/>
      <c r="Y313" s="65"/>
      <c r="Z313" s="42"/>
      <c r="AA313" s="42"/>
      <c r="AB313" s="42"/>
      <c r="AC313" s="42"/>
      <c r="AD313" s="65"/>
      <c r="AE313" s="42"/>
      <c r="AF313" s="42"/>
      <c r="AG313" s="42"/>
      <c r="AH313" s="42"/>
      <c r="AI313" s="65"/>
      <c r="AJ313" s="42"/>
      <c r="AK313" s="42"/>
      <c r="AL313" s="42"/>
      <c r="AM313" s="42"/>
      <c r="AN313" s="65"/>
      <c r="AO313" s="42"/>
      <c r="AP313" s="42"/>
      <c r="AQ313" s="42"/>
      <c r="AR313" s="42"/>
      <c r="AS313" s="65"/>
      <c r="AT313" s="42"/>
    </row>
    <row r="314" spans="1:46" x14ac:dyDescent="0.25">
      <c r="A314" s="3"/>
      <c r="B314" s="58"/>
      <c r="C314" s="59"/>
      <c r="D314" s="3"/>
      <c r="E314" s="3"/>
      <c r="F314" s="3"/>
      <c r="G314" s="3"/>
      <c r="H314" s="27"/>
      <c r="I314" s="60"/>
      <c r="J314" s="61"/>
      <c r="K314" s="30"/>
      <c r="L314" s="30"/>
      <c r="M314" s="30"/>
      <c r="N314" s="30"/>
      <c r="O314" s="31"/>
      <c r="P314" s="30"/>
      <c r="Q314" s="62"/>
      <c r="R314" s="62"/>
      <c r="S314" s="62"/>
      <c r="T314" s="62"/>
      <c r="U314" s="62"/>
      <c r="V314" s="63"/>
      <c r="W314" s="42"/>
      <c r="X314" s="63"/>
      <c r="Y314" s="65"/>
      <c r="Z314" s="42"/>
      <c r="AA314" s="42"/>
      <c r="AB314" s="42"/>
      <c r="AC314" s="42"/>
      <c r="AD314" s="65"/>
      <c r="AE314" s="42"/>
      <c r="AF314" s="42"/>
      <c r="AG314" s="42"/>
      <c r="AH314" s="42"/>
      <c r="AI314" s="65"/>
      <c r="AJ314" s="42"/>
      <c r="AK314" s="42"/>
      <c r="AL314" s="42"/>
      <c r="AM314" s="42"/>
      <c r="AN314" s="65"/>
      <c r="AO314" s="42"/>
      <c r="AP314" s="42"/>
      <c r="AQ314" s="42"/>
      <c r="AR314" s="42"/>
      <c r="AS314" s="65"/>
      <c r="AT314" s="42"/>
    </row>
    <row r="315" spans="1:46" x14ac:dyDescent="0.25">
      <c r="A315" s="3"/>
      <c r="B315" s="58"/>
      <c r="C315" s="59"/>
      <c r="D315" s="3"/>
      <c r="E315" s="3"/>
      <c r="F315" s="3"/>
      <c r="G315" s="3"/>
      <c r="H315" s="27"/>
      <c r="I315" s="60"/>
      <c r="J315" s="61"/>
      <c r="K315" s="30"/>
      <c r="L315" s="30"/>
      <c r="M315" s="30"/>
      <c r="N315" s="30"/>
      <c r="O315" s="31"/>
      <c r="P315" s="30"/>
      <c r="Q315" s="62"/>
      <c r="R315" s="62"/>
      <c r="S315" s="62"/>
      <c r="T315" s="62"/>
      <c r="U315" s="62"/>
      <c r="V315" s="63"/>
      <c r="W315" s="42"/>
      <c r="X315" s="63"/>
      <c r="Y315" s="65"/>
      <c r="Z315" s="42"/>
      <c r="AA315" s="42"/>
      <c r="AB315" s="42"/>
      <c r="AC315" s="42"/>
      <c r="AD315" s="65"/>
      <c r="AE315" s="42"/>
      <c r="AF315" s="42"/>
      <c r="AG315" s="42"/>
      <c r="AH315" s="42"/>
      <c r="AI315" s="65"/>
      <c r="AJ315" s="42"/>
      <c r="AK315" s="42"/>
      <c r="AL315" s="42"/>
      <c r="AM315" s="42"/>
      <c r="AN315" s="65"/>
      <c r="AO315" s="42"/>
      <c r="AP315" s="42"/>
      <c r="AQ315" s="42"/>
      <c r="AR315" s="42"/>
      <c r="AS315" s="65"/>
      <c r="AT315" s="42"/>
    </row>
    <row r="316" spans="1:46" x14ac:dyDescent="0.25">
      <c r="A316" s="3"/>
      <c r="B316" s="58"/>
      <c r="C316" s="59"/>
      <c r="D316" s="3"/>
      <c r="E316" s="3"/>
      <c r="F316" s="3"/>
      <c r="G316" s="3"/>
      <c r="H316" s="27"/>
      <c r="I316" s="60"/>
      <c r="J316" s="61"/>
      <c r="K316" s="30"/>
      <c r="L316" s="30"/>
      <c r="M316" s="30"/>
      <c r="N316" s="30"/>
      <c r="O316" s="31"/>
      <c r="P316" s="30"/>
      <c r="Q316" s="62"/>
      <c r="R316" s="62"/>
      <c r="S316" s="62"/>
      <c r="T316" s="62"/>
      <c r="U316" s="62"/>
      <c r="V316" s="63"/>
      <c r="W316" s="42"/>
      <c r="X316" s="63"/>
      <c r="Y316" s="65"/>
      <c r="Z316" s="42"/>
      <c r="AA316" s="42"/>
      <c r="AB316" s="42"/>
      <c r="AC316" s="42"/>
      <c r="AD316" s="65"/>
      <c r="AE316" s="42"/>
      <c r="AF316" s="42"/>
      <c r="AG316" s="42"/>
      <c r="AH316" s="42"/>
      <c r="AI316" s="65"/>
      <c r="AJ316" s="42"/>
      <c r="AK316" s="42"/>
      <c r="AL316" s="42"/>
      <c r="AM316" s="42"/>
      <c r="AN316" s="65"/>
      <c r="AO316" s="42"/>
      <c r="AP316" s="42"/>
      <c r="AQ316" s="42"/>
      <c r="AR316" s="42"/>
      <c r="AS316" s="65"/>
      <c r="AT316" s="42"/>
    </row>
    <row r="317" spans="1:46" x14ac:dyDescent="0.25">
      <c r="A317" s="3"/>
      <c r="B317" s="58"/>
      <c r="C317" s="59"/>
      <c r="D317" s="3"/>
      <c r="E317" s="3"/>
      <c r="F317" s="3"/>
      <c r="G317" s="3"/>
      <c r="H317" s="27"/>
      <c r="I317" s="60"/>
      <c r="J317" s="61"/>
      <c r="K317" s="30"/>
      <c r="L317" s="30"/>
      <c r="M317" s="30"/>
      <c r="N317" s="30"/>
      <c r="O317" s="31"/>
      <c r="P317" s="30"/>
      <c r="Q317" s="62"/>
      <c r="R317" s="62"/>
      <c r="S317" s="62"/>
      <c r="T317" s="62"/>
      <c r="U317" s="62"/>
      <c r="V317" s="63"/>
      <c r="W317" s="42"/>
      <c r="X317" s="63"/>
      <c r="Y317" s="65"/>
      <c r="Z317" s="42"/>
      <c r="AA317" s="42"/>
      <c r="AB317" s="42"/>
      <c r="AC317" s="42"/>
      <c r="AD317" s="65"/>
      <c r="AE317" s="42"/>
      <c r="AF317" s="42"/>
      <c r="AG317" s="42"/>
      <c r="AH317" s="42"/>
      <c r="AI317" s="65"/>
      <c r="AJ317" s="42"/>
      <c r="AK317" s="42"/>
      <c r="AL317" s="42"/>
      <c r="AM317" s="42"/>
      <c r="AN317" s="65"/>
      <c r="AO317" s="42"/>
      <c r="AP317" s="42"/>
      <c r="AQ317" s="42"/>
      <c r="AR317" s="42"/>
      <c r="AS317" s="65"/>
      <c r="AT317" s="42"/>
    </row>
    <row r="318" spans="1:46" x14ac:dyDescent="0.25">
      <c r="A318" s="3"/>
      <c r="B318" s="58"/>
      <c r="C318" s="59"/>
      <c r="D318" s="3"/>
      <c r="E318" s="3"/>
      <c r="F318" s="3"/>
      <c r="G318" s="3"/>
      <c r="H318" s="27"/>
      <c r="I318" s="60"/>
      <c r="J318" s="61"/>
      <c r="K318" s="30"/>
      <c r="L318" s="30"/>
      <c r="M318" s="30"/>
      <c r="N318" s="30"/>
      <c r="O318" s="31"/>
      <c r="P318" s="30"/>
      <c r="Q318" s="62"/>
      <c r="R318" s="62"/>
      <c r="S318" s="62"/>
      <c r="T318" s="62"/>
      <c r="U318" s="62"/>
      <c r="V318" s="63"/>
      <c r="W318" s="42"/>
      <c r="X318" s="63"/>
      <c r="Y318" s="65"/>
      <c r="Z318" s="42"/>
      <c r="AA318" s="42"/>
      <c r="AB318" s="42"/>
      <c r="AC318" s="42"/>
      <c r="AD318" s="65"/>
      <c r="AE318" s="42"/>
      <c r="AF318" s="42"/>
      <c r="AG318" s="42"/>
      <c r="AH318" s="42"/>
      <c r="AI318" s="65"/>
      <c r="AJ318" s="42"/>
      <c r="AK318" s="42"/>
      <c r="AL318" s="42"/>
      <c r="AM318" s="42"/>
      <c r="AN318" s="65"/>
      <c r="AO318" s="42"/>
      <c r="AP318" s="42"/>
      <c r="AQ318" s="42"/>
      <c r="AR318" s="42"/>
      <c r="AS318" s="65"/>
      <c r="AT318" s="42"/>
    </row>
    <row r="319" spans="1:46" x14ac:dyDescent="0.25">
      <c r="A319" s="3"/>
      <c r="B319" s="58"/>
      <c r="C319" s="59"/>
      <c r="D319" s="3"/>
      <c r="E319" s="3"/>
      <c r="F319" s="3"/>
      <c r="G319" s="3"/>
      <c r="H319" s="27"/>
      <c r="I319" s="60"/>
      <c r="J319" s="61"/>
      <c r="K319" s="30"/>
      <c r="L319" s="30"/>
      <c r="M319" s="30"/>
      <c r="N319" s="30"/>
      <c r="O319" s="31"/>
      <c r="P319" s="30"/>
      <c r="Q319" s="62"/>
      <c r="R319" s="62"/>
      <c r="S319" s="62"/>
      <c r="T319" s="62"/>
      <c r="U319" s="62"/>
      <c r="V319" s="63"/>
      <c r="W319" s="42"/>
      <c r="X319" s="63"/>
      <c r="Y319" s="65"/>
      <c r="Z319" s="42"/>
      <c r="AA319" s="42"/>
      <c r="AB319" s="42"/>
      <c r="AC319" s="42"/>
      <c r="AD319" s="65"/>
      <c r="AE319" s="42"/>
      <c r="AF319" s="42"/>
      <c r="AG319" s="42"/>
      <c r="AH319" s="42"/>
      <c r="AI319" s="65"/>
      <c r="AJ319" s="42"/>
      <c r="AK319" s="42"/>
      <c r="AL319" s="42"/>
      <c r="AM319" s="42"/>
      <c r="AN319" s="65"/>
      <c r="AO319" s="42"/>
      <c r="AP319" s="42"/>
      <c r="AQ319" s="42"/>
      <c r="AR319" s="42"/>
      <c r="AS319" s="65"/>
      <c r="AT319" s="42"/>
    </row>
    <row r="320" spans="1:46" x14ac:dyDescent="0.25">
      <c r="A320" s="3"/>
      <c r="B320" s="58"/>
      <c r="C320" s="59"/>
      <c r="D320" s="3"/>
      <c r="E320" s="3"/>
      <c r="F320" s="3"/>
      <c r="G320" s="3"/>
      <c r="H320" s="27"/>
      <c r="I320" s="60"/>
      <c r="J320" s="61"/>
      <c r="K320" s="30"/>
      <c r="L320" s="30"/>
      <c r="M320" s="30"/>
      <c r="N320" s="30"/>
      <c r="O320" s="31"/>
      <c r="P320" s="30"/>
      <c r="Q320" s="62"/>
      <c r="R320" s="62"/>
      <c r="S320" s="62"/>
      <c r="T320" s="62"/>
      <c r="U320" s="62"/>
      <c r="V320" s="63"/>
      <c r="W320" s="42"/>
      <c r="X320" s="63"/>
      <c r="Y320" s="65"/>
      <c r="Z320" s="42"/>
      <c r="AA320" s="42"/>
      <c r="AB320" s="42"/>
      <c r="AC320" s="42"/>
      <c r="AD320" s="65"/>
      <c r="AE320" s="42"/>
      <c r="AF320" s="42"/>
      <c r="AG320" s="42"/>
      <c r="AH320" s="42"/>
      <c r="AI320" s="65"/>
      <c r="AJ320" s="42"/>
      <c r="AK320" s="42"/>
      <c r="AL320" s="42"/>
      <c r="AM320" s="42"/>
      <c r="AN320" s="65"/>
      <c r="AO320" s="42"/>
      <c r="AP320" s="42"/>
      <c r="AQ320" s="42"/>
      <c r="AR320" s="42"/>
      <c r="AS320" s="65"/>
      <c r="AT320" s="42"/>
    </row>
    <row r="321" spans="1:46" x14ac:dyDescent="0.25">
      <c r="A321" s="3"/>
      <c r="B321" s="58"/>
      <c r="C321" s="59"/>
      <c r="D321" s="3"/>
      <c r="E321" s="3"/>
      <c r="F321" s="3"/>
      <c r="G321" s="3"/>
      <c r="H321" s="27"/>
      <c r="I321" s="60"/>
      <c r="J321" s="61"/>
      <c r="K321" s="30"/>
      <c r="L321" s="30"/>
      <c r="M321" s="30"/>
      <c r="N321" s="30"/>
      <c r="O321" s="31"/>
      <c r="P321" s="30"/>
      <c r="Q321" s="62"/>
      <c r="R321" s="62"/>
      <c r="S321" s="62"/>
      <c r="T321" s="62"/>
      <c r="U321" s="62"/>
      <c r="V321" s="63"/>
      <c r="W321" s="42"/>
      <c r="X321" s="63"/>
      <c r="Y321" s="65"/>
      <c r="Z321" s="42"/>
      <c r="AA321" s="42"/>
      <c r="AB321" s="42"/>
      <c r="AC321" s="42"/>
      <c r="AD321" s="65"/>
      <c r="AE321" s="42"/>
      <c r="AF321" s="42"/>
      <c r="AG321" s="42"/>
      <c r="AH321" s="42"/>
      <c r="AI321" s="65"/>
      <c r="AJ321" s="42"/>
      <c r="AK321" s="42"/>
      <c r="AL321" s="42"/>
      <c r="AM321" s="42"/>
      <c r="AN321" s="65"/>
      <c r="AO321" s="42"/>
      <c r="AP321" s="42"/>
      <c r="AQ321" s="42"/>
      <c r="AR321" s="42"/>
      <c r="AS321" s="65"/>
      <c r="AT321" s="42"/>
    </row>
    <row r="322" spans="1:46" x14ac:dyDescent="0.25">
      <c r="A322" s="3"/>
      <c r="B322" s="58"/>
      <c r="C322" s="59"/>
      <c r="D322" s="3"/>
      <c r="E322" s="3"/>
      <c r="F322" s="3"/>
      <c r="G322" s="3"/>
      <c r="H322" s="27"/>
      <c r="I322" s="60"/>
      <c r="J322" s="61"/>
      <c r="K322" s="30"/>
      <c r="L322" s="30"/>
      <c r="M322" s="30"/>
      <c r="N322" s="30"/>
      <c r="O322" s="31"/>
      <c r="P322" s="30"/>
      <c r="Q322" s="62"/>
      <c r="R322" s="62"/>
      <c r="S322" s="62"/>
      <c r="T322" s="62"/>
      <c r="U322" s="62"/>
      <c r="V322" s="63"/>
      <c r="W322" s="42"/>
      <c r="X322" s="63"/>
      <c r="Y322" s="65"/>
      <c r="Z322" s="42"/>
      <c r="AA322" s="42"/>
      <c r="AB322" s="42"/>
      <c r="AC322" s="42"/>
      <c r="AD322" s="65"/>
      <c r="AE322" s="42"/>
      <c r="AF322" s="42"/>
      <c r="AG322" s="42"/>
      <c r="AH322" s="42"/>
      <c r="AI322" s="65"/>
      <c r="AJ322" s="42"/>
      <c r="AK322" s="42"/>
      <c r="AL322" s="42"/>
      <c r="AM322" s="42"/>
      <c r="AN322" s="65"/>
      <c r="AO322" s="42"/>
      <c r="AP322" s="42"/>
      <c r="AQ322" s="42"/>
      <c r="AR322" s="42"/>
      <c r="AS322" s="65"/>
      <c r="AT322" s="42"/>
    </row>
    <row r="323" spans="1:46" x14ac:dyDescent="0.25">
      <c r="A323" s="3"/>
      <c r="B323" s="58"/>
      <c r="C323" s="59"/>
      <c r="D323" s="3"/>
      <c r="E323" s="3"/>
      <c r="F323" s="3"/>
      <c r="G323" s="3"/>
      <c r="H323" s="27"/>
      <c r="I323" s="60"/>
      <c r="J323" s="61"/>
      <c r="K323" s="30"/>
      <c r="L323" s="30"/>
      <c r="M323" s="30"/>
      <c r="N323" s="30"/>
      <c r="O323" s="31"/>
      <c r="P323" s="30"/>
      <c r="Q323" s="62"/>
      <c r="R323" s="62"/>
      <c r="S323" s="62"/>
      <c r="T323" s="62"/>
      <c r="U323" s="62"/>
      <c r="V323" s="63"/>
      <c r="W323" s="42"/>
      <c r="X323" s="63"/>
      <c r="Y323" s="65"/>
      <c r="Z323" s="42"/>
      <c r="AA323" s="42"/>
      <c r="AB323" s="42"/>
      <c r="AC323" s="42"/>
      <c r="AD323" s="65"/>
      <c r="AE323" s="42"/>
      <c r="AF323" s="42"/>
      <c r="AG323" s="42"/>
      <c r="AH323" s="42"/>
      <c r="AI323" s="65"/>
      <c r="AJ323" s="42"/>
      <c r="AK323" s="42"/>
      <c r="AL323" s="42"/>
      <c r="AM323" s="42"/>
      <c r="AN323" s="65"/>
      <c r="AO323" s="42"/>
      <c r="AP323" s="42"/>
      <c r="AQ323" s="42"/>
      <c r="AR323" s="42"/>
      <c r="AS323" s="65"/>
      <c r="AT323" s="42"/>
    </row>
    <row r="324" spans="1:46" x14ac:dyDescent="0.25">
      <c r="A324" s="3"/>
      <c r="B324" s="58"/>
      <c r="C324" s="59"/>
      <c r="D324" s="3"/>
      <c r="E324" s="3"/>
      <c r="F324" s="3"/>
      <c r="G324" s="3"/>
      <c r="H324" s="27"/>
      <c r="I324" s="60"/>
      <c r="J324" s="61"/>
      <c r="K324" s="30"/>
      <c r="L324" s="30"/>
      <c r="M324" s="30"/>
      <c r="N324" s="30"/>
      <c r="O324" s="31"/>
      <c r="P324" s="30"/>
      <c r="Q324" s="62"/>
      <c r="R324" s="62"/>
      <c r="S324" s="62"/>
      <c r="T324" s="62"/>
      <c r="U324" s="62"/>
      <c r="V324" s="63"/>
      <c r="W324" s="42"/>
      <c r="X324" s="63"/>
      <c r="Y324" s="65"/>
      <c r="Z324" s="42"/>
      <c r="AA324" s="42"/>
      <c r="AB324" s="42"/>
      <c r="AC324" s="42"/>
      <c r="AD324" s="65"/>
      <c r="AE324" s="42"/>
      <c r="AF324" s="42"/>
      <c r="AG324" s="42"/>
      <c r="AH324" s="42"/>
      <c r="AI324" s="65"/>
      <c r="AJ324" s="42"/>
      <c r="AK324" s="42"/>
      <c r="AL324" s="42"/>
      <c r="AM324" s="42"/>
      <c r="AN324" s="65"/>
      <c r="AO324" s="42"/>
      <c r="AP324" s="42"/>
      <c r="AQ324" s="42"/>
      <c r="AR324" s="42"/>
      <c r="AS324" s="65"/>
      <c r="AT324" s="42"/>
    </row>
    <row r="325" spans="1:46" x14ac:dyDescent="0.25">
      <c r="A325" s="3"/>
      <c r="B325" s="58"/>
      <c r="C325" s="59"/>
      <c r="D325" s="3"/>
      <c r="E325" s="3"/>
      <c r="F325" s="3"/>
      <c r="G325" s="3"/>
      <c r="H325" s="27"/>
      <c r="I325" s="60"/>
      <c r="J325" s="61"/>
      <c r="K325" s="30"/>
      <c r="L325" s="30"/>
      <c r="M325" s="30"/>
      <c r="N325" s="30"/>
      <c r="O325" s="31"/>
      <c r="P325" s="30"/>
      <c r="Q325" s="62"/>
      <c r="R325" s="62"/>
      <c r="S325" s="62"/>
      <c r="T325" s="62"/>
      <c r="U325" s="62"/>
      <c r="V325" s="63"/>
      <c r="W325" s="42"/>
      <c r="X325" s="63"/>
      <c r="Y325" s="65"/>
      <c r="Z325" s="42"/>
      <c r="AA325" s="42"/>
      <c r="AB325" s="42"/>
      <c r="AC325" s="42"/>
      <c r="AD325" s="65"/>
      <c r="AE325" s="42"/>
      <c r="AF325" s="42"/>
      <c r="AG325" s="42"/>
      <c r="AH325" s="42"/>
      <c r="AI325" s="65"/>
      <c r="AJ325" s="42"/>
      <c r="AK325" s="42"/>
      <c r="AL325" s="42"/>
      <c r="AM325" s="42"/>
      <c r="AN325" s="65"/>
      <c r="AO325" s="42"/>
      <c r="AP325" s="42"/>
      <c r="AQ325" s="42"/>
      <c r="AR325" s="42"/>
      <c r="AS325" s="65"/>
      <c r="AT325" s="42"/>
    </row>
    <row r="326" spans="1:46" x14ac:dyDescent="0.25">
      <c r="A326" s="3"/>
      <c r="B326" s="58"/>
      <c r="C326" s="59"/>
      <c r="D326" s="3"/>
      <c r="E326" s="3"/>
      <c r="F326" s="3"/>
      <c r="G326" s="3"/>
      <c r="H326" s="27"/>
      <c r="I326" s="60"/>
      <c r="J326" s="61"/>
      <c r="K326" s="30"/>
      <c r="L326" s="30"/>
      <c r="M326" s="30"/>
      <c r="N326" s="30"/>
      <c r="O326" s="31"/>
      <c r="P326" s="30"/>
      <c r="Q326" s="62"/>
      <c r="R326" s="62"/>
      <c r="S326" s="62"/>
      <c r="T326" s="62"/>
      <c r="U326" s="62"/>
      <c r="V326" s="63"/>
      <c r="W326" s="42"/>
      <c r="X326" s="63"/>
      <c r="Y326" s="65"/>
      <c r="Z326" s="42"/>
      <c r="AA326" s="42"/>
      <c r="AB326" s="42"/>
      <c r="AC326" s="42"/>
      <c r="AD326" s="65"/>
      <c r="AE326" s="42"/>
      <c r="AF326" s="42"/>
      <c r="AG326" s="42"/>
      <c r="AH326" s="42"/>
      <c r="AI326" s="65"/>
      <c r="AJ326" s="42"/>
      <c r="AK326" s="42"/>
      <c r="AL326" s="42"/>
      <c r="AM326" s="42"/>
      <c r="AN326" s="65"/>
      <c r="AO326" s="42"/>
      <c r="AP326" s="42"/>
      <c r="AQ326" s="42"/>
      <c r="AR326" s="42"/>
      <c r="AS326" s="65"/>
      <c r="AT326" s="42"/>
    </row>
    <row r="327" spans="1:46" x14ac:dyDescent="0.25">
      <c r="A327" s="3"/>
      <c r="B327" s="58"/>
      <c r="C327" s="59"/>
      <c r="D327" s="3"/>
      <c r="E327" s="3"/>
      <c r="F327" s="3"/>
      <c r="G327" s="3"/>
      <c r="H327" s="27"/>
      <c r="I327" s="60"/>
      <c r="J327" s="61"/>
      <c r="K327" s="30"/>
      <c r="L327" s="30"/>
      <c r="M327" s="30"/>
      <c r="N327" s="30"/>
      <c r="O327" s="31"/>
      <c r="P327" s="30"/>
      <c r="Q327" s="62"/>
      <c r="R327" s="62"/>
      <c r="S327" s="62"/>
      <c r="T327" s="62"/>
      <c r="U327" s="62"/>
      <c r="V327" s="63"/>
      <c r="W327" s="42"/>
      <c r="X327" s="63"/>
      <c r="Y327" s="65"/>
      <c r="Z327" s="42"/>
      <c r="AA327" s="42"/>
      <c r="AB327" s="42"/>
      <c r="AC327" s="42"/>
      <c r="AD327" s="65"/>
      <c r="AE327" s="42"/>
      <c r="AF327" s="42"/>
      <c r="AG327" s="42"/>
      <c r="AH327" s="42"/>
      <c r="AI327" s="65"/>
      <c r="AJ327" s="42"/>
      <c r="AK327" s="42"/>
      <c r="AL327" s="42"/>
      <c r="AM327" s="42"/>
      <c r="AN327" s="65"/>
      <c r="AO327" s="42"/>
      <c r="AP327" s="42"/>
      <c r="AQ327" s="42"/>
      <c r="AR327" s="42"/>
      <c r="AS327" s="65"/>
      <c r="AT327" s="42"/>
    </row>
    <row r="328" spans="1:46" x14ac:dyDescent="0.25">
      <c r="A328" s="3"/>
      <c r="B328" s="58"/>
      <c r="C328" s="59"/>
      <c r="D328" s="3"/>
      <c r="E328" s="3"/>
      <c r="F328" s="3"/>
      <c r="G328" s="3"/>
      <c r="H328" s="27"/>
      <c r="I328" s="60"/>
      <c r="J328" s="61"/>
      <c r="K328" s="30"/>
      <c r="L328" s="30"/>
      <c r="M328" s="30"/>
      <c r="N328" s="30"/>
      <c r="O328" s="31"/>
      <c r="P328" s="30"/>
      <c r="Q328" s="62"/>
      <c r="R328" s="62"/>
      <c r="S328" s="62"/>
      <c r="T328" s="62"/>
      <c r="U328" s="62"/>
      <c r="V328" s="63"/>
      <c r="W328" s="42"/>
      <c r="X328" s="63"/>
      <c r="Y328" s="65"/>
      <c r="Z328" s="42"/>
      <c r="AA328" s="42"/>
      <c r="AB328" s="42"/>
      <c r="AC328" s="42"/>
      <c r="AD328" s="65"/>
      <c r="AE328" s="42"/>
      <c r="AF328" s="42"/>
      <c r="AG328" s="42"/>
      <c r="AH328" s="42"/>
      <c r="AI328" s="65"/>
      <c r="AJ328" s="42"/>
      <c r="AK328" s="42"/>
      <c r="AL328" s="42"/>
      <c r="AM328" s="42"/>
      <c r="AN328" s="65"/>
      <c r="AO328" s="42"/>
      <c r="AP328" s="42"/>
      <c r="AQ328" s="42"/>
      <c r="AR328" s="42"/>
      <c r="AS328" s="65"/>
      <c r="AT328" s="42"/>
    </row>
    <row r="329" spans="1:46" x14ac:dyDescent="0.25">
      <c r="A329" s="3"/>
      <c r="B329" s="58"/>
      <c r="C329" s="59"/>
      <c r="D329" s="3"/>
      <c r="E329" s="3"/>
      <c r="F329" s="3"/>
      <c r="G329" s="3"/>
      <c r="H329" s="27"/>
      <c r="I329" s="60"/>
      <c r="J329" s="61"/>
      <c r="K329" s="30"/>
      <c r="L329" s="30"/>
      <c r="M329" s="30"/>
      <c r="N329" s="30"/>
      <c r="O329" s="31"/>
      <c r="P329" s="30"/>
      <c r="Q329" s="62"/>
      <c r="R329" s="62"/>
      <c r="S329" s="62"/>
      <c r="T329" s="62"/>
      <c r="U329" s="62"/>
      <c r="V329" s="63"/>
      <c r="W329" s="42"/>
      <c r="X329" s="63"/>
      <c r="Y329" s="65"/>
      <c r="Z329" s="42"/>
      <c r="AA329" s="42"/>
      <c r="AB329" s="42"/>
      <c r="AC329" s="42"/>
      <c r="AD329" s="65"/>
      <c r="AE329" s="42"/>
      <c r="AF329" s="42"/>
      <c r="AG329" s="42"/>
      <c r="AH329" s="42"/>
      <c r="AI329" s="65"/>
      <c r="AJ329" s="42"/>
      <c r="AK329" s="42"/>
      <c r="AL329" s="42"/>
      <c r="AM329" s="42"/>
      <c r="AN329" s="65"/>
      <c r="AO329" s="42"/>
      <c r="AP329" s="42"/>
      <c r="AQ329" s="42"/>
      <c r="AR329" s="42"/>
      <c r="AS329" s="65"/>
      <c r="AT329" s="42"/>
    </row>
    <row r="330" spans="1:46" x14ac:dyDescent="0.25">
      <c r="A330" s="3"/>
      <c r="B330" s="58"/>
      <c r="C330" s="59"/>
      <c r="D330" s="3"/>
      <c r="E330" s="3"/>
      <c r="F330" s="3"/>
      <c r="G330" s="3"/>
      <c r="H330" s="27"/>
      <c r="I330" s="60"/>
      <c r="J330" s="61"/>
      <c r="K330" s="30"/>
      <c r="L330" s="30"/>
      <c r="M330" s="30"/>
      <c r="N330" s="30"/>
      <c r="O330" s="31"/>
      <c r="P330" s="30"/>
      <c r="Q330" s="62"/>
      <c r="R330" s="62"/>
      <c r="S330" s="62"/>
      <c r="T330" s="62"/>
      <c r="U330" s="62"/>
      <c r="V330" s="63"/>
      <c r="W330" s="42"/>
      <c r="X330" s="63"/>
      <c r="Y330" s="65"/>
      <c r="Z330" s="42"/>
      <c r="AA330" s="42"/>
      <c r="AB330" s="42"/>
      <c r="AC330" s="42"/>
      <c r="AD330" s="65"/>
      <c r="AE330" s="42"/>
      <c r="AF330" s="42"/>
      <c r="AG330" s="42"/>
      <c r="AH330" s="42"/>
      <c r="AI330" s="65"/>
      <c r="AJ330" s="42"/>
      <c r="AK330" s="42"/>
      <c r="AL330" s="42"/>
      <c r="AM330" s="42"/>
      <c r="AN330" s="65"/>
      <c r="AO330" s="42"/>
      <c r="AP330" s="42"/>
      <c r="AQ330" s="42"/>
      <c r="AR330" s="42"/>
      <c r="AS330" s="65"/>
      <c r="AT330" s="42"/>
    </row>
    <row r="331" spans="1:46" x14ac:dyDescent="0.25">
      <c r="A331" s="3"/>
      <c r="B331" s="58"/>
      <c r="C331" s="59"/>
      <c r="D331" s="3"/>
      <c r="E331" s="3"/>
      <c r="F331" s="3"/>
      <c r="G331" s="3"/>
      <c r="H331" s="27"/>
      <c r="I331" s="60"/>
      <c r="J331" s="61"/>
      <c r="K331" s="30"/>
      <c r="L331" s="30"/>
      <c r="M331" s="30"/>
      <c r="N331" s="30"/>
      <c r="O331" s="31"/>
      <c r="P331" s="30"/>
      <c r="Q331" s="62"/>
      <c r="R331" s="62"/>
      <c r="S331" s="62"/>
      <c r="T331" s="62"/>
      <c r="U331" s="62"/>
      <c r="V331" s="63"/>
      <c r="W331" s="42"/>
      <c r="X331" s="63"/>
      <c r="Y331" s="65"/>
      <c r="Z331" s="42"/>
      <c r="AA331" s="42"/>
      <c r="AB331" s="42"/>
      <c r="AC331" s="42"/>
      <c r="AD331" s="65"/>
      <c r="AE331" s="42"/>
      <c r="AF331" s="42"/>
      <c r="AG331" s="42"/>
      <c r="AH331" s="42"/>
      <c r="AI331" s="65"/>
      <c r="AJ331" s="42"/>
      <c r="AK331" s="42"/>
      <c r="AL331" s="42"/>
      <c r="AM331" s="42"/>
      <c r="AN331" s="65"/>
      <c r="AO331" s="42"/>
      <c r="AP331" s="42"/>
      <c r="AQ331" s="42"/>
      <c r="AR331" s="42"/>
      <c r="AS331" s="65"/>
      <c r="AT331" s="42"/>
    </row>
    <row r="332" spans="1:46" x14ac:dyDescent="0.25">
      <c r="A332" s="3"/>
      <c r="B332" s="58"/>
      <c r="C332" s="59"/>
      <c r="D332" s="3"/>
      <c r="E332" s="3"/>
      <c r="F332" s="3"/>
      <c r="G332" s="3"/>
      <c r="H332" s="27"/>
      <c r="I332" s="60"/>
      <c r="J332" s="61"/>
      <c r="K332" s="30"/>
      <c r="L332" s="30"/>
      <c r="M332" s="30"/>
      <c r="N332" s="30"/>
      <c r="O332" s="31"/>
      <c r="P332" s="30"/>
      <c r="Q332" s="62"/>
      <c r="R332" s="62"/>
      <c r="S332" s="62"/>
      <c r="T332" s="62"/>
      <c r="U332" s="62"/>
      <c r="V332" s="63"/>
      <c r="W332" s="42"/>
      <c r="X332" s="63"/>
      <c r="Y332" s="65"/>
      <c r="Z332" s="42"/>
      <c r="AA332" s="42"/>
      <c r="AB332" s="42"/>
      <c r="AC332" s="42"/>
      <c r="AD332" s="65"/>
      <c r="AE332" s="42"/>
      <c r="AF332" s="42"/>
      <c r="AG332" s="42"/>
      <c r="AH332" s="42"/>
      <c r="AI332" s="65"/>
      <c r="AJ332" s="42"/>
      <c r="AK332" s="42"/>
      <c r="AL332" s="42"/>
      <c r="AM332" s="42"/>
      <c r="AN332" s="65"/>
      <c r="AO332" s="42"/>
      <c r="AP332" s="42"/>
      <c r="AQ332" s="42"/>
      <c r="AR332" s="42"/>
      <c r="AS332" s="65"/>
      <c r="AT332" s="42"/>
    </row>
    <row r="333" spans="1:46" x14ac:dyDescent="0.25">
      <c r="A333" s="3"/>
      <c r="B333" s="58"/>
      <c r="C333" s="59"/>
      <c r="D333" s="3"/>
      <c r="E333" s="3"/>
      <c r="F333" s="3"/>
      <c r="G333" s="3"/>
      <c r="H333" s="27"/>
      <c r="I333" s="60"/>
      <c r="J333" s="61"/>
      <c r="K333" s="30"/>
      <c r="L333" s="30"/>
      <c r="M333" s="30"/>
      <c r="N333" s="30"/>
      <c r="O333" s="31"/>
      <c r="P333" s="30"/>
      <c r="Q333" s="62"/>
      <c r="R333" s="62"/>
      <c r="S333" s="62"/>
      <c r="T333" s="62"/>
      <c r="U333" s="62"/>
      <c r="V333" s="63"/>
      <c r="W333" s="42"/>
      <c r="X333" s="63"/>
      <c r="Y333" s="65"/>
      <c r="Z333" s="42"/>
      <c r="AA333" s="42"/>
      <c r="AB333" s="42"/>
      <c r="AC333" s="42"/>
      <c r="AD333" s="65"/>
      <c r="AE333" s="42"/>
      <c r="AF333" s="42"/>
      <c r="AG333" s="42"/>
      <c r="AH333" s="42"/>
      <c r="AI333" s="65"/>
      <c r="AJ333" s="42"/>
      <c r="AK333" s="42"/>
      <c r="AL333" s="42"/>
      <c r="AM333" s="42"/>
      <c r="AN333" s="65"/>
      <c r="AO333" s="42"/>
      <c r="AP333" s="42"/>
      <c r="AQ333" s="42"/>
      <c r="AR333" s="42"/>
      <c r="AS333" s="65"/>
      <c r="AT333" s="42"/>
    </row>
    <row r="334" spans="1:46" x14ac:dyDescent="0.25">
      <c r="A334" s="3"/>
      <c r="B334" s="58"/>
      <c r="C334" s="59"/>
      <c r="D334" s="3"/>
      <c r="E334" s="3"/>
      <c r="F334" s="3"/>
      <c r="G334" s="3"/>
      <c r="H334" s="27"/>
      <c r="I334" s="60"/>
      <c r="J334" s="61"/>
      <c r="K334" s="30"/>
      <c r="L334" s="30"/>
      <c r="M334" s="30"/>
      <c r="N334" s="30"/>
      <c r="O334" s="31"/>
      <c r="P334" s="30"/>
      <c r="Q334" s="62"/>
      <c r="R334" s="62"/>
      <c r="S334" s="62"/>
      <c r="T334" s="62"/>
      <c r="U334" s="62"/>
      <c r="V334" s="63"/>
      <c r="W334" s="42"/>
      <c r="X334" s="63"/>
      <c r="Y334" s="65"/>
      <c r="Z334" s="42"/>
      <c r="AA334" s="42"/>
      <c r="AB334" s="42"/>
      <c r="AC334" s="42"/>
      <c r="AD334" s="65"/>
      <c r="AE334" s="42"/>
      <c r="AF334" s="42"/>
      <c r="AG334" s="42"/>
      <c r="AH334" s="42"/>
      <c r="AI334" s="65"/>
      <c r="AJ334" s="42"/>
      <c r="AK334" s="42"/>
      <c r="AL334" s="42"/>
      <c r="AM334" s="42"/>
      <c r="AN334" s="65"/>
      <c r="AO334" s="42"/>
      <c r="AP334" s="42"/>
      <c r="AQ334" s="42"/>
      <c r="AR334" s="42"/>
      <c r="AS334" s="65"/>
      <c r="AT334" s="42"/>
    </row>
    <row r="335" spans="1:46" x14ac:dyDescent="0.25">
      <c r="A335" s="3"/>
      <c r="B335" s="58"/>
      <c r="C335" s="59"/>
      <c r="D335" s="3"/>
      <c r="E335" s="3"/>
      <c r="F335" s="3"/>
      <c r="G335" s="3"/>
      <c r="H335" s="27"/>
      <c r="I335" s="60"/>
      <c r="J335" s="61"/>
      <c r="K335" s="30"/>
      <c r="L335" s="30"/>
      <c r="M335" s="30"/>
      <c r="N335" s="30"/>
      <c r="O335" s="31"/>
      <c r="P335" s="30"/>
      <c r="Q335" s="62"/>
      <c r="R335" s="62"/>
      <c r="S335" s="62"/>
      <c r="T335" s="62"/>
      <c r="U335" s="62"/>
      <c r="V335" s="63"/>
      <c r="W335" s="42"/>
      <c r="X335" s="63"/>
      <c r="Y335" s="65"/>
      <c r="Z335" s="42"/>
      <c r="AA335" s="42"/>
      <c r="AB335" s="42"/>
      <c r="AC335" s="42"/>
      <c r="AD335" s="65"/>
      <c r="AE335" s="42"/>
      <c r="AF335" s="42"/>
      <c r="AG335" s="42"/>
      <c r="AH335" s="42"/>
      <c r="AI335" s="65"/>
      <c r="AJ335" s="42"/>
      <c r="AK335" s="42"/>
      <c r="AL335" s="42"/>
      <c r="AM335" s="42"/>
      <c r="AN335" s="65"/>
      <c r="AO335" s="42"/>
      <c r="AP335" s="42"/>
      <c r="AQ335" s="42"/>
      <c r="AR335" s="42"/>
      <c r="AS335" s="65"/>
      <c r="AT335" s="42"/>
    </row>
    <row r="336" spans="1:46" x14ac:dyDescent="0.25">
      <c r="A336" s="3"/>
      <c r="B336" s="58"/>
      <c r="C336" s="59"/>
      <c r="D336" s="3"/>
      <c r="E336" s="3"/>
      <c r="F336" s="3"/>
      <c r="G336" s="3"/>
      <c r="H336" s="27"/>
      <c r="I336" s="60"/>
      <c r="J336" s="61"/>
      <c r="K336" s="30"/>
      <c r="L336" s="30"/>
      <c r="M336" s="30"/>
      <c r="N336" s="30"/>
      <c r="O336" s="31"/>
      <c r="P336" s="30"/>
      <c r="Q336" s="62"/>
      <c r="R336" s="62"/>
      <c r="S336" s="62"/>
      <c r="T336" s="62"/>
      <c r="U336" s="62"/>
      <c r="V336" s="63"/>
      <c r="W336" s="42"/>
      <c r="X336" s="63"/>
      <c r="Y336" s="65"/>
      <c r="Z336" s="42"/>
      <c r="AA336" s="42"/>
      <c r="AB336" s="42"/>
      <c r="AC336" s="42"/>
      <c r="AD336" s="65"/>
      <c r="AE336" s="42"/>
      <c r="AF336" s="42"/>
      <c r="AG336" s="42"/>
      <c r="AH336" s="42"/>
      <c r="AI336" s="65"/>
      <c r="AJ336" s="42"/>
      <c r="AK336" s="42"/>
      <c r="AL336" s="42"/>
      <c r="AM336" s="42"/>
      <c r="AN336" s="65"/>
      <c r="AO336" s="42"/>
      <c r="AP336" s="42"/>
      <c r="AQ336" s="42"/>
      <c r="AR336" s="42"/>
      <c r="AS336" s="65"/>
      <c r="AT336" s="42"/>
    </row>
    <row r="337" spans="1:46" x14ac:dyDescent="0.25">
      <c r="A337" s="3"/>
      <c r="B337" s="58"/>
      <c r="C337" s="59"/>
      <c r="D337" s="3"/>
      <c r="E337" s="3"/>
      <c r="F337" s="3"/>
      <c r="G337" s="3"/>
      <c r="H337" s="27"/>
      <c r="I337" s="60"/>
      <c r="J337" s="61"/>
      <c r="K337" s="30"/>
      <c r="L337" s="30"/>
      <c r="M337" s="30"/>
      <c r="N337" s="30"/>
      <c r="O337" s="31"/>
      <c r="P337" s="30"/>
      <c r="Q337" s="62"/>
      <c r="R337" s="62"/>
      <c r="S337" s="62"/>
      <c r="T337" s="62"/>
      <c r="U337" s="62"/>
      <c r="V337" s="63"/>
      <c r="W337" s="42"/>
      <c r="X337" s="63"/>
      <c r="Y337" s="65"/>
      <c r="Z337" s="42"/>
      <c r="AA337" s="42"/>
      <c r="AB337" s="42"/>
      <c r="AC337" s="42"/>
      <c r="AD337" s="65"/>
      <c r="AE337" s="42"/>
      <c r="AF337" s="42"/>
      <c r="AG337" s="42"/>
      <c r="AH337" s="42"/>
      <c r="AI337" s="65"/>
      <c r="AJ337" s="42"/>
      <c r="AK337" s="42"/>
      <c r="AL337" s="42"/>
      <c r="AM337" s="42"/>
      <c r="AN337" s="65"/>
      <c r="AO337" s="42"/>
      <c r="AP337" s="42"/>
      <c r="AQ337" s="42"/>
      <c r="AR337" s="42"/>
      <c r="AS337" s="65"/>
      <c r="AT337" s="42"/>
    </row>
    <row r="338" spans="1:46" x14ac:dyDescent="0.25">
      <c r="A338" s="3"/>
      <c r="B338" s="58"/>
      <c r="C338" s="59"/>
      <c r="D338" s="3"/>
      <c r="E338" s="3"/>
      <c r="F338" s="3"/>
      <c r="G338" s="3"/>
      <c r="H338" s="27"/>
      <c r="I338" s="60"/>
      <c r="J338" s="61"/>
      <c r="K338" s="30"/>
      <c r="L338" s="30"/>
      <c r="M338" s="30"/>
      <c r="N338" s="30"/>
      <c r="O338" s="31"/>
      <c r="P338" s="30"/>
      <c r="Q338" s="62"/>
      <c r="R338" s="62"/>
      <c r="S338" s="62"/>
      <c r="T338" s="62"/>
      <c r="U338" s="62"/>
      <c r="V338" s="63"/>
      <c r="W338" s="42"/>
      <c r="X338" s="63"/>
      <c r="Y338" s="65"/>
      <c r="Z338" s="42"/>
      <c r="AA338" s="42"/>
      <c r="AB338" s="42"/>
      <c r="AC338" s="42"/>
      <c r="AD338" s="65"/>
      <c r="AE338" s="42"/>
      <c r="AF338" s="42"/>
      <c r="AG338" s="42"/>
      <c r="AH338" s="42"/>
      <c r="AI338" s="65"/>
      <c r="AJ338" s="42"/>
      <c r="AK338" s="42"/>
      <c r="AL338" s="42"/>
      <c r="AM338" s="42"/>
      <c r="AN338" s="65"/>
      <c r="AO338" s="42"/>
      <c r="AP338" s="42"/>
      <c r="AQ338" s="42"/>
      <c r="AR338" s="42"/>
      <c r="AS338" s="65"/>
      <c r="AT338" s="42"/>
    </row>
    <row r="339" spans="1:46" x14ac:dyDescent="0.25">
      <c r="A339" s="3"/>
      <c r="B339" s="58"/>
      <c r="C339" s="59"/>
      <c r="D339" s="3"/>
      <c r="E339" s="3"/>
      <c r="F339" s="3"/>
      <c r="G339" s="3"/>
      <c r="H339" s="27"/>
      <c r="I339" s="60"/>
      <c r="J339" s="61"/>
      <c r="K339" s="30"/>
      <c r="L339" s="30"/>
      <c r="M339" s="30"/>
      <c r="N339" s="30"/>
      <c r="O339" s="31"/>
      <c r="P339" s="30"/>
      <c r="Q339" s="62"/>
      <c r="R339" s="62"/>
      <c r="S339" s="62"/>
      <c r="T339" s="62"/>
      <c r="U339" s="62"/>
      <c r="V339" s="63"/>
      <c r="W339" s="42"/>
      <c r="X339" s="63"/>
      <c r="Y339" s="65"/>
      <c r="Z339" s="42"/>
      <c r="AA339" s="42"/>
      <c r="AB339" s="42"/>
      <c r="AC339" s="42"/>
      <c r="AD339" s="65"/>
      <c r="AE339" s="42"/>
      <c r="AF339" s="42"/>
      <c r="AG339" s="42"/>
      <c r="AH339" s="42"/>
      <c r="AI339" s="65"/>
      <c r="AJ339" s="42"/>
      <c r="AK339" s="42"/>
      <c r="AL339" s="42"/>
      <c r="AM339" s="42"/>
      <c r="AN339" s="65"/>
      <c r="AO339" s="42"/>
      <c r="AP339" s="42"/>
      <c r="AQ339" s="42"/>
      <c r="AR339" s="42"/>
      <c r="AS339" s="65"/>
      <c r="AT339" s="42"/>
    </row>
    <row r="340" spans="1:46" x14ac:dyDescent="0.25">
      <c r="A340" s="3"/>
      <c r="B340" s="58"/>
      <c r="C340" s="59"/>
      <c r="D340" s="3"/>
      <c r="E340" s="3"/>
      <c r="F340" s="3"/>
      <c r="G340" s="3"/>
      <c r="H340" s="27"/>
      <c r="I340" s="60"/>
      <c r="J340" s="61"/>
      <c r="K340" s="30"/>
      <c r="L340" s="30"/>
      <c r="M340" s="30"/>
      <c r="N340" s="30"/>
      <c r="O340" s="31"/>
      <c r="P340" s="30"/>
      <c r="Q340" s="62"/>
      <c r="R340" s="62"/>
      <c r="S340" s="62"/>
      <c r="T340" s="62"/>
      <c r="U340" s="62"/>
      <c r="V340" s="63"/>
      <c r="W340" s="42"/>
      <c r="X340" s="63"/>
      <c r="Y340" s="65"/>
      <c r="Z340" s="42"/>
      <c r="AA340" s="42"/>
      <c r="AB340" s="42"/>
      <c r="AC340" s="42"/>
      <c r="AD340" s="65"/>
      <c r="AE340" s="42"/>
      <c r="AF340" s="42"/>
      <c r="AG340" s="42"/>
      <c r="AH340" s="42"/>
      <c r="AI340" s="65"/>
      <c r="AJ340" s="42"/>
      <c r="AK340" s="42"/>
      <c r="AL340" s="42"/>
      <c r="AM340" s="42"/>
      <c r="AN340" s="65"/>
      <c r="AO340" s="42"/>
      <c r="AP340" s="42"/>
      <c r="AQ340" s="42"/>
      <c r="AR340" s="42"/>
      <c r="AS340" s="65"/>
      <c r="AT340" s="42"/>
    </row>
    <row r="341" spans="1:46" x14ac:dyDescent="0.25">
      <c r="A341" s="3"/>
      <c r="B341" s="58"/>
      <c r="C341" s="59"/>
      <c r="D341" s="3"/>
      <c r="E341" s="3"/>
      <c r="F341" s="3"/>
      <c r="G341" s="3"/>
      <c r="H341" s="27"/>
      <c r="I341" s="60"/>
      <c r="J341" s="61"/>
      <c r="K341" s="30"/>
      <c r="L341" s="30"/>
      <c r="M341" s="30"/>
      <c r="N341" s="30"/>
      <c r="O341" s="31"/>
      <c r="P341" s="30"/>
      <c r="Q341" s="62"/>
      <c r="R341" s="62"/>
      <c r="S341" s="62"/>
      <c r="T341" s="62"/>
      <c r="U341" s="62"/>
      <c r="V341" s="63"/>
      <c r="W341" s="42"/>
      <c r="X341" s="63"/>
      <c r="Y341" s="65"/>
      <c r="Z341" s="42"/>
      <c r="AA341" s="42"/>
      <c r="AB341" s="42"/>
      <c r="AC341" s="42"/>
      <c r="AD341" s="65"/>
      <c r="AE341" s="42"/>
      <c r="AF341" s="42"/>
      <c r="AG341" s="42"/>
      <c r="AH341" s="42"/>
      <c r="AI341" s="65"/>
      <c r="AJ341" s="42"/>
      <c r="AK341" s="42"/>
      <c r="AL341" s="42"/>
      <c r="AM341" s="42"/>
      <c r="AN341" s="65"/>
      <c r="AO341" s="42"/>
      <c r="AP341" s="42"/>
      <c r="AQ341" s="42"/>
      <c r="AR341" s="42"/>
      <c r="AS341" s="65"/>
      <c r="AT341" s="42"/>
    </row>
    <row r="342" spans="1:46" x14ac:dyDescent="0.25">
      <c r="A342" s="3"/>
      <c r="B342" s="58"/>
      <c r="C342" s="59"/>
      <c r="D342" s="3"/>
      <c r="E342" s="3"/>
      <c r="F342" s="3"/>
      <c r="G342" s="3"/>
      <c r="H342" s="27"/>
      <c r="I342" s="60"/>
      <c r="J342" s="61"/>
      <c r="K342" s="30"/>
      <c r="L342" s="30"/>
      <c r="M342" s="30"/>
      <c r="N342" s="30"/>
      <c r="O342" s="31"/>
      <c r="P342" s="30"/>
      <c r="Q342" s="62"/>
      <c r="R342" s="62"/>
      <c r="S342" s="62"/>
      <c r="T342" s="62"/>
      <c r="U342" s="62"/>
      <c r="V342" s="63"/>
      <c r="W342" s="42"/>
      <c r="X342" s="63"/>
      <c r="Y342" s="65"/>
      <c r="Z342" s="42"/>
      <c r="AA342" s="42"/>
      <c r="AB342" s="42"/>
      <c r="AC342" s="42"/>
      <c r="AD342" s="65"/>
      <c r="AE342" s="42"/>
      <c r="AF342" s="42"/>
      <c r="AG342" s="42"/>
      <c r="AH342" s="42"/>
      <c r="AI342" s="65"/>
      <c r="AJ342" s="42"/>
      <c r="AK342" s="42"/>
      <c r="AL342" s="42"/>
      <c r="AM342" s="42"/>
      <c r="AN342" s="65"/>
      <c r="AO342" s="42"/>
      <c r="AP342" s="42"/>
      <c r="AQ342" s="42"/>
      <c r="AR342" s="42"/>
      <c r="AS342" s="65"/>
      <c r="AT342" s="42"/>
    </row>
    <row r="343" spans="1:46" x14ac:dyDescent="0.25">
      <c r="A343" s="3"/>
      <c r="B343" s="58"/>
      <c r="C343" s="59"/>
      <c r="D343" s="3"/>
      <c r="E343" s="3"/>
      <c r="F343" s="3"/>
      <c r="G343" s="3"/>
      <c r="H343" s="27"/>
      <c r="I343" s="60"/>
      <c r="J343" s="61"/>
      <c r="K343" s="30"/>
      <c r="L343" s="30"/>
      <c r="M343" s="30"/>
      <c r="N343" s="30"/>
      <c r="O343" s="31"/>
      <c r="P343" s="30"/>
      <c r="Q343" s="62"/>
      <c r="R343" s="62"/>
      <c r="S343" s="62"/>
      <c r="T343" s="62"/>
      <c r="U343" s="62"/>
      <c r="V343" s="63"/>
      <c r="W343" s="42"/>
      <c r="X343" s="63"/>
      <c r="Y343" s="65"/>
      <c r="Z343" s="42"/>
      <c r="AA343" s="42"/>
      <c r="AB343" s="42"/>
      <c r="AC343" s="42"/>
      <c r="AD343" s="65"/>
      <c r="AE343" s="42"/>
      <c r="AF343" s="42"/>
      <c r="AG343" s="42"/>
      <c r="AH343" s="42"/>
      <c r="AI343" s="65"/>
      <c r="AJ343" s="42"/>
      <c r="AK343" s="42"/>
      <c r="AL343" s="42"/>
      <c r="AM343" s="42"/>
      <c r="AN343" s="65"/>
      <c r="AO343" s="42"/>
      <c r="AP343" s="42"/>
      <c r="AQ343" s="42"/>
      <c r="AR343" s="42"/>
      <c r="AS343" s="65"/>
      <c r="AT343" s="42"/>
    </row>
    <row r="344" spans="1:46" x14ac:dyDescent="0.25">
      <c r="A344" s="3"/>
      <c r="B344" s="58"/>
      <c r="C344" s="59"/>
      <c r="D344" s="3"/>
      <c r="E344" s="3"/>
      <c r="F344" s="3"/>
      <c r="G344" s="3"/>
      <c r="H344" s="27"/>
      <c r="I344" s="60"/>
      <c r="J344" s="61"/>
      <c r="K344" s="30"/>
      <c r="L344" s="30"/>
      <c r="M344" s="30"/>
      <c r="N344" s="30"/>
      <c r="O344" s="31"/>
      <c r="P344" s="30"/>
      <c r="Q344" s="62"/>
      <c r="R344" s="62"/>
      <c r="S344" s="62"/>
      <c r="T344" s="62"/>
      <c r="U344" s="62"/>
      <c r="V344" s="63"/>
      <c r="W344" s="42"/>
      <c r="X344" s="63"/>
      <c r="Y344" s="65"/>
      <c r="Z344" s="42"/>
      <c r="AA344" s="42"/>
      <c r="AB344" s="42"/>
      <c r="AC344" s="42"/>
      <c r="AD344" s="65"/>
      <c r="AE344" s="42"/>
      <c r="AF344" s="42"/>
      <c r="AG344" s="42"/>
      <c r="AH344" s="42"/>
      <c r="AI344" s="65"/>
      <c r="AJ344" s="42"/>
      <c r="AK344" s="42"/>
      <c r="AL344" s="42"/>
      <c r="AM344" s="42"/>
      <c r="AN344" s="65"/>
      <c r="AO344" s="42"/>
      <c r="AP344" s="42"/>
      <c r="AQ344" s="42"/>
      <c r="AR344" s="42"/>
      <c r="AS344" s="65"/>
      <c r="AT344" s="42"/>
    </row>
    <row r="345" spans="1:46" x14ac:dyDescent="0.25">
      <c r="A345" s="3"/>
      <c r="B345" s="58"/>
      <c r="C345" s="59"/>
      <c r="D345" s="3"/>
      <c r="E345" s="3"/>
      <c r="F345" s="3"/>
      <c r="G345" s="3"/>
      <c r="H345" s="27"/>
      <c r="I345" s="60"/>
      <c r="J345" s="61"/>
      <c r="K345" s="30"/>
      <c r="L345" s="30"/>
      <c r="M345" s="30"/>
      <c r="N345" s="30"/>
      <c r="O345" s="31"/>
      <c r="P345" s="30"/>
      <c r="Q345" s="62"/>
      <c r="R345" s="62"/>
      <c r="S345" s="62"/>
      <c r="T345" s="62"/>
      <c r="U345" s="62"/>
      <c r="V345" s="63"/>
      <c r="W345" s="42"/>
      <c r="X345" s="63"/>
      <c r="Y345" s="65"/>
      <c r="Z345" s="42"/>
      <c r="AA345" s="42"/>
      <c r="AB345" s="42"/>
      <c r="AC345" s="42"/>
      <c r="AD345" s="65"/>
      <c r="AE345" s="42"/>
      <c r="AF345" s="42"/>
      <c r="AG345" s="42"/>
      <c r="AH345" s="42"/>
      <c r="AI345" s="65"/>
      <c r="AJ345" s="42"/>
      <c r="AK345" s="42"/>
      <c r="AL345" s="42"/>
      <c r="AM345" s="42"/>
      <c r="AN345" s="65"/>
      <c r="AO345" s="42"/>
      <c r="AP345" s="42"/>
      <c r="AQ345" s="42"/>
      <c r="AR345" s="42"/>
      <c r="AS345" s="65"/>
      <c r="AT345" s="42"/>
    </row>
    <row r="346" spans="1:46" x14ac:dyDescent="0.25">
      <c r="A346" s="3"/>
      <c r="B346" s="58"/>
      <c r="C346" s="59"/>
      <c r="D346" s="3"/>
      <c r="E346" s="3"/>
      <c r="F346" s="3"/>
      <c r="G346" s="3"/>
      <c r="H346" s="27"/>
      <c r="I346" s="60"/>
      <c r="J346" s="61"/>
      <c r="K346" s="30"/>
      <c r="L346" s="30"/>
      <c r="M346" s="30"/>
      <c r="N346" s="30"/>
      <c r="O346" s="31"/>
      <c r="P346" s="30"/>
      <c r="Q346" s="62"/>
      <c r="R346" s="62"/>
      <c r="S346" s="62"/>
      <c r="T346" s="62"/>
      <c r="U346" s="62"/>
      <c r="V346" s="63"/>
      <c r="W346" s="42"/>
      <c r="X346" s="63"/>
      <c r="Y346" s="65"/>
      <c r="Z346" s="42"/>
      <c r="AA346" s="42"/>
      <c r="AB346" s="42"/>
      <c r="AC346" s="42"/>
      <c r="AD346" s="65"/>
      <c r="AE346" s="42"/>
      <c r="AF346" s="42"/>
      <c r="AG346" s="42"/>
      <c r="AH346" s="42"/>
      <c r="AI346" s="65"/>
      <c r="AJ346" s="42"/>
      <c r="AK346" s="42"/>
      <c r="AL346" s="42"/>
      <c r="AM346" s="42"/>
      <c r="AN346" s="65"/>
      <c r="AO346" s="42"/>
      <c r="AP346" s="42"/>
      <c r="AQ346" s="42"/>
      <c r="AR346" s="42"/>
      <c r="AS346" s="65"/>
      <c r="AT346" s="42"/>
    </row>
    <row r="347" spans="1:46" x14ac:dyDescent="0.25">
      <c r="A347" s="3"/>
      <c r="B347" s="58"/>
      <c r="C347" s="59"/>
      <c r="D347" s="3"/>
      <c r="E347" s="3"/>
      <c r="F347" s="3"/>
      <c r="G347" s="3"/>
      <c r="H347" s="27"/>
      <c r="I347" s="60"/>
      <c r="J347" s="61"/>
      <c r="K347" s="30"/>
      <c r="L347" s="30"/>
      <c r="M347" s="30"/>
      <c r="N347" s="30"/>
      <c r="O347" s="31"/>
      <c r="P347" s="30"/>
      <c r="Q347" s="62"/>
      <c r="R347" s="62"/>
      <c r="S347" s="62"/>
      <c r="T347" s="62"/>
      <c r="U347" s="62"/>
      <c r="V347" s="63"/>
      <c r="W347" s="42"/>
      <c r="X347" s="63"/>
      <c r="Y347" s="65"/>
      <c r="Z347" s="42"/>
      <c r="AA347" s="42"/>
      <c r="AB347" s="42"/>
      <c r="AC347" s="42"/>
      <c r="AD347" s="65"/>
      <c r="AE347" s="42"/>
      <c r="AF347" s="42"/>
      <c r="AG347" s="42"/>
      <c r="AH347" s="42"/>
      <c r="AI347" s="65"/>
      <c r="AJ347" s="42"/>
      <c r="AK347" s="42"/>
      <c r="AL347" s="42"/>
      <c r="AM347" s="42"/>
      <c r="AN347" s="65"/>
      <c r="AO347" s="42"/>
      <c r="AP347" s="42"/>
      <c r="AQ347" s="42"/>
      <c r="AR347" s="42"/>
      <c r="AS347" s="65"/>
      <c r="AT347" s="42"/>
    </row>
    <row r="348" spans="1:46" x14ac:dyDescent="0.25">
      <c r="A348" s="3"/>
      <c r="B348" s="58"/>
      <c r="C348" s="59"/>
      <c r="D348" s="3"/>
      <c r="E348" s="3"/>
      <c r="F348" s="3"/>
      <c r="G348" s="3"/>
      <c r="H348" s="27"/>
      <c r="I348" s="60"/>
      <c r="J348" s="61"/>
      <c r="K348" s="30"/>
      <c r="L348" s="30"/>
      <c r="M348" s="30"/>
      <c r="N348" s="30"/>
      <c r="O348" s="31"/>
      <c r="P348" s="30"/>
      <c r="Q348" s="62"/>
      <c r="R348" s="62"/>
      <c r="S348" s="62"/>
      <c r="T348" s="62"/>
      <c r="U348" s="62"/>
      <c r="V348" s="63"/>
      <c r="W348" s="42"/>
      <c r="X348" s="63"/>
      <c r="Y348" s="65"/>
      <c r="Z348" s="42"/>
      <c r="AA348" s="42"/>
      <c r="AB348" s="42"/>
      <c r="AC348" s="42"/>
      <c r="AD348" s="65"/>
      <c r="AE348" s="42"/>
      <c r="AF348" s="42"/>
      <c r="AG348" s="42"/>
      <c r="AH348" s="42"/>
      <c r="AI348" s="65"/>
      <c r="AJ348" s="42"/>
      <c r="AK348" s="42"/>
      <c r="AL348" s="42"/>
      <c r="AM348" s="42"/>
      <c r="AN348" s="65"/>
      <c r="AO348" s="42"/>
      <c r="AP348" s="42"/>
      <c r="AQ348" s="42"/>
      <c r="AR348" s="42"/>
      <c r="AS348" s="65"/>
      <c r="AT348" s="42"/>
    </row>
    <row r="349" spans="1:46" x14ac:dyDescent="0.25">
      <c r="A349" s="3"/>
      <c r="B349" s="58"/>
      <c r="C349" s="59"/>
      <c r="D349" s="3"/>
      <c r="E349" s="3"/>
      <c r="F349" s="3"/>
      <c r="G349" s="3"/>
      <c r="H349" s="27"/>
      <c r="I349" s="60"/>
      <c r="J349" s="61"/>
      <c r="K349" s="30"/>
      <c r="L349" s="30"/>
      <c r="M349" s="30"/>
      <c r="N349" s="30"/>
      <c r="O349" s="31"/>
      <c r="P349" s="30"/>
      <c r="Q349" s="62"/>
      <c r="R349" s="62"/>
      <c r="S349" s="62"/>
      <c r="T349" s="62"/>
      <c r="U349" s="62"/>
      <c r="V349" s="63"/>
      <c r="W349" s="42"/>
      <c r="X349" s="63"/>
      <c r="Y349" s="65"/>
      <c r="Z349" s="42"/>
      <c r="AA349" s="42"/>
      <c r="AB349" s="42"/>
      <c r="AC349" s="42"/>
      <c r="AD349" s="65"/>
      <c r="AE349" s="42"/>
      <c r="AF349" s="42"/>
      <c r="AG349" s="42"/>
      <c r="AH349" s="42"/>
      <c r="AI349" s="65"/>
      <c r="AJ349" s="42"/>
      <c r="AK349" s="42"/>
      <c r="AL349" s="42"/>
      <c r="AM349" s="42"/>
      <c r="AN349" s="65"/>
      <c r="AO349" s="42"/>
      <c r="AP349" s="42"/>
      <c r="AQ349" s="42"/>
      <c r="AR349" s="42"/>
      <c r="AS349" s="65"/>
      <c r="AT349" s="42"/>
    </row>
    <row r="350" spans="1:46" x14ac:dyDescent="0.25">
      <c r="A350" s="3"/>
      <c r="B350" s="58"/>
      <c r="C350" s="59"/>
      <c r="D350" s="3"/>
      <c r="E350" s="3"/>
      <c r="F350" s="3"/>
      <c r="G350" s="3"/>
      <c r="H350" s="27"/>
      <c r="I350" s="60"/>
      <c r="J350" s="61"/>
      <c r="K350" s="30"/>
      <c r="L350" s="30"/>
      <c r="M350" s="30"/>
      <c r="N350" s="30"/>
      <c r="O350" s="31"/>
      <c r="P350" s="30"/>
      <c r="Q350" s="62"/>
      <c r="R350" s="62"/>
      <c r="S350" s="62"/>
      <c r="T350" s="62"/>
      <c r="U350" s="62"/>
      <c r="V350" s="63"/>
      <c r="W350" s="42"/>
      <c r="X350" s="63"/>
      <c r="Y350" s="65"/>
      <c r="Z350" s="42"/>
      <c r="AA350" s="42"/>
      <c r="AB350" s="42"/>
      <c r="AC350" s="42"/>
      <c r="AD350" s="65"/>
      <c r="AE350" s="42"/>
      <c r="AF350" s="42"/>
      <c r="AG350" s="42"/>
      <c r="AH350" s="42"/>
      <c r="AI350" s="65"/>
      <c r="AJ350" s="42"/>
      <c r="AK350" s="42"/>
      <c r="AL350" s="42"/>
      <c r="AM350" s="42"/>
      <c r="AN350" s="65"/>
      <c r="AO350" s="42"/>
      <c r="AP350" s="42"/>
      <c r="AQ350" s="42"/>
      <c r="AR350" s="42"/>
      <c r="AS350" s="65"/>
      <c r="AT350" s="42"/>
    </row>
    <row r="351" spans="1:46" x14ac:dyDescent="0.25">
      <c r="A351" s="3"/>
      <c r="B351" s="58"/>
      <c r="C351" s="59"/>
      <c r="D351" s="3"/>
      <c r="E351" s="3"/>
      <c r="F351" s="3"/>
      <c r="G351" s="3"/>
      <c r="H351" s="27"/>
      <c r="I351" s="60"/>
      <c r="J351" s="61"/>
      <c r="K351" s="30"/>
      <c r="L351" s="30"/>
      <c r="M351" s="30"/>
      <c r="N351" s="30"/>
      <c r="O351" s="31"/>
      <c r="P351" s="30"/>
      <c r="Q351" s="62"/>
      <c r="R351" s="62"/>
      <c r="S351" s="62"/>
      <c r="T351" s="62"/>
      <c r="U351" s="62"/>
      <c r="V351" s="63"/>
      <c r="W351" s="42"/>
      <c r="X351" s="63"/>
      <c r="Y351" s="65"/>
      <c r="Z351" s="42"/>
      <c r="AA351" s="42"/>
      <c r="AB351" s="42"/>
      <c r="AC351" s="42"/>
      <c r="AD351" s="65"/>
      <c r="AE351" s="42"/>
      <c r="AF351" s="42"/>
      <c r="AG351" s="42"/>
      <c r="AH351" s="42"/>
      <c r="AI351" s="65"/>
      <c r="AJ351" s="42"/>
      <c r="AK351" s="42"/>
      <c r="AL351" s="42"/>
      <c r="AM351" s="42"/>
      <c r="AN351" s="65"/>
      <c r="AO351" s="42"/>
      <c r="AP351" s="42"/>
      <c r="AQ351" s="42"/>
      <c r="AR351" s="42"/>
      <c r="AS351" s="65"/>
      <c r="AT351" s="42"/>
    </row>
    <row r="352" spans="1:46" x14ac:dyDescent="0.25">
      <c r="A352" s="3"/>
      <c r="B352" s="58"/>
      <c r="C352" s="59"/>
      <c r="D352" s="3"/>
      <c r="E352" s="3"/>
      <c r="F352" s="3"/>
      <c r="G352" s="3"/>
      <c r="H352" s="27"/>
      <c r="I352" s="60"/>
      <c r="J352" s="61"/>
      <c r="K352" s="30"/>
      <c r="L352" s="30"/>
      <c r="M352" s="30"/>
      <c r="N352" s="30"/>
      <c r="O352" s="31"/>
      <c r="P352" s="30"/>
      <c r="Q352" s="62"/>
      <c r="R352" s="62"/>
      <c r="S352" s="62"/>
      <c r="T352" s="62"/>
      <c r="U352" s="62"/>
      <c r="V352" s="63"/>
      <c r="W352" s="42"/>
      <c r="X352" s="63"/>
      <c r="Y352" s="65"/>
      <c r="Z352" s="42"/>
      <c r="AA352" s="42"/>
      <c r="AB352" s="42"/>
      <c r="AC352" s="42"/>
      <c r="AD352" s="65"/>
      <c r="AE352" s="42"/>
      <c r="AF352" s="42"/>
      <c r="AG352" s="42"/>
      <c r="AH352" s="42"/>
      <c r="AI352" s="65"/>
      <c r="AJ352" s="42"/>
      <c r="AK352" s="42"/>
      <c r="AL352" s="42"/>
      <c r="AM352" s="42"/>
      <c r="AN352" s="65"/>
      <c r="AO352" s="42"/>
      <c r="AP352" s="42"/>
      <c r="AQ352" s="42"/>
      <c r="AR352" s="42"/>
      <c r="AS352" s="65"/>
      <c r="AT352" s="42"/>
    </row>
    <row r="353" spans="1:46" x14ac:dyDescent="0.25">
      <c r="A353" s="3"/>
      <c r="B353" s="58"/>
      <c r="C353" s="59"/>
      <c r="D353" s="3"/>
      <c r="E353" s="3"/>
      <c r="F353" s="3"/>
      <c r="G353" s="3"/>
      <c r="H353" s="27"/>
      <c r="I353" s="60"/>
      <c r="J353" s="61"/>
      <c r="K353" s="30"/>
      <c r="L353" s="30"/>
      <c r="M353" s="30"/>
      <c r="N353" s="30"/>
      <c r="O353" s="31"/>
      <c r="P353" s="30"/>
      <c r="Q353" s="62"/>
      <c r="R353" s="62"/>
      <c r="S353" s="62"/>
      <c r="T353" s="62"/>
      <c r="U353" s="62"/>
      <c r="V353" s="63"/>
      <c r="W353" s="42"/>
      <c r="X353" s="63"/>
      <c r="Y353" s="65"/>
      <c r="Z353" s="42"/>
      <c r="AA353" s="42"/>
      <c r="AB353" s="42"/>
      <c r="AC353" s="42"/>
      <c r="AD353" s="65"/>
      <c r="AE353" s="42"/>
      <c r="AF353" s="42"/>
      <c r="AG353" s="42"/>
      <c r="AH353" s="42"/>
      <c r="AI353" s="65"/>
      <c r="AJ353" s="42"/>
      <c r="AK353" s="42"/>
      <c r="AL353" s="42"/>
      <c r="AM353" s="42"/>
      <c r="AN353" s="65"/>
      <c r="AO353" s="42"/>
      <c r="AP353" s="42"/>
      <c r="AQ353" s="42"/>
      <c r="AR353" s="42"/>
      <c r="AS353" s="65"/>
      <c r="AT353" s="42"/>
    </row>
    <row r="354" spans="1:46" x14ac:dyDescent="0.25">
      <c r="A354" s="3"/>
      <c r="B354" s="58"/>
      <c r="C354" s="59"/>
      <c r="D354" s="3"/>
      <c r="E354" s="3"/>
      <c r="F354" s="3"/>
      <c r="G354" s="3"/>
      <c r="H354" s="27"/>
      <c r="I354" s="60"/>
      <c r="J354" s="61"/>
      <c r="K354" s="30"/>
      <c r="L354" s="30"/>
      <c r="M354" s="30"/>
      <c r="N354" s="30"/>
      <c r="O354" s="31"/>
      <c r="P354" s="30"/>
      <c r="Q354" s="62"/>
      <c r="R354" s="62"/>
      <c r="S354" s="62"/>
      <c r="T354" s="62"/>
      <c r="U354" s="62"/>
      <c r="V354" s="63"/>
      <c r="W354" s="42"/>
      <c r="X354" s="63"/>
      <c r="Y354" s="65"/>
      <c r="Z354" s="42"/>
      <c r="AA354" s="42"/>
      <c r="AB354" s="42"/>
      <c r="AC354" s="42"/>
      <c r="AD354" s="65"/>
      <c r="AE354" s="42"/>
      <c r="AF354" s="42"/>
      <c r="AG354" s="42"/>
      <c r="AH354" s="42"/>
      <c r="AI354" s="65"/>
      <c r="AJ354" s="42"/>
      <c r="AK354" s="42"/>
      <c r="AL354" s="42"/>
      <c r="AM354" s="42"/>
      <c r="AN354" s="65"/>
      <c r="AO354" s="42"/>
      <c r="AP354" s="42"/>
      <c r="AQ354" s="42"/>
      <c r="AR354" s="42"/>
      <c r="AS354" s="65"/>
      <c r="AT354" s="42"/>
    </row>
    <row r="355" spans="1:46" x14ac:dyDescent="0.25">
      <c r="A355" s="3"/>
      <c r="B355" s="58"/>
      <c r="C355" s="59"/>
      <c r="D355" s="3"/>
      <c r="E355" s="3"/>
      <c r="F355" s="3"/>
      <c r="G355" s="3"/>
      <c r="H355" s="27"/>
      <c r="I355" s="60"/>
      <c r="J355" s="61"/>
      <c r="K355" s="30"/>
      <c r="L355" s="30"/>
      <c r="M355" s="30"/>
      <c r="N355" s="30"/>
      <c r="O355" s="31"/>
      <c r="P355" s="30"/>
      <c r="Q355" s="62"/>
      <c r="R355" s="62"/>
      <c r="S355" s="62"/>
      <c r="T355" s="62"/>
      <c r="U355" s="62"/>
      <c r="V355" s="63"/>
      <c r="W355" s="42"/>
      <c r="X355" s="63"/>
      <c r="Y355" s="65"/>
      <c r="Z355" s="42"/>
      <c r="AA355" s="42"/>
      <c r="AB355" s="42"/>
      <c r="AC355" s="42"/>
      <c r="AD355" s="65"/>
      <c r="AE355" s="42"/>
      <c r="AF355" s="42"/>
      <c r="AG355" s="42"/>
      <c r="AH355" s="42"/>
      <c r="AI355" s="65"/>
      <c r="AJ355" s="42"/>
      <c r="AK355" s="42"/>
      <c r="AL355" s="42"/>
      <c r="AM355" s="42"/>
      <c r="AN355" s="65"/>
      <c r="AO355" s="42"/>
      <c r="AP355" s="42"/>
      <c r="AQ355" s="42"/>
      <c r="AR355" s="42"/>
      <c r="AS355" s="65"/>
      <c r="AT355" s="42"/>
    </row>
    <row r="356" spans="1:46" x14ac:dyDescent="0.25">
      <c r="A356" s="3"/>
      <c r="B356" s="58"/>
      <c r="C356" s="59"/>
      <c r="D356" s="3"/>
      <c r="E356" s="3"/>
      <c r="F356" s="3"/>
      <c r="G356" s="3"/>
      <c r="H356" s="27"/>
      <c r="I356" s="60"/>
      <c r="J356" s="61"/>
      <c r="K356" s="30"/>
      <c r="L356" s="30"/>
      <c r="M356" s="30"/>
      <c r="N356" s="30"/>
      <c r="O356" s="31"/>
      <c r="P356" s="30"/>
      <c r="Q356" s="62"/>
      <c r="R356" s="62"/>
      <c r="S356" s="62"/>
      <c r="T356" s="62"/>
      <c r="U356" s="62"/>
      <c r="V356" s="63"/>
      <c r="W356" s="42"/>
      <c r="X356" s="63"/>
      <c r="Y356" s="65"/>
      <c r="Z356" s="42"/>
      <c r="AA356" s="42"/>
      <c r="AB356" s="42"/>
      <c r="AC356" s="42"/>
      <c r="AD356" s="65"/>
      <c r="AE356" s="42"/>
      <c r="AF356" s="42"/>
      <c r="AG356" s="42"/>
      <c r="AH356" s="42"/>
      <c r="AI356" s="65"/>
      <c r="AJ356" s="42"/>
      <c r="AK356" s="42"/>
      <c r="AL356" s="42"/>
      <c r="AM356" s="42"/>
      <c r="AN356" s="65"/>
      <c r="AO356" s="42"/>
      <c r="AP356" s="42"/>
      <c r="AQ356" s="42"/>
      <c r="AR356" s="42"/>
      <c r="AS356" s="65"/>
      <c r="AT356" s="42"/>
    </row>
    <row r="357" spans="1:46" x14ac:dyDescent="0.25">
      <c r="A357" s="3"/>
      <c r="B357" s="58"/>
      <c r="C357" s="59"/>
      <c r="D357" s="3"/>
      <c r="E357" s="3"/>
      <c r="F357" s="3"/>
      <c r="G357" s="3"/>
      <c r="H357" s="27"/>
      <c r="I357" s="60"/>
      <c r="J357" s="61"/>
      <c r="K357" s="30"/>
      <c r="L357" s="30"/>
      <c r="M357" s="30"/>
      <c r="N357" s="30"/>
      <c r="O357" s="31"/>
      <c r="P357" s="30"/>
      <c r="Q357" s="62"/>
      <c r="R357" s="62"/>
      <c r="S357" s="62"/>
      <c r="T357" s="62"/>
      <c r="U357" s="62"/>
      <c r="V357" s="63"/>
      <c r="W357" s="42"/>
      <c r="X357" s="63"/>
      <c r="Y357" s="65"/>
      <c r="Z357" s="42"/>
      <c r="AA357" s="42"/>
      <c r="AB357" s="42"/>
      <c r="AC357" s="42"/>
      <c r="AD357" s="65"/>
      <c r="AE357" s="42"/>
      <c r="AF357" s="42"/>
      <c r="AG357" s="42"/>
      <c r="AH357" s="42"/>
      <c r="AI357" s="65"/>
      <c r="AJ357" s="42"/>
      <c r="AK357" s="42"/>
      <c r="AL357" s="42"/>
      <c r="AM357" s="42"/>
      <c r="AN357" s="65"/>
      <c r="AO357" s="42"/>
      <c r="AP357" s="42"/>
      <c r="AQ357" s="42"/>
      <c r="AR357" s="42"/>
      <c r="AS357" s="65"/>
      <c r="AT357" s="42"/>
    </row>
    <row r="358" spans="1:46" x14ac:dyDescent="0.25">
      <c r="A358" s="3"/>
      <c r="B358" s="58"/>
      <c r="C358" s="59"/>
      <c r="D358" s="3"/>
      <c r="E358" s="3"/>
      <c r="F358" s="3"/>
      <c r="G358" s="3"/>
      <c r="H358" s="27"/>
      <c r="I358" s="60"/>
      <c r="J358" s="61"/>
      <c r="K358" s="30"/>
      <c r="L358" s="30"/>
      <c r="M358" s="30"/>
      <c r="N358" s="30"/>
      <c r="O358" s="31"/>
      <c r="P358" s="30"/>
      <c r="Q358" s="62"/>
      <c r="R358" s="62"/>
      <c r="S358" s="62"/>
      <c r="T358" s="62"/>
      <c r="U358" s="62"/>
      <c r="V358" s="63"/>
      <c r="W358" s="42"/>
      <c r="X358" s="63"/>
      <c r="Y358" s="65"/>
      <c r="Z358" s="42"/>
      <c r="AA358" s="42"/>
      <c r="AB358" s="42"/>
      <c r="AC358" s="42"/>
      <c r="AD358" s="65"/>
      <c r="AE358" s="42"/>
      <c r="AF358" s="42"/>
      <c r="AG358" s="42"/>
      <c r="AH358" s="42"/>
      <c r="AI358" s="65"/>
      <c r="AJ358" s="42"/>
      <c r="AK358" s="42"/>
      <c r="AL358" s="42"/>
      <c r="AM358" s="42"/>
      <c r="AN358" s="65"/>
      <c r="AO358" s="42"/>
      <c r="AP358" s="42"/>
      <c r="AQ358" s="42"/>
      <c r="AR358" s="42"/>
      <c r="AS358" s="65"/>
      <c r="AT358" s="42"/>
    </row>
    <row r="359" spans="1:46" x14ac:dyDescent="0.25">
      <c r="A359" s="3"/>
      <c r="B359" s="58"/>
      <c r="C359" s="59"/>
      <c r="D359" s="3"/>
      <c r="E359" s="3"/>
      <c r="F359" s="3"/>
      <c r="G359" s="3"/>
      <c r="H359" s="27"/>
      <c r="I359" s="60"/>
      <c r="J359" s="61"/>
      <c r="K359" s="30"/>
      <c r="L359" s="30"/>
      <c r="M359" s="30"/>
      <c r="N359" s="30"/>
      <c r="O359" s="31"/>
      <c r="P359" s="30"/>
      <c r="Q359" s="62"/>
      <c r="R359" s="62"/>
      <c r="S359" s="62"/>
      <c r="T359" s="62"/>
      <c r="U359" s="62"/>
      <c r="V359" s="63"/>
      <c r="W359" s="42"/>
      <c r="X359" s="63"/>
      <c r="Y359" s="65"/>
      <c r="Z359" s="42"/>
      <c r="AA359" s="42"/>
      <c r="AB359" s="42"/>
      <c r="AC359" s="42"/>
      <c r="AD359" s="65"/>
      <c r="AE359" s="42"/>
      <c r="AF359" s="42"/>
      <c r="AG359" s="42"/>
      <c r="AH359" s="42"/>
      <c r="AI359" s="65"/>
      <c r="AJ359" s="42"/>
      <c r="AK359" s="42"/>
      <c r="AL359" s="42"/>
      <c r="AM359" s="42"/>
      <c r="AN359" s="65"/>
      <c r="AO359" s="42"/>
      <c r="AP359" s="42"/>
      <c r="AQ359" s="42"/>
      <c r="AR359" s="42"/>
      <c r="AS359" s="65"/>
      <c r="AT359" s="42"/>
    </row>
    <row r="360" spans="1:46" x14ac:dyDescent="0.25">
      <c r="A360" s="3"/>
      <c r="B360" s="58"/>
      <c r="C360" s="59"/>
      <c r="D360" s="3"/>
      <c r="E360" s="3"/>
      <c r="F360" s="3"/>
      <c r="G360" s="3"/>
      <c r="H360" s="27"/>
      <c r="I360" s="60"/>
      <c r="J360" s="61"/>
      <c r="K360" s="30"/>
      <c r="L360" s="30"/>
      <c r="M360" s="30"/>
      <c r="N360" s="30"/>
      <c r="O360" s="31"/>
      <c r="P360" s="30"/>
      <c r="Q360" s="62"/>
      <c r="R360" s="62"/>
      <c r="S360" s="62"/>
      <c r="T360" s="62"/>
      <c r="U360" s="62"/>
      <c r="V360" s="63"/>
      <c r="W360" s="42"/>
      <c r="X360" s="63"/>
      <c r="Y360" s="65"/>
      <c r="Z360" s="42"/>
      <c r="AA360" s="42"/>
      <c r="AB360" s="42"/>
      <c r="AC360" s="42"/>
      <c r="AD360" s="65"/>
      <c r="AE360" s="42"/>
      <c r="AF360" s="42"/>
      <c r="AG360" s="42"/>
      <c r="AH360" s="42"/>
      <c r="AI360" s="65"/>
      <c r="AJ360" s="42"/>
      <c r="AK360" s="42"/>
      <c r="AL360" s="42"/>
      <c r="AM360" s="42"/>
      <c r="AN360" s="65"/>
      <c r="AO360" s="42"/>
      <c r="AP360" s="42"/>
      <c r="AQ360" s="42"/>
      <c r="AR360" s="42"/>
      <c r="AS360" s="65"/>
      <c r="AT360" s="42"/>
    </row>
    <row r="361" spans="1:46" x14ac:dyDescent="0.25">
      <c r="A361" s="3"/>
      <c r="B361" s="58"/>
      <c r="C361" s="59"/>
      <c r="D361" s="3"/>
      <c r="E361" s="3"/>
      <c r="F361" s="3"/>
      <c r="G361" s="3"/>
      <c r="H361" s="27"/>
      <c r="I361" s="60"/>
      <c r="J361" s="61"/>
      <c r="K361" s="30"/>
      <c r="L361" s="30"/>
      <c r="M361" s="30"/>
      <c r="N361" s="30"/>
      <c r="O361" s="31"/>
      <c r="P361" s="30"/>
      <c r="Q361" s="62"/>
      <c r="R361" s="62"/>
      <c r="S361" s="62"/>
      <c r="T361" s="62"/>
      <c r="U361" s="62"/>
      <c r="V361" s="63"/>
      <c r="W361" s="42"/>
      <c r="X361" s="63"/>
      <c r="Y361" s="65"/>
      <c r="Z361" s="42"/>
      <c r="AA361" s="42"/>
      <c r="AB361" s="42"/>
      <c r="AC361" s="42"/>
      <c r="AD361" s="65"/>
      <c r="AE361" s="42"/>
      <c r="AF361" s="42"/>
      <c r="AG361" s="42"/>
      <c r="AH361" s="42"/>
      <c r="AI361" s="65"/>
      <c r="AJ361" s="42"/>
      <c r="AK361" s="42"/>
      <c r="AL361" s="42"/>
      <c r="AM361" s="42"/>
      <c r="AN361" s="65"/>
      <c r="AO361" s="42"/>
      <c r="AP361" s="42"/>
      <c r="AQ361" s="42"/>
      <c r="AR361" s="42"/>
      <c r="AS361" s="65"/>
      <c r="AT361" s="42"/>
    </row>
    <row r="362" spans="1:46" x14ac:dyDescent="0.25">
      <c r="A362" s="3"/>
      <c r="B362" s="58"/>
      <c r="C362" s="59"/>
      <c r="D362" s="3"/>
      <c r="E362" s="3"/>
      <c r="F362" s="3"/>
      <c r="G362" s="3"/>
      <c r="H362" s="27"/>
      <c r="I362" s="60"/>
      <c r="J362" s="61"/>
      <c r="K362" s="30"/>
      <c r="L362" s="30"/>
      <c r="M362" s="30"/>
      <c r="N362" s="30"/>
      <c r="O362" s="31"/>
      <c r="P362" s="30"/>
      <c r="Q362" s="62"/>
      <c r="R362" s="62"/>
      <c r="S362" s="62"/>
      <c r="T362" s="62"/>
      <c r="U362" s="62"/>
      <c r="V362" s="63"/>
      <c r="W362" s="42"/>
      <c r="X362" s="63"/>
      <c r="Y362" s="65"/>
      <c r="Z362" s="42"/>
      <c r="AA362" s="42"/>
      <c r="AB362" s="42"/>
      <c r="AC362" s="42"/>
      <c r="AD362" s="65"/>
      <c r="AE362" s="42"/>
      <c r="AF362" s="42"/>
      <c r="AG362" s="42"/>
      <c r="AH362" s="42"/>
      <c r="AI362" s="65"/>
      <c r="AJ362" s="42"/>
      <c r="AK362" s="42"/>
      <c r="AL362" s="42"/>
      <c r="AM362" s="42"/>
      <c r="AN362" s="65"/>
      <c r="AO362" s="42"/>
      <c r="AP362" s="42"/>
      <c r="AQ362" s="42"/>
      <c r="AR362" s="42"/>
      <c r="AS362" s="65"/>
      <c r="AT362" s="42"/>
    </row>
    <row r="363" spans="1:46" x14ac:dyDescent="0.25">
      <c r="A363" s="3"/>
      <c r="B363" s="58"/>
      <c r="C363" s="59"/>
      <c r="D363" s="3"/>
      <c r="E363" s="3"/>
      <c r="F363" s="3"/>
      <c r="G363" s="3"/>
      <c r="H363" s="27"/>
      <c r="I363" s="60"/>
      <c r="J363" s="61"/>
      <c r="K363" s="30"/>
      <c r="L363" s="30"/>
      <c r="M363" s="30"/>
      <c r="N363" s="30"/>
      <c r="O363" s="31"/>
      <c r="P363" s="30"/>
      <c r="Q363" s="62"/>
      <c r="R363" s="62"/>
      <c r="S363" s="62"/>
      <c r="T363" s="62"/>
      <c r="U363" s="62"/>
      <c r="V363" s="63"/>
      <c r="W363" s="42"/>
      <c r="X363" s="63"/>
      <c r="Y363" s="65"/>
      <c r="Z363" s="42"/>
      <c r="AA363" s="42"/>
      <c r="AB363" s="42"/>
      <c r="AC363" s="42"/>
      <c r="AD363" s="65"/>
      <c r="AE363" s="42"/>
      <c r="AF363" s="42"/>
      <c r="AG363" s="42"/>
      <c r="AH363" s="42"/>
      <c r="AI363" s="65"/>
      <c r="AJ363" s="42"/>
      <c r="AK363" s="42"/>
      <c r="AL363" s="42"/>
      <c r="AM363" s="42"/>
      <c r="AN363" s="65"/>
      <c r="AO363" s="42"/>
      <c r="AP363" s="42"/>
      <c r="AQ363" s="42"/>
      <c r="AR363" s="42"/>
      <c r="AS363" s="65"/>
      <c r="AT363" s="42"/>
    </row>
    <row r="364" spans="1:46" x14ac:dyDescent="0.25">
      <c r="A364" s="3"/>
      <c r="B364" s="58"/>
      <c r="C364" s="59"/>
      <c r="D364" s="3"/>
      <c r="E364" s="3"/>
      <c r="F364" s="3"/>
      <c r="G364" s="3"/>
      <c r="H364" s="27"/>
      <c r="I364" s="60"/>
      <c r="J364" s="61"/>
      <c r="K364" s="30"/>
      <c r="L364" s="30"/>
      <c r="M364" s="30"/>
      <c r="N364" s="30"/>
      <c r="O364" s="31"/>
      <c r="P364" s="30"/>
      <c r="Q364" s="62"/>
      <c r="R364" s="62"/>
      <c r="S364" s="62"/>
      <c r="T364" s="62"/>
      <c r="U364" s="62"/>
      <c r="V364" s="63"/>
      <c r="W364" s="42"/>
      <c r="X364" s="63"/>
      <c r="Y364" s="65"/>
      <c r="Z364" s="42"/>
      <c r="AA364" s="42"/>
      <c r="AB364" s="42"/>
      <c r="AC364" s="42"/>
      <c r="AD364" s="65"/>
      <c r="AE364" s="42"/>
      <c r="AF364" s="42"/>
      <c r="AG364" s="42"/>
      <c r="AH364" s="42"/>
      <c r="AI364" s="65"/>
      <c r="AJ364" s="42"/>
      <c r="AK364" s="42"/>
      <c r="AL364" s="42"/>
      <c r="AM364" s="42"/>
      <c r="AN364" s="65"/>
      <c r="AO364" s="42"/>
      <c r="AP364" s="42"/>
      <c r="AQ364" s="42"/>
      <c r="AR364" s="42"/>
      <c r="AS364" s="65"/>
      <c r="AT364" s="42"/>
    </row>
    <row r="365" spans="1:46" x14ac:dyDescent="0.25">
      <c r="A365" s="3"/>
      <c r="B365" s="58"/>
      <c r="C365" s="59"/>
      <c r="D365" s="3"/>
      <c r="E365" s="3"/>
      <c r="F365" s="3"/>
      <c r="G365" s="3"/>
      <c r="H365" s="27"/>
      <c r="I365" s="60"/>
      <c r="J365" s="61"/>
      <c r="K365" s="30"/>
      <c r="L365" s="30"/>
      <c r="M365" s="30"/>
      <c r="N365" s="30"/>
      <c r="O365" s="31"/>
      <c r="P365" s="30"/>
      <c r="Q365" s="62"/>
      <c r="R365" s="62"/>
      <c r="S365" s="62"/>
      <c r="T365" s="62"/>
      <c r="U365" s="62"/>
      <c r="V365" s="63"/>
      <c r="W365" s="42"/>
      <c r="X365" s="63"/>
      <c r="Y365" s="65"/>
      <c r="Z365" s="42"/>
      <c r="AA365" s="42"/>
      <c r="AB365" s="42"/>
      <c r="AC365" s="42"/>
      <c r="AD365" s="65"/>
      <c r="AE365" s="42"/>
      <c r="AF365" s="42"/>
      <c r="AG365" s="42"/>
      <c r="AH365" s="42"/>
      <c r="AI365" s="65"/>
      <c r="AJ365" s="42"/>
      <c r="AK365" s="42"/>
      <c r="AL365" s="42"/>
      <c r="AM365" s="42"/>
      <c r="AN365" s="65"/>
      <c r="AO365" s="42"/>
      <c r="AP365" s="42"/>
      <c r="AQ365" s="42"/>
      <c r="AR365" s="42"/>
      <c r="AS365" s="65"/>
      <c r="AT365" s="42"/>
    </row>
    <row r="366" spans="1:46" x14ac:dyDescent="0.25">
      <c r="A366" s="3"/>
      <c r="B366" s="58"/>
      <c r="C366" s="59"/>
      <c r="D366" s="3"/>
      <c r="E366" s="3"/>
      <c r="F366" s="3"/>
      <c r="G366" s="3"/>
      <c r="H366" s="27"/>
      <c r="I366" s="60"/>
      <c r="J366" s="61"/>
      <c r="K366" s="30"/>
      <c r="L366" s="30"/>
      <c r="M366" s="30"/>
      <c r="N366" s="30"/>
      <c r="O366" s="31"/>
      <c r="P366" s="30"/>
      <c r="Q366" s="62"/>
      <c r="R366" s="62"/>
      <c r="S366" s="62"/>
      <c r="T366" s="62"/>
      <c r="U366" s="62"/>
      <c r="V366" s="63"/>
      <c r="W366" s="42"/>
      <c r="X366" s="63"/>
      <c r="Y366" s="65"/>
      <c r="Z366" s="42"/>
      <c r="AA366" s="42"/>
      <c r="AB366" s="42"/>
      <c r="AC366" s="42"/>
      <c r="AD366" s="65"/>
      <c r="AE366" s="42"/>
      <c r="AF366" s="42"/>
      <c r="AG366" s="42"/>
      <c r="AH366" s="42"/>
      <c r="AI366" s="65"/>
      <c r="AJ366" s="42"/>
      <c r="AK366" s="42"/>
      <c r="AL366" s="42"/>
      <c r="AM366" s="42"/>
      <c r="AN366" s="65"/>
      <c r="AO366" s="42"/>
      <c r="AP366" s="42"/>
      <c r="AQ366" s="42"/>
      <c r="AR366" s="42"/>
      <c r="AS366" s="65"/>
      <c r="AT366" s="42"/>
    </row>
    <row r="367" spans="1:46" x14ac:dyDescent="0.25">
      <c r="A367" s="3"/>
      <c r="B367" s="58"/>
      <c r="C367" s="59"/>
      <c r="D367" s="3"/>
      <c r="E367" s="3"/>
      <c r="F367" s="3"/>
      <c r="G367" s="3"/>
      <c r="H367" s="27"/>
      <c r="I367" s="60"/>
      <c r="J367" s="61"/>
      <c r="K367" s="30"/>
      <c r="L367" s="30"/>
      <c r="M367" s="30"/>
      <c r="N367" s="30"/>
      <c r="O367" s="31"/>
      <c r="P367" s="30"/>
      <c r="Q367" s="62"/>
      <c r="R367" s="62"/>
      <c r="S367" s="62"/>
      <c r="T367" s="62"/>
      <c r="U367" s="62"/>
      <c r="V367" s="63"/>
      <c r="W367" s="42"/>
      <c r="X367" s="63"/>
      <c r="Y367" s="65"/>
      <c r="Z367" s="42"/>
      <c r="AA367" s="42"/>
      <c r="AB367" s="42"/>
      <c r="AC367" s="42"/>
      <c r="AD367" s="65"/>
      <c r="AE367" s="42"/>
      <c r="AF367" s="42"/>
      <c r="AG367" s="42"/>
      <c r="AH367" s="42"/>
      <c r="AI367" s="65"/>
      <c r="AJ367" s="42"/>
      <c r="AK367" s="42"/>
      <c r="AL367" s="42"/>
      <c r="AM367" s="42"/>
      <c r="AN367" s="65"/>
      <c r="AO367" s="42"/>
      <c r="AP367" s="42"/>
      <c r="AQ367" s="42"/>
      <c r="AR367" s="42"/>
      <c r="AS367" s="65"/>
      <c r="AT367" s="42"/>
    </row>
    <row r="368" spans="1:46" x14ac:dyDescent="0.25">
      <c r="A368" s="3"/>
      <c r="B368" s="58"/>
      <c r="C368" s="59"/>
      <c r="D368" s="3"/>
      <c r="E368" s="3"/>
      <c r="F368" s="3"/>
      <c r="G368" s="3"/>
      <c r="H368" s="27"/>
      <c r="I368" s="60"/>
      <c r="J368" s="61"/>
      <c r="K368" s="30"/>
      <c r="L368" s="30"/>
      <c r="M368" s="30"/>
      <c r="N368" s="30"/>
      <c r="O368" s="31"/>
      <c r="P368" s="30"/>
      <c r="Q368" s="62"/>
      <c r="R368" s="62"/>
      <c r="S368" s="62"/>
      <c r="T368" s="62"/>
      <c r="U368" s="62"/>
      <c r="V368" s="63"/>
      <c r="W368" s="42"/>
      <c r="X368" s="63"/>
      <c r="Y368" s="65"/>
      <c r="Z368" s="42"/>
      <c r="AA368" s="42"/>
      <c r="AB368" s="42"/>
      <c r="AC368" s="42"/>
      <c r="AD368" s="65"/>
      <c r="AE368" s="42"/>
      <c r="AF368" s="42"/>
      <c r="AG368" s="42"/>
      <c r="AH368" s="42"/>
      <c r="AI368" s="65"/>
      <c r="AJ368" s="42"/>
      <c r="AK368" s="42"/>
      <c r="AL368" s="42"/>
      <c r="AM368" s="42"/>
      <c r="AN368" s="65"/>
      <c r="AO368" s="42"/>
      <c r="AP368" s="42"/>
      <c r="AQ368" s="42"/>
      <c r="AR368" s="42"/>
      <c r="AS368" s="65"/>
      <c r="AT368" s="42"/>
    </row>
    <row r="369" spans="1:46" x14ac:dyDescent="0.25">
      <c r="A369" s="3"/>
      <c r="B369" s="58"/>
      <c r="C369" s="59"/>
      <c r="D369" s="3"/>
      <c r="E369" s="3"/>
      <c r="F369" s="3"/>
      <c r="G369" s="3"/>
      <c r="H369" s="27"/>
      <c r="I369" s="60"/>
      <c r="J369" s="61"/>
      <c r="K369" s="30"/>
      <c r="L369" s="30"/>
      <c r="M369" s="30"/>
      <c r="N369" s="30"/>
      <c r="O369" s="31"/>
      <c r="P369" s="30"/>
      <c r="Q369" s="62"/>
      <c r="R369" s="62"/>
      <c r="S369" s="62"/>
      <c r="T369" s="62"/>
      <c r="U369" s="62"/>
      <c r="V369" s="63"/>
      <c r="W369" s="42"/>
      <c r="X369" s="63"/>
      <c r="Y369" s="65"/>
      <c r="Z369" s="42"/>
      <c r="AA369" s="42"/>
      <c r="AB369" s="42"/>
      <c r="AC369" s="42"/>
      <c r="AD369" s="65"/>
      <c r="AE369" s="42"/>
      <c r="AF369" s="42"/>
      <c r="AG369" s="42"/>
      <c r="AH369" s="42"/>
      <c r="AI369" s="65"/>
      <c r="AJ369" s="42"/>
      <c r="AK369" s="42"/>
      <c r="AL369" s="42"/>
      <c r="AM369" s="42"/>
      <c r="AN369" s="65"/>
      <c r="AO369" s="42"/>
      <c r="AP369" s="42"/>
      <c r="AQ369" s="42"/>
      <c r="AR369" s="42"/>
      <c r="AS369" s="65"/>
      <c r="AT369" s="42"/>
    </row>
    <row r="370" spans="1:46" x14ac:dyDescent="0.25">
      <c r="A370" s="3"/>
      <c r="B370" s="58"/>
      <c r="C370" s="59"/>
      <c r="D370" s="3"/>
      <c r="E370" s="3"/>
      <c r="F370" s="3"/>
      <c r="G370" s="3"/>
      <c r="H370" s="27"/>
      <c r="I370" s="60"/>
      <c r="J370" s="61"/>
      <c r="K370" s="30"/>
      <c r="L370" s="30"/>
      <c r="M370" s="30"/>
      <c r="N370" s="30"/>
      <c r="O370" s="31"/>
      <c r="P370" s="30"/>
      <c r="Q370" s="62"/>
      <c r="R370" s="62"/>
      <c r="S370" s="62"/>
      <c r="T370" s="62"/>
      <c r="U370" s="62"/>
      <c r="V370" s="63"/>
      <c r="W370" s="42"/>
      <c r="X370" s="63"/>
      <c r="Y370" s="65"/>
      <c r="Z370" s="42"/>
      <c r="AA370" s="42"/>
      <c r="AB370" s="42"/>
      <c r="AC370" s="42"/>
      <c r="AD370" s="65"/>
      <c r="AE370" s="42"/>
      <c r="AF370" s="42"/>
      <c r="AG370" s="42"/>
      <c r="AH370" s="42"/>
      <c r="AI370" s="65"/>
      <c r="AJ370" s="42"/>
      <c r="AK370" s="42"/>
      <c r="AL370" s="42"/>
      <c r="AM370" s="42"/>
      <c r="AN370" s="65"/>
      <c r="AO370" s="42"/>
      <c r="AP370" s="42"/>
      <c r="AQ370" s="42"/>
      <c r="AR370" s="42"/>
      <c r="AS370" s="65"/>
      <c r="AT370" s="42"/>
    </row>
    <row r="371" spans="1:46" x14ac:dyDescent="0.25">
      <c r="A371" s="3"/>
      <c r="B371" s="58"/>
      <c r="C371" s="59"/>
      <c r="D371" s="3"/>
      <c r="E371" s="3"/>
      <c r="F371" s="3"/>
      <c r="G371" s="3"/>
      <c r="H371" s="27"/>
      <c r="I371" s="60"/>
      <c r="J371" s="61"/>
      <c r="K371" s="30"/>
      <c r="L371" s="30"/>
      <c r="M371" s="30"/>
      <c r="N371" s="30"/>
      <c r="O371" s="31"/>
      <c r="P371" s="30"/>
      <c r="Q371" s="62"/>
      <c r="R371" s="62"/>
      <c r="S371" s="62"/>
      <c r="T371" s="62"/>
      <c r="U371" s="62"/>
      <c r="V371" s="63"/>
      <c r="W371" s="42"/>
      <c r="X371" s="63"/>
      <c r="Y371" s="65"/>
      <c r="Z371" s="42"/>
      <c r="AA371" s="42"/>
      <c r="AB371" s="42"/>
      <c r="AC371" s="42"/>
      <c r="AD371" s="65"/>
      <c r="AE371" s="42"/>
      <c r="AF371" s="42"/>
      <c r="AG371" s="42"/>
      <c r="AH371" s="42"/>
      <c r="AI371" s="65"/>
      <c r="AJ371" s="42"/>
      <c r="AK371" s="42"/>
      <c r="AL371" s="42"/>
      <c r="AM371" s="42"/>
      <c r="AN371" s="65"/>
      <c r="AO371" s="42"/>
      <c r="AP371" s="42"/>
      <c r="AQ371" s="42"/>
      <c r="AR371" s="42"/>
      <c r="AS371" s="65"/>
      <c r="AT371" s="42"/>
    </row>
    <row r="372" spans="1:46" x14ac:dyDescent="0.25">
      <c r="A372" s="3"/>
      <c r="B372" s="58"/>
      <c r="C372" s="59"/>
      <c r="D372" s="3"/>
      <c r="E372" s="3"/>
      <c r="F372" s="3"/>
      <c r="G372" s="3"/>
      <c r="H372" s="27"/>
      <c r="I372" s="60"/>
      <c r="J372" s="61"/>
      <c r="K372" s="30"/>
      <c r="L372" s="30"/>
      <c r="M372" s="30"/>
      <c r="N372" s="30"/>
      <c r="O372" s="31"/>
      <c r="P372" s="30"/>
      <c r="Q372" s="62"/>
      <c r="R372" s="62"/>
      <c r="S372" s="62"/>
      <c r="T372" s="62"/>
      <c r="U372" s="62"/>
      <c r="V372" s="63"/>
      <c r="W372" s="42"/>
      <c r="X372" s="63"/>
      <c r="Y372" s="65"/>
      <c r="Z372" s="42"/>
      <c r="AA372" s="42"/>
      <c r="AB372" s="42"/>
      <c r="AC372" s="42"/>
      <c r="AD372" s="65"/>
      <c r="AE372" s="42"/>
      <c r="AF372" s="42"/>
      <c r="AG372" s="42"/>
      <c r="AH372" s="42"/>
      <c r="AI372" s="65"/>
      <c r="AJ372" s="42"/>
      <c r="AK372" s="42"/>
      <c r="AL372" s="42"/>
      <c r="AM372" s="42"/>
      <c r="AN372" s="65"/>
      <c r="AO372" s="42"/>
      <c r="AP372" s="42"/>
      <c r="AQ372" s="42"/>
      <c r="AR372" s="42"/>
      <c r="AS372" s="65"/>
      <c r="AT372" s="42"/>
    </row>
    <row r="373" spans="1:46" x14ac:dyDescent="0.25">
      <c r="A373" s="3"/>
      <c r="B373" s="58"/>
      <c r="C373" s="59"/>
      <c r="D373" s="3"/>
      <c r="E373" s="3"/>
      <c r="F373" s="3"/>
      <c r="G373" s="3"/>
      <c r="H373" s="27"/>
      <c r="I373" s="60"/>
      <c r="J373" s="61"/>
      <c r="K373" s="30"/>
      <c r="L373" s="30"/>
      <c r="M373" s="30"/>
      <c r="N373" s="30"/>
      <c r="O373" s="31"/>
      <c r="P373" s="30"/>
      <c r="Q373" s="62"/>
      <c r="R373" s="62"/>
      <c r="S373" s="62"/>
      <c r="T373" s="62"/>
      <c r="U373" s="62"/>
      <c r="V373" s="63"/>
      <c r="W373" s="42"/>
      <c r="X373" s="63"/>
      <c r="Y373" s="65"/>
      <c r="Z373" s="42"/>
      <c r="AA373" s="42"/>
      <c r="AB373" s="42"/>
      <c r="AC373" s="42"/>
      <c r="AD373" s="65"/>
      <c r="AE373" s="42"/>
      <c r="AF373" s="42"/>
      <c r="AG373" s="42"/>
      <c r="AH373" s="42"/>
      <c r="AI373" s="65"/>
      <c r="AJ373" s="42"/>
      <c r="AK373" s="42"/>
      <c r="AL373" s="42"/>
      <c r="AM373" s="42"/>
      <c r="AN373" s="65"/>
      <c r="AO373" s="42"/>
      <c r="AP373" s="42"/>
      <c r="AQ373" s="42"/>
      <c r="AR373" s="42"/>
      <c r="AS373" s="65"/>
      <c r="AT373" s="42"/>
    </row>
    <row r="374" spans="1:46" x14ac:dyDescent="0.25">
      <c r="A374" s="3"/>
      <c r="B374" s="58"/>
      <c r="C374" s="59"/>
      <c r="D374" s="3"/>
      <c r="E374" s="3"/>
      <c r="F374" s="3"/>
      <c r="G374" s="3"/>
      <c r="H374" s="27"/>
      <c r="I374" s="60"/>
      <c r="J374" s="61"/>
      <c r="K374" s="30"/>
      <c r="L374" s="30"/>
      <c r="M374" s="30"/>
      <c r="N374" s="30"/>
      <c r="O374" s="31"/>
      <c r="P374" s="30"/>
      <c r="Q374" s="62"/>
      <c r="R374" s="62"/>
      <c r="S374" s="62"/>
      <c r="T374" s="62"/>
      <c r="U374" s="62"/>
      <c r="V374" s="63"/>
      <c r="W374" s="42"/>
      <c r="X374" s="63"/>
      <c r="Y374" s="65"/>
      <c r="Z374" s="42"/>
      <c r="AA374" s="42"/>
      <c r="AB374" s="42"/>
      <c r="AC374" s="42"/>
      <c r="AD374" s="65"/>
      <c r="AE374" s="42"/>
      <c r="AF374" s="42"/>
      <c r="AG374" s="42"/>
      <c r="AH374" s="42"/>
      <c r="AI374" s="65"/>
      <c r="AJ374" s="42"/>
      <c r="AK374" s="42"/>
      <c r="AL374" s="42"/>
      <c r="AM374" s="42"/>
      <c r="AN374" s="65"/>
      <c r="AO374" s="42"/>
      <c r="AP374" s="42"/>
      <c r="AQ374" s="42"/>
      <c r="AR374" s="42"/>
      <c r="AS374" s="65"/>
      <c r="AT374" s="42"/>
    </row>
    <row r="375" spans="1:46" x14ac:dyDescent="0.25">
      <c r="A375" s="3"/>
      <c r="B375" s="58"/>
      <c r="C375" s="59"/>
      <c r="D375" s="3"/>
      <c r="E375" s="3"/>
      <c r="F375" s="3"/>
      <c r="G375" s="3"/>
      <c r="H375" s="27"/>
      <c r="I375" s="60"/>
      <c r="J375" s="61"/>
      <c r="K375" s="30"/>
      <c r="L375" s="30"/>
      <c r="M375" s="30"/>
      <c r="N375" s="30"/>
      <c r="O375" s="31"/>
      <c r="P375" s="30"/>
      <c r="Q375" s="62"/>
      <c r="R375" s="62"/>
      <c r="S375" s="62"/>
      <c r="T375" s="62"/>
      <c r="U375" s="62"/>
      <c r="V375" s="63"/>
      <c r="W375" s="42"/>
      <c r="X375" s="63"/>
      <c r="Y375" s="65"/>
      <c r="Z375" s="42"/>
      <c r="AA375" s="42"/>
      <c r="AB375" s="42"/>
      <c r="AC375" s="42"/>
      <c r="AD375" s="65"/>
      <c r="AE375" s="42"/>
      <c r="AF375" s="42"/>
      <c r="AG375" s="42"/>
      <c r="AH375" s="42"/>
      <c r="AI375" s="65"/>
      <c r="AJ375" s="42"/>
      <c r="AK375" s="42"/>
      <c r="AL375" s="42"/>
      <c r="AM375" s="42"/>
      <c r="AN375" s="65"/>
      <c r="AO375" s="42"/>
      <c r="AP375" s="42"/>
      <c r="AQ375" s="42"/>
      <c r="AR375" s="42"/>
      <c r="AS375" s="65"/>
      <c r="AT375" s="42"/>
    </row>
    <row r="376" spans="1:46" x14ac:dyDescent="0.25">
      <c r="A376" s="3"/>
      <c r="B376" s="58"/>
      <c r="C376" s="59"/>
      <c r="D376" s="3"/>
      <c r="E376" s="3"/>
      <c r="F376" s="3"/>
      <c r="G376" s="3"/>
      <c r="H376" s="27"/>
      <c r="I376" s="60"/>
      <c r="J376" s="61"/>
      <c r="K376" s="30"/>
      <c r="L376" s="30"/>
      <c r="M376" s="30"/>
      <c r="N376" s="30"/>
      <c r="O376" s="31"/>
      <c r="P376" s="30"/>
      <c r="Q376" s="62"/>
      <c r="R376" s="62"/>
      <c r="S376" s="62"/>
      <c r="T376" s="62"/>
      <c r="U376" s="62"/>
      <c r="V376" s="63"/>
      <c r="W376" s="42"/>
      <c r="X376" s="63"/>
      <c r="Y376" s="65"/>
      <c r="Z376" s="42"/>
      <c r="AA376" s="42"/>
      <c r="AB376" s="42"/>
      <c r="AC376" s="42"/>
      <c r="AD376" s="65"/>
      <c r="AE376" s="42"/>
      <c r="AF376" s="42"/>
      <c r="AG376" s="42"/>
      <c r="AH376" s="42"/>
      <c r="AI376" s="65"/>
      <c r="AJ376" s="42"/>
      <c r="AK376" s="42"/>
      <c r="AL376" s="42"/>
      <c r="AM376" s="42"/>
      <c r="AN376" s="65"/>
      <c r="AO376" s="42"/>
      <c r="AP376" s="42"/>
      <c r="AQ376" s="42"/>
      <c r="AR376" s="42"/>
      <c r="AS376" s="65"/>
      <c r="AT376" s="42"/>
    </row>
    <row r="377" spans="1:46" x14ac:dyDescent="0.25">
      <c r="A377" s="3"/>
      <c r="B377" s="58"/>
      <c r="C377" s="59"/>
      <c r="D377" s="3"/>
      <c r="E377" s="3"/>
      <c r="F377" s="3"/>
      <c r="G377" s="3"/>
      <c r="H377" s="27"/>
      <c r="I377" s="60"/>
      <c r="J377" s="61"/>
      <c r="K377" s="30"/>
      <c r="L377" s="30"/>
      <c r="M377" s="30"/>
      <c r="N377" s="30"/>
      <c r="O377" s="31"/>
      <c r="P377" s="30"/>
      <c r="Q377" s="62"/>
      <c r="R377" s="62"/>
      <c r="S377" s="62"/>
      <c r="T377" s="62"/>
      <c r="U377" s="62"/>
      <c r="V377" s="63"/>
      <c r="W377" s="42"/>
      <c r="X377" s="63"/>
      <c r="Y377" s="65"/>
      <c r="Z377" s="42"/>
      <c r="AA377" s="42"/>
      <c r="AB377" s="42"/>
      <c r="AC377" s="42"/>
      <c r="AD377" s="65"/>
      <c r="AE377" s="42"/>
      <c r="AF377" s="42"/>
      <c r="AG377" s="42"/>
      <c r="AH377" s="42"/>
      <c r="AI377" s="65"/>
      <c r="AJ377" s="42"/>
      <c r="AK377" s="42"/>
      <c r="AL377" s="42"/>
      <c r="AM377" s="42"/>
      <c r="AN377" s="65"/>
      <c r="AO377" s="42"/>
      <c r="AP377" s="42"/>
      <c r="AQ377" s="42"/>
      <c r="AR377" s="42"/>
      <c r="AS377" s="65"/>
      <c r="AT377" s="42"/>
    </row>
    <row r="378" spans="1:46" x14ac:dyDescent="0.25">
      <c r="A378" s="3"/>
      <c r="B378" s="58"/>
      <c r="C378" s="59"/>
      <c r="D378" s="3"/>
      <c r="E378" s="3"/>
      <c r="F378" s="3"/>
      <c r="G378" s="3"/>
      <c r="H378" s="27"/>
      <c r="I378" s="60"/>
      <c r="J378" s="61"/>
      <c r="K378" s="30"/>
      <c r="L378" s="30"/>
      <c r="M378" s="30"/>
      <c r="N378" s="30"/>
      <c r="O378" s="31"/>
      <c r="P378" s="30"/>
      <c r="Q378" s="62"/>
      <c r="R378" s="62"/>
      <c r="S378" s="62"/>
      <c r="T378" s="62"/>
      <c r="U378" s="62"/>
      <c r="V378" s="63"/>
      <c r="W378" s="42"/>
      <c r="X378" s="63"/>
      <c r="Y378" s="65"/>
      <c r="Z378" s="42"/>
      <c r="AA378" s="42"/>
      <c r="AB378" s="42"/>
      <c r="AC378" s="42"/>
      <c r="AD378" s="65"/>
      <c r="AE378" s="42"/>
      <c r="AF378" s="42"/>
      <c r="AG378" s="42"/>
      <c r="AH378" s="42"/>
      <c r="AI378" s="65"/>
      <c r="AJ378" s="42"/>
      <c r="AK378" s="42"/>
      <c r="AL378" s="42"/>
      <c r="AM378" s="42"/>
      <c r="AN378" s="65"/>
      <c r="AO378" s="42"/>
      <c r="AP378" s="42"/>
      <c r="AQ378" s="42"/>
      <c r="AR378" s="42"/>
      <c r="AS378" s="65"/>
      <c r="AT378" s="42"/>
    </row>
    <row r="379" spans="1:46" x14ac:dyDescent="0.25">
      <c r="A379" s="3"/>
      <c r="B379" s="58"/>
      <c r="C379" s="59"/>
      <c r="D379" s="3"/>
      <c r="E379" s="3"/>
      <c r="F379" s="3"/>
      <c r="G379" s="3"/>
      <c r="H379" s="27"/>
      <c r="I379" s="60"/>
      <c r="J379" s="61"/>
      <c r="K379" s="30"/>
      <c r="L379" s="30"/>
      <c r="M379" s="30"/>
      <c r="N379" s="30"/>
      <c r="O379" s="31"/>
      <c r="P379" s="30"/>
      <c r="Q379" s="62"/>
      <c r="R379" s="62"/>
      <c r="S379" s="62"/>
      <c r="T379" s="62"/>
      <c r="U379" s="62"/>
      <c r="V379" s="63"/>
      <c r="W379" s="42"/>
      <c r="X379" s="63"/>
      <c r="Y379" s="65"/>
      <c r="Z379" s="42"/>
      <c r="AA379" s="42"/>
      <c r="AB379" s="42"/>
      <c r="AC379" s="42"/>
      <c r="AD379" s="65"/>
      <c r="AE379" s="42"/>
      <c r="AF379" s="42"/>
      <c r="AG379" s="42"/>
      <c r="AH379" s="42"/>
      <c r="AI379" s="65"/>
      <c r="AJ379" s="42"/>
      <c r="AK379" s="42"/>
      <c r="AL379" s="42"/>
      <c r="AM379" s="42"/>
      <c r="AN379" s="65"/>
      <c r="AO379" s="42"/>
      <c r="AP379" s="42"/>
      <c r="AQ379" s="42"/>
      <c r="AR379" s="42"/>
      <c r="AS379" s="65"/>
      <c r="AT379" s="42"/>
    </row>
    <row r="380" spans="1:46" x14ac:dyDescent="0.25">
      <c r="A380" s="3"/>
      <c r="B380" s="58"/>
      <c r="C380" s="59"/>
      <c r="D380" s="3"/>
      <c r="E380" s="3"/>
      <c r="F380" s="3"/>
      <c r="G380" s="3"/>
      <c r="H380" s="27"/>
      <c r="I380" s="60"/>
      <c r="J380" s="61"/>
      <c r="K380" s="30"/>
      <c r="L380" s="30"/>
      <c r="M380" s="30"/>
      <c r="N380" s="30"/>
      <c r="O380" s="31"/>
      <c r="P380" s="30"/>
      <c r="Q380" s="62"/>
      <c r="R380" s="62"/>
      <c r="S380" s="62"/>
      <c r="T380" s="62"/>
      <c r="U380" s="62"/>
      <c r="V380" s="63"/>
      <c r="W380" s="42"/>
      <c r="X380" s="63"/>
      <c r="Y380" s="65"/>
      <c r="Z380" s="42"/>
      <c r="AA380" s="42"/>
      <c r="AB380" s="42"/>
      <c r="AC380" s="42"/>
      <c r="AD380" s="65"/>
      <c r="AE380" s="42"/>
      <c r="AF380" s="42"/>
      <c r="AG380" s="42"/>
      <c r="AH380" s="42"/>
      <c r="AI380" s="65"/>
      <c r="AJ380" s="42"/>
      <c r="AK380" s="42"/>
      <c r="AL380" s="42"/>
      <c r="AM380" s="42"/>
      <c r="AN380" s="65"/>
      <c r="AO380" s="42"/>
      <c r="AP380" s="42"/>
      <c r="AQ380" s="42"/>
      <c r="AR380" s="42"/>
      <c r="AS380" s="65"/>
      <c r="AT380" s="42"/>
    </row>
    <row r="381" spans="1:46" x14ac:dyDescent="0.25">
      <c r="A381" s="3"/>
      <c r="B381" s="58"/>
      <c r="C381" s="59"/>
      <c r="D381" s="3"/>
      <c r="E381" s="3"/>
      <c r="F381" s="3"/>
      <c r="G381" s="3"/>
      <c r="H381" s="27"/>
      <c r="I381" s="60"/>
      <c r="J381" s="61"/>
      <c r="K381" s="30"/>
      <c r="L381" s="30"/>
      <c r="M381" s="30"/>
      <c r="N381" s="30"/>
      <c r="O381" s="31"/>
      <c r="P381" s="30"/>
      <c r="Q381" s="62"/>
      <c r="R381" s="62"/>
      <c r="S381" s="62"/>
      <c r="T381" s="62"/>
      <c r="U381" s="62"/>
      <c r="V381" s="63"/>
      <c r="W381" s="42"/>
      <c r="X381" s="63"/>
      <c r="Y381" s="65"/>
      <c r="Z381" s="42"/>
      <c r="AA381" s="42"/>
      <c r="AB381" s="42"/>
      <c r="AC381" s="42"/>
      <c r="AD381" s="65"/>
      <c r="AE381" s="42"/>
      <c r="AF381" s="42"/>
      <c r="AG381" s="42"/>
      <c r="AH381" s="42"/>
      <c r="AI381" s="65"/>
      <c r="AJ381" s="42"/>
      <c r="AK381" s="42"/>
      <c r="AL381" s="42"/>
      <c r="AM381" s="42"/>
      <c r="AN381" s="65"/>
      <c r="AO381" s="42"/>
      <c r="AP381" s="42"/>
      <c r="AQ381" s="42"/>
      <c r="AR381" s="42"/>
      <c r="AS381" s="65"/>
      <c r="AT381" s="42"/>
    </row>
    <row r="382" spans="1:46" x14ac:dyDescent="0.25">
      <c r="A382" s="3"/>
      <c r="B382" s="58"/>
      <c r="C382" s="59"/>
      <c r="D382" s="3"/>
      <c r="E382" s="3"/>
      <c r="F382" s="3"/>
      <c r="G382" s="3"/>
      <c r="H382" s="27"/>
      <c r="I382" s="60"/>
      <c r="J382" s="61"/>
      <c r="K382" s="30"/>
      <c r="L382" s="30"/>
      <c r="M382" s="30"/>
      <c r="N382" s="30"/>
      <c r="O382" s="31"/>
      <c r="P382" s="30"/>
      <c r="Q382" s="62"/>
      <c r="R382" s="62"/>
      <c r="S382" s="62"/>
      <c r="T382" s="62"/>
      <c r="U382" s="62"/>
      <c r="V382" s="63"/>
      <c r="W382" s="42"/>
      <c r="X382" s="63"/>
      <c r="Y382" s="65"/>
      <c r="Z382" s="42"/>
      <c r="AA382" s="42"/>
      <c r="AB382" s="42"/>
      <c r="AC382" s="42"/>
      <c r="AD382" s="65"/>
      <c r="AE382" s="42"/>
      <c r="AF382" s="42"/>
      <c r="AG382" s="42"/>
      <c r="AH382" s="42"/>
      <c r="AI382" s="65"/>
      <c r="AJ382" s="42"/>
      <c r="AK382" s="42"/>
      <c r="AL382" s="42"/>
      <c r="AM382" s="42"/>
      <c r="AN382" s="65"/>
      <c r="AO382" s="42"/>
      <c r="AP382" s="42"/>
      <c r="AQ382" s="42"/>
      <c r="AR382" s="42"/>
      <c r="AS382" s="65"/>
      <c r="AT382" s="42"/>
    </row>
    <row r="383" spans="1:46" x14ac:dyDescent="0.25">
      <c r="A383" s="3"/>
      <c r="B383" s="58"/>
      <c r="C383" s="59"/>
      <c r="D383" s="3"/>
      <c r="E383" s="3"/>
      <c r="F383" s="3"/>
      <c r="G383" s="3"/>
      <c r="H383" s="27"/>
      <c r="I383" s="60"/>
      <c r="J383" s="61"/>
      <c r="K383" s="30"/>
      <c r="L383" s="30"/>
      <c r="M383" s="30"/>
      <c r="N383" s="30"/>
      <c r="O383" s="31"/>
      <c r="P383" s="30"/>
      <c r="Q383" s="62"/>
      <c r="R383" s="62"/>
      <c r="S383" s="62"/>
      <c r="T383" s="62"/>
      <c r="U383" s="62"/>
      <c r="V383" s="63"/>
      <c r="W383" s="42"/>
      <c r="X383" s="63"/>
      <c r="Y383" s="65"/>
      <c r="Z383" s="42"/>
      <c r="AA383" s="42"/>
      <c r="AB383" s="42"/>
      <c r="AC383" s="42"/>
      <c r="AD383" s="65"/>
      <c r="AE383" s="42"/>
      <c r="AF383" s="42"/>
      <c r="AG383" s="42"/>
      <c r="AH383" s="42"/>
      <c r="AI383" s="65"/>
      <c r="AJ383" s="42"/>
      <c r="AK383" s="42"/>
      <c r="AL383" s="42"/>
      <c r="AM383" s="42"/>
      <c r="AN383" s="65"/>
      <c r="AO383" s="42"/>
      <c r="AP383" s="42"/>
      <c r="AQ383" s="42"/>
      <c r="AR383" s="42"/>
      <c r="AS383" s="65"/>
      <c r="AT383" s="42"/>
    </row>
    <row r="384" spans="1:46" x14ac:dyDescent="0.25">
      <c r="A384" s="3"/>
      <c r="B384" s="58"/>
      <c r="C384" s="59"/>
      <c r="D384" s="3"/>
      <c r="E384" s="3"/>
      <c r="F384" s="3"/>
      <c r="G384" s="3"/>
      <c r="H384" s="27"/>
      <c r="I384" s="60"/>
      <c r="J384" s="61"/>
      <c r="K384" s="30"/>
      <c r="L384" s="30"/>
      <c r="M384" s="30"/>
      <c r="N384" s="30"/>
      <c r="O384" s="31"/>
      <c r="P384" s="30"/>
      <c r="Q384" s="62"/>
      <c r="R384" s="62"/>
      <c r="S384" s="62"/>
      <c r="T384" s="62"/>
      <c r="U384" s="62"/>
      <c r="V384" s="63"/>
      <c r="W384" s="42"/>
      <c r="X384" s="63"/>
      <c r="Y384" s="65"/>
      <c r="Z384" s="42"/>
      <c r="AA384" s="42"/>
      <c r="AB384" s="42"/>
      <c r="AC384" s="42"/>
      <c r="AD384" s="65"/>
      <c r="AE384" s="42"/>
      <c r="AF384" s="42"/>
      <c r="AG384" s="42"/>
      <c r="AH384" s="42"/>
      <c r="AI384" s="65"/>
      <c r="AJ384" s="42"/>
      <c r="AK384" s="42"/>
      <c r="AL384" s="42"/>
      <c r="AM384" s="42"/>
      <c r="AN384" s="65"/>
      <c r="AO384" s="42"/>
      <c r="AP384" s="42"/>
      <c r="AQ384" s="42"/>
      <c r="AR384" s="42"/>
      <c r="AS384" s="65"/>
      <c r="AT384" s="42"/>
    </row>
    <row r="385" spans="1:46" x14ac:dyDescent="0.25">
      <c r="A385" s="3"/>
      <c r="B385" s="58"/>
      <c r="C385" s="59"/>
      <c r="D385" s="3"/>
      <c r="E385" s="3"/>
      <c r="F385" s="3"/>
      <c r="G385" s="3"/>
      <c r="H385" s="27"/>
      <c r="I385" s="60"/>
      <c r="J385" s="61"/>
      <c r="K385" s="30"/>
      <c r="L385" s="30"/>
      <c r="M385" s="30"/>
      <c r="N385" s="30"/>
      <c r="O385" s="31"/>
      <c r="P385" s="30"/>
      <c r="Q385" s="62"/>
      <c r="R385" s="62"/>
      <c r="S385" s="62"/>
      <c r="T385" s="62"/>
      <c r="U385" s="62"/>
      <c r="V385" s="63"/>
      <c r="W385" s="42"/>
      <c r="X385" s="63"/>
      <c r="Y385" s="65"/>
      <c r="Z385" s="42"/>
      <c r="AA385" s="42"/>
      <c r="AB385" s="42"/>
      <c r="AC385" s="42"/>
      <c r="AD385" s="65"/>
      <c r="AE385" s="42"/>
      <c r="AF385" s="42"/>
      <c r="AG385" s="42"/>
      <c r="AH385" s="42"/>
      <c r="AI385" s="65"/>
      <c r="AJ385" s="42"/>
      <c r="AK385" s="42"/>
      <c r="AL385" s="42"/>
      <c r="AM385" s="42"/>
      <c r="AN385" s="65"/>
      <c r="AO385" s="42"/>
      <c r="AP385" s="42"/>
      <c r="AQ385" s="42"/>
      <c r="AR385" s="42"/>
      <c r="AS385" s="65"/>
      <c r="AT385" s="42"/>
    </row>
    <row r="386" spans="1:46" x14ac:dyDescent="0.25">
      <c r="A386" s="3"/>
      <c r="B386" s="58"/>
      <c r="C386" s="59"/>
      <c r="D386" s="3"/>
      <c r="E386" s="3"/>
      <c r="F386" s="3"/>
      <c r="G386" s="3"/>
      <c r="H386" s="27"/>
      <c r="I386" s="60"/>
      <c r="J386" s="61"/>
      <c r="K386" s="30"/>
      <c r="L386" s="30"/>
      <c r="M386" s="30"/>
      <c r="N386" s="30"/>
      <c r="O386" s="31"/>
      <c r="P386" s="30"/>
      <c r="Q386" s="62"/>
      <c r="R386" s="62"/>
      <c r="S386" s="62"/>
      <c r="T386" s="62"/>
      <c r="U386" s="62"/>
      <c r="V386" s="63"/>
      <c r="W386" s="42"/>
      <c r="X386" s="63"/>
      <c r="Y386" s="65"/>
      <c r="Z386" s="42"/>
      <c r="AA386" s="42"/>
      <c r="AB386" s="42"/>
      <c r="AC386" s="42"/>
      <c r="AD386" s="65"/>
      <c r="AE386" s="42"/>
      <c r="AF386" s="42"/>
      <c r="AG386" s="42"/>
      <c r="AH386" s="42"/>
      <c r="AI386" s="65"/>
      <c r="AJ386" s="42"/>
      <c r="AK386" s="42"/>
      <c r="AL386" s="42"/>
      <c r="AM386" s="42"/>
      <c r="AN386" s="65"/>
      <c r="AO386" s="42"/>
      <c r="AP386" s="42"/>
      <c r="AQ386" s="42"/>
      <c r="AR386" s="42"/>
      <c r="AS386" s="65"/>
      <c r="AT386" s="42"/>
    </row>
    <row r="387" spans="1:46" x14ac:dyDescent="0.25">
      <c r="A387" s="3"/>
      <c r="B387" s="58"/>
      <c r="C387" s="59"/>
      <c r="D387" s="3"/>
      <c r="E387" s="3"/>
      <c r="F387" s="3"/>
      <c r="G387" s="3"/>
      <c r="H387" s="27"/>
      <c r="I387" s="60"/>
      <c r="J387" s="61"/>
      <c r="K387" s="30"/>
      <c r="L387" s="30"/>
      <c r="M387" s="30"/>
      <c r="N387" s="30"/>
      <c r="O387" s="31"/>
      <c r="P387" s="30"/>
      <c r="Q387" s="62"/>
      <c r="R387" s="62"/>
      <c r="S387" s="62"/>
      <c r="T387" s="62"/>
      <c r="U387" s="62"/>
      <c r="V387" s="63"/>
      <c r="W387" s="42"/>
      <c r="X387" s="63"/>
      <c r="Y387" s="65"/>
      <c r="Z387" s="42"/>
      <c r="AA387" s="42"/>
      <c r="AB387" s="42"/>
      <c r="AC387" s="42"/>
      <c r="AD387" s="65"/>
      <c r="AE387" s="42"/>
      <c r="AF387" s="42"/>
      <c r="AG387" s="42"/>
      <c r="AH387" s="42"/>
      <c r="AI387" s="65"/>
      <c r="AJ387" s="42"/>
      <c r="AK387" s="42"/>
      <c r="AL387" s="42"/>
      <c r="AM387" s="42"/>
      <c r="AN387" s="65"/>
      <c r="AO387" s="42"/>
      <c r="AP387" s="42"/>
      <c r="AQ387" s="42"/>
      <c r="AR387" s="42"/>
      <c r="AS387" s="65"/>
      <c r="AT387" s="42"/>
    </row>
    <row r="388" spans="1:46" x14ac:dyDescent="0.25">
      <c r="A388" s="3"/>
      <c r="B388" s="58"/>
      <c r="C388" s="59"/>
      <c r="D388" s="3"/>
      <c r="E388" s="3"/>
      <c r="F388" s="3"/>
      <c r="G388" s="3"/>
      <c r="H388" s="27"/>
      <c r="I388" s="60"/>
      <c r="J388" s="61"/>
      <c r="K388" s="30"/>
      <c r="L388" s="30"/>
      <c r="M388" s="30"/>
      <c r="N388" s="30"/>
      <c r="O388" s="31"/>
      <c r="P388" s="30"/>
      <c r="Q388" s="62"/>
      <c r="R388" s="62"/>
      <c r="S388" s="62"/>
      <c r="T388" s="62"/>
      <c r="U388" s="62"/>
      <c r="V388" s="63"/>
      <c r="W388" s="42"/>
      <c r="X388" s="63"/>
      <c r="Y388" s="65"/>
      <c r="Z388" s="42"/>
      <c r="AA388" s="42"/>
      <c r="AB388" s="42"/>
      <c r="AC388" s="42"/>
      <c r="AD388" s="65"/>
      <c r="AE388" s="42"/>
      <c r="AF388" s="42"/>
      <c r="AG388" s="42"/>
      <c r="AH388" s="42"/>
      <c r="AI388" s="65"/>
      <c r="AJ388" s="42"/>
      <c r="AK388" s="42"/>
      <c r="AL388" s="42"/>
      <c r="AM388" s="42"/>
      <c r="AN388" s="65"/>
      <c r="AO388" s="42"/>
      <c r="AP388" s="42"/>
      <c r="AQ388" s="42"/>
      <c r="AR388" s="42"/>
      <c r="AS388" s="65"/>
      <c r="AT388" s="42"/>
    </row>
    <row r="389" spans="1:46" x14ac:dyDescent="0.25">
      <c r="A389" s="3"/>
      <c r="B389" s="58"/>
      <c r="C389" s="59"/>
      <c r="D389" s="3"/>
      <c r="E389" s="3"/>
      <c r="F389" s="3"/>
      <c r="G389" s="3"/>
      <c r="H389" s="27"/>
      <c r="I389" s="60"/>
      <c r="J389" s="61"/>
      <c r="K389" s="30"/>
      <c r="L389" s="30"/>
      <c r="M389" s="30"/>
      <c r="N389" s="30"/>
      <c r="O389" s="31"/>
      <c r="P389" s="30"/>
      <c r="Q389" s="62"/>
      <c r="R389" s="62"/>
      <c r="S389" s="62"/>
      <c r="T389" s="62"/>
      <c r="U389" s="62"/>
      <c r="V389" s="63"/>
      <c r="W389" s="42"/>
      <c r="X389" s="63"/>
      <c r="Y389" s="65"/>
      <c r="Z389" s="42"/>
      <c r="AA389" s="42"/>
      <c r="AB389" s="42"/>
      <c r="AC389" s="42"/>
      <c r="AD389" s="65"/>
      <c r="AE389" s="42"/>
      <c r="AF389" s="42"/>
      <c r="AG389" s="42"/>
      <c r="AH389" s="42"/>
      <c r="AI389" s="65"/>
      <c r="AJ389" s="42"/>
      <c r="AK389" s="42"/>
      <c r="AL389" s="42"/>
      <c r="AM389" s="42"/>
      <c r="AN389" s="65"/>
      <c r="AO389" s="42"/>
      <c r="AP389" s="42"/>
      <c r="AQ389" s="42"/>
      <c r="AR389" s="42"/>
      <c r="AS389" s="65"/>
      <c r="AT389" s="42"/>
    </row>
    <row r="390" spans="1:46" x14ac:dyDescent="0.25">
      <c r="A390" s="3"/>
      <c r="B390" s="58"/>
      <c r="C390" s="59"/>
      <c r="D390" s="3"/>
      <c r="E390" s="3"/>
      <c r="F390" s="3"/>
      <c r="G390" s="3"/>
      <c r="H390" s="27"/>
      <c r="I390" s="60"/>
      <c r="J390" s="61"/>
      <c r="K390" s="30"/>
      <c r="L390" s="30"/>
      <c r="M390" s="30"/>
      <c r="N390" s="30"/>
      <c r="O390" s="31"/>
      <c r="P390" s="30"/>
      <c r="Q390" s="62"/>
      <c r="R390" s="62"/>
      <c r="S390" s="62"/>
      <c r="T390" s="62"/>
      <c r="U390" s="62"/>
      <c r="V390" s="63"/>
      <c r="W390" s="42"/>
      <c r="X390" s="63"/>
      <c r="Y390" s="65"/>
      <c r="Z390" s="42"/>
      <c r="AA390" s="42"/>
      <c r="AB390" s="42"/>
      <c r="AC390" s="42"/>
      <c r="AD390" s="65"/>
      <c r="AE390" s="42"/>
      <c r="AF390" s="42"/>
      <c r="AG390" s="42"/>
      <c r="AH390" s="42"/>
      <c r="AI390" s="65"/>
      <c r="AJ390" s="42"/>
      <c r="AK390" s="42"/>
      <c r="AL390" s="42"/>
      <c r="AM390" s="42"/>
      <c r="AN390" s="65"/>
      <c r="AO390" s="42"/>
      <c r="AP390" s="42"/>
      <c r="AQ390" s="42"/>
      <c r="AR390" s="42"/>
      <c r="AS390" s="65"/>
      <c r="AT390" s="42"/>
    </row>
    <row r="391" spans="1:46" x14ac:dyDescent="0.25">
      <c r="A391" s="3"/>
      <c r="B391" s="58"/>
      <c r="C391" s="59"/>
      <c r="D391" s="3"/>
      <c r="E391" s="3"/>
      <c r="F391" s="3"/>
      <c r="G391" s="3"/>
      <c r="H391" s="27"/>
      <c r="I391" s="60"/>
      <c r="J391" s="61"/>
      <c r="K391" s="30"/>
      <c r="L391" s="30"/>
      <c r="M391" s="30"/>
      <c r="N391" s="30"/>
      <c r="O391" s="31"/>
      <c r="P391" s="30"/>
      <c r="Q391" s="62"/>
      <c r="R391" s="62"/>
      <c r="S391" s="62"/>
      <c r="T391" s="62"/>
      <c r="U391" s="62"/>
      <c r="V391" s="63"/>
      <c r="W391" s="42"/>
      <c r="X391" s="63"/>
      <c r="Y391" s="65"/>
      <c r="Z391" s="42"/>
      <c r="AA391" s="42"/>
      <c r="AB391" s="42"/>
      <c r="AC391" s="42"/>
      <c r="AD391" s="65"/>
      <c r="AE391" s="42"/>
      <c r="AF391" s="42"/>
      <c r="AG391" s="42"/>
      <c r="AH391" s="42"/>
      <c r="AI391" s="65"/>
      <c r="AJ391" s="42"/>
      <c r="AK391" s="42"/>
      <c r="AL391" s="42"/>
      <c r="AM391" s="42"/>
      <c r="AN391" s="65"/>
      <c r="AO391" s="42"/>
      <c r="AP391" s="42"/>
      <c r="AQ391" s="42"/>
      <c r="AR391" s="42"/>
      <c r="AS391" s="65"/>
      <c r="AT391" s="42"/>
    </row>
    <row r="392" spans="1:46" x14ac:dyDescent="0.25">
      <c r="A392" s="3"/>
      <c r="B392" s="58"/>
      <c r="C392" s="59"/>
      <c r="D392" s="3"/>
      <c r="E392" s="3"/>
      <c r="F392" s="3"/>
      <c r="G392" s="3"/>
      <c r="H392" s="27"/>
      <c r="I392" s="60"/>
      <c r="J392" s="61"/>
      <c r="K392" s="30"/>
      <c r="L392" s="30"/>
      <c r="M392" s="30"/>
      <c r="N392" s="30"/>
      <c r="O392" s="31"/>
      <c r="P392" s="30"/>
      <c r="Q392" s="62"/>
      <c r="R392" s="62"/>
      <c r="S392" s="62"/>
      <c r="T392" s="62"/>
      <c r="U392" s="62"/>
      <c r="V392" s="63"/>
      <c r="W392" s="42"/>
      <c r="X392" s="63"/>
      <c r="Y392" s="65"/>
      <c r="Z392" s="42"/>
      <c r="AA392" s="42"/>
      <c r="AB392" s="42"/>
      <c r="AC392" s="42"/>
      <c r="AD392" s="65"/>
      <c r="AE392" s="42"/>
      <c r="AF392" s="42"/>
      <c r="AG392" s="42"/>
      <c r="AH392" s="42"/>
      <c r="AI392" s="65"/>
      <c r="AJ392" s="42"/>
      <c r="AK392" s="42"/>
      <c r="AL392" s="42"/>
      <c r="AM392" s="42"/>
      <c r="AN392" s="65"/>
      <c r="AO392" s="42"/>
      <c r="AP392" s="42"/>
      <c r="AQ392" s="42"/>
      <c r="AR392" s="42"/>
      <c r="AS392" s="65"/>
      <c r="AT392" s="42"/>
    </row>
    <row r="393" spans="1:46" x14ac:dyDescent="0.25">
      <c r="A393" s="3"/>
      <c r="B393" s="58"/>
      <c r="C393" s="59"/>
      <c r="D393" s="3"/>
      <c r="E393" s="3"/>
      <c r="F393" s="3"/>
      <c r="G393" s="3"/>
      <c r="H393" s="27"/>
      <c r="I393" s="60"/>
      <c r="J393" s="61"/>
      <c r="K393" s="30"/>
      <c r="L393" s="30"/>
      <c r="M393" s="30"/>
      <c r="N393" s="30"/>
      <c r="O393" s="31"/>
      <c r="P393" s="30"/>
      <c r="Q393" s="62"/>
      <c r="R393" s="62"/>
      <c r="S393" s="62"/>
      <c r="T393" s="62"/>
      <c r="U393" s="62"/>
      <c r="V393" s="63"/>
      <c r="W393" s="42"/>
      <c r="X393" s="63"/>
      <c r="Y393" s="65"/>
      <c r="Z393" s="42"/>
      <c r="AA393" s="42"/>
      <c r="AB393" s="42"/>
      <c r="AC393" s="42"/>
      <c r="AD393" s="65"/>
      <c r="AE393" s="42"/>
      <c r="AF393" s="42"/>
      <c r="AG393" s="42"/>
      <c r="AH393" s="42"/>
      <c r="AI393" s="65"/>
      <c r="AJ393" s="42"/>
      <c r="AK393" s="42"/>
      <c r="AL393" s="42"/>
      <c r="AM393" s="42"/>
      <c r="AN393" s="65"/>
      <c r="AO393" s="42"/>
      <c r="AP393" s="42"/>
      <c r="AQ393" s="42"/>
      <c r="AR393" s="42"/>
      <c r="AS393" s="65"/>
      <c r="AT393" s="42"/>
    </row>
    <row r="394" spans="1:46" x14ac:dyDescent="0.25">
      <c r="A394" s="3"/>
      <c r="B394" s="58"/>
      <c r="C394" s="59"/>
      <c r="D394" s="3"/>
      <c r="E394" s="3"/>
      <c r="F394" s="3"/>
      <c r="G394" s="3"/>
      <c r="H394" s="27"/>
      <c r="I394" s="60"/>
      <c r="J394" s="61"/>
      <c r="K394" s="30"/>
      <c r="L394" s="30"/>
      <c r="M394" s="30"/>
      <c r="N394" s="30"/>
      <c r="O394" s="31"/>
      <c r="P394" s="30"/>
      <c r="Q394" s="62"/>
      <c r="R394" s="62"/>
      <c r="S394" s="62"/>
      <c r="T394" s="62"/>
      <c r="U394" s="62"/>
      <c r="V394" s="63"/>
      <c r="W394" s="42"/>
      <c r="X394" s="63"/>
      <c r="Y394" s="65"/>
      <c r="Z394" s="42"/>
      <c r="AA394" s="42"/>
      <c r="AB394" s="42"/>
      <c r="AC394" s="42"/>
      <c r="AD394" s="65"/>
      <c r="AE394" s="42"/>
      <c r="AF394" s="42"/>
      <c r="AG394" s="42"/>
      <c r="AH394" s="42"/>
      <c r="AI394" s="65"/>
      <c r="AJ394" s="42"/>
      <c r="AK394" s="42"/>
      <c r="AL394" s="42"/>
      <c r="AM394" s="42"/>
      <c r="AN394" s="65"/>
      <c r="AO394" s="42"/>
      <c r="AP394" s="42"/>
      <c r="AQ394" s="42"/>
      <c r="AR394" s="42"/>
      <c r="AS394" s="65"/>
      <c r="AT394" s="42"/>
    </row>
    <row r="395" spans="1:46" x14ac:dyDescent="0.25">
      <c r="A395" s="3"/>
      <c r="B395" s="58"/>
      <c r="C395" s="59"/>
      <c r="D395" s="3"/>
      <c r="E395" s="3"/>
      <c r="F395" s="3"/>
      <c r="G395" s="3"/>
      <c r="H395" s="27"/>
      <c r="I395" s="60"/>
      <c r="J395" s="61"/>
      <c r="K395" s="30"/>
      <c r="L395" s="30"/>
      <c r="M395" s="30"/>
      <c r="N395" s="30"/>
      <c r="O395" s="31"/>
      <c r="P395" s="30"/>
      <c r="Q395" s="62"/>
      <c r="R395" s="62"/>
      <c r="S395" s="62"/>
      <c r="T395" s="62"/>
      <c r="U395" s="62"/>
      <c r="V395" s="63"/>
      <c r="W395" s="42"/>
      <c r="X395" s="63"/>
      <c r="Y395" s="65"/>
      <c r="Z395" s="42"/>
      <c r="AA395" s="42"/>
      <c r="AB395" s="42"/>
      <c r="AC395" s="42"/>
      <c r="AD395" s="65"/>
      <c r="AE395" s="42"/>
      <c r="AF395" s="42"/>
      <c r="AG395" s="42"/>
      <c r="AH395" s="42"/>
      <c r="AI395" s="65"/>
      <c r="AJ395" s="42"/>
      <c r="AK395" s="42"/>
      <c r="AL395" s="42"/>
      <c r="AM395" s="42"/>
      <c r="AN395" s="65"/>
      <c r="AO395" s="42"/>
      <c r="AP395" s="42"/>
      <c r="AQ395" s="42"/>
      <c r="AR395" s="42"/>
      <c r="AS395" s="65"/>
      <c r="AT395" s="42"/>
    </row>
    <row r="396" spans="1:46" x14ac:dyDescent="0.25">
      <c r="A396" s="3"/>
      <c r="B396" s="58"/>
      <c r="C396" s="59"/>
      <c r="D396" s="3"/>
      <c r="E396" s="3"/>
      <c r="F396" s="3"/>
      <c r="G396" s="3"/>
      <c r="H396" s="27"/>
      <c r="I396" s="60"/>
      <c r="J396" s="61"/>
      <c r="K396" s="30"/>
      <c r="L396" s="30"/>
      <c r="M396" s="30"/>
      <c r="N396" s="30"/>
      <c r="O396" s="31"/>
      <c r="P396" s="30"/>
      <c r="Q396" s="62"/>
      <c r="R396" s="62"/>
      <c r="S396" s="62"/>
      <c r="T396" s="62"/>
      <c r="U396" s="62"/>
      <c r="V396" s="63"/>
      <c r="W396" s="42"/>
      <c r="X396" s="63"/>
      <c r="Y396" s="65"/>
      <c r="Z396" s="42"/>
      <c r="AA396" s="42"/>
      <c r="AB396" s="42"/>
      <c r="AC396" s="42"/>
      <c r="AD396" s="65"/>
      <c r="AE396" s="42"/>
      <c r="AF396" s="42"/>
      <c r="AG396" s="42"/>
      <c r="AH396" s="42"/>
      <c r="AI396" s="65"/>
      <c r="AJ396" s="42"/>
      <c r="AK396" s="42"/>
      <c r="AL396" s="42"/>
      <c r="AM396" s="42"/>
      <c r="AN396" s="65"/>
      <c r="AO396" s="42"/>
      <c r="AP396" s="42"/>
      <c r="AQ396" s="42"/>
      <c r="AR396" s="42"/>
      <c r="AS396" s="65"/>
      <c r="AT396" s="42"/>
    </row>
    <row r="397" spans="1:46" x14ac:dyDescent="0.25">
      <c r="A397" s="3"/>
      <c r="B397" s="58"/>
      <c r="C397" s="59"/>
      <c r="D397" s="3"/>
      <c r="E397" s="3"/>
      <c r="F397" s="3"/>
      <c r="G397" s="3"/>
      <c r="H397" s="27"/>
      <c r="I397" s="60"/>
      <c r="J397" s="61"/>
      <c r="K397" s="30"/>
      <c r="L397" s="30"/>
      <c r="M397" s="30"/>
      <c r="N397" s="30"/>
      <c r="O397" s="31"/>
      <c r="P397" s="30"/>
      <c r="Q397" s="62"/>
      <c r="R397" s="62"/>
      <c r="S397" s="62"/>
      <c r="T397" s="62"/>
      <c r="U397" s="62"/>
      <c r="V397" s="63"/>
      <c r="W397" s="42"/>
      <c r="X397" s="63"/>
      <c r="Y397" s="65"/>
      <c r="Z397" s="42"/>
      <c r="AA397" s="42"/>
      <c r="AB397" s="42"/>
      <c r="AC397" s="42"/>
      <c r="AD397" s="65"/>
      <c r="AE397" s="42"/>
      <c r="AF397" s="42"/>
      <c r="AG397" s="42"/>
      <c r="AH397" s="42"/>
      <c r="AI397" s="65"/>
      <c r="AJ397" s="42"/>
      <c r="AK397" s="42"/>
      <c r="AL397" s="42"/>
      <c r="AM397" s="42"/>
      <c r="AN397" s="65"/>
      <c r="AO397" s="42"/>
      <c r="AP397" s="42"/>
      <c r="AQ397" s="42"/>
      <c r="AR397" s="42"/>
      <c r="AS397" s="65"/>
      <c r="AT397" s="42"/>
    </row>
    <row r="398" spans="1:46" x14ac:dyDescent="0.25">
      <c r="A398" s="3"/>
      <c r="B398" s="58"/>
      <c r="C398" s="59"/>
      <c r="D398" s="3"/>
      <c r="E398" s="3"/>
      <c r="F398" s="3"/>
      <c r="G398" s="3"/>
      <c r="H398" s="27"/>
      <c r="I398" s="60"/>
      <c r="J398" s="61"/>
      <c r="K398" s="30"/>
      <c r="L398" s="30"/>
      <c r="M398" s="30"/>
      <c r="N398" s="30"/>
      <c r="O398" s="31"/>
      <c r="P398" s="30"/>
      <c r="Q398" s="62"/>
      <c r="R398" s="62"/>
      <c r="S398" s="62"/>
      <c r="T398" s="62"/>
      <c r="U398" s="62"/>
      <c r="V398" s="63"/>
      <c r="W398" s="42"/>
      <c r="X398" s="63"/>
      <c r="Y398" s="65"/>
      <c r="Z398" s="42"/>
      <c r="AA398" s="42"/>
      <c r="AB398" s="42"/>
      <c r="AC398" s="42"/>
      <c r="AD398" s="65"/>
      <c r="AE398" s="42"/>
      <c r="AF398" s="42"/>
      <c r="AG398" s="42"/>
      <c r="AH398" s="42"/>
      <c r="AI398" s="65"/>
      <c r="AJ398" s="42"/>
      <c r="AK398" s="42"/>
      <c r="AL398" s="42"/>
      <c r="AM398" s="42"/>
      <c r="AN398" s="65"/>
      <c r="AO398" s="42"/>
      <c r="AP398" s="42"/>
      <c r="AQ398" s="42"/>
      <c r="AR398" s="42"/>
      <c r="AS398" s="65"/>
      <c r="AT398" s="42"/>
    </row>
    <row r="399" spans="1:46" x14ac:dyDescent="0.25">
      <c r="A399" s="3"/>
      <c r="B399" s="58"/>
      <c r="C399" s="59"/>
      <c r="D399" s="3"/>
      <c r="E399" s="3"/>
      <c r="F399" s="3"/>
      <c r="G399" s="3"/>
      <c r="H399" s="27"/>
      <c r="I399" s="60"/>
      <c r="J399" s="61"/>
      <c r="K399" s="30"/>
      <c r="L399" s="30"/>
      <c r="M399" s="30"/>
      <c r="N399" s="30"/>
      <c r="O399" s="31"/>
      <c r="P399" s="30"/>
      <c r="Q399" s="62"/>
      <c r="R399" s="62"/>
      <c r="S399" s="62"/>
      <c r="T399" s="62"/>
      <c r="U399" s="62"/>
      <c r="V399" s="63"/>
      <c r="W399" s="42"/>
      <c r="X399" s="63"/>
      <c r="Y399" s="65"/>
      <c r="Z399" s="42"/>
      <c r="AA399" s="42"/>
      <c r="AB399" s="42"/>
      <c r="AC399" s="42"/>
      <c r="AD399" s="65"/>
      <c r="AE399" s="42"/>
      <c r="AF399" s="42"/>
      <c r="AG399" s="42"/>
      <c r="AH399" s="42"/>
      <c r="AI399" s="65"/>
      <c r="AJ399" s="42"/>
      <c r="AK399" s="42"/>
      <c r="AL399" s="42"/>
      <c r="AM399" s="42"/>
      <c r="AN399" s="65"/>
      <c r="AO399" s="42"/>
      <c r="AP399" s="42"/>
      <c r="AQ399" s="42"/>
      <c r="AR399" s="42"/>
      <c r="AS399" s="65"/>
      <c r="AT399" s="42"/>
    </row>
    <row r="400" spans="1:46" x14ac:dyDescent="0.25">
      <c r="A400" s="3"/>
      <c r="B400" s="58"/>
      <c r="C400" s="59"/>
      <c r="D400" s="3"/>
      <c r="E400" s="3"/>
      <c r="F400" s="3"/>
      <c r="G400" s="3"/>
      <c r="H400" s="27"/>
      <c r="I400" s="60"/>
      <c r="J400" s="61"/>
      <c r="K400" s="30"/>
      <c r="L400" s="30"/>
      <c r="M400" s="30"/>
      <c r="N400" s="30"/>
      <c r="O400" s="31"/>
      <c r="P400" s="30"/>
      <c r="Q400" s="62"/>
      <c r="R400" s="62"/>
      <c r="S400" s="62"/>
      <c r="T400" s="62"/>
      <c r="U400" s="62"/>
      <c r="V400" s="63"/>
      <c r="W400" s="42"/>
      <c r="X400" s="63"/>
      <c r="Y400" s="65"/>
      <c r="Z400" s="42"/>
      <c r="AA400" s="42"/>
      <c r="AB400" s="42"/>
      <c r="AC400" s="42"/>
      <c r="AD400" s="65"/>
      <c r="AE400" s="42"/>
      <c r="AF400" s="42"/>
      <c r="AG400" s="42"/>
      <c r="AH400" s="42"/>
      <c r="AI400" s="65"/>
      <c r="AJ400" s="42"/>
      <c r="AK400" s="42"/>
      <c r="AL400" s="42"/>
      <c r="AM400" s="42"/>
      <c r="AN400" s="65"/>
      <c r="AO400" s="42"/>
      <c r="AP400" s="42"/>
      <c r="AQ400" s="42"/>
      <c r="AR400" s="42"/>
      <c r="AS400" s="65"/>
      <c r="AT400" s="42"/>
    </row>
    <row r="401" spans="1:46" x14ac:dyDescent="0.25">
      <c r="A401" s="3"/>
      <c r="B401" s="58"/>
      <c r="C401" s="59"/>
      <c r="D401" s="3"/>
      <c r="E401" s="3"/>
      <c r="F401" s="3"/>
      <c r="G401" s="3"/>
      <c r="H401" s="27"/>
      <c r="I401" s="60"/>
      <c r="J401" s="61"/>
      <c r="K401" s="30"/>
      <c r="L401" s="30"/>
      <c r="M401" s="30"/>
      <c r="N401" s="30"/>
      <c r="O401" s="31"/>
      <c r="P401" s="30"/>
      <c r="Q401" s="62"/>
      <c r="R401" s="62"/>
      <c r="S401" s="62"/>
      <c r="T401" s="62"/>
      <c r="U401" s="62"/>
      <c r="V401" s="63"/>
      <c r="W401" s="42"/>
      <c r="X401" s="63"/>
      <c r="Y401" s="65"/>
      <c r="Z401" s="42"/>
      <c r="AA401" s="42"/>
      <c r="AB401" s="42"/>
      <c r="AC401" s="42"/>
      <c r="AD401" s="65"/>
      <c r="AE401" s="42"/>
      <c r="AF401" s="42"/>
      <c r="AG401" s="42"/>
      <c r="AH401" s="42"/>
      <c r="AI401" s="65"/>
      <c r="AJ401" s="42"/>
      <c r="AK401" s="42"/>
      <c r="AL401" s="42"/>
      <c r="AM401" s="42"/>
      <c r="AN401" s="65"/>
      <c r="AO401" s="42"/>
      <c r="AP401" s="42"/>
      <c r="AQ401" s="42"/>
      <c r="AR401" s="42"/>
      <c r="AS401" s="65"/>
      <c r="AT401" s="42"/>
    </row>
    <row r="402" spans="1:46" x14ac:dyDescent="0.25">
      <c r="A402" s="3"/>
      <c r="B402" s="58"/>
      <c r="C402" s="59"/>
      <c r="D402" s="3"/>
      <c r="E402" s="3"/>
      <c r="F402" s="3"/>
      <c r="G402" s="3"/>
      <c r="H402" s="27"/>
      <c r="I402" s="60"/>
      <c r="J402" s="61"/>
      <c r="K402" s="30"/>
      <c r="L402" s="30"/>
      <c r="M402" s="30"/>
      <c r="N402" s="30"/>
      <c r="O402" s="31"/>
      <c r="P402" s="30"/>
      <c r="Q402" s="62"/>
      <c r="R402" s="62"/>
      <c r="S402" s="62"/>
      <c r="T402" s="62"/>
      <c r="U402" s="62"/>
      <c r="V402" s="63"/>
      <c r="W402" s="42"/>
      <c r="X402" s="63"/>
      <c r="Y402" s="65"/>
      <c r="Z402" s="42"/>
      <c r="AA402" s="42"/>
      <c r="AB402" s="42"/>
      <c r="AC402" s="42"/>
      <c r="AD402" s="65"/>
      <c r="AE402" s="42"/>
      <c r="AF402" s="42"/>
      <c r="AG402" s="42"/>
      <c r="AH402" s="42"/>
      <c r="AI402" s="65"/>
      <c r="AJ402" s="42"/>
      <c r="AK402" s="42"/>
      <c r="AL402" s="42"/>
      <c r="AM402" s="42"/>
      <c r="AN402" s="65"/>
      <c r="AO402" s="42"/>
      <c r="AP402" s="42"/>
      <c r="AQ402" s="42"/>
      <c r="AR402" s="42"/>
      <c r="AS402" s="65"/>
      <c r="AT402" s="42"/>
    </row>
    <row r="403" spans="1:46" x14ac:dyDescent="0.25">
      <c r="A403" s="3"/>
      <c r="B403" s="58"/>
      <c r="C403" s="59"/>
      <c r="D403" s="3"/>
      <c r="E403" s="3"/>
      <c r="F403" s="3"/>
      <c r="G403" s="3"/>
      <c r="H403" s="27"/>
      <c r="I403" s="60"/>
      <c r="J403" s="61"/>
      <c r="K403" s="30"/>
      <c r="L403" s="30"/>
      <c r="M403" s="30"/>
      <c r="N403" s="30"/>
      <c r="O403" s="31"/>
      <c r="P403" s="30"/>
      <c r="Q403" s="62"/>
      <c r="R403" s="62"/>
      <c r="S403" s="62"/>
      <c r="T403" s="62"/>
      <c r="U403" s="62"/>
      <c r="V403" s="63"/>
      <c r="W403" s="42"/>
      <c r="X403" s="63"/>
      <c r="Y403" s="65"/>
      <c r="Z403" s="42"/>
      <c r="AA403" s="42"/>
      <c r="AB403" s="42"/>
      <c r="AC403" s="42"/>
      <c r="AD403" s="65"/>
      <c r="AE403" s="42"/>
      <c r="AF403" s="42"/>
      <c r="AG403" s="42"/>
      <c r="AH403" s="42"/>
      <c r="AI403" s="65"/>
      <c r="AJ403" s="42"/>
      <c r="AK403" s="42"/>
      <c r="AL403" s="42"/>
      <c r="AM403" s="42"/>
      <c r="AN403" s="65"/>
      <c r="AO403" s="42"/>
      <c r="AP403" s="42"/>
      <c r="AQ403" s="42"/>
      <c r="AR403" s="42"/>
      <c r="AS403" s="65"/>
      <c r="AT403" s="42"/>
    </row>
    <row r="404" spans="1:46" x14ac:dyDescent="0.25">
      <c r="A404" s="3"/>
      <c r="B404" s="58"/>
      <c r="C404" s="59"/>
      <c r="D404" s="3"/>
      <c r="E404" s="3"/>
      <c r="F404" s="3"/>
      <c r="G404" s="3"/>
      <c r="H404" s="27"/>
      <c r="I404" s="60"/>
      <c r="J404" s="61"/>
      <c r="K404" s="30"/>
      <c r="L404" s="30"/>
      <c r="M404" s="30"/>
      <c r="N404" s="30"/>
      <c r="O404" s="31"/>
      <c r="P404" s="30"/>
      <c r="Q404" s="62"/>
      <c r="R404" s="62"/>
      <c r="S404" s="62"/>
      <c r="T404" s="62"/>
      <c r="U404" s="62"/>
      <c r="V404" s="63"/>
      <c r="W404" s="42"/>
      <c r="X404" s="63"/>
      <c r="Y404" s="65"/>
      <c r="Z404" s="42"/>
      <c r="AA404" s="42"/>
      <c r="AB404" s="42"/>
      <c r="AC404" s="42"/>
      <c r="AD404" s="65"/>
      <c r="AE404" s="42"/>
      <c r="AF404" s="42"/>
      <c r="AG404" s="42"/>
      <c r="AH404" s="42"/>
      <c r="AI404" s="65"/>
      <c r="AJ404" s="42"/>
      <c r="AK404" s="42"/>
      <c r="AL404" s="42"/>
      <c r="AM404" s="42"/>
      <c r="AN404" s="65"/>
      <c r="AO404" s="42"/>
      <c r="AP404" s="42"/>
      <c r="AQ404" s="42"/>
      <c r="AR404" s="42"/>
      <c r="AS404" s="65"/>
      <c r="AT404" s="42"/>
    </row>
    <row r="405" spans="1:46" x14ac:dyDescent="0.25">
      <c r="A405" s="3"/>
      <c r="B405" s="58"/>
      <c r="C405" s="59"/>
      <c r="D405" s="3"/>
      <c r="E405" s="3"/>
      <c r="F405" s="3"/>
      <c r="G405" s="3"/>
      <c r="H405" s="27"/>
      <c r="I405" s="60"/>
      <c r="J405" s="61"/>
      <c r="K405" s="30"/>
      <c r="L405" s="30"/>
      <c r="M405" s="30"/>
      <c r="N405" s="30"/>
      <c r="O405" s="31"/>
      <c r="P405" s="30"/>
      <c r="Q405" s="62"/>
      <c r="R405" s="62"/>
      <c r="S405" s="62"/>
      <c r="T405" s="62"/>
      <c r="U405" s="62"/>
      <c r="V405" s="63"/>
      <c r="W405" s="42"/>
      <c r="X405" s="63"/>
      <c r="Y405" s="65"/>
      <c r="Z405" s="42"/>
      <c r="AA405" s="42"/>
      <c r="AB405" s="42"/>
      <c r="AC405" s="42"/>
      <c r="AD405" s="65"/>
      <c r="AE405" s="42"/>
      <c r="AF405" s="42"/>
      <c r="AG405" s="42"/>
      <c r="AH405" s="42"/>
      <c r="AI405" s="65"/>
      <c r="AJ405" s="42"/>
      <c r="AK405" s="42"/>
      <c r="AL405" s="42"/>
      <c r="AM405" s="42"/>
      <c r="AN405" s="65"/>
      <c r="AO405" s="42"/>
      <c r="AP405" s="42"/>
      <c r="AQ405" s="42"/>
      <c r="AR405" s="42"/>
      <c r="AS405" s="65"/>
      <c r="AT405" s="42"/>
    </row>
    <row r="406" spans="1:46" x14ac:dyDescent="0.25">
      <c r="A406" s="3"/>
      <c r="B406" s="58"/>
      <c r="C406" s="59"/>
      <c r="D406" s="3"/>
      <c r="E406" s="3"/>
      <c r="F406" s="3"/>
      <c r="G406" s="3"/>
      <c r="H406" s="27"/>
      <c r="I406" s="60"/>
      <c r="J406" s="61"/>
      <c r="K406" s="30"/>
      <c r="L406" s="30"/>
      <c r="M406" s="30"/>
      <c r="N406" s="30"/>
      <c r="O406" s="31"/>
      <c r="P406" s="30"/>
      <c r="Q406" s="62"/>
      <c r="R406" s="62"/>
      <c r="S406" s="62"/>
      <c r="T406" s="62"/>
      <c r="U406" s="62"/>
      <c r="V406" s="63"/>
      <c r="W406" s="42"/>
      <c r="X406" s="63"/>
      <c r="Y406" s="65"/>
      <c r="Z406" s="42"/>
      <c r="AA406" s="42"/>
      <c r="AB406" s="42"/>
      <c r="AC406" s="42"/>
      <c r="AD406" s="65"/>
      <c r="AE406" s="42"/>
      <c r="AF406" s="42"/>
      <c r="AG406" s="42"/>
      <c r="AH406" s="42"/>
      <c r="AI406" s="65"/>
      <c r="AJ406" s="42"/>
      <c r="AK406" s="42"/>
      <c r="AL406" s="42"/>
      <c r="AM406" s="42"/>
      <c r="AN406" s="65"/>
      <c r="AO406" s="42"/>
      <c r="AP406" s="42"/>
      <c r="AQ406" s="42"/>
      <c r="AR406" s="42"/>
      <c r="AS406" s="65"/>
      <c r="AT406" s="42"/>
    </row>
    <row r="407" spans="1:46" x14ac:dyDescent="0.25">
      <c r="A407" s="3"/>
      <c r="B407" s="58"/>
      <c r="C407" s="59"/>
      <c r="D407" s="3"/>
      <c r="E407" s="3"/>
      <c r="F407" s="3"/>
      <c r="G407" s="3"/>
      <c r="H407" s="27"/>
      <c r="I407" s="60"/>
      <c r="J407" s="61"/>
      <c r="K407" s="30"/>
      <c r="L407" s="30"/>
      <c r="M407" s="30"/>
      <c r="N407" s="30"/>
      <c r="O407" s="31"/>
      <c r="P407" s="30"/>
      <c r="Q407" s="62"/>
      <c r="R407" s="62"/>
      <c r="S407" s="62"/>
      <c r="T407" s="62"/>
      <c r="U407" s="62"/>
      <c r="V407" s="63"/>
      <c r="W407" s="42"/>
      <c r="X407" s="63"/>
      <c r="Y407" s="65"/>
      <c r="Z407" s="42"/>
      <c r="AA407" s="42"/>
      <c r="AB407" s="42"/>
      <c r="AC407" s="42"/>
      <c r="AD407" s="65"/>
      <c r="AE407" s="42"/>
      <c r="AF407" s="42"/>
      <c r="AG407" s="42"/>
      <c r="AH407" s="42"/>
      <c r="AI407" s="65"/>
      <c r="AJ407" s="42"/>
      <c r="AK407" s="42"/>
      <c r="AL407" s="42"/>
      <c r="AM407" s="42"/>
      <c r="AN407" s="65"/>
      <c r="AO407" s="42"/>
      <c r="AP407" s="42"/>
      <c r="AQ407" s="42"/>
      <c r="AR407" s="42"/>
      <c r="AS407" s="65"/>
      <c r="AT407" s="42"/>
    </row>
    <row r="408" spans="1:46" x14ac:dyDescent="0.25">
      <c r="A408" s="3"/>
      <c r="B408" s="58"/>
      <c r="C408" s="59"/>
      <c r="D408" s="3"/>
      <c r="E408" s="3"/>
      <c r="F408" s="3"/>
      <c r="G408" s="3"/>
      <c r="H408" s="27"/>
      <c r="I408" s="60"/>
      <c r="J408" s="61"/>
      <c r="K408" s="30"/>
      <c r="L408" s="30"/>
      <c r="M408" s="30"/>
      <c r="N408" s="30"/>
      <c r="O408" s="31"/>
      <c r="P408" s="30"/>
      <c r="Q408" s="62"/>
      <c r="R408" s="62"/>
      <c r="S408" s="62"/>
      <c r="T408" s="62"/>
      <c r="U408" s="62"/>
      <c r="V408" s="63"/>
      <c r="W408" s="42"/>
      <c r="X408" s="63"/>
      <c r="Y408" s="65"/>
      <c r="Z408" s="42"/>
      <c r="AA408" s="42"/>
      <c r="AB408" s="42"/>
      <c r="AC408" s="42"/>
      <c r="AD408" s="65"/>
      <c r="AE408" s="42"/>
      <c r="AF408" s="42"/>
      <c r="AG408" s="42"/>
      <c r="AH408" s="42"/>
      <c r="AI408" s="65"/>
      <c r="AJ408" s="42"/>
      <c r="AK408" s="42"/>
      <c r="AL408" s="42"/>
      <c r="AM408" s="42"/>
      <c r="AN408" s="65"/>
      <c r="AO408" s="42"/>
      <c r="AP408" s="42"/>
      <c r="AQ408" s="42"/>
      <c r="AR408" s="42"/>
      <c r="AS408" s="65"/>
      <c r="AT408" s="42"/>
    </row>
    <row r="409" spans="1:46" x14ac:dyDescent="0.25">
      <c r="A409" s="3"/>
      <c r="B409" s="58"/>
      <c r="C409" s="59"/>
      <c r="D409" s="3"/>
      <c r="E409" s="3"/>
      <c r="F409" s="3"/>
      <c r="G409" s="3"/>
      <c r="H409" s="27"/>
      <c r="I409" s="60"/>
      <c r="J409" s="61"/>
      <c r="K409" s="30"/>
      <c r="L409" s="30"/>
      <c r="M409" s="30"/>
      <c r="N409" s="30"/>
      <c r="O409" s="31"/>
      <c r="P409" s="30"/>
      <c r="Q409" s="62"/>
      <c r="R409" s="62"/>
      <c r="S409" s="62"/>
      <c r="T409" s="62"/>
      <c r="U409" s="62"/>
      <c r="V409" s="63"/>
      <c r="W409" s="42"/>
      <c r="X409" s="63"/>
      <c r="Y409" s="65"/>
      <c r="Z409" s="42"/>
      <c r="AA409" s="42"/>
      <c r="AB409" s="42"/>
      <c r="AC409" s="42"/>
      <c r="AD409" s="65"/>
      <c r="AE409" s="42"/>
      <c r="AF409" s="42"/>
      <c r="AG409" s="42"/>
      <c r="AH409" s="42"/>
      <c r="AI409" s="65"/>
      <c r="AJ409" s="42"/>
      <c r="AK409" s="42"/>
      <c r="AL409" s="42"/>
      <c r="AM409" s="42"/>
      <c r="AN409" s="65"/>
      <c r="AO409" s="42"/>
      <c r="AP409" s="42"/>
      <c r="AQ409" s="42"/>
      <c r="AR409" s="42"/>
      <c r="AS409" s="65"/>
      <c r="AT409" s="42"/>
    </row>
    <row r="410" spans="1:46" x14ac:dyDescent="0.25">
      <c r="A410" s="3"/>
      <c r="B410" s="58"/>
      <c r="C410" s="59"/>
      <c r="D410" s="3"/>
      <c r="E410" s="3"/>
      <c r="F410" s="3"/>
      <c r="G410" s="3"/>
      <c r="H410" s="27"/>
      <c r="I410" s="60"/>
      <c r="J410" s="61"/>
      <c r="K410" s="30"/>
      <c r="L410" s="30"/>
      <c r="M410" s="30"/>
      <c r="N410" s="30"/>
      <c r="O410" s="31"/>
      <c r="P410" s="30"/>
      <c r="Q410" s="62"/>
      <c r="R410" s="62"/>
      <c r="S410" s="62"/>
      <c r="T410" s="62"/>
      <c r="U410" s="62"/>
      <c r="V410" s="63"/>
      <c r="W410" s="42"/>
      <c r="X410" s="63"/>
      <c r="Y410" s="65"/>
      <c r="Z410" s="42"/>
      <c r="AA410" s="42"/>
      <c r="AB410" s="42"/>
      <c r="AC410" s="42"/>
      <c r="AD410" s="65"/>
      <c r="AE410" s="42"/>
      <c r="AF410" s="42"/>
      <c r="AG410" s="42"/>
      <c r="AH410" s="42"/>
      <c r="AI410" s="65"/>
      <c r="AJ410" s="42"/>
      <c r="AK410" s="42"/>
      <c r="AL410" s="42"/>
      <c r="AM410" s="42"/>
      <c r="AN410" s="65"/>
      <c r="AO410" s="42"/>
      <c r="AP410" s="42"/>
      <c r="AQ410" s="42"/>
      <c r="AR410" s="42"/>
      <c r="AS410" s="65"/>
      <c r="AT410" s="42"/>
    </row>
    <row r="411" spans="1:46" x14ac:dyDescent="0.25">
      <c r="A411" s="3"/>
      <c r="B411" s="58"/>
      <c r="C411" s="59"/>
      <c r="D411" s="3"/>
      <c r="E411" s="3"/>
      <c r="F411" s="3"/>
      <c r="G411" s="3"/>
      <c r="H411" s="27"/>
      <c r="I411" s="60"/>
      <c r="J411" s="61"/>
      <c r="K411" s="30"/>
      <c r="L411" s="30"/>
      <c r="M411" s="30"/>
      <c r="N411" s="30"/>
      <c r="O411" s="31"/>
      <c r="P411" s="30"/>
      <c r="Q411" s="62"/>
      <c r="R411" s="62"/>
      <c r="S411" s="62"/>
      <c r="T411" s="62"/>
      <c r="U411" s="62"/>
      <c r="V411" s="63"/>
      <c r="W411" s="42"/>
      <c r="X411" s="63"/>
      <c r="Y411" s="65"/>
      <c r="Z411" s="42"/>
      <c r="AA411" s="42"/>
      <c r="AB411" s="42"/>
      <c r="AC411" s="42"/>
      <c r="AD411" s="65"/>
      <c r="AE411" s="42"/>
      <c r="AF411" s="42"/>
      <c r="AG411" s="42"/>
      <c r="AH411" s="42"/>
      <c r="AI411" s="65"/>
      <c r="AJ411" s="42"/>
      <c r="AK411" s="42"/>
      <c r="AL411" s="42"/>
      <c r="AM411" s="42"/>
      <c r="AN411" s="65"/>
      <c r="AO411" s="42"/>
      <c r="AP411" s="42"/>
      <c r="AQ411" s="42"/>
      <c r="AR411" s="42"/>
      <c r="AS411" s="65"/>
      <c r="AT411" s="42"/>
    </row>
    <row r="412" spans="1:46" x14ac:dyDescent="0.25">
      <c r="A412" s="3"/>
      <c r="B412" s="58"/>
      <c r="C412" s="59"/>
      <c r="D412" s="3"/>
      <c r="E412" s="3"/>
      <c r="F412" s="3"/>
      <c r="G412" s="3"/>
      <c r="H412" s="27"/>
      <c r="I412" s="60"/>
      <c r="J412" s="61"/>
      <c r="K412" s="30"/>
      <c r="L412" s="30"/>
      <c r="M412" s="30"/>
      <c r="N412" s="30"/>
      <c r="O412" s="31"/>
      <c r="P412" s="30"/>
      <c r="Q412" s="62"/>
      <c r="R412" s="62"/>
      <c r="S412" s="62"/>
      <c r="T412" s="62"/>
      <c r="U412" s="62"/>
      <c r="V412" s="63"/>
      <c r="W412" s="42"/>
      <c r="X412" s="63"/>
      <c r="Y412" s="65"/>
      <c r="Z412" s="42"/>
      <c r="AA412" s="42"/>
      <c r="AB412" s="42"/>
      <c r="AC412" s="42"/>
      <c r="AD412" s="65"/>
      <c r="AE412" s="42"/>
      <c r="AF412" s="42"/>
      <c r="AG412" s="42"/>
      <c r="AH412" s="42"/>
      <c r="AI412" s="65"/>
      <c r="AJ412" s="42"/>
      <c r="AK412" s="42"/>
      <c r="AL412" s="42"/>
      <c r="AM412" s="42"/>
      <c r="AN412" s="65"/>
      <c r="AO412" s="42"/>
      <c r="AP412" s="42"/>
      <c r="AQ412" s="42"/>
      <c r="AR412" s="42"/>
      <c r="AS412" s="65"/>
      <c r="AT412" s="42"/>
    </row>
    <row r="413" spans="1:46" x14ac:dyDescent="0.25">
      <c r="A413" s="3"/>
      <c r="B413" s="58"/>
      <c r="C413" s="59"/>
      <c r="D413" s="3"/>
      <c r="E413" s="3"/>
      <c r="F413" s="3"/>
      <c r="G413" s="3"/>
      <c r="H413" s="27"/>
      <c r="I413" s="60"/>
      <c r="J413" s="61"/>
      <c r="K413" s="30"/>
      <c r="L413" s="30"/>
      <c r="M413" s="30"/>
      <c r="N413" s="30"/>
      <c r="O413" s="31"/>
      <c r="P413" s="30"/>
      <c r="Q413" s="62"/>
      <c r="R413" s="62"/>
      <c r="S413" s="62"/>
      <c r="T413" s="62"/>
      <c r="U413" s="62"/>
      <c r="V413" s="63"/>
      <c r="W413" s="42"/>
      <c r="X413" s="63"/>
      <c r="Y413" s="65"/>
      <c r="Z413" s="42"/>
      <c r="AA413" s="42"/>
      <c r="AB413" s="42"/>
      <c r="AC413" s="42"/>
      <c r="AD413" s="65"/>
      <c r="AE413" s="42"/>
      <c r="AF413" s="42"/>
      <c r="AG413" s="42"/>
      <c r="AH413" s="42"/>
      <c r="AI413" s="65"/>
      <c r="AJ413" s="42"/>
      <c r="AK413" s="42"/>
      <c r="AL413" s="42"/>
      <c r="AM413" s="42"/>
      <c r="AN413" s="65"/>
      <c r="AO413" s="42"/>
      <c r="AP413" s="42"/>
      <c r="AQ413" s="42"/>
      <c r="AR413" s="42"/>
      <c r="AS413" s="65"/>
      <c r="AT413" s="42"/>
    </row>
    <row r="414" spans="1:46" x14ac:dyDescent="0.25">
      <c r="A414" s="3"/>
      <c r="B414" s="58"/>
      <c r="C414" s="59"/>
      <c r="D414" s="3"/>
      <c r="E414" s="3"/>
      <c r="F414" s="3"/>
      <c r="G414" s="3"/>
      <c r="H414" s="27"/>
      <c r="I414" s="60"/>
      <c r="J414" s="61"/>
      <c r="K414" s="30"/>
      <c r="L414" s="30"/>
      <c r="M414" s="30"/>
      <c r="N414" s="30"/>
      <c r="O414" s="31"/>
      <c r="P414" s="30"/>
      <c r="Q414" s="62"/>
      <c r="R414" s="62"/>
      <c r="S414" s="62"/>
      <c r="T414" s="62"/>
      <c r="U414" s="62"/>
      <c r="V414" s="63"/>
      <c r="W414" s="42"/>
      <c r="X414" s="63"/>
      <c r="Y414" s="65"/>
      <c r="Z414" s="42"/>
      <c r="AA414" s="42"/>
      <c r="AB414" s="42"/>
      <c r="AC414" s="42"/>
      <c r="AD414" s="65"/>
      <c r="AE414" s="42"/>
      <c r="AF414" s="42"/>
      <c r="AG414" s="42"/>
      <c r="AH414" s="42"/>
      <c r="AI414" s="65"/>
      <c r="AJ414" s="42"/>
      <c r="AK414" s="42"/>
      <c r="AL414" s="42"/>
      <c r="AM414" s="42"/>
      <c r="AN414" s="65"/>
      <c r="AO414" s="42"/>
      <c r="AP414" s="42"/>
      <c r="AQ414" s="42"/>
      <c r="AR414" s="42"/>
      <c r="AS414" s="65"/>
      <c r="AT414" s="42"/>
    </row>
    <row r="415" spans="1:46" x14ac:dyDescent="0.25">
      <c r="A415" s="3"/>
      <c r="B415" s="58"/>
      <c r="C415" s="59"/>
      <c r="D415" s="3"/>
      <c r="E415" s="3"/>
      <c r="F415" s="3"/>
      <c r="G415" s="3"/>
      <c r="H415" s="27"/>
      <c r="I415" s="60"/>
      <c r="J415" s="61"/>
      <c r="K415" s="30"/>
      <c r="L415" s="30"/>
      <c r="M415" s="30"/>
      <c r="N415" s="30"/>
      <c r="O415" s="31"/>
      <c r="P415" s="30"/>
      <c r="Q415" s="62"/>
      <c r="R415" s="62"/>
      <c r="S415" s="62"/>
      <c r="T415" s="62"/>
      <c r="U415" s="62"/>
      <c r="V415" s="63"/>
      <c r="W415" s="42"/>
      <c r="X415" s="63"/>
      <c r="Y415" s="65"/>
      <c r="Z415" s="42"/>
      <c r="AA415" s="42"/>
      <c r="AB415" s="42"/>
      <c r="AC415" s="42"/>
      <c r="AD415" s="65"/>
      <c r="AE415" s="42"/>
      <c r="AF415" s="42"/>
      <c r="AG415" s="42"/>
      <c r="AH415" s="42"/>
      <c r="AI415" s="65"/>
      <c r="AJ415" s="42"/>
      <c r="AK415" s="42"/>
      <c r="AL415" s="42"/>
      <c r="AM415" s="42"/>
      <c r="AN415" s="65"/>
      <c r="AO415" s="42"/>
      <c r="AP415" s="42"/>
      <c r="AQ415" s="42"/>
      <c r="AR415" s="42"/>
      <c r="AS415" s="65"/>
      <c r="AT415" s="42"/>
    </row>
    <row r="416" spans="1:46" x14ac:dyDescent="0.25">
      <c r="A416" s="3"/>
      <c r="B416" s="58"/>
      <c r="C416" s="59"/>
      <c r="D416" s="3"/>
      <c r="E416" s="3"/>
      <c r="F416" s="3"/>
      <c r="G416" s="3"/>
      <c r="H416" s="27"/>
      <c r="I416" s="60"/>
      <c r="J416" s="61"/>
      <c r="K416" s="30"/>
      <c r="L416" s="30"/>
      <c r="M416" s="30"/>
      <c r="N416" s="30"/>
      <c r="O416" s="31"/>
      <c r="P416" s="30"/>
      <c r="Q416" s="62"/>
      <c r="R416" s="62"/>
      <c r="S416" s="62"/>
      <c r="T416" s="62"/>
      <c r="U416" s="62"/>
      <c r="V416" s="63"/>
      <c r="W416" s="42"/>
      <c r="X416" s="63"/>
      <c r="Y416" s="65"/>
      <c r="Z416" s="42"/>
      <c r="AA416" s="42"/>
      <c r="AB416" s="42"/>
      <c r="AC416" s="42"/>
      <c r="AD416" s="65"/>
      <c r="AE416" s="42"/>
      <c r="AF416" s="42"/>
      <c r="AG416" s="42"/>
      <c r="AH416" s="42"/>
      <c r="AI416" s="65"/>
      <c r="AJ416" s="42"/>
      <c r="AK416" s="42"/>
      <c r="AL416" s="42"/>
      <c r="AM416" s="42"/>
      <c r="AN416" s="65"/>
      <c r="AO416" s="42"/>
      <c r="AP416" s="42"/>
      <c r="AQ416" s="42"/>
      <c r="AR416" s="42"/>
      <c r="AS416" s="65"/>
      <c r="AT416" s="42"/>
    </row>
    <row r="417" spans="1:46" x14ac:dyDescent="0.25">
      <c r="A417" s="3"/>
      <c r="B417" s="58"/>
      <c r="C417" s="59"/>
      <c r="D417" s="3"/>
      <c r="E417" s="3"/>
      <c r="F417" s="3"/>
      <c r="G417" s="3"/>
      <c r="H417" s="27"/>
      <c r="I417" s="60"/>
      <c r="J417" s="61"/>
      <c r="K417" s="30"/>
      <c r="L417" s="30"/>
      <c r="M417" s="30"/>
      <c r="N417" s="30"/>
      <c r="O417" s="31"/>
      <c r="P417" s="30"/>
      <c r="Q417" s="62"/>
      <c r="R417" s="62"/>
      <c r="S417" s="62"/>
      <c r="T417" s="62"/>
      <c r="U417" s="62"/>
      <c r="V417" s="63"/>
      <c r="W417" s="42"/>
      <c r="X417" s="63"/>
      <c r="Y417" s="65"/>
      <c r="Z417" s="42"/>
      <c r="AA417" s="42"/>
      <c r="AB417" s="42"/>
      <c r="AC417" s="42"/>
      <c r="AD417" s="65"/>
      <c r="AE417" s="42"/>
      <c r="AF417" s="42"/>
      <c r="AG417" s="42"/>
      <c r="AH417" s="42"/>
      <c r="AI417" s="65"/>
      <c r="AJ417" s="42"/>
      <c r="AK417" s="42"/>
      <c r="AL417" s="42"/>
      <c r="AM417" s="42"/>
      <c r="AN417" s="65"/>
      <c r="AO417" s="42"/>
      <c r="AP417" s="42"/>
      <c r="AQ417" s="42"/>
      <c r="AR417" s="42"/>
      <c r="AS417" s="65"/>
      <c r="AT417" s="42"/>
    </row>
    <row r="418" spans="1:46" x14ac:dyDescent="0.25">
      <c r="A418" s="3"/>
      <c r="B418" s="58"/>
      <c r="C418" s="59"/>
      <c r="D418" s="3"/>
      <c r="E418" s="3"/>
      <c r="F418" s="3"/>
      <c r="G418" s="3"/>
      <c r="H418" s="27"/>
      <c r="I418" s="60"/>
      <c r="J418" s="61"/>
      <c r="K418" s="30"/>
      <c r="L418" s="30"/>
      <c r="M418" s="30"/>
      <c r="N418" s="30"/>
      <c r="O418" s="31"/>
      <c r="P418" s="30"/>
      <c r="Q418" s="62"/>
      <c r="R418" s="62"/>
      <c r="S418" s="62"/>
      <c r="T418" s="62"/>
      <c r="U418" s="62"/>
      <c r="V418" s="63"/>
      <c r="W418" s="42"/>
      <c r="X418" s="63"/>
      <c r="Y418" s="65"/>
      <c r="Z418" s="42"/>
      <c r="AA418" s="42"/>
      <c r="AB418" s="42"/>
      <c r="AC418" s="42"/>
      <c r="AD418" s="65"/>
      <c r="AE418" s="42"/>
      <c r="AF418" s="42"/>
      <c r="AG418" s="42"/>
      <c r="AH418" s="42"/>
      <c r="AI418" s="65"/>
      <c r="AJ418" s="42"/>
      <c r="AK418" s="42"/>
      <c r="AL418" s="42"/>
      <c r="AM418" s="42"/>
      <c r="AN418" s="65"/>
      <c r="AO418" s="42"/>
      <c r="AP418" s="42"/>
      <c r="AQ418" s="42"/>
      <c r="AR418" s="42"/>
      <c r="AS418" s="65"/>
      <c r="AT418" s="42"/>
    </row>
    <row r="419" spans="1:46" x14ac:dyDescent="0.25">
      <c r="A419" s="3"/>
      <c r="B419" s="58"/>
      <c r="C419" s="59"/>
      <c r="D419" s="3"/>
      <c r="E419" s="3"/>
      <c r="F419" s="3"/>
      <c r="G419" s="3"/>
      <c r="H419" s="27"/>
      <c r="I419" s="60"/>
      <c r="J419" s="61"/>
      <c r="K419" s="30"/>
      <c r="L419" s="30"/>
      <c r="M419" s="30"/>
      <c r="N419" s="30"/>
      <c r="O419" s="31"/>
      <c r="P419" s="30"/>
      <c r="Q419" s="62"/>
      <c r="R419" s="62"/>
      <c r="S419" s="62"/>
      <c r="T419" s="62"/>
      <c r="U419" s="62"/>
      <c r="V419" s="63"/>
      <c r="W419" s="42"/>
      <c r="X419" s="63"/>
      <c r="Y419" s="65"/>
      <c r="Z419" s="42"/>
      <c r="AA419" s="42"/>
      <c r="AB419" s="42"/>
      <c r="AC419" s="42"/>
      <c r="AD419" s="65"/>
      <c r="AE419" s="42"/>
      <c r="AF419" s="42"/>
      <c r="AG419" s="42"/>
      <c r="AH419" s="42"/>
      <c r="AI419" s="65"/>
      <c r="AJ419" s="42"/>
      <c r="AK419" s="42"/>
      <c r="AL419" s="42"/>
      <c r="AM419" s="42"/>
      <c r="AN419" s="65"/>
      <c r="AO419" s="42"/>
      <c r="AP419" s="42"/>
      <c r="AQ419" s="42"/>
      <c r="AR419" s="42"/>
      <c r="AS419" s="65"/>
      <c r="AT419" s="42"/>
    </row>
    <row r="420" spans="1:46" x14ac:dyDescent="0.25">
      <c r="A420" s="3"/>
      <c r="B420" s="58"/>
      <c r="C420" s="59"/>
      <c r="D420" s="3"/>
      <c r="E420" s="3"/>
      <c r="F420" s="3"/>
      <c r="G420" s="3"/>
      <c r="H420" s="27"/>
      <c r="I420" s="60"/>
      <c r="J420" s="61"/>
      <c r="K420" s="30"/>
      <c r="L420" s="30"/>
      <c r="M420" s="30"/>
      <c r="N420" s="30"/>
      <c r="O420" s="31"/>
      <c r="P420" s="30"/>
      <c r="Q420" s="62"/>
      <c r="R420" s="62"/>
      <c r="S420" s="62"/>
      <c r="T420" s="62"/>
      <c r="U420" s="62"/>
      <c r="V420" s="63"/>
      <c r="W420" s="42"/>
      <c r="X420" s="63"/>
      <c r="Y420" s="65"/>
      <c r="Z420" s="42"/>
      <c r="AA420" s="42"/>
      <c r="AB420" s="42"/>
      <c r="AC420" s="42"/>
      <c r="AD420" s="65"/>
      <c r="AE420" s="42"/>
      <c r="AF420" s="42"/>
      <c r="AG420" s="42"/>
      <c r="AH420" s="42"/>
      <c r="AI420" s="65"/>
      <c r="AJ420" s="42"/>
      <c r="AK420" s="42"/>
      <c r="AL420" s="42"/>
      <c r="AM420" s="42"/>
      <c r="AN420" s="65"/>
      <c r="AO420" s="42"/>
      <c r="AP420" s="42"/>
      <c r="AQ420" s="42"/>
      <c r="AR420" s="42"/>
      <c r="AS420" s="65"/>
      <c r="AT420" s="42"/>
    </row>
    <row r="421" spans="1:46" x14ac:dyDescent="0.25">
      <c r="A421" s="3"/>
      <c r="B421" s="58"/>
      <c r="C421" s="59"/>
      <c r="D421" s="3"/>
      <c r="E421" s="3"/>
      <c r="F421" s="3"/>
      <c r="G421" s="3"/>
      <c r="H421" s="27"/>
      <c r="I421" s="60"/>
      <c r="J421" s="61"/>
      <c r="K421" s="30"/>
      <c r="L421" s="30"/>
      <c r="M421" s="30"/>
      <c r="N421" s="30"/>
      <c r="O421" s="31"/>
      <c r="P421" s="30"/>
      <c r="Q421" s="62"/>
      <c r="R421" s="62"/>
      <c r="S421" s="62"/>
      <c r="T421" s="62"/>
      <c r="U421" s="62"/>
      <c r="V421" s="63"/>
      <c r="W421" s="42"/>
      <c r="X421" s="63"/>
      <c r="Y421" s="65"/>
      <c r="Z421" s="42"/>
      <c r="AA421" s="42"/>
      <c r="AB421" s="42"/>
      <c r="AC421" s="42"/>
      <c r="AD421" s="65"/>
      <c r="AE421" s="42"/>
      <c r="AF421" s="42"/>
      <c r="AG421" s="42"/>
      <c r="AH421" s="42"/>
      <c r="AI421" s="65"/>
      <c r="AJ421" s="42"/>
      <c r="AK421" s="42"/>
      <c r="AL421" s="42"/>
      <c r="AM421" s="42"/>
      <c r="AN421" s="65"/>
      <c r="AO421" s="42"/>
      <c r="AP421" s="42"/>
      <c r="AQ421" s="42"/>
      <c r="AR421" s="42"/>
      <c r="AS421" s="65"/>
      <c r="AT421" s="42"/>
    </row>
    <row r="422" spans="1:46" x14ac:dyDescent="0.25">
      <c r="A422" s="3"/>
      <c r="B422" s="58"/>
      <c r="C422" s="59"/>
      <c r="D422" s="3"/>
      <c r="E422" s="3"/>
      <c r="F422" s="3"/>
      <c r="G422" s="3"/>
      <c r="H422" s="27"/>
      <c r="I422" s="60"/>
      <c r="J422" s="61"/>
      <c r="K422" s="30"/>
      <c r="L422" s="30"/>
      <c r="M422" s="30"/>
      <c r="N422" s="30"/>
      <c r="O422" s="31"/>
      <c r="P422" s="30"/>
      <c r="Q422" s="62"/>
      <c r="R422" s="62"/>
      <c r="S422" s="62"/>
      <c r="T422" s="62"/>
      <c r="U422" s="62"/>
      <c r="V422" s="63"/>
      <c r="W422" s="42"/>
      <c r="X422" s="63"/>
      <c r="Y422" s="65"/>
      <c r="Z422" s="42"/>
      <c r="AA422" s="42"/>
      <c r="AB422" s="42"/>
      <c r="AC422" s="42"/>
      <c r="AD422" s="65"/>
      <c r="AE422" s="42"/>
      <c r="AF422" s="42"/>
      <c r="AG422" s="42"/>
      <c r="AH422" s="42"/>
      <c r="AI422" s="65"/>
      <c r="AJ422" s="42"/>
      <c r="AK422" s="42"/>
      <c r="AL422" s="42"/>
      <c r="AM422" s="42"/>
      <c r="AN422" s="65"/>
      <c r="AO422" s="42"/>
      <c r="AP422" s="42"/>
      <c r="AQ422" s="42"/>
      <c r="AR422" s="42"/>
      <c r="AS422" s="65"/>
      <c r="AT422" s="42"/>
    </row>
    <row r="423" spans="1:46" x14ac:dyDescent="0.25">
      <c r="A423" s="3"/>
      <c r="B423" s="58"/>
      <c r="C423" s="59"/>
      <c r="D423" s="3"/>
      <c r="E423" s="3"/>
      <c r="F423" s="3"/>
      <c r="G423" s="3"/>
      <c r="H423" s="27"/>
      <c r="I423" s="60"/>
      <c r="J423" s="61"/>
      <c r="K423" s="30"/>
      <c r="L423" s="30"/>
      <c r="M423" s="30"/>
      <c r="N423" s="30"/>
      <c r="O423" s="31"/>
      <c r="P423" s="30"/>
      <c r="Q423" s="62"/>
      <c r="R423" s="62"/>
      <c r="S423" s="62"/>
      <c r="T423" s="62"/>
      <c r="U423" s="62"/>
      <c r="V423" s="63"/>
      <c r="W423" s="42"/>
      <c r="X423" s="63"/>
      <c r="Y423" s="65"/>
      <c r="Z423" s="42"/>
      <c r="AA423" s="42"/>
      <c r="AB423" s="42"/>
      <c r="AC423" s="42"/>
      <c r="AD423" s="65"/>
      <c r="AE423" s="42"/>
      <c r="AF423" s="42"/>
      <c r="AG423" s="42"/>
      <c r="AH423" s="42"/>
      <c r="AI423" s="65"/>
      <c r="AJ423" s="42"/>
      <c r="AK423" s="42"/>
      <c r="AL423" s="42"/>
      <c r="AM423" s="42"/>
      <c r="AN423" s="65"/>
      <c r="AO423" s="42"/>
      <c r="AP423" s="42"/>
      <c r="AQ423" s="42"/>
      <c r="AR423" s="42"/>
      <c r="AS423" s="65"/>
      <c r="AT423" s="42"/>
    </row>
    <row r="424" spans="1:46" x14ac:dyDescent="0.25">
      <c r="A424" s="3"/>
      <c r="B424" s="58"/>
      <c r="C424" s="59"/>
      <c r="D424" s="3"/>
      <c r="E424" s="3"/>
      <c r="F424" s="3"/>
      <c r="G424" s="3"/>
      <c r="H424" s="27"/>
      <c r="I424" s="60"/>
      <c r="J424" s="61"/>
      <c r="K424" s="30"/>
      <c r="L424" s="30"/>
      <c r="M424" s="30"/>
      <c r="N424" s="30"/>
      <c r="O424" s="31"/>
      <c r="P424" s="30"/>
      <c r="Q424" s="62"/>
      <c r="R424" s="62"/>
      <c r="S424" s="62"/>
      <c r="T424" s="62"/>
      <c r="U424" s="62"/>
      <c r="V424" s="63"/>
      <c r="W424" s="42"/>
      <c r="X424" s="63"/>
      <c r="Y424" s="65"/>
      <c r="Z424" s="42"/>
      <c r="AA424" s="42"/>
      <c r="AB424" s="42"/>
      <c r="AC424" s="42"/>
      <c r="AD424" s="65"/>
      <c r="AE424" s="42"/>
      <c r="AF424" s="42"/>
      <c r="AG424" s="42"/>
      <c r="AH424" s="42"/>
      <c r="AI424" s="65"/>
      <c r="AJ424" s="42"/>
      <c r="AK424" s="42"/>
      <c r="AL424" s="42"/>
      <c r="AM424" s="42"/>
      <c r="AN424" s="65"/>
      <c r="AO424" s="42"/>
      <c r="AP424" s="42"/>
      <c r="AQ424" s="42"/>
      <c r="AR424" s="42"/>
      <c r="AS424" s="65"/>
      <c r="AT424" s="42"/>
    </row>
    <row r="425" spans="1:46" x14ac:dyDescent="0.25">
      <c r="A425" s="3"/>
      <c r="B425" s="58"/>
      <c r="C425" s="59"/>
      <c r="D425" s="3"/>
      <c r="E425" s="3"/>
      <c r="F425" s="3"/>
      <c r="G425" s="3"/>
      <c r="H425" s="27"/>
      <c r="I425" s="60"/>
      <c r="J425" s="61"/>
      <c r="K425" s="30"/>
      <c r="L425" s="30"/>
      <c r="M425" s="30"/>
      <c r="N425" s="30"/>
      <c r="O425" s="31"/>
      <c r="P425" s="30"/>
      <c r="Q425" s="62"/>
      <c r="R425" s="62"/>
      <c r="S425" s="62"/>
      <c r="T425" s="62"/>
      <c r="U425" s="62"/>
      <c r="V425" s="63"/>
      <c r="W425" s="42"/>
      <c r="X425" s="63"/>
      <c r="Y425" s="65"/>
      <c r="Z425" s="42"/>
      <c r="AA425" s="42"/>
      <c r="AB425" s="42"/>
      <c r="AC425" s="42"/>
      <c r="AD425" s="65"/>
      <c r="AE425" s="42"/>
      <c r="AF425" s="42"/>
      <c r="AG425" s="42"/>
      <c r="AH425" s="42"/>
      <c r="AI425" s="65"/>
      <c r="AJ425" s="42"/>
      <c r="AK425" s="42"/>
      <c r="AL425" s="42"/>
      <c r="AM425" s="42"/>
      <c r="AN425" s="65"/>
      <c r="AO425" s="42"/>
      <c r="AP425" s="42"/>
      <c r="AQ425" s="42"/>
      <c r="AR425" s="42"/>
      <c r="AS425" s="65"/>
      <c r="AT425" s="42"/>
    </row>
    <row r="426" spans="1:46" x14ac:dyDescent="0.25">
      <c r="A426" s="3"/>
      <c r="B426" s="58"/>
      <c r="C426" s="59"/>
      <c r="D426" s="3"/>
      <c r="E426" s="3"/>
      <c r="F426" s="3"/>
      <c r="G426" s="3"/>
      <c r="H426" s="27"/>
      <c r="I426" s="60"/>
      <c r="J426" s="61"/>
      <c r="K426" s="30"/>
      <c r="L426" s="30"/>
      <c r="M426" s="30"/>
      <c r="N426" s="30"/>
      <c r="O426" s="31"/>
      <c r="P426" s="30"/>
      <c r="Q426" s="62"/>
      <c r="R426" s="62"/>
      <c r="S426" s="62"/>
      <c r="T426" s="62"/>
      <c r="U426" s="62"/>
      <c r="V426" s="63"/>
      <c r="W426" s="42"/>
      <c r="X426" s="63"/>
      <c r="Y426" s="65"/>
      <c r="Z426" s="42"/>
      <c r="AA426" s="42"/>
      <c r="AB426" s="42"/>
      <c r="AC426" s="42"/>
      <c r="AD426" s="65"/>
      <c r="AE426" s="42"/>
      <c r="AF426" s="42"/>
      <c r="AG426" s="42"/>
      <c r="AH426" s="42"/>
      <c r="AI426" s="65"/>
      <c r="AJ426" s="42"/>
      <c r="AK426" s="42"/>
      <c r="AL426" s="42"/>
      <c r="AM426" s="42"/>
      <c r="AN426" s="65"/>
      <c r="AO426" s="42"/>
      <c r="AP426" s="42"/>
      <c r="AQ426" s="42"/>
      <c r="AR426" s="42"/>
      <c r="AS426" s="65"/>
      <c r="AT426" s="42"/>
    </row>
    <row r="427" spans="1:46" x14ac:dyDescent="0.25">
      <c r="A427" s="3"/>
      <c r="B427" s="58"/>
      <c r="C427" s="59"/>
      <c r="D427" s="3"/>
      <c r="E427" s="3"/>
      <c r="F427" s="3"/>
      <c r="G427" s="3"/>
      <c r="H427" s="27"/>
      <c r="I427" s="60"/>
      <c r="J427" s="61"/>
      <c r="K427" s="30"/>
      <c r="L427" s="30"/>
      <c r="M427" s="30"/>
      <c r="N427" s="30"/>
      <c r="O427" s="31"/>
      <c r="P427" s="30"/>
      <c r="Q427" s="62"/>
      <c r="R427" s="62"/>
      <c r="S427" s="62"/>
      <c r="T427" s="62"/>
      <c r="U427" s="62"/>
      <c r="V427" s="63"/>
      <c r="W427" s="42"/>
      <c r="X427" s="63"/>
      <c r="Y427" s="65"/>
      <c r="Z427" s="42"/>
      <c r="AA427" s="42"/>
      <c r="AB427" s="42"/>
      <c r="AC427" s="42"/>
      <c r="AD427" s="65"/>
      <c r="AE427" s="42"/>
      <c r="AF427" s="42"/>
      <c r="AG427" s="42"/>
      <c r="AH427" s="42"/>
      <c r="AI427" s="65"/>
      <c r="AJ427" s="42"/>
      <c r="AK427" s="42"/>
      <c r="AL427" s="42"/>
      <c r="AM427" s="42"/>
      <c r="AN427" s="65"/>
      <c r="AO427" s="42"/>
      <c r="AP427" s="42"/>
      <c r="AQ427" s="42"/>
      <c r="AR427" s="42"/>
      <c r="AS427" s="65"/>
      <c r="AT427" s="42"/>
    </row>
    <row r="428" spans="1:46" x14ac:dyDescent="0.25">
      <c r="A428" s="3"/>
      <c r="B428" s="58"/>
      <c r="C428" s="59"/>
      <c r="D428" s="3"/>
      <c r="E428" s="3"/>
      <c r="F428" s="3"/>
      <c r="G428" s="3"/>
      <c r="H428" s="27"/>
      <c r="I428" s="60"/>
      <c r="J428" s="61"/>
      <c r="K428" s="30"/>
      <c r="L428" s="30"/>
      <c r="M428" s="30"/>
      <c r="N428" s="30"/>
      <c r="O428" s="31"/>
      <c r="P428" s="30"/>
      <c r="Q428" s="62"/>
      <c r="R428" s="62"/>
      <c r="S428" s="62"/>
      <c r="T428" s="62"/>
      <c r="U428" s="62"/>
      <c r="V428" s="63"/>
      <c r="W428" s="42"/>
      <c r="X428" s="63"/>
      <c r="Y428" s="65"/>
      <c r="Z428" s="42"/>
      <c r="AA428" s="42"/>
      <c r="AB428" s="42"/>
      <c r="AC428" s="42"/>
      <c r="AD428" s="65"/>
      <c r="AE428" s="42"/>
      <c r="AF428" s="42"/>
      <c r="AG428" s="42"/>
      <c r="AH428" s="42"/>
      <c r="AI428" s="65"/>
      <c r="AJ428" s="42"/>
      <c r="AK428" s="42"/>
      <c r="AL428" s="42"/>
      <c r="AM428" s="42"/>
      <c r="AN428" s="65"/>
      <c r="AO428" s="42"/>
      <c r="AP428" s="42"/>
      <c r="AQ428" s="42"/>
      <c r="AR428" s="42"/>
      <c r="AS428" s="65"/>
      <c r="AT428" s="42"/>
    </row>
    <row r="429" spans="1:46" x14ac:dyDescent="0.25">
      <c r="A429" s="3"/>
      <c r="B429" s="58"/>
      <c r="C429" s="59"/>
      <c r="D429" s="3"/>
      <c r="E429" s="3"/>
      <c r="F429" s="3"/>
      <c r="G429" s="3"/>
      <c r="H429" s="27"/>
      <c r="I429" s="60"/>
      <c r="J429" s="61"/>
      <c r="K429" s="30"/>
      <c r="L429" s="30"/>
      <c r="M429" s="30"/>
      <c r="N429" s="30"/>
      <c r="O429" s="31"/>
      <c r="P429" s="30"/>
      <c r="Q429" s="62"/>
      <c r="R429" s="62"/>
      <c r="S429" s="62"/>
      <c r="T429" s="62"/>
      <c r="U429" s="62"/>
      <c r="V429" s="63"/>
      <c r="W429" s="42"/>
      <c r="X429" s="63"/>
      <c r="Y429" s="65"/>
      <c r="Z429" s="42"/>
      <c r="AA429" s="42"/>
      <c r="AB429" s="42"/>
      <c r="AC429" s="42"/>
      <c r="AD429" s="65"/>
      <c r="AE429" s="42"/>
      <c r="AF429" s="42"/>
      <c r="AG429" s="42"/>
      <c r="AH429" s="42"/>
      <c r="AI429" s="65"/>
      <c r="AJ429" s="42"/>
      <c r="AK429" s="42"/>
      <c r="AL429" s="42"/>
      <c r="AM429" s="42"/>
      <c r="AN429" s="65"/>
      <c r="AO429" s="42"/>
      <c r="AP429" s="42"/>
      <c r="AQ429" s="42"/>
      <c r="AR429" s="42"/>
      <c r="AS429" s="65"/>
      <c r="AT429" s="42"/>
    </row>
    <row r="430" spans="1:46" x14ac:dyDescent="0.25">
      <c r="A430" s="3"/>
      <c r="B430" s="58"/>
      <c r="C430" s="59"/>
      <c r="D430" s="3"/>
      <c r="E430" s="3"/>
      <c r="F430" s="3"/>
      <c r="G430" s="3"/>
      <c r="H430" s="27"/>
      <c r="I430" s="60"/>
      <c r="J430" s="61"/>
      <c r="K430" s="30"/>
      <c r="L430" s="30"/>
      <c r="M430" s="30"/>
      <c r="N430" s="30"/>
      <c r="O430" s="31"/>
      <c r="P430" s="30"/>
      <c r="Q430" s="62"/>
      <c r="R430" s="62"/>
      <c r="S430" s="62"/>
      <c r="T430" s="62"/>
      <c r="U430" s="62"/>
      <c r="V430" s="63"/>
      <c r="W430" s="42"/>
      <c r="X430" s="63"/>
      <c r="Y430" s="65"/>
      <c r="Z430" s="42"/>
      <c r="AA430" s="42"/>
      <c r="AB430" s="42"/>
      <c r="AC430" s="42"/>
      <c r="AD430" s="65"/>
      <c r="AE430" s="42"/>
      <c r="AF430" s="42"/>
      <c r="AG430" s="42"/>
      <c r="AH430" s="42"/>
      <c r="AI430" s="65"/>
      <c r="AJ430" s="42"/>
      <c r="AK430" s="42"/>
      <c r="AL430" s="42"/>
      <c r="AM430" s="42"/>
      <c r="AN430" s="65"/>
      <c r="AO430" s="42"/>
      <c r="AP430" s="42"/>
      <c r="AQ430" s="42"/>
      <c r="AR430" s="42"/>
      <c r="AS430" s="65"/>
      <c r="AT430" s="42"/>
    </row>
    <row r="431" spans="1:46" x14ac:dyDescent="0.25">
      <c r="A431" s="3"/>
      <c r="B431" s="58"/>
      <c r="C431" s="59"/>
      <c r="D431" s="3"/>
      <c r="E431" s="3"/>
      <c r="F431" s="3"/>
      <c r="G431" s="3"/>
      <c r="H431" s="27"/>
      <c r="I431" s="60"/>
      <c r="J431" s="61"/>
      <c r="K431" s="30"/>
      <c r="L431" s="30"/>
      <c r="M431" s="30"/>
      <c r="N431" s="30"/>
      <c r="O431" s="31"/>
      <c r="P431" s="30"/>
      <c r="Q431" s="62"/>
      <c r="R431" s="62"/>
      <c r="S431" s="62"/>
      <c r="T431" s="62"/>
      <c r="U431" s="62"/>
      <c r="V431" s="63"/>
      <c r="W431" s="42"/>
      <c r="X431" s="63"/>
      <c r="Y431" s="65"/>
      <c r="Z431" s="42"/>
      <c r="AA431" s="42"/>
      <c r="AB431" s="42"/>
      <c r="AC431" s="42"/>
      <c r="AD431" s="65"/>
      <c r="AE431" s="42"/>
      <c r="AF431" s="42"/>
      <c r="AG431" s="42"/>
      <c r="AH431" s="42"/>
      <c r="AI431" s="65"/>
      <c r="AJ431" s="42"/>
      <c r="AK431" s="42"/>
      <c r="AL431" s="42"/>
      <c r="AM431" s="42"/>
      <c r="AN431" s="65"/>
      <c r="AO431" s="42"/>
      <c r="AP431" s="42"/>
      <c r="AQ431" s="42"/>
      <c r="AR431" s="42"/>
      <c r="AS431" s="65"/>
      <c r="AT431" s="42"/>
    </row>
    <row r="432" spans="1:46" x14ac:dyDescent="0.25">
      <c r="A432" s="3"/>
      <c r="B432" s="58"/>
      <c r="C432" s="59"/>
      <c r="D432" s="3"/>
      <c r="E432" s="3"/>
      <c r="F432" s="3"/>
      <c r="G432" s="3"/>
      <c r="H432" s="27"/>
      <c r="I432" s="60"/>
      <c r="J432" s="61"/>
      <c r="K432" s="30"/>
      <c r="L432" s="30"/>
      <c r="M432" s="30"/>
      <c r="N432" s="30"/>
      <c r="O432" s="31"/>
      <c r="P432" s="30"/>
      <c r="Q432" s="62"/>
      <c r="R432" s="62"/>
      <c r="S432" s="62"/>
      <c r="T432" s="62"/>
      <c r="U432" s="62"/>
      <c r="V432" s="63"/>
      <c r="W432" s="42"/>
      <c r="X432" s="63"/>
      <c r="Y432" s="65"/>
      <c r="Z432" s="42"/>
      <c r="AA432" s="42"/>
      <c r="AB432" s="42"/>
      <c r="AC432" s="42"/>
      <c r="AD432" s="65"/>
      <c r="AE432" s="42"/>
      <c r="AF432" s="42"/>
      <c r="AG432" s="42"/>
      <c r="AH432" s="42"/>
      <c r="AI432" s="65"/>
      <c r="AJ432" s="42"/>
      <c r="AK432" s="42"/>
      <c r="AL432" s="42"/>
      <c r="AM432" s="42"/>
      <c r="AN432" s="65"/>
      <c r="AO432" s="42"/>
      <c r="AP432" s="42"/>
      <c r="AQ432" s="42"/>
      <c r="AR432" s="42"/>
      <c r="AS432" s="65"/>
      <c r="AT432" s="42"/>
    </row>
    <row r="433" spans="1:46" x14ac:dyDescent="0.25">
      <c r="A433" s="3"/>
      <c r="B433" s="58"/>
      <c r="C433" s="59"/>
      <c r="D433" s="3"/>
      <c r="E433" s="3"/>
      <c r="F433" s="3"/>
      <c r="G433" s="3"/>
      <c r="H433" s="27"/>
      <c r="I433" s="60"/>
      <c r="J433" s="61"/>
      <c r="K433" s="30"/>
      <c r="L433" s="30"/>
      <c r="M433" s="30"/>
      <c r="N433" s="30"/>
      <c r="O433" s="31"/>
      <c r="P433" s="30"/>
      <c r="Q433" s="62"/>
      <c r="R433" s="62"/>
      <c r="S433" s="62"/>
      <c r="T433" s="62"/>
      <c r="U433" s="62"/>
      <c r="V433" s="63"/>
      <c r="W433" s="42"/>
      <c r="X433" s="63"/>
      <c r="Y433" s="65"/>
      <c r="Z433" s="42"/>
      <c r="AA433" s="42"/>
      <c r="AB433" s="42"/>
      <c r="AC433" s="42"/>
      <c r="AD433" s="65"/>
      <c r="AE433" s="42"/>
      <c r="AF433" s="42"/>
      <c r="AG433" s="42"/>
      <c r="AH433" s="42"/>
      <c r="AI433" s="65"/>
      <c r="AJ433" s="42"/>
      <c r="AK433" s="42"/>
      <c r="AL433" s="42"/>
      <c r="AM433" s="42"/>
      <c r="AN433" s="65"/>
      <c r="AO433" s="42"/>
      <c r="AP433" s="42"/>
      <c r="AQ433" s="42"/>
      <c r="AR433" s="42"/>
      <c r="AS433" s="65"/>
      <c r="AT433" s="42"/>
    </row>
    <row r="434" spans="1:46" x14ac:dyDescent="0.25">
      <c r="A434" s="3"/>
      <c r="B434" s="58"/>
      <c r="C434" s="59"/>
      <c r="D434" s="3"/>
      <c r="E434" s="3"/>
      <c r="F434" s="3"/>
      <c r="G434" s="3"/>
      <c r="H434" s="27"/>
      <c r="I434" s="60"/>
      <c r="J434" s="61"/>
      <c r="K434" s="30"/>
      <c r="L434" s="30"/>
      <c r="M434" s="30"/>
      <c r="N434" s="30"/>
      <c r="O434" s="31"/>
      <c r="P434" s="30"/>
      <c r="Q434" s="62"/>
      <c r="R434" s="62"/>
      <c r="S434" s="62"/>
      <c r="T434" s="62"/>
      <c r="U434" s="62"/>
      <c r="V434" s="63"/>
      <c r="W434" s="42"/>
      <c r="X434" s="63"/>
      <c r="Y434" s="65"/>
      <c r="Z434" s="42"/>
      <c r="AA434" s="42"/>
      <c r="AB434" s="42"/>
      <c r="AC434" s="42"/>
      <c r="AD434" s="65"/>
      <c r="AE434" s="42"/>
      <c r="AF434" s="42"/>
      <c r="AG434" s="42"/>
      <c r="AH434" s="42"/>
      <c r="AI434" s="65"/>
      <c r="AJ434" s="42"/>
      <c r="AK434" s="42"/>
      <c r="AL434" s="42"/>
      <c r="AM434" s="42"/>
      <c r="AN434" s="65"/>
      <c r="AO434" s="42"/>
      <c r="AP434" s="42"/>
      <c r="AQ434" s="42"/>
      <c r="AR434" s="42"/>
      <c r="AS434" s="65"/>
      <c r="AT434" s="42"/>
    </row>
    <row r="435" spans="1:46" x14ac:dyDescent="0.25">
      <c r="A435" s="3"/>
      <c r="B435" s="58"/>
      <c r="C435" s="59"/>
      <c r="D435" s="3"/>
      <c r="E435" s="3"/>
      <c r="F435" s="3"/>
      <c r="G435" s="3"/>
      <c r="H435" s="27"/>
      <c r="I435" s="60"/>
      <c r="J435" s="61"/>
      <c r="K435" s="30"/>
      <c r="L435" s="30"/>
      <c r="M435" s="30"/>
      <c r="N435" s="30"/>
      <c r="O435" s="31"/>
      <c r="P435" s="30"/>
      <c r="Q435" s="62"/>
      <c r="R435" s="62"/>
      <c r="S435" s="62"/>
      <c r="T435" s="62"/>
      <c r="U435" s="62"/>
      <c r="V435" s="63"/>
      <c r="W435" s="42"/>
      <c r="X435" s="63"/>
      <c r="Y435" s="65"/>
      <c r="Z435" s="42"/>
      <c r="AA435" s="42"/>
      <c r="AB435" s="42"/>
      <c r="AC435" s="42"/>
      <c r="AD435" s="65"/>
      <c r="AE435" s="42"/>
      <c r="AF435" s="42"/>
      <c r="AG435" s="42"/>
      <c r="AH435" s="42"/>
      <c r="AI435" s="65"/>
      <c r="AJ435" s="42"/>
      <c r="AK435" s="42"/>
      <c r="AL435" s="42"/>
      <c r="AM435" s="42"/>
      <c r="AN435" s="65"/>
      <c r="AO435" s="42"/>
      <c r="AP435" s="42"/>
      <c r="AQ435" s="42"/>
      <c r="AR435" s="42"/>
      <c r="AS435" s="65"/>
      <c r="AT435" s="42"/>
    </row>
    <row r="436" spans="1:46" x14ac:dyDescent="0.25">
      <c r="A436" s="3"/>
      <c r="B436" s="58"/>
      <c r="C436" s="59"/>
      <c r="D436" s="3"/>
      <c r="E436" s="3"/>
      <c r="F436" s="3"/>
      <c r="G436" s="3"/>
      <c r="H436" s="27"/>
      <c r="I436" s="60"/>
      <c r="J436" s="61"/>
      <c r="K436" s="30"/>
      <c r="L436" s="30"/>
      <c r="M436" s="30"/>
      <c r="N436" s="30"/>
      <c r="O436" s="31"/>
      <c r="P436" s="30"/>
      <c r="Q436" s="62"/>
      <c r="R436" s="62"/>
      <c r="S436" s="62"/>
      <c r="T436" s="62"/>
      <c r="U436" s="62"/>
      <c r="V436" s="63"/>
      <c r="W436" s="42"/>
      <c r="X436" s="63"/>
      <c r="Y436" s="65"/>
      <c r="Z436" s="42"/>
      <c r="AA436" s="42"/>
      <c r="AB436" s="42"/>
      <c r="AC436" s="42"/>
      <c r="AD436" s="65"/>
      <c r="AE436" s="42"/>
      <c r="AF436" s="42"/>
      <c r="AG436" s="42"/>
      <c r="AH436" s="42"/>
      <c r="AI436" s="65"/>
      <c r="AJ436" s="42"/>
      <c r="AK436" s="42"/>
      <c r="AL436" s="42"/>
      <c r="AM436" s="42"/>
      <c r="AN436" s="65"/>
      <c r="AO436" s="42"/>
      <c r="AP436" s="42"/>
      <c r="AQ436" s="42"/>
      <c r="AR436" s="42"/>
      <c r="AS436" s="65"/>
      <c r="AT436" s="42"/>
    </row>
    <row r="437" spans="1:46" x14ac:dyDescent="0.25">
      <c r="A437" s="3"/>
      <c r="B437" s="58"/>
      <c r="C437" s="59"/>
      <c r="D437" s="3"/>
      <c r="E437" s="3"/>
      <c r="F437" s="3"/>
      <c r="G437" s="3"/>
      <c r="H437" s="27"/>
      <c r="I437" s="60"/>
      <c r="J437" s="61"/>
      <c r="K437" s="30"/>
      <c r="L437" s="30"/>
      <c r="M437" s="30"/>
      <c r="N437" s="30"/>
      <c r="O437" s="31"/>
      <c r="P437" s="30"/>
      <c r="Q437" s="62"/>
      <c r="R437" s="62"/>
      <c r="S437" s="62"/>
      <c r="T437" s="62"/>
      <c r="U437" s="62"/>
      <c r="V437" s="63"/>
      <c r="W437" s="42"/>
      <c r="X437" s="63"/>
      <c r="Y437" s="65"/>
      <c r="Z437" s="42"/>
      <c r="AA437" s="42"/>
      <c r="AB437" s="42"/>
      <c r="AC437" s="42"/>
      <c r="AD437" s="65"/>
      <c r="AE437" s="42"/>
      <c r="AF437" s="42"/>
      <c r="AG437" s="42"/>
      <c r="AH437" s="42"/>
      <c r="AI437" s="65"/>
      <c r="AJ437" s="42"/>
      <c r="AK437" s="42"/>
      <c r="AL437" s="42"/>
      <c r="AM437" s="42"/>
      <c r="AN437" s="65"/>
      <c r="AO437" s="42"/>
      <c r="AP437" s="42"/>
      <c r="AQ437" s="42"/>
      <c r="AR437" s="42"/>
      <c r="AS437" s="65"/>
      <c r="AT437" s="42"/>
    </row>
    <row r="438" spans="1:46" x14ac:dyDescent="0.25">
      <c r="A438" s="3"/>
      <c r="B438" s="58"/>
      <c r="C438" s="59"/>
      <c r="D438" s="3"/>
      <c r="E438" s="3"/>
      <c r="F438" s="3"/>
      <c r="G438" s="3"/>
      <c r="H438" s="27"/>
      <c r="I438" s="60"/>
      <c r="J438" s="61"/>
      <c r="K438" s="30"/>
      <c r="L438" s="30"/>
      <c r="M438" s="30"/>
      <c r="N438" s="30"/>
      <c r="O438" s="31"/>
      <c r="P438" s="30"/>
      <c r="Q438" s="62"/>
      <c r="R438" s="62"/>
      <c r="S438" s="62"/>
      <c r="T438" s="62"/>
      <c r="U438" s="62"/>
      <c r="V438" s="63"/>
      <c r="W438" s="42"/>
      <c r="X438" s="63"/>
      <c r="Y438" s="65"/>
      <c r="Z438" s="42"/>
      <c r="AA438" s="42"/>
      <c r="AB438" s="42"/>
      <c r="AC438" s="42"/>
      <c r="AD438" s="65"/>
      <c r="AE438" s="42"/>
      <c r="AF438" s="42"/>
      <c r="AG438" s="42"/>
      <c r="AH438" s="42"/>
      <c r="AI438" s="65"/>
      <c r="AJ438" s="42"/>
      <c r="AK438" s="42"/>
      <c r="AL438" s="42"/>
      <c r="AM438" s="42"/>
      <c r="AN438" s="65"/>
      <c r="AO438" s="42"/>
      <c r="AP438" s="42"/>
      <c r="AQ438" s="42"/>
      <c r="AR438" s="42"/>
      <c r="AS438" s="65"/>
      <c r="AT438" s="42"/>
    </row>
    <row r="439" spans="1:46" x14ac:dyDescent="0.25">
      <c r="A439" s="3"/>
      <c r="B439" s="58"/>
      <c r="C439" s="59"/>
      <c r="D439" s="3"/>
      <c r="E439" s="3"/>
      <c r="F439" s="3"/>
      <c r="G439" s="3"/>
      <c r="H439" s="27"/>
      <c r="I439" s="60"/>
      <c r="J439" s="61"/>
      <c r="K439" s="30"/>
      <c r="L439" s="30"/>
      <c r="M439" s="30"/>
      <c r="N439" s="30"/>
      <c r="O439" s="31"/>
      <c r="P439" s="30"/>
      <c r="Q439" s="62"/>
      <c r="R439" s="62"/>
      <c r="S439" s="62"/>
      <c r="T439" s="62"/>
      <c r="U439" s="62"/>
      <c r="V439" s="63"/>
      <c r="W439" s="42"/>
      <c r="X439" s="63"/>
      <c r="Y439" s="65"/>
      <c r="Z439" s="42"/>
      <c r="AA439" s="42"/>
      <c r="AB439" s="42"/>
      <c r="AC439" s="42"/>
      <c r="AD439" s="65"/>
      <c r="AE439" s="42"/>
      <c r="AF439" s="42"/>
      <c r="AG439" s="42"/>
      <c r="AH439" s="42"/>
      <c r="AI439" s="65"/>
      <c r="AJ439" s="42"/>
      <c r="AK439" s="42"/>
      <c r="AL439" s="42"/>
      <c r="AM439" s="42"/>
      <c r="AN439" s="65"/>
      <c r="AO439" s="42"/>
      <c r="AP439" s="42"/>
      <c r="AQ439" s="42"/>
      <c r="AR439" s="42"/>
      <c r="AS439" s="65"/>
      <c r="AT439" s="42"/>
    </row>
    <row r="440" spans="1:46" x14ac:dyDescent="0.25">
      <c r="A440" s="3"/>
      <c r="B440" s="58"/>
      <c r="C440" s="59"/>
      <c r="D440" s="3"/>
      <c r="E440" s="3"/>
      <c r="F440" s="3"/>
      <c r="G440" s="3"/>
      <c r="H440" s="27"/>
      <c r="I440" s="60"/>
      <c r="J440" s="61"/>
      <c r="K440" s="30"/>
      <c r="L440" s="30"/>
      <c r="M440" s="30"/>
      <c r="N440" s="30"/>
      <c r="O440" s="31"/>
      <c r="P440" s="30"/>
      <c r="Q440" s="62"/>
      <c r="R440" s="62"/>
      <c r="S440" s="62"/>
      <c r="T440" s="62"/>
      <c r="U440" s="62"/>
      <c r="V440" s="63"/>
      <c r="W440" s="42"/>
      <c r="X440" s="63"/>
      <c r="Y440" s="65"/>
      <c r="Z440" s="42"/>
      <c r="AA440" s="42"/>
      <c r="AB440" s="42"/>
      <c r="AC440" s="42"/>
      <c r="AD440" s="65"/>
      <c r="AE440" s="42"/>
      <c r="AF440" s="42"/>
      <c r="AG440" s="42"/>
      <c r="AH440" s="42"/>
      <c r="AI440" s="65"/>
      <c r="AJ440" s="42"/>
      <c r="AK440" s="42"/>
      <c r="AL440" s="42"/>
      <c r="AM440" s="42"/>
      <c r="AN440" s="65"/>
      <c r="AO440" s="42"/>
      <c r="AP440" s="42"/>
      <c r="AQ440" s="42"/>
      <c r="AR440" s="42"/>
      <c r="AS440" s="65"/>
      <c r="AT440" s="42"/>
    </row>
    <row r="441" spans="1:46" x14ac:dyDescent="0.25">
      <c r="A441" s="3"/>
      <c r="B441" s="58"/>
      <c r="C441" s="59"/>
      <c r="D441" s="3"/>
      <c r="E441" s="3"/>
      <c r="F441" s="3"/>
      <c r="G441" s="3"/>
      <c r="H441" s="27"/>
      <c r="I441" s="60"/>
      <c r="J441" s="61"/>
      <c r="K441" s="30"/>
      <c r="L441" s="30"/>
      <c r="M441" s="30"/>
      <c r="N441" s="30"/>
      <c r="O441" s="31"/>
      <c r="P441" s="30"/>
      <c r="Q441" s="62"/>
      <c r="R441" s="62"/>
      <c r="S441" s="62"/>
      <c r="T441" s="62"/>
      <c r="U441" s="62"/>
      <c r="V441" s="63"/>
      <c r="W441" s="42"/>
      <c r="X441" s="63"/>
      <c r="Y441" s="65"/>
      <c r="Z441" s="42"/>
      <c r="AA441" s="42"/>
      <c r="AB441" s="42"/>
      <c r="AC441" s="42"/>
      <c r="AD441" s="65"/>
      <c r="AE441" s="42"/>
      <c r="AF441" s="42"/>
      <c r="AG441" s="42"/>
      <c r="AH441" s="42"/>
      <c r="AI441" s="65"/>
      <c r="AJ441" s="42"/>
      <c r="AK441" s="42"/>
      <c r="AL441" s="42"/>
      <c r="AM441" s="42"/>
      <c r="AN441" s="65"/>
      <c r="AO441" s="42"/>
      <c r="AP441" s="42"/>
      <c r="AQ441" s="42"/>
      <c r="AR441" s="42"/>
      <c r="AS441" s="65"/>
      <c r="AT441" s="42"/>
    </row>
    <row r="442" spans="1:46" x14ac:dyDescent="0.25">
      <c r="A442" s="3"/>
      <c r="B442" s="58"/>
      <c r="C442" s="59"/>
      <c r="D442" s="3"/>
      <c r="E442" s="3"/>
      <c r="F442" s="3"/>
      <c r="G442" s="3"/>
      <c r="H442" s="27"/>
      <c r="I442" s="60"/>
      <c r="J442" s="61"/>
      <c r="K442" s="30"/>
      <c r="L442" s="30"/>
      <c r="M442" s="30"/>
      <c r="N442" s="30"/>
      <c r="O442" s="31"/>
      <c r="P442" s="30"/>
      <c r="Q442" s="62"/>
      <c r="R442" s="62"/>
      <c r="S442" s="62"/>
      <c r="T442" s="62"/>
      <c r="U442" s="62"/>
      <c r="V442" s="63"/>
      <c r="W442" s="42"/>
      <c r="X442" s="63"/>
      <c r="Y442" s="65"/>
      <c r="Z442" s="42"/>
      <c r="AA442" s="42"/>
      <c r="AB442" s="42"/>
      <c r="AC442" s="42"/>
      <c r="AD442" s="65"/>
      <c r="AE442" s="42"/>
      <c r="AF442" s="42"/>
      <c r="AG442" s="42"/>
      <c r="AH442" s="42"/>
      <c r="AI442" s="65"/>
      <c r="AJ442" s="42"/>
      <c r="AK442" s="42"/>
      <c r="AL442" s="42"/>
      <c r="AM442" s="42"/>
      <c r="AN442" s="65"/>
      <c r="AO442" s="42"/>
      <c r="AP442" s="42"/>
      <c r="AQ442" s="42"/>
      <c r="AR442" s="42"/>
      <c r="AS442" s="65"/>
      <c r="AT442" s="42"/>
    </row>
    <row r="443" spans="1:46" x14ac:dyDescent="0.25">
      <c r="A443" s="3"/>
      <c r="B443" s="58"/>
      <c r="C443" s="59"/>
      <c r="D443" s="3"/>
      <c r="E443" s="3"/>
      <c r="F443" s="3"/>
      <c r="G443" s="3"/>
      <c r="H443" s="27"/>
      <c r="I443" s="60"/>
      <c r="J443" s="61"/>
      <c r="K443" s="30"/>
      <c r="L443" s="30"/>
      <c r="M443" s="30"/>
      <c r="N443" s="30"/>
      <c r="O443" s="31"/>
      <c r="P443" s="30"/>
      <c r="Q443" s="62"/>
      <c r="R443" s="62"/>
      <c r="S443" s="62"/>
      <c r="T443" s="62"/>
      <c r="U443" s="62"/>
      <c r="V443" s="63"/>
      <c r="W443" s="42"/>
      <c r="X443" s="63"/>
      <c r="Y443" s="65"/>
      <c r="Z443" s="42"/>
      <c r="AA443" s="42"/>
      <c r="AB443" s="42"/>
      <c r="AC443" s="42"/>
      <c r="AD443" s="65"/>
      <c r="AE443" s="42"/>
      <c r="AF443" s="42"/>
      <c r="AG443" s="42"/>
      <c r="AH443" s="42"/>
      <c r="AI443" s="65"/>
      <c r="AJ443" s="42"/>
      <c r="AK443" s="42"/>
      <c r="AL443" s="42"/>
      <c r="AM443" s="42"/>
      <c r="AN443" s="65"/>
      <c r="AO443" s="42"/>
      <c r="AP443" s="42"/>
      <c r="AQ443" s="42"/>
      <c r="AR443" s="42"/>
      <c r="AS443" s="65"/>
      <c r="AT443" s="42"/>
    </row>
    <row r="444" spans="1:46" x14ac:dyDescent="0.25">
      <c r="A444" s="3"/>
      <c r="B444" s="58"/>
      <c r="C444" s="59"/>
      <c r="D444" s="3"/>
      <c r="E444" s="3"/>
      <c r="F444" s="3"/>
      <c r="G444" s="3"/>
      <c r="H444" s="27"/>
      <c r="I444" s="60"/>
      <c r="J444" s="61"/>
      <c r="K444" s="30"/>
      <c r="L444" s="30"/>
      <c r="M444" s="30"/>
      <c r="N444" s="30"/>
      <c r="O444" s="31"/>
      <c r="P444" s="30"/>
      <c r="Q444" s="62"/>
      <c r="R444" s="62"/>
      <c r="S444" s="62"/>
      <c r="T444" s="62"/>
      <c r="U444" s="62"/>
      <c r="V444" s="63"/>
      <c r="W444" s="42"/>
      <c r="X444" s="63"/>
      <c r="Y444" s="65"/>
      <c r="Z444" s="42"/>
      <c r="AA444" s="42"/>
      <c r="AB444" s="42"/>
      <c r="AC444" s="42"/>
      <c r="AD444" s="65"/>
      <c r="AE444" s="42"/>
      <c r="AF444" s="42"/>
      <c r="AG444" s="42"/>
      <c r="AH444" s="42"/>
      <c r="AI444" s="65"/>
      <c r="AJ444" s="42"/>
      <c r="AK444" s="42"/>
      <c r="AL444" s="42"/>
      <c r="AM444" s="42"/>
      <c r="AN444" s="65"/>
      <c r="AO444" s="42"/>
      <c r="AP444" s="42"/>
      <c r="AQ444" s="42"/>
      <c r="AR444" s="42"/>
      <c r="AS444" s="65"/>
      <c r="AT444" s="42"/>
    </row>
    <row r="445" spans="1:46" x14ac:dyDescent="0.25">
      <c r="A445" s="3"/>
      <c r="B445" s="58"/>
      <c r="C445" s="59"/>
      <c r="D445" s="3"/>
      <c r="E445" s="3"/>
      <c r="F445" s="3"/>
      <c r="G445" s="3"/>
      <c r="H445" s="27"/>
      <c r="I445" s="60"/>
      <c r="J445" s="61"/>
      <c r="K445" s="30"/>
      <c r="L445" s="30"/>
      <c r="M445" s="30"/>
      <c r="N445" s="30"/>
      <c r="O445" s="31"/>
      <c r="P445" s="30"/>
      <c r="Q445" s="62"/>
      <c r="R445" s="62"/>
      <c r="S445" s="62"/>
      <c r="T445" s="62"/>
      <c r="U445" s="62"/>
      <c r="V445" s="63"/>
      <c r="W445" s="42"/>
      <c r="X445" s="63"/>
      <c r="Y445" s="65"/>
      <c r="Z445" s="42"/>
      <c r="AA445" s="42"/>
      <c r="AB445" s="42"/>
      <c r="AC445" s="42"/>
      <c r="AD445" s="65"/>
      <c r="AE445" s="42"/>
      <c r="AF445" s="42"/>
      <c r="AG445" s="42"/>
      <c r="AH445" s="42"/>
      <c r="AI445" s="65"/>
      <c r="AJ445" s="42"/>
      <c r="AK445" s="42"/>
      <c r="AL445" s="42"/>
      <c r="AM445" s="42"/>
      <c r="AN445" s="65"/>
      <c r="AO445" s="42"/>
      <c r="AP445" s="42"/>
      <c r="AQ445" s="42"/>
      <c r="AR445" s="42"/>
      <c r="AS445" s="65"/>
      <c r="AT445" s="42"/>
    </row>
    <row r="446" spans="1:46" x14ac:dyDescent="0.25">
      <c r="A446" s="3"/>
      <c r="B446" s="58"/>
      <c r="C446" s="59"/>
      <c r="D446" s="3"/>
      <c r="E446" s="3"/>
      <c r="F446" s="3"/>
      <c r="G446" s="3"/>
      <c r="H446" s="27"/>
      <c r="I446" s="60"/>
      <c r="J446" s="61"/>
      <c r="K446" s="30"/>
      <c r="L446" s="30"/>
      <c r="M446" s="30"/>
      <c r="N446" s="30"/>
      <c r="O446" s="31"/>
      <c r="P446" s="30"/>
      <c r="Q446" s="62"/>
      <c r="R446" s="62"/>
      <c r="S446" s="62"/>
      <c r="T446" s="62"/>
      <c r="U446" s="62"/>
      <c r="V446" s="63"/>
      <c r="W446" s="42"/>
      <c r="X446" s="63"/>
      <c r="Y446" s="65"/>
      <c r="Z446" s="42"/>
      <c r="AA446" s="42"/>
      <c r="AB446" s="42"/>
      <c r="AC446" s="42"/>
      <c r="AD446" s="65"/>
      <c r="AE446" s="42"/>
      <c r="AF446" s="42"/>
      <c r="AG446" s="42"/>
      <c r="AH446" s="42"/>
      <c r="AI446" s="65"/>
      <c r="AJ446" s="42"/>
      <c r="AK446" s="42"/>
      <c r="AL446" s="42"/>
      <c r="AM446" s="42"/>
      <c r="AN446" s="65"/>
      <c r="AO446" s="42"/>
      <c r="AP446" s="42"/>
      <c r="AQ446" s="42"/>
      <c r="AR446" s="42"/>
      <c r="AS446" s="65"/>
      <c r="AT446" s="42"/>
    </row>
    <row r="447" spans="1:46" x14ac:dyDescent="0.25">
      <c r="A447" s="3"/>
      <c r="B447" s="58"/>
      <c r="C447" s="59"/>
      <c r="D447" s="3"/>
      <c r="E447" s="3"/>
      <c r="F447" s="3"/>
      <c r="G447" s="3"/>
      <c r="H447" s="27"/>
      <c r="I447" s="60"/>
      <c r="J447" s="61"/>
      <c r="K447" s="30"/>
      <c r="L447" s="30"/>
      <c r="M447" s="30"/>
      <c r="N447" s="30"/>
      <c r="O447" s="31"/>
      <c r="P447" s="30"/>
      <c r="Q447" s="62"/>
      <c r="R447" s="62"/>
      <c r="S447" s="62"/>
      <c r="T447" s="62"/>
      <c r="U447" s="62"/>
      <c r="V447" s="63"/>
      <c r="W447" s="42"/>
      <c r="X447" s="63"/>
      <c r="Y447" s="65"/>
      <c r="Z447" s="42"/>
      <c r="AA447" s="42"/>
      <c r="AB447" s="42"/>
      <c r="AC447" s="42"/>
      <c r="AD447" s="65"/>
      <c r="AE447" s="42"/>
      <c r="AF447" s="42"/>
      <c r="AG447" s="42"/>
      <c r="AH447" s="42"/>
      <c r="AI447" s="65"/>
      <c r="AJ447" s="42"/>
      <c r="AK447" s="42"/>
      <c r="AL447" s="42"/>
      <c r="AM447" s="42"/>
      <c r="AN447" s="65"/>
      <c r="AO447" s="42"/>
      <c r="AP447" s="42"/>
      <c r="AQ447" s="42"/>
      <c r="AR447" s="42"/>
      <c r="AS447" s="65"/>
      <c r="AT447" s="42"/>
    </row>
    <row r="448" spans="1:46" x14ac:dyDescent="0.25">
      <c r="A448" s="3"/>
      <c r="B448" s="58"/>
      <c r="C448" s="59"/>
      <c r="D448" s="3"/>
      <c r="E448" s="3"/>
      <c r="F448" s="3"/>
      <c r="G448" s="3"/>
      <c r="H448" s="27"/>
      <c r="I448" s="60"/>
      <c r="J448" s="61"/>
      <c r="K448" s="30"/>
      <c r="L448" s="30"/>
      <c r="M448" s="30"/>
      <c r="N448" s="30"/>
      <c r="O448" s="31"/>
      <c r="P448" s="30"/>
      <c r="Q448" s="62"/>
      <c r="R448" s="62"/>
      <c r="S448" s="62"/>
      <c r="T448" s="62"/>
      <c r="U448" s="62"/>
      <c r="V448" s="63"/>
      <c r="W448" s="42"/>
      <c r="X448" s="63"/>
      <c r="Y448" s="65"/>
      <c r="Z448" s="42"/>
      <c r="AA448" s="42"/>
      <c r="AB448" s="42"/>
      <c r="AC448" s="42"/>
      <c r="AD448" s="65"/>
      <c r="AE448" s="42"/>
      <c r="AF448" s="42"/>
      <c r="AG448" s="42"/>
      <c r="AH448" s="42"/>
      <c r="AI448" s="65"/>
      <c r="AJ448" s="42"/>
      <c r="AK448" s="42"/>
      <c r="AL448" s="42"/>
      <c r="AM448" s="42"/>
      <c r="AN448" s="65"/>
      <c r="AO448" s="42"/>
      <c r="AP448" s="42"/>
      <c r="AQ448" s="42"/>
      <c r="AR448" s="42"/>
      <c r="AS448" s="65"/>
      <c r="AT448" s="42"/>
    </row>
    <row r="449" spans="1:46" x14ac:dyDescent="0.25">
      <c r="A449" s="3"/>
      <c r="B449" s="58"/>
      <c r="C449" s="59"/>
      <c r="D449" s="3"/>
      <c r="E449" s="3"/>
      <c r="F449" s="3"/>
      <c r="G449" s="3"/>
      <c r="H449" s="27"/>
      <c r="I449" s="60"/>
      <c r="J449" s="61"/>
      <c r="K449" s="30"/>
      <c r="L449" s="30"/>
      <c r="M449" s="30"/>
      <c r="N449" s="30"/>
      <c r="O449" s="31"/>
      <c r="P449" s="30"/>
      <c r="Q449" s="62"/>
      <c r="R449" s="62"/>
      <c r="S449" s="62"/>
      <c r="T449" s="62"/>
      <c r="U449" s="62"/>
      <c r="V449" s="63"/>
      <c r="W449" s="42"/>
      <c r="X449" s="63"/>
      <c r="Y449" s="65"/>
      <c r="Z449" s="42"/>
      <c r="AA449" s="42"/>
      <c r="AB449" s="42"/>
      <c r="AC449" s="42"/>
      <c r="AD449" s="65"/>
      <c r="AE449" s="42"/>
      <c r="AF449" s="42"/>
      <c r="AG449" s="42"/>
      <c r="AH449" s="42"/>
      <c r="AI449" s="65"/>
      <c r="AJ449" s="42"/>
      <c r="AK449" s="42"/>
      <c r="AL449" s="42"/>
      <c r="AM449" s="42"/>
      <c r="AN449" s="65"/>
      <c r="AO449" s="42"/>
      <c r="AP449" s="42"/>
      <c r="AQ449" s="42"/>
      <c r="AR449" s="42"/>
      <c r="AS449" s="65"/>
      <c r="AT449" s="42"/>
    </row>
    <row r="450" spans="1:46" x14ac:dyDescent="0.25">
      <c r="A450" s="3"/>
      <c r="B450" s="58"/>
      <c r="C450" s="59"/>
      <c r="D450" s="3"/>
      <c r="E450" s="3"/>
      <c r="F450" s="3"/>
      <c r="G450" s="3"/>
      <c r="H450" s="27"/>
      <c r="I450" s="60"/>
      <c r="J450" s="61"/>
      <c r="K450" s="30"/>
      <c r="L450" s="30"/>
      <c r="M450" s="30"/>
      <c r="N450" s="30"/>
      <c r="O450" s="31"/>
      <c r="P450" s="30"/>
      <c r="Q450" s="62"/>
      <c r="R450" s="62"/>
      <c r="S450" s="62"/>
      <c r="T450" s="62"/>
      <c r="U450" s="62"/>
      <c r="V450" s="63"/>
      <c r="W450" s="42"/>
      <c r="X450" s="63"/>
      <c r="Y450" s="65"/>
      <c r="Z450" s="42"/>
      <c r="AA450" s="42"/>
      <c r="AB450" s="42"/>
      <c r="AC450" s="42"/>
      <c r="AD450" s="65"/>
      <c r="AE450" s="42"/>
      <c r="AF450" s="42"/>
      <c r="AG450" s="42"/>
      <c r="AH450" s="42"/>
      <c r="AI450" s="65"/>
      <c r="AJ450" s="42"/>
      <c r="AK450" s="42"/>
      <c r="AL450" s="42"/>
      <c r="AM450" s="42"/>
      <c r="AN450" s="65"/>
      <c r="AO450" s="42"/>
      <c r="AP450" s="42"/>
      <c r="AQ450" s="42"/>
      <c r="AR450" s="42"/>
      <c r="AS450" s="65"/>
      <c r="AT450" s="42"/>
    </row>
    <row r="451" spans="1:46" x14ac:dyDescent="0.25">
      <c r="A451" s="3"/>
      <c r="B451" s="58"/>
      <c r="C451" s="59"/>
      <c r="D451" s="3"/>
      <c r="E451" s="3"/>
      <c r="F451" s="3"/>
      <c r="G451" s="3"/>
      <c r="H451" s="27"/>
      <c r="I451" s="60"/>
      <c r="J451" s="61"/>
      <c r="K451" s="30"/>
      <c r="L451" s="30"/>
      <c r="M451" s="30"/>
      <c r="N451" s="30"/>
      <c r="O451" s="31"/>
      <c r="P451" s="30"/>
      <c r="Q451" s="62"/>
      <c r="R451" s="62"/>
      <c r="S451" s="62"/>
      <c r="T451" s="62"/>
      <c r="U451" s="62"/>
      <c r="V451" s="63"/>
      <c r="W451" s="42"/>
      <c r="X451" s="63"/>
      <c r="Y451" s="65"/>
      <c r="Z451" s="42"/>
      <c r="AA451" s="42"/>
      <c r="AB451" s="42"/>
      <c r="AC451" s="42"/>
      <c r="AD451" s="65"/>
      <c r="AE451" s="42"/>
      <c r="AF451" s="42"/>
      <c r="AG451" s="42"/>
      <c r="AH451" s="42"/>
      <c r="AI451" s="65"/>
      <c r="AJ451" s="42"/>
      <c r="AK451" s="42"/>
      <c r="AL451" s="42"/>
      <c r="AM451" s="42"/>
      <c r="AN451" s="65"/>
      <c r="AO451" s="42"/>
      <c r="AP451" s="42"/>
      <c r="AQ451" s="42"/>
      <c r="AR451" s="42"/>
      <c r="AS451" s="65"/>
      <c r="AT451" s="42"/>
    </row>
    <row r="452" spans="1:46" x14ac:dyDescent="0.25">
      <c r="A452" s="3"/>
      <c r="B452" s="58"/>
      <c r="C452" s="59"/>
      <c r="D452" s="3"/>
      <c r="E452" s="3"/>
      <c r="F452" s="3"/>
      <c r="G452" s="3"/>
      <c r="H452" s="27"/>
      <c r="I452" s="60"/>
      <c r="J452" s="61"/>
      <c r="K452" s="30"/>
      <c r="L452" s="30"/>
      <c r="M452" s="30"/>
      <c r="N452" s="30"/>
      <c r="O452" s="31"/>
      <c r="P452" s="30"/>
      <c r="Q452" s="62"/>
      <c r="R452" s="62"/>
      <c r="S452" s="62"/>
      <c r="T452" s="62"/>
      <c r="U452" s="62"/>
      <c r="V452" s="63"/>
      <c r="W452" s="42"/>
      <c r="X452" s="63"/>
      <c r="Y452" s="65"/>
      <c r="Z452" s="42"/>
      <c r="AA452" s="42"/>
      <c r="AB452" s="42"/>
      <c r="AC452" s="42"/>
      <c r="AD452" s="65"/>
      <c r="AE452" s="42"/>
      <c r="AF452" s="42"/>
      <c r="AG452" s="42"/>
      <c r="AH452" s="42"/>
      <c r="AI452" s="65"/>
      <c r="AJ452" s="42"/>
      <c r="AK452" s="42"/>
      <c r="AL452" s="42"/>
      <c r="AM452" s="42"/>
      <c r="AN452" s="65"/>
      <c r="AO452" s="42"/>
      <c r="AP452" s="42"/>
      <c r="AQ452" s="42"/>
      <c r="AR452" s="42"/>
      <c r="AS452" s="65"/>
      <c r="AT452" s="42"/>
    </row>
    <row r="453" spans="1:46" x14ac:dyDescent="0.25">
      <c r="A453" s="3"/>
      <c r="B453" s="58"/>
      <c r="C453" s="59"/>
      <c r="D453" s="3"/>
      <c r="E453" s="3"/>
      <c r="F453" s="3"/>
      <c r="G453" s="3"/>
      <c r="H453" s="27"/>
      <c r="I453" s="60"/>
      <c r="J453" s="61"/>
      <c r="K453" s="30"/>
      <c r="L453" s="30"/>
      <c r="M453" s="30"/>
      <c r="N453" s="30"/>
      <c r="O453" s="31"/>
      <c r="P453" s="30"/>
      <c r="Q453" s="62"/>
      <c r="R453" s="62"/>
      <c r="S453" s="62"/>
      <c r="T453" s="62"/>
      <c r="U453" s="62"/>
      <c r="V453" s="63"/>
      <c r="W453" s="42"/>
      <c r="X453" s="63"/>
      <c r="Y453" s="65"/>
      <c r="Z453" s="42"/>
      <c r="AA453" s="42"/>
      <c r="AB453" s="42"/>
      <c r="AC453" s="42"/>
      <c r="AD453" s="65"/>
      <c r="AE453" s="42"/>
      <c r="AF453" s="42"/>
      <c r="AG453" s="42"/>
      <c r="AH453" s="42"/>
      <c r="AI453" s="65"/>
      <c r="AJ453" s="42"/>
      <c r="AK453" s="42"/>
      <c r="AL453" s="42"/>
      <c r="AM453" s="42"/>
      <c r="AN453" s="65"/>
      <c r="AO453" s="42"/>
      <c r="AP453" s="42"/>
      <c r="AQ453" s="42"/>
      <c r="AR453" s="42"/>
      <c r="AS453" s="65"/>
      <c r="AT453" s="42"/>
    </row>
    <row r="454" spans="1:46" x14ac:dyDescent="0.25">
      <c r="A454" s="3"/>
      <c r="B454" s="58"/>
      <c r="C454" s="59"/>
      <c r="D454" s="3"/>
      <c r="E454" s="3"/>
      <c r="F454" s="3"/>
      <c r="G454" s="3"/>
      <c r="H454" s="27"/>
      <c r="I454" s="60"/>
      <c r="J454" s="61"/>
      <c r="K454" s="30"/>
      <c r="L454" s="30"/>
      <c r="M454" s="30"/>
      <c r="N454" s="30"/>
      <c r="O454" s="31"/>
      <c r="P454" s="30"/>
      <c r="Q454" s="62"/>
      <c r="R454" s="62"/>
      <c r="S454" s="62"/>
      <c r="T454" s="62"/>
      <c r="U454" s="62"/>
      <c r="V454" s="63"/>
      <c r="W454" s="42"/>
      <c r="X454" s="63"/>
      <c r="Y454" s="65"/>
      <c r="Z454" s="42"/>
      <c r="AA454" s="42"/>
      <c r="AB454" s="42"/>
      <c r="AC454" s="42"/>
      <c r="AD454" s="65"/>
      <c r="AE454" s="42"/>
      <c r="AF454" s="42"/>
      <c r="AG454" s="42"/>
      <c r="AH454" s="42"/>
      <c r="AI454" s="65"/>
      <c r="AJ454" s="42"/>
      <c r="AK454" s="42"/>
      <c r="AL454" s="42"/>
      <c r="AM454" s="42"/>
      <c r="AN454" s="65"/>
      <c r="AO454" s="42"/>
      <c r="AP454" s="42"/>
      <c r="AQ454" s="42"/>
      <c r="AR454" s="42"/>
      <c r="AS454" s="65"/>
      <c r="AT454" s="42"/>
    </row>
    <row r="455" spans="1:46" x14ac:dyDescent="0.25">
      <c r="A455" s="3"/>
      <c r="B455" s="58"/>
      <c r="C455" s="59"/>
      <c r="D455" s="3"/>
      <c r="E455" s="3"/>
      <c r="F455" s="3"/>
      <c r="G455" s="3"/>
      <c r="H455" s="27"/>
      <c r="I455" s="60"/>
      <c r="J455" s="61"/>
      <c r="K455" s="30"/>
      <c r="L455" s="30"/>
      <c r="M455" s="30"/>
      <c r="N455" s="30"/>
      <c r="O455" s="31"/>
      <c r="P455" s="30"/>
      <c r="Q455" s="62"/>
      <c r="R455" s="62"/>
      <c r="S455" s="62"/>
      <c r="T455" s="62"/>
      <c r="U455" s="62"/>
      <c r="V455" s="63"/>
      <c r="W455" s="42"/>
      <c r="X455" s="63"/>
      <c r="Y455" s="65"/>
      <c r="Z455" s="42"/>
      <c r="AA455" s="42"/>
      <c r="AB455" s="42"/>
      <c r="AC455" s="42"/>
      <c r="AD455" s="65"/>
      <c r="AE455" s="42"/>
      <c r="AF455" s="42"/>
      <c r="AG455" s="42"/>
      <c r="AH455" s="42"/>
      <c r="AI455" s="65"/>
      <c r="AJ455" s="42"/>
      <c r="AK455" s="42"/>
      <c r="AL455" s="42"/>
      <c r="AM455" s="42"/>
      <c r="AN455" s="65"/>
      <c r="AO455" s="42"/>
      <c r="AP455" s="42"/>
      <c r="AQ455" s="42"/>
      <c r="AR455" s="42"/>
      <c r="AS455" s="65"/>
      <c r="AT455" s="42"/>
    </row>
    <row r="456" spans="1:46" x14ac:dyDescent="0.25">
      <c r="A456" s="3"/>
      <c r="B456" s="58"/>
      <c r="C456" s="59"/>
      <c r="D456" s="3"/>
      <c r="E456" s="3"/>
      <c r="F456" s="3"/>
      <c r="G456" s="3"/>
      <c r="H456" s="27"/>
      <c r="I456" s="60"/>
      <c r="J456" s="61"/>
      <c r="K456" s="30"/>
      <c r="L456" s="30"/>
      <c r="M456" s="30"/>
      <c r="N456" s="30"/>
      <c r="O456" s="31"/>
      <c r="P456" s="30"/>
      <c r="Q456" s="62"/>
      <c r="R456" s="62"/>
      <c r="S456" s="62"/>
      <c r="T456" s="62"/>
      <c r="U456" s="62"/>
      <c r="V456" s="63"/>
      <c r="W456" s="42"/>
      <c r="X456" s="63"/>
      <c r="Y456" s="65"/>
      <c r="Z456" s="42"/>
      <c r="AA456" s="42"/>
      <c r="AB456" s="42"/>
      <c r="AC456" s="42"/>
      <c r="AD456" s="65"/>
      <c r="AE456" s="42"/>
      <c r="AF456" s="42"/>
      <c r="AG456" s="42"/>
      <c r="AH456" s="42"/>
      <c r="AI456" s="65"/>
      <c r="AJ456" s="42"/>
      <c r="AK456" s="42"/>
      <c r="AL456" s="42"/>
      <c r="AM456" s="42"/>
      <c r="AN456" s="65"/>
      <c r="AO456" s="42"/>
      <c r="AP456" s="42"/>
      <c r="AQ456" s="42"/>
      <c r="AR456" s="42"/>
      <c r="AS456" s="65"/>
      <c r="AT456" s="42"/>
    </row>
    <row r="457" spans="1:46" x14ac:dyDescent="0.25">
      <c r="A457" s="3"/>
      <c r="B457" s="58"/>
      <c r="C457" s="59"/>
      <c r="D457" s="3"/>
      <c r="E457" s="3"/>
      <c r="F457" s="3"/>
      <c r="G457" s="3"/>
      <c r="H457" s="27"/>
      <c r="I457" s="60"/>
      <c r="J457" s="61"/>
      <c r="K457" s="30"/>
      <c r="L457" s="30"/>
      <c r="M457" s="30"/>
      <c r="N457" s="30"/>
      <c r="O457" s="31"/>
      <c r="P457" s="30"/>
      <c r="Q457" s="62"/>
      <c r="R457" s="62"/>
      <c r="S457" s="62"/>
      <c r="T457" s="62"/>
      <c r="U457" s="62"/>
      <c r="V457" s="63"/>
      <c r="W457" s="42"/>
      <c r="X457" s="63"/>
      <c r="Y457" s="65"/>
      <c r="Z457" s="42"/>
      <c r="AA457" s="42"/>
      <c r="AB457" s="42"/>
      <c r="AC457" s="42"/>
      <c r="AD457" s="65"/>
      <c r="AE457" s="42"/>
      <c r="AF457" s="42"/>
      <c r="AG457" s="42"/>
      <c r="AH457" s="42"/>
      <c r="AI457" s="65"/>
      <c r="AJ457" s="42"/>
      <c r="AK457" s="42"/>
      <c r="AL457" s="42"/>
      <c r="AM457" s="42"/>
      <c r="AN457" s="65"/>
      <c r="AO457" s="42"/>
      <c r="AP457" s="42"/>
      <c r="AQ457" s="42"/>
      <c r="AR457" s="42"/>
      <c r="AS457" s="65"/>
      <c r="AT457" s="42"/>
    </row>
    <row r="458" spans="1:46" x14ac:dyDescent="0.25">
      <c r="A458" s="3"/>
      <c r="B458" s="58"/>
      <c r="C458" s="59"/>
      <c r="D458" s="3"/>
      <c r="E458" s="3"/>
      <c r="F458" s="3"/>
      <c r="G458" s="3"/>
      <c r="H458" s="27"/>
      <c r="I458" s="60"/>
      <c r="J458" s="61"/>
      <c r="K458" s="30"/>
      <c r="L458" s="30"/>
      <c r="M458" s="30"/>
      <c r="N458" s="30"/>
      <c r="O458" s="31"/>
      <c r="P458" s="30"/>
      <c r="Q458" s="62"/>
      <c r="R458" s="62"/>
      <c r="S458" s="62"/>
      <c r="T458" s="62"/>
      <c r="U458" s="62"/>
      <c r="V458" s="63"/>
      <c r="W458" s="42"/>
      <c r="X458" s="63"/>
      <c r="Y458" s="65"/>
      <c r="Z458" s="42"/>
      <c r="AA458" s="42"/>
      <c r="AB458" s="42"/>
      <c r="AC458" s="42"/>
      <c r="AD458" s="65"/>
      <c r="AE458" s="42"/>
      <c r="AF458" s="42"/>
      <c r="AG458" s="42"/>
      <c r="AH458" s="42"/>
      <c r="AI458" s="65"/>
      <c r="AJ458" s="42"/>
      <c r="AK458" s="42"/>
      <c r="AL458" s="42"/>
      <c r="AM458" s="42"/>
      <c r="AN458" s="65"/>
      <c r="AO458" s="42"/>
      <c r="AP458" s="42"/>
      <c r="AQ458" s="42"/>
      <c r="AR458" s="42"/>
      <c r="AS458" s="65"/>
      <c r="AT458" s="42"/>
    </row>
    <row r="459" spans="1:46" x14ac:dyDescent="0.25">
      <c r="A459" s="3"/>
      <c r="B459" s="58"/>
      <c r="C459" s="59"/>
      <c r="D459" s="3"/>
      <c r="E459" s="3"/>
      <c r="F459" s="3"/>
      <c r="G459" s="3"/>
      <c r="H459" s="27"/>
      <c r="I459" s="60"/>
      <c r="J459" s="61"/>
      <c r="K459" s="30"/>
      <c r="L459" s="30"/>
      <c r="M459" s="30"/>
      <c r="N459" s="30"/>
      <c r="O459" s="31"/>
      <c r="P459" s="30"/>
      <c r="Q459" s="62"/>
      <c r="R459" s="62"/>
      <c r="S459" s="62"/>
      <c r="T459" s="62"/>
      <c r="U459" s="62"/>
      <c r="V459" s="63"/>
      <c r="W459" s="42"/>
      <c r="X459" s="63"/>
      <c r="Y459" s="65"/>
      <c r="Z459" s="42"/>
      <c r="AA459" s="42"/>
      <c r="AB459" s="42"/>
      <c r="AC459" s="42"/>
      <c r="AD459" s="65"/>
      <c r="AE459" s="42"/>
      <c r="AF459" s="42"/>
      <c r="AG459" s="42"/>
      <c r="AH459" s="42"/>
      <c r="AI459" s="65"/>
      <c r="AJ459" s="42"/>
      <c r="AK459" s="42"/>
      <c r="AL459" s="42"/>
      <c r="AM459" s="42"/>
      <c r="AN459" s="65"/>
      <c r="AO459" s="42"/>
      <c r="AP459" s="42"/>
      <c r="AQ459" s="42"/>
      <c r="AR459" s="42"/>
      <c r="AS459" s="65"/>
      <c r="AT459" s="42"/>
    </row>
    <row r="460" spans="1:46" x14ac:dyDescent="0.25">
      <c r="A460" s="3"/>
      <c r="B460" s="58"/>
      <c r="C460" s="59"/>
      <c r="D460" s="3"/>
      <c r="E460" s="3"/>
      <c r="F460" s="3"/>
      <c r="G460" s="3"/>
      <c r="H460" s="27"/>
      <c r="I460" s="60"/>
      <c r="J460" s="61"/>
      <c r="K460" s="30"/>
      <c r="L460" s="30"/>
      <c r="M460" s="30"/>
      <c r="N460" s="30"/>
      <c r="O460" s="31"/>
      <c r="P460" s="30"/>
      <c r="Q460" s="62"/>
      <c r="R460" s="62"/>
      <c r="S460" s="62"/>
      <c r="T460" s="62"/>
      <c r="U460" s="62"/>
      <c r="V460" s="63"/>
      <c r="W460" s="42"/>
      <c r="X460" s="63"/>
      <c r="Y460" s="65"/>
      <c r="Z460" s="42"/>
      <c r="AA460" s="42"/>
      <c r="AB460" s="42"/>
      <c r="AC460" s="42"/>
      <c r="AD460" s="65"/>
      <c r="AE460" s="42"/>
      <c r="AF460" s="42"/>
      <c r="AG460" s="42"/>
      <c r="AH460" s="42"/>
      <c r="AI460" s="65"/>
      <c r="AJ460" s="42"/>
      <c r="AK460" s="42"/>
      <c r="AL460" s="42"/>
      <c r="AM460" s="42"/>
      <c r="AN460" s="65"/>
      <c r="AO460" s="42"/>
      <c r="AP460" s="42"/>
      <c r="AQ460" s="42"/>
      <c r="AR460" s="42"/>
      <c r="AS460" s="65"/>
      <c r="AT460" s="42"/>
    </row>
    <row r="461" spans="1:46" x14ac:dyDescent="0.25">
      <c r="A461" s="3"/>
      <c r="B461" s="58"/>
      <c r="C461" s="59"/>
      <c r="D461" s="3"/>
      <c r="E461" s="3"/>
      <c r="F461" s="3"/>
      <c r="G461" s="3"/>
      <c r="H461" s="27"/>
      <c r="I461" s="60"/>
      <c r="J461" s="61"/>
      <c r="K461" s="30"/>
      <c r="L461" s="30"/>
      <c r="M461" s="30"/>
      <c r="N461" s="30"/>
      <c r="O461" s="31"/>
      <c r="P461" s="30"/>
      <c r="Q461" s="62"/>
      <c r="R461" s="62"/>
      <c r="S461" s="62"/>
      <c r="T461" s="62"/>
      <c r="U461" s="62"/>
      <c r="V461" s="63"/>
      <c r="W461" s="42"/>
      <c r="X461" s="63"/>
      <c r="Y461" s="65"/>
      <c r="Z461" s="42"/>
      <c r="AA461" s="42"/>
      <c r="AB461" s="42"/>
      <c r="AC461" s="42"/>
      <c r="AD461" s="65"/>
      <c r="AE461" s="42"/>
      <c r="AF461" s="42"/>
      <c r="AG461" s="42"/>
      <c r="AH461" s="42"/>
      <c r="AI461" s="65"/>
      <c r="AJ461" s="42"/>
      <c r="AK461" s="42"/>
      <c r="AL461" s="42"/>
      <c r="AM461" s="42"/>
      <c r="AN461" s="65"/>
      <c r="AO461" s="42"/>
      <c r="AP461" s="42"/>
      <c r="AQ461" s="42"/>
      <c r="AR461" s="42"/>
      <c r="AS461" s="65"/>
      <c r="AT461" s="42"/>
    </row>
    <row r="462" spans="1:46" x14ac:dyDescent="0.25">
      <c r="A462" s="3"/>
      <c r="B462" s="58"/>
      <c r="C462" s="59"/>
      <c r="D462" s="3"/>
      <c r="E462" s="3"/>
      <c r="F462" s="3"/>
      <c r="G462" s="3"/>
      <c r="H462" s="27"/>
      <c r="I462" s="60"/>
      <c r="J462" s="61"/>
      <c r="K462" s="30"/>
      <c r="L462" s="30"/>
      <c r="M462" s="30"/>
      <c r="N462" s="30"/>
      <c r="O462" s="31"/>
      <c r="P462" s="30"/>
      <c r="Q462" s="62"/>
      <c r="R462" s="62"/>
      <c r="S462" s="62"/>
      <c r="T462" s="62"/>
      <c r="U462" s="62"/>
      <c r="V462" s="63"/>
      <c r="W462" s="42"/>
      <c r="X462" s="63"/>
      <c r="Y462" s="65"/>
      <c r="Z462" s="42"/>
      <c r="AA462" s="42"/>
      <c r="AB462" s="42"/>
      <c r="AC462" s="42"/>
      <c r="AD462" s="65"/>
      <c r="AE462" s="42"/>
      <c r="AF462" s="42"/>
      <c r="AG462" s="42"/>
      <c r="AH462" s="42"/>
      <c r="AI462" s="65"/>
      <c r="AJ462" s="42"/>
      <c r="AK462" s="42"/>
      <c r="AL462" s="42"/>
      <c r="AM462" s="42"/>
      <c r="AN462" s="65"/>
      <c r="AO462" s="42"/>
      <c r="AP462" s="42"/>
      <c r="AQ462" s="42"/>
      <c r="AR462" s="42"/>
      <c r="AS462" s="65"/>
      <c r="AT462" s="42"/>
    </row>
    <row r="463" spans="1:46" x14ac:dyDescent="0.25">
      <c r="A463" s="3"/>
      <c r="B463" s="58"/>
      <c r="C463" s="59"/>
      <c r="D463" s="3"/>
      <c r="E463" s="3"/>
      <c r="F463" s="3"/>
      <c r="G463" s="3"/>
      <c r="H463" s="27"/>
      <c r="I463" s="60"/>
      <c r="J463" s="61"/>
      <c r="K463" s="30"/>
      <c r="L463" s="30"/>
      <c r="M463" s="30"/>
      <c r="N463" s="30"/>
      <c r="O463" s="31"/>
      <c r="P463" s="30"/>
      <c r="Q463" s="62"/>
      <c r="R463" s="62"/>
      <c r="S463" s="62"/>
      <c r="T463" s="62"/>
      <c r="U463" s="62"/>
      <c r="V463" s="63"/>
      <c r="W463" s="42"/>
      <c r="X463" s="63"/>
      <c r="Y463" s="65"/>
      <c r="Z463" s="42"/>
      <c r="AA463" s="42"/>
      <c r="AB463" s="42"/>
      <c r="AC463" s="42"/>
      <c r="AD463" s="65"/>
      <c r="AE463" s="42"/>
      <c r="AF463" s="42"/>
      <c r="AG463" s="42"/>
      <c r="AH463" s="42"/>
      <c r="AI463" s="65"/>
      <c r="AJ463" s="42"/>
      <c r="AK463" s="42"/>
      <c r="AL463" s="42"/>
      <c r="AM463" s="42"/>
      <c r="AN463" s="65"/>
      <c r="AO463" s="42"/>
      <c r="AP463" s="42"/>
      <c r="AQ463" s="42"/>
      <c r="AR463" s="42"/>
      <c r="AS463" s="65"/>
      <c r="AT463" s="42"/>
    </row>
    <row r="464" spans="1:46" x14ac:dyDescent="0.25">
      <c r="A464" s="3"/>
      <c r="B464" s="58"/>
      <c r="C464" s="59"/>
      <c r="D464" s="3"/>
      <c r="E464" s="3"/>
      <c r="F464" s="3"/>
      <c r="G464" s="3"/>
      <c r="H464" s="27"/>
      <c r="I464" s="60"/>
      <c r="J464" s="61"/>
      <c r="K464" s="30"/>
      <c r="L464" s="30"/>
      <c r="M464" s="30"/>
      <c r="N464" s="30"/>
      <c r="O464" s="31"/>
      <c r="P464" s="30"/>
      <c r="Q464" s="62"/>
      <c r="R464" s="62"/>
      <c r="S464" s="62"/>
      <c r="T464" s="62"/>
      <c r="U464" s="62"/>
      <c r="V464" s="63"/>
      <c r="W464" s="42"/>
      <c r="X464" s="63"/>
      <c r="Y464" s="65"/>
      <c r="Z464" s="42"/>
      <c r="AA464" s="42"/>
      <c r="AB464" s="42"/>
      <c r="AC464" s="42"/>
      <c r="AD464" s="65"/>
      <c r="AE464" s="42"/>
      <c r="AF464" s="42"/>
      <c r="AG464" s="42"/>
      <c r="AH464" s="42"/>
      <c r="AI464" s="65"/>
      <c r="AJ464" s="42"/>
      <c r="AK464" s="42"/>
      <c r="AL464" s="42"/>
      <c r="AM464" s="42"/>
      <c r="AN464" s="65"/>
      <c r="AO464" s="42"/>
      <c r="AP464" s="42"/>
      <c r="AQ464" s="42"/>
      <c r="AR464" s="42"/>
      <c r="AS464" s="65"/>
      <c r="AT464" s="42"/>
    </row>
    <row r="465" spans="1:46" x14ac:dyDescent="0.25">
      <c r="A465" s="3"/>
      <c r="B465" s="58"/>
      <c r="C465" s="59"/>
      <c r="D465" s="3"/>
      <c r="E465" s="3"/>
      <c r="F465" s="3"/>
      <c r="G465" s="3"/>
      <c r="H465" s="27"/>
      <c r="I465" s="60"/>
      <c r="J465" s="61"/>
      <c r="K465" s="30"/>
      <c r="L465" s="30"/>
      <c r="M465" s="30"/>
      <c r="N465" s="30"/>
      <c r="O465" s="31"/>
      <c r="P465" s="30"/>
      <c r="Q465" s="62"/>
      <c r="R465" s="62"/>
      <c r="S465" s="62"/>
      <c r="T465" s="62"/>
      <c r="U465" s="62"/>
      <c r="V465" s="63"/>
      <c r="W465" s="42"/>
      <c r="X465" s="63"/>
      <c r="Y465" s="65"/>
      <c r="Z465" s="42"/>
      <c r="AA465" s="42"/>
      <c r="AB465" s="42"/>
      <c r="AC465" s="42"/>
      <c r="AD465" s="65"/>
      <c r="AE465" s="42"/>
      <c r="AF465" s="42"/>
      <c r="AG465" s="42"/>
      <c r="AH465" s="42"/>
      <c r="AI465" s="65"/>
      <c r="AJ465" s="42"/>
      <c r="AK465" s="42"/>
      <c r="AL465" s="42"/>
      <c r="AM465" s="42"/>
      <c r="AN465" s="65"/>
      <c r="AO465" s="42"/>
      <c r="AP465" s="42"/>
      <c r="AQ465" s="42"/>
      <c r="AR465" s="42"/>
      <c r="AS465" s="65"/>
      <c r="AT465" s="42"/>
    </row>
    <row r="466" spans="1:46" x14ac:dyDescent="0.25">
      <c r="A466" s="3"/>
      <c r="B466" s="58"/>
      <c r="C466" s="59"/>
      <c r="D466" s="3"/>
      <c r="E466" s="3"/>
      <c r="F466" s="3"/>
      <c r="G466" s="3"/>
      <c r="H466" s="27"/>
      <c r="I466" s="60"/>
      <c r="J466" s="61"/>
      <c r="K466" s="30"/>
      <c r="L466" s="30"/>
      <c r="M466" s="30"/>
      <c r="N466" s="30"/>
      <c r="O466" s="31"/>
      <c r="P466" s="30"/>
      <c r="Q466" s="62"/>
      <c r="R466" s="62"/>
      <c r="S466" s="62"/>
      <c r="T466" s="62"/>
      <c r="U466" s="62"/>
      <c r="V466" s="63"/>
      <c r="W466" s="42"/>
      <c r="X466" s="63"/>
      <c r="Y466" s="65"/>
      <c r="Z466" s="42"/>
      <c r="AA466" s="42"/>
      <c r="AB466" s="42"/>
      <c r="AC466" s="42"/>
      <c r="AD466" s="65"/>
      <c r="AE466" s="42"/>
      <c r="AF466" s="42"/>
      <c r="AG466" s="42"/>
      <c r="AH466" s="42"/>
      <c r="AI466" s="65"/>
      <c r="AJ466" s="42"/>
      <c r="AK466" s="42"/>
      <c r="AL466" s="42"/>
      <c r="AM466" s="42"/>
      <c r="AN466" s="65"/>
      <c r="AO466" s="42"/>
      <c r="AP466" s="42"/>
      <c r="AQ466" s="42"/>
      <c r="AR466" s="42"/>
      <c r="AS466" s="65"/>
      <c r="AT466" s="42"/>
    </row>
    <row r="467" spans="1:46" x14ac:dyDescent="0.25">
      <c r="A467" s="3"/>
      <c r="B467" s="58"/>
      <c r="C467" s="59"/>
      <c r="D467" s="3"/>
      <c r="E467" s="3"/>
      <c r="F467" s="3"/>
      <c r="G467" s="3"/>
      <c r="H467" s="27"/>
      <c r="I467" s="60"/>
      <c r="J467" s="61"/>
      <c r="K467" s="30"/>
      <c r="L467" s="30"/>
      <c r="M467" s="30"/>
      <c r="N467" s="30"/>
      <c r="O467" s="31"/>
      <c r="P467" s="30"/>
      <c r="Q467" s="62"/>
      <c r="R467" s="62"/>
      <c r="S467" s="62"/>
      <c r="T467" s="62"/>
      <c r="U467" s="62"/>
      <c r="V467" s="63"/>
      <c r="W467" s="42"/>
      <c r="X467" s="63"/>
      <c r="Y467" s="65"/>
      <c r="Z467" s="42"/>
      <c r="AA467" s="42"/>
      <c r="AB467" s="42"/>
      <c r="AC467" s="42"/>
      <c r="AD467" s="65"/>
      <c r="AE467" s="42"/>
      <c r="AF467" s="42"/>
      <c r="AG467" s="42"/>
      <c r="AH467" s="42"/>
      <c r="AI467" s="65"/>
      <c r="AJ467" s="42"/>
      <c r="AK467" s="42"/>
      <c r="AL467" s="42"/>
      <c r="AM467" s="42"/>
      <c r="AN467" s="65"/>
      <c r="AO467" s="42"/>
      <c r="AP467" s="42"/>
      <c r="AQ467" s="42"/>
      <c r="AR467" s="42"/>
      <c r="AS467" s="65"/>
      <c r="AT467" s="42"/>
    </row>
    <row r="468" spans="1:46" x14ac:dyDescent="0.25">
      <c r="A468" s="3"/>
      <c r="B468" s="58"/>
      <c r="C468" s="59"/>
      <c r="D468" s="3"/>
      <c r="E468" s="3"/>
      <c r="F468" s="3"/>
      <c r="G468" s="3"/>
      <c r="H468" s="27"/>
      <c r="I468" s="60"/>
      <c r="J468" s="61"/>
      <c r="K468" s="30"/>
      <c r="L468" s="30"/>
      <c r="M468" s="30"/>
      <c r="N468" s="30"/>
      <c r="O468" s="31"/>
      <c r="P468" s="30"/>
      <c r="Q468" s="62"/>
      <c r="R468" s="62"/>
      <c r="S468" s="62"/>
      <c r="T468" s="62"/>
      <c r="U468" s="62"/>
      <c r="V468" s="63"/>
      <c r="W468" s="42"/>
      <c r="X468" s="63"/>
      <c r="Y468" s="65"/>
      <c r="Z468" s="42"/>
      <c r="AA468" s="42"/>
      <c r="AB468" s="42"/>
      <c r="AC468" s="42"/>
      <c r="AD468" s="65"/>
      <c r="AE468" s="42"/>
      <c r="AF468" s="42"/>
      <c r="AG468" s="42"/>
      <c r="AH468" s="42"/>
      <c r="AI468" s="65"/>
      <c r="AJ468" s="42"/>
      <c r="AK468" s="42"/>
      <c r="AL468" s="42"/>
      <c r="AM468" s="42"/>
      <c r="AN468" s="65"/>
      <c r="AO468" s="42"/>
      <c r="AP468" s="42"/>
      <c r="AQ468" s="42"/>
      <c r="AR468" s="42"/>
      <c r="AS468" s="65"/>
      <c r="AT468" s="42"/>
    </row>
    <row r="469" spans="1:46" x14ac:dyDescent="0.25">
      <c r="A469" s="3"/>
      <c r="B469" s="58"/>
      <c r="C469" s="59"/>
      <c r="D469" s="3"/>
      <c r="E469" s="3"/>
      <c r="F469" s="3"/>
      <c r="G469" s="3"/>
      <c r="H469" s="27"/>
      <c r="I469" s="60"/>
      <c r="J469" s="61"/>
      <c r="K469" s="30"/>
      <c r="L469" s="30"/>
      <c r="M469" s="30"/>
      <c r="N469" s="30"/>
      <c r="O469" s="31"/>
      <c r="P469" s="30"/>
      <c r="Q469" s="62"/>
      <c r="R469" s="62"/>
      <c r="S469" s="62"/>
      <c r="T469" s="62"/>
      <c r="U469" s="62"/>
      <c r="V469" s="63"/>
      <c r="W469" s="42"/>
      <c r="X469" s="63"/>
      <c r="Y469" s="65"/>
      <c r="Z469" s="42"/>
      <c r="AA469" s="42"/>
      <c r="AB469" s="42"/>
      <c r="AC469" s="42"/>
      <c r="AD469" s="65"/>
      <c r="AE469" s="42"/>
      <c r="AF469" s="42"/>
      <c r="AG469" s="42"/>
      <c r="AH469" s="42"/>
      <c r="AI469" s="65"/>
      <c r="AJ469" s="42"/>
      <c r="AK469" s="42"/>
      <c r="AL469" s="42"/>
      <c r="AM469" s="42"/>
      <c r="AN469" s="65"/>
      <c r="AO469" s="42"/>
      <c r="AP469" s="42"/>
      <c r="AQ469" s="42"/>
      <c r="AR469" s="42"/>
      <c r="AS469" s="65"/>
      <c r="AT469" s="42"/>
    </row>
    <row r="470" spans="1:46" x14ac:dyDescent="0.25">
      <c r="A470" s="3"/>
      <c r="B470" s="58"/>
      <c r="C470" s="59"/>
      <c r="D470" s="3"/>
      <c r="E470" s="3"/>
      <c r="F470" s="3"/>
      <c r="G470" s="3"/>
      <c r="H470" s="27"/>
      <c r="I470" s="60"/>
      <c r="J470" s="61"/>
      <c r="K470" s="30"/>
      <c r="L470" s="30"/>
      <c r="M470" s="30"/>
      <c r="N470" s="30"/>
      <c r="O470" s="31"/>
      <c r="P470" s="30"/>
      <c r="Q470" s="62"/>
      <c r="R470" s="62"/>
      <c r="S470" s="62"/>
      <c r="T470" s="62"/>
      <c r="U470" s="62"/>
      <c r="V470" s="63"/>
      <c r="W470" s="42"/>
      <c r="X470" s="63"/>
      <c r="Y470" s="65"/>
      <c r="Z470" s="42"/>
      <c r="AA470" s="42"/>
      <c r="AB470" s="42"/>
      <c r="AC470" s="42"/>
      <c r="AD470" s="65"/>
      <c r="AE470" s="42"/>
      <c r="AF470" s="42"/>
      <c r="AG470" s="42"/>
      <c r="AH470" s="42"/>
      <c r="AI470" s="65"/>
      <c r="AJ470" s="42"/>
      <c r="AK470" s="42"/>
      <c r="AL470" s="42"/>
      <c r="AM470" s="42"/>
      <c r="AN470" s="65"/>
      <c r="AO470" s="42"/>
      <c r="AP470" s="42"/>
      <c r="AQ470" s="42"/>
      <c r="AR470" s="42"/>
      <c r="AS470" s="65"/>
      <c r="AT470" s="42"/>
    </row>
    <row r="471" spans="1:46" x14ac:dyDescent="0.25">
      <c r="A471" s="3"/>
      <c r="B471" s="58"/>
      <c r="C471" s="59"/>
      <c r="D471" s="3"/>
      <c r="E471" s="3"/>
      <c r="F471" s="3"/>
      <c r="G471" s="3"/>
      <c r="H471" s="27"/>
      <c r="I471" s="60"/>
      <c r="J471" s="61"/>
      <c r="K471" s="30"/>
      <c r="L471" s="30"/>
      <c r="M471" s="30"/>
      <c r="N471" s="30"/>
      <c r="O471" s="31"/>
      <c r="P471" s="30"/>
      <c r="Q471" s="62"/>
      <c r="R471" s="62"/>
      <c r="S471" s="62"/>
      <c r="T471" s="62"/>
      <c r="U471" s="62"/>
      <c r="V471" s="63"/>
      <c r="W471" s="42"/>
      <c r="X471" s="63"/>
      <c r="Y471" s="65"/>
      <c r="Z471" s="42"/>
      <c r="AA471" s="42"/>
      <c r="AB471" s="42"/>
      <c r="AC471" s="42"/>
      <c r="AD471" s="65"/>
      <c r="AE471" s="42"/>
      <c r="AF471" s="42"/>
      <c r="AG471" s="42"/>
      <c r="AH471" s="42"/>
      <c r="AI471" s="65"/>
      <c r="AJ471" s="42"/>
      <c r="AK471" s="42"/>
      <c r="AL471" s="42"/>
      <c r="AM471" s="42"/>
      <c r="AN471" s="65"/>
      <c r="AO471" s="42"/>
      <c r="AP471" s="42"/>
      <c r="AQ471" s="42"/>
      <c r="AR471" s="42"/>
      <c r="AS471" s="65"/>
      <c r="AT471" s="42"/>
    </row>
    <row r="472" spans="1:46" x14ac:dyDescent="0.25">
      <c r="A472" s="3"/>
      <c r="B472" s="58"/>
      <c r="C472" s="59"/>
      <c r="D472" s="3"/>
      <c r="E472" s="3"/>
      <c r="F472" s="3"/>
      <c r="G472" s="3"/>
      <c r="H472" s="27"/>
      <c r="I472" s="60"/>
      <c r="J472" s="61"/>
      <c r="K472" s="30"/>
      <c r="L472" s="30"/>
      <c r="M472" s="30"/>
      <c r="N472" s="30"/>
      <c r="O472" s="31"/>
      <c r="P472" s="30"/>
      <c r="Q472" s="62"/>
      <c r="R472" s="62"/>
      <c r="S472" s="62"/>
      <c r="T472" s="62"/>
      <c r="U472" s="62"/>
      <c r="V472" s="63"/>
      <c r="W472" s="42"/>
      <c r="X472" s="63"/>
      <c r="Y472" s="65"/>
      <c r="Z472" s="42"/>
      <c r="AA472" s="42"/>
      <c r="AB472" s="42"/>
      <c r="AC472" s="42"/>
      <c r="AD472" s="65"/>
      <c r="AE472" s="42"/>
      <c r="AF472" s="42"/>
      <c r="AG472" s="42"/>
      <c r="AH472" s="42"/>
      <c r="AI472" s="65"/>
      <c r="AJ472" s="42"/>
      <c r="AK472" s="42"/>
      <c r="AL472" s="42"/>
      <c r="AM472" s="42"/>
      <c r="AN472" s="65"/>
      <c r="AO472" s="42"/>
      <c r="AP472" s="42"/>
      <c r="AQ472" s="42"/>
      <c r="AR472" s="42"/>
      <c r="AS472" s="65"/>
      <c r="AT472" s="42"/>
    </row>
    <row r="473" spans="1:46" x14ac:dyDescent="0.25">
      <c r="A473" s="3"/>
      <c r="B473" s="58"/>
      <c r="C473" s="59"/>
      <c r="D473" s="3"/>
      <c r="E473" s="3"/>
      <c r="F473" s="3"/>
      <c r="G473" s="3"/>
      <c r="H473" s="27"/>
      <c r="I473" s="60"/>
      <c r="J473" s="61"/>
      <c r="K473" s="30"/>
      <c r="L473" s="30"/>
      <c r="M473" s="30"/>
      <c r="N473" s="30"/>
      <c r="O473" s="31"/>
      <c r="P473" s="30"/>
      <c r="Q473" s="62"/>
      <c r="R473" s="62"/>
      <c r="S473" s="62"/>
      <c r="T473" s="62"/>
      <c r="U473" s="62"/>
      <c r="V473" s="63"/>
      <c r="W473" s="42"/>
      <c r="X473" s="63"/>
      <c r="Y473" s="65"/>
      <c r="Z473" s="42"/>
      <c r="AA473" s="42"/>
      <c r="AB473" s="42"/>
      <c r="AC473" s="42"/>
      <c r="AD473" s="65"/>
      <c r="AE473" s="42"/>
      <c r="AF473" s="42"/>
      <c r="AG473" s="42"/>
      <c r="AH473" s="42"/>
      <c r="AI473" s="65"/>
      <c r="AJ473" s="42"/>
      <c r="AK473" s="42"/>
      <c r="AL473" s="42"/>
      <c r="AM473" s="42"/>
      <c r="AN473" s="65"/>
      <c r="AO473" s="42"/>
      <c r="AP473" s="42"/>
      <c r="AQ473" s="42"/>
      <c r="AR473" s="42"/>
      <c r="AS473" s="65"/>
      <c r="AT473" s="42"/>
    </row>
    <row r="474" spans="1:46" x14ac:dyDescent="0.25">
      <c r="A474" s="3"/>
      <c r="B474" s="58"/>
      <c r="C474" s="59"/>
      <c r="D474" s="3"/>
      <c r="E474" s="3"/>
      <c r="F474" s="3"/>
      <c r="G474" s="3"/>
      <c r="H474" s="27"/>
      <c r="I474" s="60"/>
      <c r="J474" s="61"/>
      <c r="K474" s="30"/>
      <c r="L474" s="30"/>
      <c r="M474" s="30"/>
      <c r="N474" s="30"/>
      <c r="O474" s="31"/>
      <c r="P474" s="30"/>
      <c r="Q474" s="62"/>
      <c r="R474" s="62"/>
      <c r="S474" s="62"/>
      <c r="T474" s="62"/>
      <c r="U474" s="62"/>
      <c r="V474" s="63"/>
      <c r="W474" s="42"/>
      <c r="X474" s="63"/>
      <c r="Y474" s="65"/>
      <c r="Z474" s="42"/>
      <c r="AA474" s="42"/>
      <c r="AB474" s="42"/>
      <c r="AC474" s="42"/>
      <c r="AD474" s="65"/>
      <c r="AE474" s="42"/>
      <c r="AF474" s="42"/>
      <c r="AG474" s="42"/>
      <c r="AH474" s="42"/>
      <c r="AI474" s="65"/>
      <c r="AJ474" s="42"/>
      <c r="AK474" s="42"/>
      <c r="AL474" s="42"/>
      <c r="AM474" s="42"/>
      <c r="AN474" s="65"/>
      <c r="AO474" s="42"/>
      <c r="AP474" s="42"/>
      <c r="AQ474" s="42"/>
      <c r="AR474" s="42"/>
      <c r="AS474" s="65"/>
      <c r="AT474" s="42"/>
    </row>
    <row r="475" spans="1:46" x14ac:dyDescent="0.25">
      <c r="A475" s="3"/>
      <c r="B475" s="58"/>
      <c r="C475" s="59"/>
      <c r="D475" s="3"/>
      <c r="E475" s="3"/>
      <c r="F475" s="3"/>
      <c r="G475" s="3"/>
      <c r="H475" s="27"/>
      <c r="I475" s="60"/>
      <c r="J475" s="61"/>
      <c r="K475" s="30"/>
      <c r="L475" s="30"/>
      <c r="M475" s="30"/>
      <c r="N475" s="30"/>
      <c r="O475" s="31"/>
      <c r="P475" s="30"/>
      <c r="Q475" s="62"/>
      <c r="R475" s="62"/>
      <c r="S475" s="62"/>
      <c r="T475" s="62"/>
      <c r="U475" s="62"/>
      <c r="V475" s="63"/>
      <c r="W475" s="42"/>
      <c r="X475" s="63"/>
      <c r="Y475" s="65"/>
      <c r="Z475" s="42"/>
      <c r="AA475" s="42"/>
      <c r="AB475" s="42"/>
      <c r="AC475" s="42"/>
      <c r="AD475" s="65"/>
      <c r="AE475" s="42"/>
      <c r="AF475" s="42"/>
      <c r="AG475" s="42"/>
      <c r="AH475" s="42"/>
      <c r="AI475" s="65"/>
      <c r="AJ475" s="42"/>
      <c r="AK475" s="42"/>
      <c r="AL475" s="42"/>
      <c r="AM475" s="42"/>
      <c r="AN475" s="65"/>
      <c r="AO475" s="42"/>
      <c r="AP475" s="42"/>
      <c r="AQ475" s="42"/>
      <c r="AR475" s="42"/>
      <c r="AS475" s="65"/>
      <c r="AT475" s="42"/>
    </row>
    <row r="476" spans="1:46" x14ac:dyDescent="0.25">
      <c r="A476" s="3"/>
      <c r="B476" s="58"/>
      <c r="C476" s="59"/>
      <c r="D476" s="3"/>
      <c r="E476" s="3"/>
      <c r="F476" s="3"/>
      <c r="G476" s="3"/>
      <c r="H476" s="27"/>
      <c r="I476" s="60"/>
      <c r="J476" s="61"/>
      <c r="K476" s="30"/>
      <c r="L476" s="30"/>
      <c r="M476" s="30"/>
      <c r="N476" s="30"/>
      <c r="O476" s="31"/>
      <c r="P476" s="30"/>
      <c r="Q476" s="62"/>
      <c r="R476" s="62"/>
      <c r="S476" s="62"/>
      <c r="T476" s="62"/>
      <c r="U476" s="62"/>
      <c r="V476" s="63"/>
      <c r="W476" s="42"/>
      <c r="X476" s="63"/>
      <c r="Y476" s="65"/>
      <c r="Z476" s="42"/>
      <c r="AA476" s="42"/>
      <c r="AB476" s="42"/>
      <c r="AC476" s="42"/>
      <c r="AD476" s="65"/>
      <c r="AE476" s="42"/>
      <c r="AF476" s="42"/>
      <c r="AG476" s="42"/>
      <c r="AH476" s="42"/>
      <c r="AI476" s="65"/>
      <c r="AJ476" s="42"/>
      <c r="AK476" s="42"/>
      <c r="AL476" s="42"/>
      <c r="AM476" s="42"/>
      <c r="AN476" s="65"/>
      <c r="AO476" s="42"/>
      <c r="AP476" s="42"/>
      <c r="AQ476" s="42"/>
      <c r="AR476" s="42"/>
      <c r="AS476" s="65"/>
      <c r="AT476" s="42"/>
    </row>
    <row r="477" spans="1:46" x14ac:dyDescent="0.25">
      <c r="A477" s="3"/>
      <c r="B477" s="58"/>
      <c r="C477" s="59"/>
      <c r="D477" s="3"/>
      <c r="E477" s="3"/>
      <c r="F477" s="3"/>
      <c r="G477" s="3"/>
      <c r="H477" s="27"/>
      <c r="I477" s="60"/>
      <c r="J477" s="61"/>
      <c r="K477" s="30"/>
      <c r="L477" s="30"/>
      <c r="M477" s="30"/>
      <c r="N477" s="30"/>
      <c r="O477" s="31"/>
      <c r="P477" s="30"/>
      <c r="Q477" s="62"/>
      <c r="R477" s="62"/>
      <c r="S477" s="62"/>
      <c r="T477" s="62"/>
      <c r="U477" s="62"/>
      <c r="V477" s="63"/>
      <c r="W477" s="42"/>
      <c r="X477" s="63"/>
      <c r="Y477" s="65"/>
      <c r="Z477" s="42"/>
      <c r="AA477" s="42"/>
      <c r="AB477" s="42"/>
      <c r="AC477" s="42"/>
      <c r="AD477" s="65"/>
      <c r="AE477" s="42"/>
      <c r="AF477" s="42"/>
      <c r="AG477" s="42"/>
      <c r="AH477" s="42"/>
      <c r="AI477" s="65"/>
      <c r="AJ477" s="42"/>
      <c r="AK477" s="42"/>
      <c r="AL477" s="42"/>
      <c r="AM477" s="42"/>
      <c r="AN477" s="65"/>
      <c r="AO477" s="42"/>
      <c r="AP477" s="42"/>
      <c r="AQ477" s="42"/>
      <c r="AR477" s="42"/>
      <c r="AS477" s="65"/>
      <c r="AT477" s="42"/>
    </row>
    <row r="478" spans="1:46" x14ac:dyDescent="0.25">
      <c r="A478" s="3"/>
      <c r="B478" s="58"/>
      <c r="C478" s="59"/>
      <c r="D478" s="3"/>
      <c r="E478" s="3"/>
      <c r="F478" s="3"/>
      <c r="G478" s="3"/>
      <c r="H478" s="27"/>
      <c r="I478" s="60"/>
      <c r="J478" s="61"/>
      <c r="K478" s="30"/>
      <c r="L478" s="30"/>
      <c r="M478" s="30"/>
      <c r="N478" s="30"/>
      <c r="O478" s="31"/>
      <c r="P478" s="30"/>
      <c r="Q478" s="62"/>
      <c r="R478" s="62"/>
      <c r="S478" s="62"/>
      <c r="T478" s="62"/>
      <c r="U478" s="62"/>
      <c r="V478" s="63"/>
      <c r="W478" s="42"/>
      <c r="X478" s="63"/>
      <c r="Y478" s="65"/>
      <c r="Z478" s="42"/>
      <c r="AA478" s="42"/>
      <c r="AB478" s="42"/>
      <c r="AC478" s="42"/>
      <c r="AD478" s="65"/>
      <c r="AE478" s="42"/>
      <c r="AF478" s="42"/>
      <c r="AG478" s="42"/>
      <c r="AH478" s="42"/>
      <c r="AI478" s="65"/>
      <c r="AJ478" s="42"/>
      <c r="AK478" s="42"/>
      <c r="AL478" s="42"/>
      <c r="AM478" s="42"/>
      <c r="AN478" s="65"/>
      <c r="AO478" s="42"/>
      <c r="AP478" s="42"/>
      <c r="AQ478" s="42"/>
      <c r="AR478" s="42"/>
      <c r="AS478" s="65"/>
      <c r="AT478" s="42"/>
    </row>
    <row r="479" spans="1:46" x14ac:dyDescent="0.25">
      <c r="A479" s="3"/>
      <c r="B479" s="58"/>
      <c r="C479" s="59"/>
      <c r="D479" s="3"/>
      <c r="E479" s="3"/>
      <c r="F479" s="3"/>
      <c r="G479" s="3"/>
      <c r="H479" s="27"/>
      <c r="I479" s="60"/>
      <c r="J479" s="61"/>
      <c r="K479" s="30"/>
      <c r="L479" s="30"/>
      <c r="M479" s="30"/>
      <c r="N479" s="30"/>
      <c r="O479" s="31"/>
      <c r="P479" s="30"/>
      <c r="Q479" s="62"/>
      <c r="R479" s="62"/>
      <c r="S479" s="62"/>
      <c r="T479" s="62"/>
      <c r="U479" s="62"/>
      <c r="V479" s="63"/>
      <c r="W479" s="42"/>
      <c r="X479" s="63"/>
      <c r="Y479" s="65"/>
      <c r="Z479" s="42"/>
      <c r="AA479" s="42"/>
      <c r="AB479" s="42"/>
      <c r="AC479" s="42"/>
      <c r="AD479" s="65"/>
      <c r="AE479" s="42"/>
      <c r="AF479" s="42"/>
      <c r="AG479" s="42"/>
      <c r="AH479" s="42"/>
      <c r="AI479" s="65"/>
      <c r="AJ479" s="42"/>
      <c r="AK479" s="42"/>
      <c r="AL479" s="42"/>
      <c r="AM479" s="42"/>
      <c r="AN479" s="65"/>
      <c r="AO479" s="42"/>
      <c r="AP479" s="42"/>
      <c r="AQ479" s="42"/>
      <c r="AR479" s="42"/>
      <c r="AS479" s="65"/>
      <c r="AT479" s="42"/>
    </row>
    <row r="480" spans="1:46" x14ac:dyDescent="0.25">
      <c r="A480" s="3"/>
      <c r="B480" s="58"/>
      <c r="C480" s="59"/>
      <c r="D480" s="3"/>
      <c r="E480" s="3"/>
      <c r="F480" s="3"/>
      <c r="G480" s="3"/>
      <c r="H480" s="27"/>
      <c r="I480" s="60"/>
      <c r="J480" s="61"/>
      <c r="K480" s="30"/>
      <c r="L480" s="30"/>
      <c r="M480" s="30"/>
      <c r="N480" s="30"/>
      <c r="O480" s="31"/>
      <c r="P480" s="30"/>
      <c r="Q480" s="62"/>
      <c r="R480" s="62"/>
      <c r="S480" s="62"/>
      <c r="T480" s="62"/>
      <c r="U480" s="62"/>
      <c r="V480" s="63"/>
      <c r="W480" s="42"/>
      <c r="X480" s="63"/>
      <c r="Y480" s="65"/>
      <c r="Z480" s="42"/>
      <c r="AA480" s="42"/>
      <c r="AB480" s="42"/>
      <c r="AC480" s="42"/>
      <c r="AD480" s="65"/>
      <c r="AE480" s="42"/>
      <c r="AF480" s="42"/>
      <c r="AG480" s="42"/>
      <c r="AH480" s="42"/>
      <c r="AI480" s="65"/>
      <c r="AJ480" s="42"/>
      <c r="AK480" s="42"/>
      <c r="AL480" s="42"/>
      <c r="AM480" s="42"/>
      <c r="AN480" s="65"/>
      <c r="AO480" s="42"/>
      <c r="AP480" s="42"/>
      <c r="AQ480" s="42"/>
      <c r="AR480" s="42"/>
      <c r="AS480" s="65"/>
      <c r="AT480" s="42"/>
    </row>
    <row r="481" spans="1:46" x14ac:dyDescent="0.25">
      <c r="A481" s="3"/>
      <c r="B481" s="58"/>
      <c r="C481" s="59"/>
      <c r="D481" s="3"/>
      <c r="E481" s="3"/>
      <c r="F481" s="3"/>
      <c r="G481" s="3"/>
      <c r="H481" s="27"/>
      <c r="I481" s="60"/>
      <c r="J481" s="61"/>
      <c r="K481" s="30"/>
      <c r="L481" s="30"/>
      <c r="M481" s="30"/>
      <c r="N481" s="30"/>
      <c r="O481" s="31"/>
      <c r="P481" s="30"/>
      <c r="Q481" s="62"/>
      <c r="R481" s="62"/>
      <c r="S481" s="62"/>
      <c r="T481" s="62"/>
      <c r="U481" s="62"/>
      <c r="V481" s="63"/>
      <c r="W481" s="42"/>
      <c r="X481" s="63"/>
      <c r="Y481" s="65"/>
      <c r="Z481" s="42"/>
      <c r="AA481" s="42"/>
      <c r="AB481" s="42"/>
      <c r="AC481" s="42"/>
      <c r="AD481" s="65"/>
      <c r="AE481" s="42"/>
      <c r="AF481" s="42"/>
      <c r="AG481" s="42"/>
      <c r="AH481" s="42"/>
      <c r="AI481" s="65"/>
      <c r="AJ481" s="42"/>
      <c r="AK481" s="42"/>
      <c r="AL481" s="42"/>
      <c r="AM481" s="42"/>
      <c r="AN481" s="65"/>
      <c r="AO481" s="42"/>
      <c r="AP481" s="42"/>
      <c r="AQ481" s="42"/>
      <c r="AR481" s="42"/>
      <c r="AS481" s="65"/>
      <c r="AT481" s="42"/>
    </row>
    <row r="482" spans="1:46" x14ac:dyDescent="0.25">
      <c r="A482" s="3"/>
      <c r="B482" s="58"/>
      <c r="C482" s="59"/>
      <c r="D482" s="3"/>
      <c r="E482" s="3"/>
      <c r="F482" s="3"/>
      <c r="G482" s="3"/>
      <c r="H482" s="27"/>
      <c r="I482" s="60"/>
      <c r="J482" s="61"/>
      <c r="K482" s="30"/>
      <c r="L482" s="30"/>
      <c r="M482" s="30"/>
      <c r="N482" s="30"/>
      <c r="O482" s="31"/>
      <c r="P482" s="30"/>
      <c r="Q482" s="62"/>
      <c r="R482" s="62"/>
      <c r="S482" s="62"/>
      <c r="T482" s="62"/>
      <c r="U482" s="62"/>
      <c r="V482" s="63"/>
      <c r="W482" s="42"/>
      <c r="X482" s="63"/>
      <c r="Y482" s="65"/>
      <c r="Z482" s="42"/>
      <c r="AA482" s="42"/>
      <c r="AB482" s="42"/>
      <c r="AC482" s="42"/>
      <c r="AD482" s="65"/>
      <c r="AE482" s="42"/>
      <c r="AF482" s="42"/>
      <c r="AG482" s="42"/>
      <c r="AH482" s="42"/>
      <c r="AI482" s="65"/>
      <c r="AJ482" s="42"/>
      <c r="AK482" s="42"/>
      <c r="AL482" s="42"/>
      <c r="AM482" s="42"/>
      <c r="AN482" s="65"/>
      <c r="AO482" s="42"/>
      <c r="AP482" s="42"/>
      <c r="AQ482" s="42"/>
      <c r="AR482" s="42"/>
      <c r="AS482" s="65"/>
      <c r="AT482" s="42"/>
    </row>
    <row r="483" spans="1:46" x14ac:dyDescent="0.25">
      <c r="A483" s="3"/>
      <c r="B483" s="58"/>
      <c r="C483" s="59"/>
      <c r="D483" s="3"/>
      <c r="E483" s="3"/>
      <c r="F483" s="3"/>
      <c r="G483" s="3"/>
      <c r="H483" s="27"/>
      <c r="I483" s="60"/>
      <c r="J483" s="61"/>
      <c r="K483" s="30"/>
      <c r="L483" s="30"/>
      <c r="M483" s="30"/>
      <c r="N483" s="30"/>
      <c r="O483" s="31"/>
      <c r="P483" s="30"/>
      <c r="Q483" s="62"/>
      <c r="R483" s="62"/>
      <c r="S483" s="62"/>
      <c r="T483" s="62"/>
      <c r="U483" s="62"/>
      <c r="V483" s="63"/>
      <c r="W483" s="42"/>
      <c r="X483" s="63"/>
      <c r="Y483" s="65"/>
      <c r="Z483" s="42"/>
      <c r="AA483" s="42"/>
      <c r="AB483" s="42"/>
      <c r="AC483" s="42"/>
      <c r="AD483" s="65"/>
      <c r="AE483" s="42"/>
      <c r="AF483" s="42"/>
      <c r="AG483" s="42"/>
      <c r="AH483" s="42"/>
      <c r="AI483" s="65"/>
      <c r="AJ483" s="42"/>
      <c r="AK483" s="42"/>
      <c r="AL483" s="42"/>
      <c r="AM483" s="42"/>
      <c r="AN483" s="65"/>
      <c r="AO483" s="42"/>
      <c r="AP483" s="42"/>
      <c r="AQ483" s="42"/>
      <c r="AR483" s="42"/>
      <c r="AS483" s="65"/>
      <c r="AT483" s="42"/>
    </row>
    <row r="484" spans="1:46" x14ac:dyDescent="0.25">
      <c r="A484" s="3"/>
      <c r="B484" s="58"/>
      <c r="C484" s="59"/>
      <c r="D484" s="3"/>
      <c r="E484" s="3"/>
      <c r="F484" s="3"/>
      <c r="G484" s="3"/>
      <c r="H484" s="27"/>
      <c r="I484" s="60"/>
      <c r="J484" s="61"/>
      <c r="K484" s="30"/>
      <c r="L484" s="30"/>
      <c r="M484" s="30"/>
      <c r="N484" s="30"/>
      <c r="O484" s="31"/>
      <c r="P484" s="30"/>
      <c r="Q484" s="62"/>
      <c r="R484" s="62"/>
      <c r="S484" s="62"/>
      <c r="T484" s="62"/>
      <c r="U484" s="62"/>
      <c r="V484" s="63"/>
      <c r="W484" s="42"/>
      <c r="X484" s="63"/>
      <c r="Y484" s="65"/>
      <c r="Z484" s="42"/>
      <c r="AA484" s="42"/>
      <c r="AB484" s="42"/>
      <c r="AC484" s="42"/>
      <c r="AD484" s="65"/>
      <c r="AE484" s="42"/>
      <c r="AF484" s="42"/>
      <c r="AG484" s="42"/>
      <c r="AH484" s="42"/>
      <c r="AI484" s="65"/>
      <c r="AJ484" s="42"/>
      <c r="AK484" s="42"/>
      <c r="AL484" s="42"/>
      <c r="AM484" s="42"/>
      <c r="AN484" s="65"/>
      <c r="AO484" s="42"/>
      <c r="AP484" s="42"/>
      <c r="AQ484" s="42"/>
      <c r="AR484" s="42"/>
      <c r="AS484" s="65"/>
      <c r="AT484" s="42"/>
    </row>
    <row r="485" spans="1:46" x14ac:dyDescent="0.25">
      <c r="A485" s="3"/>
      <c r="B485" s="58"/>
      <c r="C485" s="59"/>
      <c r="D485" s="3"/>
      <c r="E485" s="3"/>
      <c r="F485" s="3"/>
      <c r="G485" s="3"/>
      <c r="H485" s="27"/>
      <c r="I485" s="60"/>
      <c r="J485" s="61"/>
      <c r="K485" s="30"/>
      <c r="L485" s="30"/>
      <c r="M485" s="30"/>
      <c r="N485" s="30"/>
      <c r="O485" s="31"/>
      <c r="P485" s="30"/>
      <c r="Q485" s="62"/>
      <c r="R485" s="62"/>
      <c r="S485" s="62"/>
      <c r="T485" s="62"/>
      <c r="U485" s="62"/>
      <c r="V485" s="63"/>
      <c r="W485" s="42"/>
      <c r="X485" s="63"/>
      <c r="Y485" s="65"/>
      <c r="Z485" s="42"/>
      <c r="AA485" s="42"/>
      <c r="AB485" s="42"/>
      <c r="AC485" s="42"/>
      <c r="AD485" s="65"/>
      <c r="AE485" s="42"/>
      <c r="AF485" s="42"/>
      <c r="AG485" s="42"/>
      <c r="AH485" s="42"/>
      <c r="AI485" s="65"/>
      <c r="AJ485" s="42"/>
      <c r="AK485" s="42"/>
      <c r="AL485" s="42"/>
      <c r="AM485" s="42"/>
      <c r="AN485" s="65"/>
      <c r="AO485" s="42"/>
      <c r="AP485" s="42"/>
      <c r="AQ485" s="42"/>
      <c r="AR485" s="42"/>
      <c r="AS485" s="65"/>
      <c r="AT485" s="42"/>
    </row>
    <row r="486" spans="1:46" x14ac:dyDescent="0.25">
      <c r="A486" s="3"/>
      <c r="B486" s="58"/>
      <c r="C486" s="59"/>
      <c r="D486" s="3"/>
      <c r="E486" s="3"/>
      <c r="F486" s="3"/>
      <c r="G486" s="3"/>
      <c r="H486" s="27"/>
      <c r="I486" s="60"/>
      <c r="J486" s="61"/>
      <c r="K486" s="30"/>
      <c r="L486" s="30"/>
      <c r="M486" s="30"/>
      <c r="N486" s="30"/>
      <c r="O486" s="31"/>
      <c r="P486" s="30"/>
      <c r="Q486" s="62"/>
      <c r="R486" s="62"/>
      <c r="S486" s="62"/>
      <c r="T486" s="62"/>
      <c r="U486" s="62"/>
      <c r="V486" s="63"/>
      <c r="W486" s="42"/>
      <c r="X486" s="63"/>
      <c r="Y486" s="65"/>
      <c r="Z486" s="42"/>
      <c r="AA486" s="42"/>
      <c r="AB486" s="42"/>
      <c r="AC486" s="42"/>
      <c r="AD486" s="65"/>
      <c r="AE486" s="42"/>
      <c r="AF486" s="42"/>
      <c r="AG486" s="42"/>
      <c r="AH486" s="42"/>
      <c r="AI486" s="65"/>
      <c r="AJ486" s="42"/>
      <c r="AK486" s="42"/>
      <c r="AL486" s="42"/>
      <c r="AM486" s="42"/>
      <c r="AN486" s="65"/>
      <c r="AO486" s="42"/>
      <c r="AP486" s="42"/>
      <c r="AQ486" s="42"/>
      <c r="AR486" s="42"/>
      <c r="AS486" s="65"/>
      <c r="AT486" s="42"/>
    </row>
    <row r="487" spans="1:46" x14ac:dyDescent="0.25">
      <c r="A487" s="3"/>
      <c r="B487" s="58"/>
      <c r="C487" s="59"/>
      <c r="D487" s="3"/>
      <c r="E487" s="3"/>
      <c r="F487" s="3"/>
      <c r="G487" s="3"/>
      <c r="H487" s="27"/>
      <c r="I487" s="60"/>
      <c r="J487" s="61"/>
      <c r="K487" s="30"/>
      <c r="L487" s="30"/>
      <c r="M487" s="30"/>
      <c r="N487" s="30"/>
      <c r="O487" s="31"/>
      <c r="P487" s="30"/>
      <c r="Q487" s="62"/>
      <c r="R487" s="62"/>
      <c r="S487" s="62"/>
      <c r="T487" s="62"/>
      <c r="U487" s="62"/>
      <c r="V487" s="63"/>
      <c r="W487" s="42"/>
      <c r="X487" s="63"/>
      <c r="Y487" s="65"/>
      <c r="Z487" s="42"/>
      <c r="AA487" s="42"/>
      <c r="AB487" s="42"/>
      <c r="AC487" s="42"/>
      <c r="AD487" s="65"/>
      <c r="AE487" s="42"/>
      <c r="AF487" s="42"/>
      <c r="AG487" s="42"/>
      <c r="AH487" s="42"/>
      <c r="AI487" s="65"/>
      <c r="AJ487" s="42"/>
      <c r="AK487" s="42"/>
      <c r="AL487" s="42"/>
      <c r="AM487" s="42"/>
      <c r="AN487" s="65"/>
      <c r="AO487" s="42"/>
      <c r="AP487" s="42"/>
      <c r="AQ487" s="42"/>
      <c r="AR487" s="42"/>
      <c r="AS487" s="65"/>
      <c r="AT487" s="42"/>
    </row>
    <row r="488" spans="1:46" x14ac:dyDescent="0.25">
      <c r="A488" s="3"/>
      <c r="B488" s="58"/>
      <c r="C488" s="59"/>
      <c r="D488" s="3"/>
      <c r="E488" s="3"/>
      <c r="F488" s="3"/>
      <c r="G488" s="3"/>
      <c r="H488" s="27"/>
      <c r="I488" s="60"/>
      <c r="J488" s="61"/>
      <c r="K488" s="30"/>
      <c r="L488" s="30"/>
      <c r="M488" s="30"/>
      <c r="N488" s="30"/>
      <c r="O488" s="31"/>
      <c r="P488" s="30"/>
      <c r="Q488" s="62"/>
      <c r="R488" s="62"/>
      <c r="S488" s="62"/>
      <c r="T488" s="62"/>
      <c r="U488" s="62"/>
      <c r="V488" s="63"/>
      <c r="W488" s="42"/>
      <c r="X488" s="63"/>
      <c r="Y488" s="65"/>
      <c r="Z488" s="42"/>
      <c r="AA488" s="42"/>
      <c r="AB488" s="42"/>
      <c r="AC488" s="42"/>
      <c r="AD488" s="65"/>
      <c r="AE488" s="42"/>
      <c r="AF488" s="42"/>
      <c r="AG488" s="42"/>
      <c r="AH488" s="42"/>
      <c r="AI488" s="65"/>
      <c r="AJ488" s="42"/>
      <c r="AK488" s="42"/>
      <c r="AL488" s="42"/>
      <c r="AM488" s="42"/>
      <c r="AN488" s="65"/>
      <c r="AO488" s="42"/>
      <c r="AP488" s="42"/>
      <c r="AQ488" s="42"/>
      <c r="AR488" s="42"/>
      <c r="AS488" s="65"/>
      <c r="AT488" s="42"/>
    </row>
    <row r="489" spans="1:46" x14ac:dyDescent="0.25">
      <c r="A489" s="3"/>
      <c r="B489" s="58"/>
      <c r="C489" s="59"/>
      <c r="D489" s="3"/>
      <c r="E489" s="3"/>
      <c r="F489" s="3"/>
      <c r="G489" s="3"/>
      <c r="H489" s="27"/>
      <c r="I489" s="60"/>
      <c r="J489" s="61"/>
      <c r="K489" s="30"/>
      <c r="L489" s="30"/>
      <c r="M489" s="30"/>
      <c r="N489" s="30"/>
      <c r="O489" s="31"/>
      <c r="P489" s="30"/>
      <c r="Q489" s="62"/>
      <c r="R489" s="62"/>
      <c r="S489" s="62"/>
      <c r="T489" s="62"/>
      <c r="U489" s="62"/>
      <c r="V489" s="63"/>
      <c r="W489" s="42"/>
      <c r="X489" s="63"/>
      <c r="Y489" s="65"/>
      <c r="Z489" s="42"/>
      <c r="AA489" s="42"/>
      <c r="AB489" s="42"/>
      <c r="AC489" s="42"/>
      <c r="AD489" s="65"/>
      <c r="AE489" s="42"/>
      <c r="AF489" s="42"/>
      <c r="AG489" s="42"/>
      <c r="AH489" s="42"/>
      <c r="AI489" s="65"/>
      <c r="AJ489" s="42"/>
      <c r="AK489" s="42"/>
      <c r="AL489" s="42"/>
      <c r="AM489" s="42"/>
      <c r="AN489" s="65"/>
      <c r="AO489" s="42"/>
      <c r="AP489" s="42"/>
      <c r="AQ489" s="42"/>
      <c r="AR489" s="42"/>
      <c r="AS489" s="65"/>
      <c r="AT489" s="42"/>
    </row>
    <row r="490" spans="1:46" x14ac:dyDescent="0.25">
      <c r="A490" s="3"/>
      <c r="B490" s="58"/>
      <c r="C490" s="59"/>
      <c r="D490" s="3"/>
      <c r="E490" s="3"/>
      <c r="F490" s="3"/>
      <c r="G490" s="3"/>
      <c r="H490" s="27"/>
      <c r="I490" s="60"/>
      <c r="J490" s="61"/>
      <c r="K490" s="30"/>
      <c r="L490" s="30"/>
      <c r="M490" s="30"/>
      <c r="N490" s="30"/>
      <c r="O490" s="31"/>
      <c r="P490" s="30"/>
      <c r="Q490" s="62"/>
      <c r="R490" s="62"/>
      <c r="S490" s="62"/>
      <c r="T490" s="62"/>
      <c r="U490" s="62"/>
      <c r="V490" s="63"/>
      <c r="W490" s="42"/>
      <c r="X490" s="63"/>
      <c r="Y490" s="65"/>
      <c r="Z490" s="42"/>
      <c r="AA490" s="42"/>
      <c r="AB490" s="42"/>
      <c r="AC490" s="42"/>
      <c r="AD490" s="65"/>
      <c r="AE490" s="42"/>
      <c r="AF490" s="42"/>
      <c r="AG490" s="42"/>
      <c r="AH490" s="42"/>
      <c r="AI490" s="65"/>
      <c r="AJ490" s="42"/>
      <c r="AK490" s="42"/>
      <c r="AL490" s="42"/>
      <c r="AM490" s="42"/>
      <c r="AN490" s="65"/>
      <c r="AO490" s="42"/>
      <c r="AP490" s="42"/>
      <c r="AQ490" s="42"/>
      <c r="AR490" s="42"/>
      <c r="AS490" s="65"/>
      <c r="AT490" s="42"/>
    </row>
    <row r="491" spans="1:46" x14ac:dyDescent="0.25">
      <c r="A491" s="3"/>
      <c r="B491" s="58"/>
      <c r="C491" s="59"/>
      <c r="D491" s="3"/>
      <c r="E491" s="3"/>
      <c r="F491" s="3"/>
      <c r="G491" s="3"/>
      <c r="H491" s="27"/>
      <c r="I491" s="60"/>
      <c r="J491" s="61"/>
      <c r="K491" s="30"/>
      <c r="L491" s="30"/>
      <c r="M491" s="30"/>
      <c r="N491" s="30"/>
      <c r="O491" s="31"/>
      <c r="P491" s="30"/>
      <c r="Q491" s="62"/>
      <c r="R491" s="62"/>
      <c r="S491" s="62"/>
      <c r="T491" s="62"/>
      <c r="U491" s="62"/>
      <c r="V491" s="63"/>
      <c r="W491" s="42"/>
      <c r="X491" s="63"/>
      <c r="Y491" s="65"/>
      <c r="Z491" s="42"/>
      <c r="AA491" s="42"/>
      <c r="AB491" s="42"/>
      <c r="AC491" s="42"/>
      <c r="AD491" s="65"/>
      <c r="AE491" s="42"/>
      <c r="AF491" s="42"/>
      <c r="AG491" s="42"/>
      <c r="AH491" s="42"/>
      <c r="AI491" s="65"/>
      <c r="AJ491" s="42"/>
      <c r="AK491" s="42"/>
      <c r="AL491" s="42"/>
      <c r="AM491" s="42"/>
      <c r="AN491" s="65"/>
      <c r="AO491" s="42"/>
      <c r="AP491" s="42"/>
      <c r="AQ491" s="42"/>
      <c r="AR491" s="42"/>
      <c r="AS491" s="65"/>
      <c r="AT491" s="42"/>
    </row>
    <row r="492" spans="1:46" x14ac:dyDescent="0.25">
      <c r="A492" s="3"/>
      <c r="B492" s="58"/>
      <c r="C492" s="59"/>
      <c r="D492" s="3"/>
      <c r="E492" s="3"/>
      <c r="F492" s="3"/>
      <c r="G492" s="3"/>
      <c r="H492" s="27"/>
      <c r="I492" s="60"/>
      <c r="J492" s="61"/>
      <c r="K492" s="30"/>
      <c r="L492" s="30"/>
      <c r="M492" s="30"/>
      <c r="N492" s="30"/>
      <c r="O492" s="31"/>
      <c r="P492" s="30"/>
      <c r="Q492" s="62"/>
      <c r="R492" s="62"/>
      <c r="S492" s="62"/>
      <c r="T492" s="62"/>
      <c r="U492" s="62"/>
      <c r="V492" s="63"/>
      <c r="W492" s="42"/>
      <c r="X492" s="63"/>
      <c r="Y492" s="65"/>
      <c r="Z492" s="42"/>
      <c r="AA492" s="42"/>
      <c r="AB492" s="42"/>
      <c r="AC492" s="42"/>
      <c r="AD492" s="65"/>
      <c r="AE492" s="42"/>
      <c r="AF492" s="42"/>
      <c r="AG492" s="42"/>
      <c r="AH492" s="42"/>
      <c r="AI492" s="65"/>
      <c r="AJ492" s="42"/>
      <c r="AK492" s="42"/>
      <c r="AL492" s="42"/>
      <c r="AM492" s="42"/>
      <c r="AN492" s="65"/>
      <c r="AO492" s="42"/>
      <c r="AP492" s="42"/>
      <c r="AQ492" s="42"/>
      <c r="AR492" s="42"/>
      <c r="AS492" s="65"/>
      <c r="AT492" s="42"/>
    </row>
    <row r="493" spans="1:46" x14ac:dyDescent="0.25">
      <c r="A493" s="3"/>
      <c r="B493" s="58"/>
      <c r="C493" s="59"/>
      <c r="D493" s="3"/>
      <c r="E493" s="3"/>
      <c r="F493" s="3"/>
      <c r="G493" s="3"/>
      <c r="H493" s="27"/>
      <c r="I493" s="60"/>
      <c r="J493" s="61"/>
      <c r="K493" s="30"/>
      <c r="L493" s="30"/>
      <c r="M493" s="30"/>
      <c r="N493" s="30"/>
      <c r="O493" s="31"/>
      <c r="P493" s="30"/>
      <c r="Q493" s="62"/>
      <c r="R493" s="62"/>
      <c r="S493" s="62"/>
      <c r="T493" s="62"/>
      <c r="U493" s="62"/>
      <c r="V493" s="63"/>
      <c r="W493" s="42"/>
      <c r="X493" s="63"/>
      <c r="Y493" s="65"/>
      <c r="Z493" s="42"/>
      <c r="AA493" s="42"/>
      <c r="AB493" s="42"/>
      <c r="AC493" s="42"/>
      <c r="AD493" s="65"/>
      <c r="AE493" s="42"/>
      <c r="AF493" s="42"/>
      <c r="AG493" s="42"/>
      <c r="AH493" s="42"/>
      <c r="AI493" s="65"/>
      <c r="AJ493" s="42"/>
      <c r="AK493" s="42"/>
      <c r="AL493" s="42"/>
      <c r="AM493" s="42"/>
      <c r="AN493" s="65"/>
      <c r="AO493" s="42"/>
      <c r="AP493" s="42"/>
      <c r="AQ493" s="42"/>
      <c r="AR493" s="42"/>
      <c r="AS493" s="65"/>
      <c r="AT493" s="42"/>
    </row>
    <row r="494" spans="1:46" x14ac:dyDescent="0.25">
      <c r="A494" s="3"/>
      <c r="B494" s="58"/>
      <c r="C494" s="59"/>
      <c r="D494" s="3"/>
      <c r="E494" s="3"/>
      <c r="F494" s="3"/>
      <c r="G494" s="3"/>
      <c r="H494" s="27"/>
      <c r="I494" s="60"/>
      <c r="J494" s="61"/>
      <c r="K494" s="30"/>
      <c r="L494" s="30"/>
      <c r="M494" s="30"/>
      <c r="N494" s="30"/>
      <c r="O494" s="31"/>
      <c r="P494" s="30"/>
      <c r="Q494" s="62"/>
      <c r="R494" s="62"/>
      <c r="S494" s="62"/>
      <c r="T494" s="62"/>
      <c r="U494" s="62"/>
      <c r="V494" s="63"/>
      <c r="W494" s="42"/>
      <c r="X494" s="63"/>
      <c r="Y494" s="65"/>
      <c r="Z494" s="42"/>
      <c r="AA494" s="42"/>
      <c r="AB494" s="42"/>
      <c r="AC494" s="42"/>
      <c r="AD494" s="65"/>
      <c r="AE494" s="42"/>
      <c r="AF494" s="42"/>
      <c r="AG494" s="42"/>
      <c r="AH494" s="42"/>
      <c r="AI494" s="65"/>
      <c r="AJ494" s="42"/>
      <c r="AK494" s="42"/>
      <c r="AL494" s="42"/>
      <c r="AM494" s="42"/>
      <c r="AN494" s="65"/>
      <c r="AO494" s="42"/>
      <c r="AP494" s="42"/>
      <c r="AQ494" s="42"/>
      <c r="AR494" s="42"/>
      <c r="AS494" s="65"/>
      <c r="AT494" s="42"/>
    </row>
    <row r="495" spans="1:46" x14ac:dyDescent="0.25">
      <c r="A495" s="3"/>
      <c r="B495" s="58"/>
      <c r="C495" s="59"/>
      <c r="D495" s="3"/>
      <c r="E495" s="3"/>
      <c r="F495" s="3"/>
      <c r="G495" s="3"/>
      <c r="H495" s="27"/>
      <c r="I495" s="60"/>
      <c r="J495" s="61"/>
      <c r="K495" s="30"/>
      <c r="L495" s="30"/>
      <c r="M495" s="30"/>
      <c r="N495" s="30"/>
      <c r="O495" s="31"/>
      <c r="P495" s="30"/>
      <c r="Q495" s="62"/>
      <c r="R495" s="62"/>
      <c r="S495" s="62"/>
      <c r="T495" s="62"/>
      <c r="U495" s="62"/>
      <c r="V495" s="63"/>
      <c r="W495" s="42"/>
      <c r="X495" s="63"/>
      <c r="Y495" s="65"/>
      <c r="Z495" s="42"/>
      <c r="AA495" s="42"/>
      <c r="AB495" s="42"/>
      <c r="AC495" s="42"/>
      <c r="AD495" s="65"/>
      <c r="AE495" s="42"/>
      <c r="AF495" s="42"/>
      <c r="AG495" s="42"/>
      <c r="AH495" s="42"/>
      <c r="AI495" s="65"/>
      <c r="AJ495" s="42"/>
      <c r="AK495" s="42"/>
      <c r="AL495" s="42"/>
      <c r="AM495" s="42"/>
      <c r="AN495" s="65"/>
      <c r="AO495" s="42"/>
      <c r="AP495" s="42"/>
      <c r="AQ495" s="42"/>
      <c r="AR495" s="42"/>
      <c r="AS495" s="65"/>
      <c r="AT495" s="42"/>
    </row>
    <row r="496" spans="1:46" x14ac:dyDescent="0.25">
      <c r="A496" s="3"/>
      <c r="B496" s="58"/>
      <c r="C496" s="59"/>
      <c r="D496" s="3"/>
      <c r="E496" s="3"/>
      <c r="F496" s="3"/>
      <c r="G496" s="3"/>
      <c r="H496" s="27"/>
      <c r="I496" s="60"/>
      <c r="J496" s="61"/>
      <c r="K496" s="30"/>
      <c r="L496" s="30"/>
      <c r="M496" s="30"/>
      <c r="N496" s="30"/>
      <c r="O496" s="31"/>
      <c r="P496" s="30"/>
      <c r="Q496" s="62"/>
      <c r="R496" s="62"/>
      <c r="S496" s="62"/>
      <c r="T496" s="62"/>
      <c r="U496" s="62"/>
      <c r="V496" s="63"/>
      <c r="W496" s="42"/>
      <c r="X496" s="63"/>
      <c r="Y496" s="65"/>
      <c r="Z496" s="42"/>
      <c r="AA496" s="42"/>
      <c r="AB496" s="42"/>
      <c r="AC496" s="42"/>
      <c r="AD496" s="65"/>
      <c r="AE496" s="42"/>
      <c r="AF496" s="42"/>
      <c r="AG496" s="42"/>
      <c r="AH496" s="42"/>
      <c r="AI496" s="65"/>
      <c r="AJ496" s="42"/>
      <c r="AK496" s="42"/>
      <c r="AL496" s="42"/>
      <c r="AM496" s="42"/>
      <c r="AN496" s="65"/>
      <c r="AO496" s="42"/>
      <c r="AP496" s="42"/>
      <c r="AQ496" s="42"/>
      <c r="AR496" s="42"/>
      <c r="AS496" s="65"/>
      <c r="AT496" s="42"/>
    </row>
    <row r="497" spans="1:46" x14ac:dyDescent="0.25">
      <c r="A497" s="3"/>
      <c r="B497" s="58"/>
      <c r="C497" s="59"/>
      <c r="D497" s="3"/>
      <c r="E497" s="3"/>
      <c r="F497" s="3"/>
      <c r="G497" s="3"/>
      <c r="H497" s="27"/>
      <c r="I497" s="60"/>
      <c r="J497" s="61"/>
      <c r="K497" s="30"/>
      <c r="L497" s="30"/>
      <c r="M497" s="30"/>
      <c r="N497" s="30"/>
      <c r="O497" s="31"/>
      <c r="P497" s="30"/>
      <c r="Q497" s="62"/>
      <c r="R497" s="62"/>
      <c r="S497" s="62"/>
      <c r="T497" s="62"/>
      <c r="U497" s="62"/>
      <c r="V497" s="63"/>
      <c r="W497" s="42"/>
      <c r="X497" s="63"/>
      <c r="Y497" s="65"/>
      <c r="Z497" s="42"/>
      <c r="AA497" s="42"/>
      <c r="AB497" s="42"/>
      <c r="AC497" s="42"/>
      <c r="AD497" s="65"/>
      <c r="AE497" s="42"/>
      <c r="AF497" s="42"/>
      <c r="AG497" s="42"/>
      <c r="AH497" s="42"/>
      <c r="AI497" s="65"/>
      <c r="AJ497" s="42"/>
      <c r="AK497" s="42"/>
      <c r="AL497" s="42"/>
      <c r="AM497" s="42"/>
      <c r="AN497" s="65"/>
      <c r="AO497" s="42"/>
      <c r="AP497" s="42"/>
      <c r="AQ497" s="42"/>
      <c r="AR497" s="42"/>
      <c r="AS497" s="65"/>
      <c r="AT497" s="42"/>
    </row>
    <row r="498" spans="1:46" x14ac:dyDescent="0.25">
      <c r="A498" s="3"/>
      <c r="B498" s="58"/>
      <c r="C498" s="59"/>
      <c r="D498" s="3"/>
      <c r="E498" s="3"/>
      <c r="F498" s="3"/>
      <c r="G498" s="3"/>
      <c r="H498" s="27"/>
      <c r="I498" s="60"/>
      <c r="J498" s="61"/>
      <c r="K498" s="30"/>
      <c r="L498" s="30"/>
      <c r="M498" s="30"/>
      <c r="N498" s="30"/>
      <c r="O498" s="31"/>
      <c r="P498" s="30"/>
      <c r="Q498" s="62"/>
      <c r="R498" s="62"/>
      <c r="S498" s="62"/>
      <c r="T498" s="62"/>
      <c r="U498" s="62"/>
      <c r="V498" s="63"/>
      <c r="W498" s="42"/>
      <c r="X498" s="63"/>
      <c r="Y498" s="65"/>
      <c r="Z498" s="42"/>
      <c r="AA498" s="42"/>
      <c r="AB498" s="42"/>
      <c r="AC498" s="42"/>
      <c r="AD498" s="65"/>
      <c r="AE498" s="42"/>
      <c r="AF498" s="42"/>
      <c r="AG498" s="42"/>
      <c r="AH498" s="42"/>
      <c r="AI498" s="65"/>
      <c r="AJ498" s="42"/>
      <c r="AK498" s="42"/>
      <c r="AL498" s="42"/>
      <c r="AM498" s="42"/>
      <c r="AN498" s="65"/>
      <c r="AO498" s="42"/>
      <c r="AP498" s="42"/>
      <c r="AQ498" s="42"/>
      <c r="AR498" s="42"/>
      <c r="AS498" s="65"/>
      <c r="AT498" s="42"/>
    </row>
    <row r="499" spans="1:46" x14ac:dyDescent="0.25">
      <c r="A499" s="3"/>
      <c r="B499" s="58"/>
      <c r="C499" s="59"/>
      <c r="D499" s="3"/>
      <c r="E499" s="3"/>
      <c r="F499" s="3"/>
      <c r="G499" s="3"/>
      <c r="H499" s="27"/>
      <c r="I499" s="60"/>
      <c r="J499" s="61"/>
      <c r="K499" s="30"/>
      <c r="L499" s="30"/>
      <c r="M499" s="30"/>
      <c r="N499" s="30"/>
      <c r="O499" s="31"/>
      <c r="P499" s="30"/>
      <c r="Q499" s="62"/>
      <c r="R499" s="62"/>
      <c r="S499" s="62"/>
      <c r="T499" s="62"/>
      <c r="U499" s="62"/>
      <c r="V499" s="63"/>
      <c r="W499" s="42"/>
      <c r="X499" s="63"/>
      <c r="Y499" s="65"/>
      <c r="Z499" s="42"/>
      <c r="AA499" s="42"/>
      <c r="AB499" s="42"/>
      <c r="AC499" s="42"/>
      <c r="AD499" s="65"/>
      <c r="AE499" s="42"/>
      <c r="AF499" s="42"/>
      <c r="AG499" s="42"/>
      <c r="AH499" s="42"/>
      <c r="AI499" s="65"/>
      <c r="AJ499" s="42"/>
      <c r="AK499" s="42"/>
      <c r="AL499" s="42"/>
      <c r="AM499" s="42"/>
      <c r="AN499" s="65"/>
      <c r="AO499" s="42"/>
      <c r="AP499" s="42"/>
      <c r="AQ499" s="42"/>
      <c r="AR499" s="42"/>
      <c r="AS499" s="65"/>
      <c r="AT499" s="42"/>
    </row>
    <row r="500" spans="1:46" x14ac:dyDescent="0.25">
      <c r="A500" s="3"/>
      <c r="B500" s="58"/>
      <c r="C500" s="59"/>
      <c r="D500" s="3"/>
      <c r="E500" s="3"/>
      <c r="F500" s="3"/>
      <c r="G500" s="3"/>
      <c r="H500" s="27"/>
      <c r="I500" s="60"/>
      <c r="J500" s="61"/>
      <c r="K500" s="30"/>
      <c r="L500" s="30"/>
      <c r="M500" s="30"/>
      <c r="N500" s="30"/>
      <c r="O500" s="31"/>
      <c r="P500" s="30"/>
      <c r="Q500" s="62"/>
      <c r="R500" s="62"/>
      <c r="S500" s="62"/>
      <c r="T500" s="62"/>
      <c r="U500" s="62"/>
      <c r="V500" s="63"/>
      <c r="W500" s="42"/>
      <c r="X500" s="63"/>
      <c r="Y500" s="65"/>
      <c r="Z500" s="42"/>
      <c r="AA500" s="42"/>
      <c r="AB500" s="42"/>
      <c r="AC500" s="42"/>
      <c r="AD500" s="65"/>
      <c r="AE500" s="42"/>
      <c r="AF500" s="42"/>
      <c r="AG500" s="42"/>
      <c r="AH500" s="42"/>
      <c r="AI500" s="65"/>
      <c r="AJ500" s="42"/>
      <c r="AK500" s="42"/>
      <c r="AL500" s="42"/>
      <c r="AM500" s="42"/>
      <c r="AN500" s="65"/>
      <c r="AO500" s="42"/>
      <c r="AP500" s="42"/>
      <c r="AQ500" s="42"/>
      <c r="AR500" s="42"/>
      <c r="AS500" s="65"/>
      <c r="AT500" s="42"/>
    </row>
    <row r="501" spans="1:46" x14ac:dyDescent="0.25">
      <c r="A501" s="3"/>
      <c r="B501" s="58"/>
      <c r="C501" s="59"/>
      <c r="D501" s="3"/>
      <c r="E501" s="3"/>
      <c r="F501" s="3"/>
      <c r="G501" s="3"/>
      <c r="H501" s="27"/>
      <c r="I501" s="60"/>
      <c r="J501" s="61"/>
      <c r="K501" s="30"/>
      <c r="L501" s="30"/>
      <c r="M501" s="30"/>
      <c r="N501" s="30"/>
      <c r="O501" s="31"/>
      <c r="P501" s="30"/>
      <c r="Q501" s="62"/>
      <c r="R501" s="62"/>
      <c r="S501" s="62"/>
      <c r="T501" s="62"/>
      <c r="U501" s="62"/>
      <c r="V501" s="63"/>
      <c r="W501" s="42"/>
      <c r="X501" s="63"/>
      <c r="Y501" s="65"/>
      <c r="Z501" s="42"/>
      <c r="AA501" s="42"/>
      <c r="AB501" s="42"/>
      <c r="AC501" s="42"/>
      <c r="AD501" s="65"/>
      <c r="AE501" s="42"/>
      <c r="AF501" s="42"/>
      <c r="AG501" s="42"/>
      <c r="AH501" s="42"/>
      <c r="AI501" s="65"/>
      <c r="AJ501" s="42"/>
      <c r="AK501" s="42"/>
      <c r="AL501" s="42"/>
      <c r="AM501" s="42"/>
      <c r="AN501" s="65"/>
      <c r="AO501" s="42"/>
      <c r="AP501" s="42"/>
      <c r="AQ501" s="42"/>
      <c r="AR501" s="42"/>
      <c r="AS501" s="65"/>
      <c r="AT501" s="42"/>
    </row>
    <row r="502" spans="1:46" x14ac:dyDescent="0.25">
      <c r="A502" s="3"/>
      <c r="B502" s="58"/>
      <c r="C502" s="59"/>
      <c r="D502" s="3"/>
      <c r="E502" s="3"/>
      <c r="F502" s="3"/>
      <c r="G502" s="3"/>
      <c r="H502" s="27"/>
      <c r="I502" s="60"/>
      <c r="J502" s="61"/>
      <c r="K502" s="30"/>
      <c r="L502" s="30"/>
      <c r="M502" s="30"/>
      <c r="N502" s="30"/>
      <c r="O502" s="31"/>
      <c r="P502" s="30"/>
      <c r="Q502" s="62"/>
      <c r="R502" s="62"/>
      <c r="S502" s="62"/>
      <c r="T502" s="62"/>
      <c r="U502" s="62"/>
      <c r="V502" s="63"/>
      <c r="W502" s="42"/>
      <c r="X502" s="63"/>
      <c r="Y502" s="65"/>
      <c r="Z502" s="42"/>
      <c r="AA502" s="42"/>
      <c r="AB502" s="42"/>
      <c r="AC502" s="42"/>
      <c r="AD502" s="65"/>
      <c r="AE502" s="42"/>
      <c r="AF502" s="42"/>
      <c r="AG502" s="42"/>
      <c r="AH502" s="42"/>
      <c r="AI502" s="65"/>
      <c r="AJ502" s="42"/>
      <c r="AK502" s="42"/>
      <c r="AL502" s="42"/>
      <c r="AM502" s="42"/>
      <c r="AN502" s="65"/>
      <c r="AO502" s="42"/>
      <c r="AP502" s="42"/>
      <c r="AQ502" s="42"/>
      <c r="AR502" s="42"/>
      <c r="AS502" s="65"/>
      <c r="AT502" s="42"/>
    </row>
    <row r="503" spans="1:46" x14ac:dyDescent="0.25">
      <c r="A503" s="3"/>
      <c r="B503" s="58"/>
      <c r="C503" s="59"/>
      <c r="D503" s="3"/>
      <c r="E503" s="3"/>
      <c r="F503" s="3"/>
      <c r="G503" s="3"/>
      <c r="H503" s="27"/>
      <c r="I503" s="60"/>
      <c r="J503" s="61"/>
      <c r="K503" s="30"/>
      <c r="L503" s="30"/>
      <c r="M503" s="30"/>
      <c r="N503" s="30"/>
      <c r="O503" s="31"/>
      <c r="P503" s="30"/>
      <c r="Q503" s="62"/>
      <c r="R503" s="62"/>
      <c r="S503" s="62"/>
      <c r="T503" s="62"/>
      <c r="U503" s="62"/>
      <c r="V503" s="63"/>
      <c r="W503" s="42"/>
      <c r="X503" s="63"/>
      <c r="Y503" s="65"/>
      <c r="Z503" s="42"/>
      <c r="AA503" s="42"/>
      <c r="AB503" s="42"/>
      <c r="AC503" s="42"/>
      <c r="AD503" s="65"/>
      <c r="AE503" s="42"/>
      <c r="AF503" s="42"/>
      <c r="AG503" s="42"/>
      <c r="AH503" s="42"/>
      <c r="AI503" s="65"/>
      <c r="AJ503" s="42"/>
      <c r="AK503" s="42"/>
      <c r="AL503" s="42"/>
      <c r="AM503" s="42"/>
      <c r="AN503" s="65"/>
      <c r="AO503" s="42"/>
      <c r="AP503" s="42"/>
      <c r="AQ503" s="42"/>
      <c r="AR503" s="42"/>
      <c r="AS503" s="65"/>
      <c r="AT503" s="42"/>
    </row>
    <row r="504" spans="1:46" x14ac:dyDescent="0.25">
      <c r="A504" s="3"/>
      <c r="B504" s="58"/>
      <c r="C504" s="59"/>
      <c r="D504" s="3"/>
      <c r="E504" s="3"/>
      <c r="F504" s="3"/>
      <c r="G504" s="3"/>
      <c r="H504" s="27"/>
      <c r="I504" s="60"/>
      <c r="J504" s="61"/>
      <c r="K504" s="30"/>
      <c r="L504" s="30"/>
      <c r="M504" s="30"/>
      <c r="N504" s="30"/>
      <c r="O504" s="31"/>
      <c r="P504" s="30"/>
      <c r="Q504" s="62"/>
      <c r="R504" s="62"/>
      <c r="S504" s="62"/>
      <c r="T504" s="62"/>
      <c r="U504" s="62"/>
      <c r="V504" s="63"/>
      <c r="W504" s="42"/>
      <c r="X504" s="63"/>
      <c r="Y504" s="65"/>
      <c r="Z504" s="42"/>
      <c r="AA504" s="42"/>
      <c r="AB504" s="42"/>
      <c r="AC504" s="42"/>
      <c r="AD504" s="65"/>
      <c r="AE504" s="42"/>
      <c r="AF504" s="42"/>
      <c r="AG504" s="42"/>
      <c r="AH504" s="42"/>
      <c r="AI504" s="65"/>
      <c r="AJ504" s="42"/>
      <c r="AK504" s="42"/>
      <c r="AL504" s="42"/>
      <c r="AM504" s="42"/>
      <c r="AN504" s="65"/>
      <c r="AO504" s="42"/>
      <c r="AP504" s="42"/>
      <c r="AQ504" s="42"/>
      <c r="AR504" s="42"/>
      <c r="AS504" s="65"/>
      <c r="AT504" s="42"/>
    </row>
    <row r="505" spans="1:46" x14ac:dyDescent="0.25">
      <c r="A505" s="3"/>
      <c r="B505" s="58"/>
      <c r="C505" s="59"/>
      <c r="D505" s="3"/>
      <c r="E505" s="3"/>
      <c r="F505" s="3"/>
      <c r="G505" s="3"/>
      <c r="H505" s="27"/>
      <c r="I505" s="60"/>
      <c r="J505" s="61"/>
      <c r="K505" s="30"/>
      <c r="L505" s="30"/>
      <c r="M505" s="30"/>
      <c r="N505" s="30"/>
      <c r="O505" s="31"/>
      <c r="P505" s="30"/>
      <c r="Q505" s="62"/>
      <c r="R505" s="62"/>
      <c r="S505" s="62"/>
      <c r="T505" s="62"/>
      <c r="U505" s="62"/>
      <c r="V505" s="63"/>
      <c r="W505" s="42"/>
      <c r="X505" s="63"/>
      <c r="Y505" s="65"/>
      <c r="Z505" s="42"/>
      <c r="AA505" s="42"/>
      <c r="AB505" s="42"/>
      <c r="AC505" s="42"/>
      <c r="AD505" s="65"/>
      <c r="AE505" s="42"/>
      <c r="AF505" s="42"/>
      <c r="AG505" s="42"/>
      <c r="AH505" s="42"/>
      <c r="AI505" s="65"/>
      <c r="AJ505" s="42"/>
      <c r="AK505" s="42"/>
      <c r="AL505" s="42"/>
      <c r="AM505" s="42"/>
      <c r="AN505" s="65"/>
      <c r="AO505" s="42"/>
      <c r="AP505" s="42"/>
      <c r="AQ505" s="42"/>
      <c r="AR505" s="42"/>
      <c r="AS505" s="65"/>
      <c r="AT505" s="42"/>
    </row>
    <row r="506" spans="1:46" x14ac:dyDescent="0.25">
      <c r="A506" s="3"/>
      <c r="B506" s="58"/>
      <c r="C506" s="59"/>
      <c r="D506" s="3"/>
      <c r="E506" s="3"/>
      <c r="F506" s="3"/>
      <c r="G506" s="3"/>
      <c r="H506" s="27"/>
      <c r="I506" s="60"/>
      <c r="J506" s="61"/>
      <c r="K506" s="30"/>
      <c r="L506" s="30"/>
      <c r="M506" s="30"/>
      <c r="N506" s="30"/>
      <c r="O506" s="31"/>
      <c r="P506" s="30"/>
      <c r="Q506" s="62"/>
      <c r="R506" s="62"/>
      <c r="S506" s="62"/>
      <c r="T506" s="62"/>
      <c r="U506" s="62"/>
      <c r="V506" s="63"/>
      <c r="W506" s="42"/>
      <c r="X506" s="63"/>
      <c r="Y506" s="65"/>
      <c r="Z506" s="42"/>
      <c r="AA506" s="42"/>
      <c r="AB506" s="42"/>
      <c r="AC506" s="42"/>
      <c r="AD506" s="65"/>
      <c r="AE506" s="42"/>
      <c r="AF506" s="42"/>
      <c r="AG506" s="42"/>
      <c r="AH506" s="42"/>
      <c r="AI506" s="65"/>
      <c r="AJ506" s="42"/>
      <c r="AK506" s="42"/>
      <c r="AL506" s="42"/>
      <c r="AM506" s="42"/>
      <c r="AN506" s="65"/>
      <c r="AO506" s="42"/>
      <c r="AP506" s="42"/>
      <c r="AQ506" s="42"/>
      <c r="AR506" s="42"/>
      <c r="AS506" s="65"/>
      <c r="AT506" s="42"/>
    </row>
    <row r="507" spans="1:46" x14ac:dyDescent="0.25">
      <c r="A507" s="3"/>
      <c r="B507" s="58"/>
      <c r="C507" s="59"/>
      <c r="D507" s="3"/>
      <c r="E507" s="3"/>
      <c r="F507" s="3"/>
      <c r="G507" s="3"/>
      <c r="H507" s="27"/>
      <c r="I507" s="60"/>
      <c r="J507" s="61"/>
      <c r="K507" s="30"/>
      <c r="L507" s="30"/>
      <c r="M507" s="30"/>
      <c r="N507" s="30"/>
      <c r="O507" s="31"/>
      <c r="P507" s="30"/>
      <c r="Q507" s="62"/>
      <c r="R507" s="62"/>
      <c r="S507" s="62"/>
      <c r="T507" s="62"/>
      <c r="U507" s="62"/>
      <c r="V507" s="63"/>
      <c r="W507" s="42"/>
      <c r="X507" s="63"/>
      <c r="Y507" s="65"/>
      <c r="Z507" s="42"/>
      <c r="AA507" s="42"/>
      <c r="AB507" s="42"/>
      <c r="AC507" s="42"/>
      <c r="AD507" s="65"/>
      <c r="AE507" s="42"/>
      <c r="AF507" s="42"/>
      <c r="AG507" s="42"/>
      <c r="AH507" s="42"/>
      <c r="AI507" s="65"/>
      <c r="AJ507" s="42"/>
      <c r="AK507" s="42"/>
      <c r="AL507" s="42"/>
      <c r="AM507" s="42"/>
      <c r="AN507" s="65"/>
      <c r="AO507" s="42"/>
      <c r="AP507" s="42"/>
      <c r="AQ507" s="42"/>
      <c r="AR507" s="42"/>
      <c r="AS507" s="65"/>
      <c r="AT507" s="42"/>
    </row>
    <row r="508" spans="1:46" x14ac:dyDescent="0.25">
      <c r="A508" s="3"/>
      <c r="B508" s="58"/>
      <c r="C508" s="59"/>
      <c r="D508" s="3"/>
      <c r="E508" s="3"/>
      <c r="F508" s="3"/>
      <c r="G508" s="3"/>
      <c r="H508" s="27"/>
      <c r="I508" s="60"/>
      <c r="J508" s="61"/>
      <c r="K508" s="30"/>
      <c r="L508" s="30"/>
      <c r="M508" s="30"/>
      <c r="N508" s="30"/>
      <c r="O508" s="31"/>
      <c r="P508" s="30"/>
      <c r="Q508" s="62"/>
      <c r="R508" s="62"/>
      <c r="S508" s="62"/>
      <c r="T508" s="62"/>
      <c r="U508" s="62"/>
      <c r="V508" s="63"/>
      <c r="W508" s="42"/>
      <c r="X508" s="63"/>
      <c r="Y508" s="65"/>
      <c r="Z508" s="42"/>
      <c r="AA508" s="42"/>
      <c r="AB508" s="42"/>
      <c r="AC508" s="42"/>
      <c r="AD508" s="65"/>
      <c r="AE508" s="42"/>
      <c r="AF508" s="42"/>
      <c r="AG508" s="42"/>
      <c r="AH508" s="42"/>
      <c r="AI508" s="65"/>
      <c r="AJ508" s="42"/>
      <c r="AK508" s="42"/>
      <c r="AL508" s="42"/>
      <c r="AM508" s="42"/>
      <c r="AN508" s="65"/>
      <c r="AO508" s="42"/>
      <c r="AP508" s="42"/>
      <c r="AQ508" s="42"/>
      <c r="AR508" s="42"/>
      <c r="AS508" s="65"/>
      <c r="AT508" s="42"/>
    </row>
    <row r="509" spans="1:46" x14ac:dyDescent="0.25">
      <c r="A509" s="3"/>
      <c r="B509" s="58"/>
      <c r="C509" s="59"/>
      <c r="D509" s="3"/>
      <c r="E509" s="3"/>
      <c r="F509" s="3"/>
      <c r="G509" s="3"/>
      <c r="H509" s="27"/>
      <c r="I509" s="60"/>
      <c r="J509" s="61"/>
      <c r="K509" s="30"/>
      <c r="L509" s="30"/>
      <c r="M509" s="30"/>
      <c r="N509" s="30"/>
      <c r="O509" s="31"/>
      <c r="P509" s="30"/>
      <c r="Q509" s="62"/>
      <c r="R509" s="62"/>
      <c r="S509" s="62"/>
      <c r="T509" s="62"/>
      <c r="U509" s="62"/>
      <c r="V509" s="63"/>
      <c r="W509" s="42"/>
      <c r="X509" s="63"/>
      <c r="Y509" s="65"/>
      <c r="Z509" s="42"/>
      <c r="AA509" s="42"/>
      <c r="AB509" s="42"/>
      <c r="AC509" s="42"/>
      <c r="AD509" s="65"/>
      <c r="AE509" s="42"/>
      <c r="AF509" s="42"/>
      <c r="AG509" s="42"/>
      <c r="AH509" s="42"/>
      <c r="AI509" s="65"/>
      <c r="AJ509" s="42"/>
      <c r="AK509" s="42"/>
      <c r="AL509" s="42"/>
      <c r="AM509" s="42"/>
      <c r="AN509" s="65"/>
      <c r="AO509" s="42"/>
      <c r="AP509" s="42"/>
      <c r="AQ509" s="42"/>
      <c r="AR509" s="42"/>
      <c r="AS509" s="65"/>
      <c r="AT509" s="42"/>
    </row>
    <row r="510" spans="1:46" x14ac:dyDescent="0.25">
      <c r="A510" s="3"/>
      <c r="B510" s="58"/>
      <c r="C510" s="59"/>
      <c r="D510" s="3"/>
      <c r="E510" s="3"/>
      <c r="F510" s="3"/>
      <c r="G510" s="3"/>
      <c r="H510" s="27"/>
      <c r="I510" s="60"/>
      <c r="J510" s="61"/>
      <c r="K510" s="30"/>
      <c r="L510" s="30"/>
      <c r="M510" s="30"/>
      <c r="N510" s="30"/>
      <c r="O510" s="31"/>
      <c r="P510" s="30"/>
      <c r="Q510" s="62"/>
      <c r="R510" s="62"/>
      <c r="S510" s="62"/>
      <c r="T510" s="62"/>
      <c r="U510" s="62"/>
      <c r="V510" s="63"/>
      <c r="W510" s="42"/>
      <c r="X510" s="63"/>
      <c r="Y510" s="65"/>
      <c r="Z510" s="42"/>
      <c r="AA510" s="42"/>
      <c r="AB510" s="42"/>
      <c r="AC510" s="42"/>
      <c r="AD510" s="65"/>
      <c r="AE510" s="42"/>
      <c r="AF510" s="42"/>
      <c r="AG510" s="42"/>
      <c r="AH510" s="42"/>
      <c r="AI510" s="65"/>
      <c r="AJ510" s="42"/>
      <c r="AK510" s="42"/>
      <c r="AL510" s="42"/>
      <c r="AM510" s="42"/>
      <c r="AN510" s="65"/>
      <c r="AO510" s="42"/>
      <c r="AP510" s="42"/>
      <c r="AQ510" s="42"/>
      <c r="AR510" s="42"/>
      <c r="AS510" s="65"/>
      <c r="AT510" s="42"/>
    </row>
    <row r="511" spans="1:46" x14ac:dyDescent="0.25">
      <c r="A511" s="3"/>
      <c r="B511" s="58"/>
      <c r="C511" s="59"/>
      <c r="D511" s="3"/>
      <c r="E511" s="3"/>
      <c r="F511" s="3"/>
      <c r="G511" s="3"/>
      <c r="H511" s="27"/>
      <c r="I511" s="60"/>
      <c r="J511" s="61"/>
      <c r="K511" s="30"/>
      <c r="L511" s="30"/>
      <c r="M511" s="30"/>
      <c r="N511" s="30"/>
      <c r="O511" s="31"/>
      <c r="P511" s="30"/>
      <c r="Q511" s="62"/>
      <c r="R511" s="62"/>
      <c r="S511" s="62"/>
      <c r="T511" s="62"/>
      <c r="U511" s="62"/>
      <c r="V511" s="63"/>
      <c r="W511" s="42"/>
      <c r="X511" s="63"/>
      <c r="Y511" s="65"/>
      <c r="Z511" s="42"/>
      <c r="AA511" s="42"/>
      <c r="AB511" s="42"/>
      <c r="AC511" s="42"/>
      <c r="AD511" s="65"/>
      <c r="AE511" s="42"/>
      <c r="AF511" s="42"/>
      <c r="AG511" s="42"/>
      <c r="AH511" s="42"/>
      <c r="AI511" s="65"/>
      <c r="AJ511" s="42"/>
      <c r="AK511" s="42"/>
      <c r="AL511" s="42"/>
      <c r="AM511" s="42"/>
      <c r="AN511" s="65"/>
      <c r="AO511" s="42"/>
      <c r="AP511" s="42"/>
      <c r="AQ511" s="42"/>
      <c r="AR511" s="42"/>
      <c r="AS511" s="65"/>
      <c r="AT511" s="42"/>
    </row>
    <row r="512" spans="1:46" x14ac:dyDescent="0.25">
      <c r="A512" s="3"/>
      <c r="B512" s="58"/>
      <c r="C512" s="59"/>
      <c r="D512" s="3"/>
      <c r="E512" s="3"/>
      <c r="F512" s="3"/>
      <c r="G512" s="3"/>
      <c r="H512" s="27"/>
      <c r="I512" s="60"/>
      <c r="J512" s="61"/>
      <c r="K512" s="30"/>
      <c r="L512" s="30"/>
      <c r="M512" s="30"/>
      <c r="N512" s="30"/>
      <c r="O512" s="31"/>
      <c r="P512" s="30"/>
      <c r="Q512" s="62"/>
      <c r="R512" s="62"/>
      <c r="S512" s="62"/>
      <c r="T512" s="62"/>
      <c r="U512" s="62"/>
      <c r="V512" s="63"/>
      <c r="W512" s="42"/>
      <c r="X512" s="63"/>
      <c r="Y512" s="65"/>
      <c r="Z512" s="42"/>
      <c r="AA512" s="42"/>
      <c r="AB512" s="42"/>
      <c r="AC512" s="42"/>
      <c r="AD512" s="65"/>
      <c r="AE512" s="42"/>
      <c r="AF512" s="42"/>
      <c r="AG512" s="42"/>
      <c r="AH512" s="42"/>
      <c r="AI512" s="65"/>
      <c r="AJ512" s="42"/>
      <c r="AK512" s="42"/>
      <c r="AL512" s="42"/>
      <c r="AM512" s="42"/>
      <c r="AN512" s="65"/>
      <c r="AO512" s="42"/>
      <c r="AP512" s="42"/>
      <c r="AQ512" s="42"/>
      <c r="AR512" s="42"/>
      <c r="AS512" s="65"/>
      <c r="AT512" s="42"/>
    </row>
    <row r="513" spans="1:46" x14ac:dyDescent="0.25">
      <c r="A513" s="3"/>
      <c r="B513" s="58"/>
      <c r="C513" s="59"/>
      <c r="D513" s="3"/>
      <c r="E513" s="3"/>
      <c r="F513" s="3"/>
      <c r="G513" s="3"/>
      <c r="H513" s="27"/>
      <c r="I513" s="60"/>
      <c r="J513" s="61"/>
      <c r="K513" s="30"/>
      <c r="L513" s="30"/>
      <c r="M513" s="30"/>
      <c r="N513" s="30"/>
      <c r="O513" s="31"/>
      <c r="P513" s="30"/>
      <c r="Q513" s="62"/>
      <c r="R513" s="62"/>
      <c r="S513" s="62"/>
      <c r="T513" s="62"/>
      <c r="U513" s="62"/>
      <c r="V513" s="63"/>
      <c r="W513" s="42"/>
      <c r="X513" s="63"/>
      <c r="Y513" s="65"/>
      <c r="Z513" s="42"/>
      <c r="AA513" s="42"/>
      <c r="AB513" s="42"/>
      <c r="AC513" s="42"/>
      <c r="AD513" s="65"/>
      <c r="AE513" s="42"/>
      <c r="AF513" s="42"/>
      <c r="AG513" s="42"/>
      <c r="AH513" s="42"/>
      <c r="AI513" s="65"/>
      <c r="AJ513" s="42"/>
      <c r="AK513" s="42"/>
      <c r="AL513" s="42"/>
      <c r="AM513" s="42"/>
      <c r="AN513" s="65"/>
      <c r="AO513" s="42"/>
      <c r="AP513" s="42"/>
      <c r="AQ513" s="42"/>
      <c r="AR513" s="42"/>
      <c r="AS513" s="65"/>
      <c r="AT513" s="42"/>
    </row>
    <row r="514" spans="1:46" x14ac:dyDescent="0.25">
      <c r="A514" s="3"/>
      <c r="B514" s="58"/>
      <c r="C514" s="59"/>
      <c r="D514" s="3"/>
      <c r="E514" s="3"/>
      <c r="F514" s="3"/>
      <c r="G514" s="3"/>
      <c r="H514" s="27"/>
      <c r="I514" s="60"/>
      <c r="J514" s="61"/>
      <c r="K514" s="30"/>
      <c r="L514" s="30"/>
      <c r="M514" s="30"/>
      <c r="N514" s="30"/>
      <c r="O514" s="31"/>
      <c r="P514" s="30"/>
      <c r="Q514" s="62"/>
      <c r="R514" s="62"/>
      <c r="S514" s="62"/>
      <c r="T514" s="62"/>
      <c r="U514" s="62"/>
      <c r="V514" s="63"/>
      <c r="W514" s="42"/>
      <c r="X514" s="63"/>
      <c r="Y514" s="65"/>
      <c r="Z514" s="42"/>
      <c r="AA514" s="42"/>
      <c r="AB514" s="42"/>
      <c r="AC514" s="42"/>
      <c r="AD514" s="65"/>
      <c r="AE514" s="42"/>
      <c r="AF514" s="42"/>
      <c r="AG514" s="42"/>
      <c r="AH514" s="42"/>
      <c r="AI514" s="65"/>
      <c r="AJ514" s="42"/>
      <c r="AK514" s="42"/>
      <c r="AL514" s="42"/>
      <c r="AM514" s="42"/>
      <c r="AN514" s="65"/>
      <c r="AO514" s="42"/>
      <c r="AP514" s="42"/>
      <c r="AQ514" s="42"/>
      <c r="AR514" s="42"/>
      <c r="AS514" s="65"/>
      <c r="AT514" s="42"/>
    </row>
    <row r="515" spans="1:46" x14ac:dyDescent="0.25">
      <c r="A515" s="3"/>
      <c r="B515" s="58"/>
      <c r="C515" s="59"/>
      <c r="D515" s="3"/>
      <c r="E515" s="3"/>
      <c r="F515" s="3"/>
      <c r="G515" s="3"/>
      <c r="H515" s="27"/>
      <c r="I515" s="60"/>
      <c r="J515" s="61"/>
      <c r="K515" s="30"/>
      <c r="L515" s="30"/>
      <c r="M515" s="30"/>
      <c r="N515" s="30"/>
      <c r="O515" s="31"/>
      <c r="P515" s="30"/>
      <c r="Q515" s="62"/>
      <c r="R515" s="62"/>
      <c r="S515" s="62"/>
      <c r="T515" s="62"/>
      <c r="U515" s="62"/>
      <c r="V515" s="63"/>
      <c r="W515" s="42"/>
      <c r="X515" s="63"/>
      <c r="Y515" s="65"/>
      <c r="Z515" s="42"/>
      <c r="AA515" s="42"/>
      <c r="AB515" s="42"/>
      <c r="AC515" s="42"/>
      <c r="AD515" s="65"/>
      <c r="AE515" s="42"/>
      <c r="AF515" s="42"/>
      <c r="AG515" s="42"/>
      <c r="AH515" s="42"/>
      <c r="AI515" s="65"/>
      <c r="AJ515" s="42"/>
      <c r="AK515" s="42"/>
      <c r="AL515" s="42"/>
      <c r="AM515" s="42"/>
      <c r="AN515" s="65"/>
      <c r="AO515" s="42"/>
      <c r="AP515" s="42"/>
      <c r="AQ515" s="42"/>
      <c r="AR515" s="42"/>
      <c r="AS515" s="65"/>
      <c r="AT515" s="42"/>
    </row>
    <row r="516" spans="1:46" x14ac:dyDescent="0.25">
      <c r="A516" s="3"/>
      <c r="B516" s="58"/>
      <c r="C516" s="59"/>
      <c r="D516" s="3"/>
      <c r="E516" s="3"/>
      <c r="F516" s="3"/>
      <c r="G516" s="3"/>
      <c r="H516" s="27"/>
      <c r="I516" s="60"/>
      <c r="J516" s="61"/>
      <c r="K516" s="30"/>
      <c r="L516" s="30"/>
      <c r="M516" s="30"/>
      <c r="N516" s="30"/>
      <c r="O516" s="31"/>
      <c r="P516" s="30"/>
      <c r="Q516" s="62"/>
      <c r="R516" s="62"/>
      <c r="S516" s="62"/>
      <c r="T516" s="62"/>
      <c r="U516" s="62"/>
      <c r="V516" s="63"/>
      <c r="W516" s="42"/>
      <c r="X516" s="63"/>
      <c r="Y516" s="65"/>
      <c r="Z516" s="42"/>
      <c r="AA516" s="42"/>
      <c r="AB516" s="42"/>
      <c r="AC516" s="42"/>
      <c r="AD516" s="65"/>
      <c r="AE516" s="42"/>
      <c r="AF516" s="42"/>
      <c r="AG516" s="42"/>
      <c r="AH516" s="42"/>
      <c r="AI516" s="65"/>
      <c r="AJ516" s="42"/>
      <c r="AK516" s="42"/>
      <c r="AL516" s="42"/>
      <c r="AM516" s="42"/>
      <c r="AN516" s="65"/>
      <c r="AO516" s="42"/>
      <c r="AP516" s="42"/>
      <c r="AQ516" s="42"/>
      <c r="AR516" s="42"/>
      <c r="AS516" s="65"/>
      <c r="AT516" s="42"/>
    </row>
    <row r="517" spans="1:46" x14ac:dyDescent="0.25">
      <c r="A517" s="3"/>
      <c r="B517" s="58"/>
      <c r="C517" s="59"/>
      <c r="D517" s="3"/>
      <c r="E517" s="3"/>
      <c r="F517" s="3"/>
      <c r="G517" s="3"/>
      <c r="H517" s="27"/>
      <c r="I517" s="60"/>
      <c r="J517" s="61"/>
      <c r="K517" s="30"/>
      <c r="L517" s="30"/>
      <c r="M517" s="30"/>
      <c r="N517" s="30"/>
      <c r="O517" s="31"/>
      <c r="P517" s="30"/>
      <c r="Q517" s="62"/>
      <c r="R517" s="62"/>
      <c r="S517" s="62"/>
      <c r="T517" s="62"/>
      <c r="U517" s="62"/>
      <c r="V517" s="63"/>
      <c r="W517" s="42"/>
      <c r="X517" s="63"/>
      <c r="Y517" s="65"/>
      <c r="Z517" s="42"/>
      <c r="AA517" s="42"/>
      <c r="AB517" s="42"/>
      <c r="AC517" s="42"/>
      <c r="AD517" s="65"/>
      <c r="AE517" s="42"/>
      <c r="AF517" s="42"/>
      <c r="AG517" s="42"/>
      <c r="AH517" s="42"/>
      <c r="AI517" s="65"/>
      <c r="AJ517" s="42"/>
      <c r="AK517" s="42"/>
      <c r="AL517" s="42"/>
      <c r="AM517" s="42"/>
      <c r="AN517" s="65"/>
      <c r="AO517" s="42"/>
      <c r="AP517" s="42"/>
      <c r="AQ517" s="42"/>
      <c r="AR517" s="42"/>
      <c r="AS517" s="65"/>
      <c r="AT517" s="42"/>
    </row>
    <row r="518" spans="1:46" x14ac:dyDescent="0.25">
      <c r="A518" s="3"/>
      <c r="B518" s="58"/>
      <c r="C518" s="59"/>
      <c r="D518" s="3"/>
      <c r="E518" s="3"/>
      <c r="F518" s="3"/>
      <c r="G518" s="3"/>
      <c r="H518" s="27"/>
      <c r="I518" s="60"/>
      <c r="J518" s="61"/>
      <c r="K518" s="30"/>
      <c r="L518" s="30"/>
      <c r="M518" s="30"/>
      <c r="N518" s="30"/>
      <c r="O518" s="31"/>
      <c r="P518" s="30"/>
      <c r="Q518" s="62"/>
      <c r="R518" s="62"/>
      <c r="S518" s="62"/>
      <c r="T518" s="62"/>
      <c r="U518" s="62"/>
      <c r="V518" s="63"/>
      <c r="W518" s="42"/>
      <c r="X518" s="63"/>
      <c r="Y518" s="65"/>
      <c r="Z518" s="42"/>
      <c r="AA518" s="42"/>
      <c r="AB518" s="42"/>
      <c r="AC518" s="42"/>
      <c r="AD518" s="65"/>
      <c r="AE518" s="42"/>
      <c r="AF518" s="42"/>
      <c r="AG518" s="42"/>
      <c r="AH518" s="42"/>
      <c r="AI518" s="65"/>
      <c r="AJ518" s="42"/>
      <c r="AK518" s="42"/>
      <c r="AL518" s="42"/>
      <c r="AM518" s="42"/>
      <c r="AN518" s="65"/>
      <c r="AO518" s="42"/>
      <c r="AP518" s="42"/>
      <c r="AQ518" s="42"/>
      <c r="AR518" s="42"/>
      <c r="AS518" s="65"/>
      <c r="AT518" s="42"/>
    </row>
    <row r="519" spans="1:46" x14ac:dyDescent="0.25">
      <c r="A519" s="3"/>
      <c r="B519" s="58"/>
      <c r="C519" s="59"/>
      <c r="D519" s="3"/>
      <c r="E519" s="3"/>
      <c r="F519" s="3"/>
      <c r="G519" s="3"/>
      <c r="H519" s="27"/>
      <c r="I519" s="60"/>
      <c r="J519" s="61"/>
      <c r="K519" s="30"/>
      <c r="L519" s="30"/>
      <c r="M519" s="30"/>
      <c r="N519" s="30"/>
      <c r="O519" s="31"/>
      <c r="P519" s="30"/>
      <c r="Q519" s="62"/>
      <c r="R519" s="62"/>
      <c r="S519" s="62"/>
      <c r="T519" s="62"/>
      <c r="U519" s="62"/>
      <c r="V519" s="63"/>
      <c r="W519" s="42"/>
      <c r="X519" s="63"/>
      <c r="Y519" s="65"/>
      <c r="Z519" s="42"/>
      <c r="AA519" s="42"/>
      <c r="AB519" s="42"/>
      <c r="AC519" s="42"/>
      <c r="AD519" s="65"/>
      <c r="AE519" s="42"/>
      <c r="AF519" s="42"/>
      <c r="AG519" s="42"/>
      <c r="AH519" s="42"/>
      <c r="AI519" s="65"/>
      <c r="AJ519" s="42"/>
      <c r="AK519" s="42"/>
      <c r="AL519" s="42"/>
      <c r="AM519" s="42"/>
      <c r="AN519" s="65"/>
      <c r="AO519" s="42"/>
      <c r="AP519" s="42"/>
      <c r="AQ519" s="42"/>
      <c r="AR519" s="42"/>
      <c r="AS519" s="65"/>
      <c r="AT519" s="42"/>
    </row>
    <row r="520" spans="1:46" x14ac:dyDescent="0.25">
      <c r="A520" s="3"/>
      <c r="B520" s="58"/>
      <c r="C520" s="59"/>
      <c r="D520" s="3"/>
      <c r="E520" s="3"/>
      <c r="F520" s="3"/>
      <c r="G520" s="3"/>
      <c r="H520" s="27"/>
      <c r="I520" s="60"/>
      <c r="J520" s="61"/>
      <c r="K520" s="30"/>
      <c r="L520" s="30"/>
      <c r="M520" s="30"/>
      <c r="N520" s="30"/>
      <c r="O520" s="31"/>
      <c r="P520" s="30"/>
      <c r="Q520" s="62"/>
      <c r="R520" s="62"/>
      <c r="S520" s="62"/>
      <c r="T520" s="62"/>
      <c r="U520" s="62"/>
      <c r="V520" s="63"/>
      <c r="W520" s="42"/>
      <c r="X520" s="63"/>
      <c r="Y520" s="65"/>
      <c r="Z520" s="42"/>
      <c r="AA520" s="42"/>
      <c r="AB520" s="42"/>
      <c r="AC520" s="42"/>
      <c r="AD520" s="65"/>
      <c r="AE520" s="42"/>
      <c r="AF520" s="42"/>
      <c r="AG520" s="42"/>
      <c r="AH520" s="42"/>
      <c r="AI520" s="65"/>
      <c r="AJ520" s="42"/>
      <c r="AK520" s="42"/>
      <c r="AL520" s="42"/>
      <c r="AM520" s="42"/>
      <c r="AN520" s="65"/>
      <c r="AO520" s="42"/>
      <c r="AP520" s="42"/>
      <c r="AQ520" s="42"/>
      <c r="AR520" s="42"/>
      <c r="AS520" s="65"/>
      <c r="AT520" s="42"/>
    </row>
    <row r="521" spans="1:46" x14ac:dyDescent="0.25">
      <c r="A521" s="3"/>
      <c r="B521" s="58"/>
      <c r="C521" s="59"/>
      <c r="D521" s="3"/>
      <c r="E521" s="3"/>
      <c r="F521" s="3"/>
      <c r="G521" s="3"/>
      <c r="H521" s="27"/>
      <c r="I521" s="60"/>
      <c r="J521" s="61"/>
      <c r="K521" s="30"/>
      <c r="L521" s="30"/>
      <c r="M521" s="30"/>
      <c r="N521" s="30"/>
      <c r="O521" s="31"/>
      <c r="P521" s="30"/>
      <c r="Q521" s="62"/>
      <c r="R521" s="62"/>
      <c r="S521" s="62"/>
      <c r="T521" s="62"/>
      <c r="U521" s="62"/>
      <c r="V521" s="63"/>
      <c r="W521" s="42"/>
      <c r="X521" s="63"/>
      <c r="Y521" s="65"/>
      <c r="Z521" s="42"/>
      <c r="AA521" s="42"/>
      <c r="AB521" s="42"/>
      <c r="AC521" s="42"/>
      <c r="AD521" s="65"/>
      <c r="AE521" s="42"/>
      <c r="AF521" s="42"/>
      <c r="AG521" s="42"/>
      <c r="AH521" s="42"/>
      <c r="AI521" s="65"/>
      <c r="AJ521" s="42"/>
      <c r="AK521" s="42"/>
      <c r="AL521" s="42"/>
      <c r="AM521" s="42"/>
      <c r="AN521" s="65"/>
      <c r="AO521" s="42"/>
      <c r="AP521" s="42"/>
      <c r="AQ521" s="42"/>
      <c r="AR521" s="42"/>
      <c r="AS521" s="65"/>
      <c r="AT521" s="42"/>
    </row>
    <row r="522" spans="1:46" x14ac:dyDescent="0.25">
      <c r="A522" s="3"/>
      <c r="B522" s="58"/>
      <c r="C522" s="59"/>
      <c r="D522" s="3"/>
      <c r="E522" s="3"/>
      <c r="F522" s="3"/>
      <c r="G522" s="3"/>
      <c r="H522" s="27"/>
      <c r="I522" s="60"/>
      <c r="J522" s="61"/>
      <c r="K522" s="30"/>
      <c r="L522" s="30"/>
      <c r="M522" s="30"/>
      <c r="N522" s="30"/>
      <c r="O522" s="31"/>
      <c r="P522" s="30"/>
      <c r="Q522" s="62"/>
      <c r="R522" s="62"/>
      <c r="S522" s="62"/>
      <c r="T522" s="62"/>
      <c r="U522" s="62"/>
      <c r="V522" s="63"/>
      <c r="W522" s="42"/>
      <c r="X522" s="63"/>
      <c r="Y522" s="65"/>
      <c r="Z522" s="42"/>
      <c r="AA522" s="42"/>
      <c r="AB522" s="42"/>
      <c r="AC522" s="42"/>
      <c r="AD522" s="65"/>
      <c r="AE522" s="42"/>
      <c r="AF522" s="42"/>
      <c r="AG522" s="42"/>
      <c r="AH522" s="42"/>
      <c r="AI522" s="65"/>
      <c r="AJ522" s="42"/>
      <c r="AK522" s="42"/>
      <c r="AL522" s="42"/>
      <c r="AM522" s="42"/>
      <c r="AN522" s="65"/>
      <c r="AO522" s="42"/>
      <c r="AP522" s="42"/>
      <c r="AQ522" s="42"/>
      <c r="AR522" s="42"/>
      <c r="AS522" s="65"/>
      <c r="AT522" s="42"/>
    </row>
    <row r="523" spans="1:46" x14ac:dyDescent="0.25">
      <c r="A523" s="3"/>
      <c r="B523" s="58"/>
      <c r="C523" s="59"/>
      <c r="D523" s="3"/>
      <c r="E523" s="3"/>
      <c r="F523" s="3"/>
      <c r="G523" s="3"/>
      <c r="H523" s="27"/>
      <c r="I523" s="60"/>
      <c r="J523" s="61"/>
      <c r="K523" s="30"/>
      <c r="L523" s="30"/>
      <c r="M523" s="30"/>
      <c r="N523" s="30"/>
      <c r="O523" s="31"/>
      <c r="P523" s="30"/>
      <c r="Q523" s="62"/>
      <c r="R523" s="62"/>
      <c r="S523" s="62"/>
      <c r="T523" s="62"/>
      <c r="U523" s="62"/>
      <c r="V523" s="63"/>
      <c r="W523" s="42"/>
      <c r="X523" s="63"/>
      <c r="Y523" s="65"/>
      <c r="Z523" s="42"/>
      <c r="AA523" s="42"/>
      <c r="AB523" s="42"/>
      <c r="AC523" s="42"/>
      <c r="AD523" s="65"/>
      <c r="AE523" s="42"/>
      <c r="AF523" s="42"/>
      <c r="AG523" s="42"/>
      <c r="AH523" s="42"/>
      <c r="AI523" s="65"/>
      <c r="AJ523" s="42"/>
      <c r="AK523" s="42"/>
      <c r="AL523" s="42"/>
      <c r="AM523" s="42"/>
      <c r="AN523" s="65"/>
      <c r="AO523" s="42"/>
      <c r="AP523" s="42"/>
      <c r="AQ523" s="42"/>
      <c r="AR523" s="42"/>
      <c r="AS523" s="65"/>
      <c r="AT523" s="42"/>
    </row>
    <row r="524" spans="1:46" x14ac:dyDescent="0.25">
      <c r="A524" s="3"/>
      <c r="B524" s="58"/>
      <c r="C524" s="59"/>
      <c r="D524" s="3"/>
      <c r="E524" s="3"/>
      <c r="F524" s="3"/>
      <c r="G524" s="3"/>
      <c r="H524" s="27"/>
      <c r="I524" s="60"/>
      <c r="J524" s="61"/>
      <c r="K524" s="30"/>
      <c r="L524" s="30"/>
      <c r="M524" s="30"/>
      <c r="N524" s="30"/>
      <c r="O524" s="31"/>
      <c r="P524" s="30"/>
      <c r="Q524" s="62"/>
      <c r="R524" s="62"/>
      <c r="S524" s="62"/>
      <c r="T524" s="62"/>
      <c r="U524" s="62"/>
      <c r="V524" s="63"/>
      <c r="W524" s="42"/>
      <c r="X524" s="63"/>
      <c r="Y524" s="65"/>
      <c r="Z524" s="42"/>
      <c r="AA524" s="42"/>
      <c r="AB524" s="42"/>
      <c r="AC524" s="42"/>
      <c r="AD524" s="65"/>
      <c r="AE524" s="42"/>
      <c r="AF524" s="42"/>
      <c r="AG524" s="42"/>
      <c r="AH524" s="42"/>
      <c r="AI524" s="65"/>
      <c r="AJ524" s="42"/>
      <c r="AK524" s="42"/>
      <c r="AL524" s="42"/>
      <c r="AM524" s="42"/>
      <c r="AN524" s="65"/>
      <c r="AO524" s="42"/>
      <c r="AP524" s="42"/>
      <c r="AQ524" s="42"/>
      <c r="AR524" s="42"/>
      <c r="AS524" s="65"/>
      <c r="AT524" s="42"/>
    </row>
    <row r="525" spans="1:46" x14ac:dyDescent="0.25">
      <c r="A525" s="3"/>
      <c r="B525" s="58"/>
      <c r="C525" s="59"/>
      <c r="D525" s="3"/>
      <c r="E525" s="3"/>
      <c r="F525" s="3"/>
      <c r="G525" s="3"/>
      <c r="H525" s="27"/>
      <c r="I525" s="60"/>
      <c r="J525" s="61"/>
      <c r="K525" s="30"/>
      <c r="L525" s="30"/>
      <c r="M525" s="30"/>
      <c r="N525" s="30"/>
      <c r="O525" s="31"/>
      <c r="P525" s="30"/>
      <c r="Q525" s="62"/>
      <c r="R525" s="62"/>
      <c r="S525" s="62"/>
      <c r="T525" s="62"/>
      <c r="U525" s="62"/>
      <c r="V525" s="63"/>
      <c r="W525" s="42"/>
      <c r="X525" s="63"/>
      <c r="Y525" s="65"/>
      <c r="Z525" s="42"/>
      <c r="AA525" s="42"/>
      <c r="AB525" s="42"/>
      <c r="AC525" s="42"/>
      <c r="AD525" s="65"/>
      <c r="AE525" s="42"/>
      <c r="AF525" s="42"/>
      <c r="AG525" s="42"/>
      <c r="AH525" s="42"/>
      <c r="AI525" s="65"/>
      <c r="AJ525" s="42"/>
      <c r="AK525" s="42"/>
      <c r="AL525" s="42"/>
      <c r="AM525" s="42"/>
      <c r="AN525" s="65"/>
      <c r="AO525" s="42"/>
      <c r="AP525" s="42"/>
      <c r="AQ525" s="42"/>
      <c r="AR525" s="42"/>
      <c r="AS525" s="65"/>
      <c r="AT525" s="42"/>
    </row>
    <row r="526" spans="1:46" x14ac:dyDescent="0.25">
      <c r="A526" s="3"/>
      <c r="B526" s="58"/>
      <c r="C526" s="59"/>
      <c r="D526" s="3"/>
      <c r="E526" s="3"/>
      <c r="F526" s="3"/>
      <c r="G526" s="3"/>
      <c r="H526" s="27"/>
      <c r="I526" s="60"/>
      <c r="J526" s="61"/>
      <c r="K526" s="30"/>
      <c r="L526" s="30"/>
      <c r="M526" s="30"/>
      <c r="N526" s="30"/>
      <c r="O526" s="31"/>
      <c r="P526" s="30"/>
      <c r="Q526" s="62"/>
      <c r="R526" s="62"/>
      <c r="S526" s="62"/>
      <c r="T526" s="62"/>
      <c r="U526" s="62"/>
      <c r="V526" s="63"/>
      <c r="W526" s="42"/>
      <c r="X526" s="63"/>
      <c r="Y526" s="65"/>
      <c r="Z526" s="42"/>
      <c r="AA526" s="42"/>
      <c r="AB526" s="42"/>
      <c r="AC526" s="42"/>
      <c r="AD526" s="65"/>
      <c r="AE526" s="42"/>
      <c r="AF526" s="42"/>
      <c r="AG526" s="42"/>
      <c r="AH526" s="42"/>
      <c r="AI526" s="65"/>
      <c r="AJ526" s="42"/>
      <c r="AK526" s="42"/>
      <c r="AL526" s="42"/>
      <c r="AM526" s="42"/>
      <c r="AN526" s="65"/>
      <c r="AO526" s="42"/>
      <c r="AP526" s="42"/>
      <c r="AQ526" s="42"/>
      <c r="AR526" s="42"/>
      <c r="AS526" s="65"/>
      <c r="AT526" s="42"/>
    </row>
    <row r="527" spans="1:46" x14ac:dyDescent="0.25">
      <c r="A527" s="3"/>
      <c r="B527" s="58"/>
      <c r="C527" s="59"/>
      <c r="D527" s="3"/>
      <c r="E527" s="3"/>
      <c r="F527" s="3"/>
      <c r="G527" s="3"/>
      <c r="H527" s="27"/>
      <c r="I527" s="60"/>
      <c r="J527" s="61"/>
      <c r="K527" s="30"/>
      <c r="L527" s="30"/>
      <c r="M527" s="30"/>
      <c r="N527" s="30"/>
      <c r="O527" s="31"/>
      <c r="P527" s="30"/>
      <c r="Q527" s="62"/>
      <c r="R527" s="62"/>
      <c r="S527" s="62"/>
      <c r="T527" s="62"/>
      <c r="U527" s="62"/>
      <c r="V527" s="63"/>
      <c r="W527" s="42"/>
      <c r="X527" s="63"/>
      <c r="Y527" s="65"/>
      <c r="Z527" s="42"/>
      <c r="AA527" s="42"/>
      <c r="AB527" s="42"/>
      <c r="AC527" s="42"/>
      <c r="AD527" s="65"/>
      <c r="AE527" s="42"/>
      <c r="AF527" s="42"/>
      <c r="AG527" s="42"/>
      <c r="AH527" s="42"/>
      <c r="AI527" s="65"/>
      <c r="AJ527" s="42"/>
      <c r="AK527" s="42"/>
      <c r="AL527" s="42"/>
      <c r="AM527" s="42"/>
      <c r="AN527" s="65"/>
      <c r="AO527" s="42"/>
      <c r="AP527" s="42"/>
      <c r="AQ527" s="42"/>
      <c r="AR527" s="42"/>
      <c r="AS527" s="65"/>
      <c r="AT527" s="42"/>
    </row>
    <row r="528" spans="1:46" x14ac:dyDescent="0.25">
      <c r="A528" s="3"/>
      <c r="B528" s="58"/>
      <c r="C528" s="59"/>
      <c r="D528" s="3"/>
      <c r="E528" s="3"/>
      <c r="F528" s="3"/>
      <c r="G528" s="3"/>
      <c r="H528" s="27"/>
      <c r="I528" s="60"/>
      <c r="J528" s="61"/>
      <c r="K528" s="30"/>
      <c r="L528" s="30"/>
      <c r="M528" s="30"/>
      <c r="N528" s="30"/>
      <c r="O528" s="31"/>
      <c r="P528" s="30"/>
      <c r="Q528" s="62"/>
      <c r="R528" s="62"/>
      <c r="S528" s="62"/>
      <c r="T528" s="62"/>
      <c r="U528" s="62"/>
      <c r="V528" s="63"/>
      <c r="W528" s="42"/>
      <c r="X528" s="63"/>
      <c r="Y528" s="65"/>
      <c r="Z528" s="42"/>
      <c r="AA528" s="42"/>
      <c r="AB528" s="42"/>
      <c r="AC528" s="42"/>
      <c r="AD528" s="65"/>
      <c r="AE528" s="42"/>
      <c r="AF528" s="42"/>
      <c r="AG528" s="42"/>
      <c r="AH528" s="42"/>
      <c r="AI528" s="65"/>
      <c r="AJ528" s="42"/>
      <c r="AK528" s="42"/>
      <c r="AL528" s="42"/>
      <c r="AM528" s="42"/>
      <c r="AN528" s="65"/>
      <c r="AO528" s="42"/>
      <c r="AP528" s="42"/>
      <c r="AQ528" s="42"/>
      <c r="AR528" s="42"/>
      <c r="AS528" s="65"/>
      <c r="AT528" s="42"/>
    </row>
    <row r="529" spans="1:46" x14ac:dyDescent="0.25">
      <c r="A529" s="3"/>
      <c r="B529" s="58"/>
      <c r="C529" s="59"/>
      <c r="D529" s="3"/>
      <c r="E529" s="3"/>
      <c r="F529" s="3"/>
      <c r="G529" s="3"/>
      <c r="H529" s="27"/>
      <c r="I529" s="60"/>
      <c r="J529" s="61"/>
      <c r="K529" s="30"/>
      <c r="L529" s="30"/>
      <c r="M529" s="30"/>
      <c r="N529" s="30"/>
      <c r="O529" s="31"/>
      <c r="P529" s="30"/>
      <c r="Q529" s="62"/>
      <c r="R529" s="62"/>
      <c r="S529" s="62"/>
      <c r="T529" s="62"/>
      <c r="U529" s="62"/>
      <c r="V529" s="63"/>
      <c r="W529" s="42"/>
      <c r="X529" s="63"/>
      <c r="Y529" s="65"/>
      <c r="Z529" s="42"/>
      <c r="AA529" s="42"/>
      <c r="AB529" s="42"/>
      <c r="AC529" s="42"/>
      <c r="AD529" s="65"/>
      <c r="AE529" s="42"/>
      <c r="AF529" s="42"/>
      <c r="AG529" s="42"/>
      <c r="AH529" s="42"/>
      <c r="AI529" s="65"/>
      <c r="AJ529" s="42"/>
      <c r="AK529" s="42"/>
      <c r="AL529" s="42"/>
      <c r="AM529" s="42"/>
      <c r="AN529" s="65"/>
      <c r="AO529" s="42"/>
      <c r="AP529" s="42"/>
      <c r="AQ529" s="42"/>
      <c r="AR529" s="42"/>
      <c r="AS529" s="65"/>
      <c r="AT529" s="42"/>
    </row>
    <row r="530" spans="1:46" x14ac:dyDescent="0.25">
      <c r="A530" s="3"/>
      <c r="B530" s="58"/>
      <c r="C530" s="59"/>
      <c r="D530" s="3"/>
      <c r="E530" s="3"/>
      <c r="F530" s="3"/>
      <c r="G530" s="3"/>
      <c r="H530" s="27"/>
      <c r="I530" s="60"/>
      <c r="J530" s="61"/>
      <c r="K530" s="30"/>
      <c r="L530" s="30"/>
      <c r="M530" s="30"/>
      <c r="N530" s="30"/>
      <c r="O530" s="31"/>
      <c r="P530" s="30"/>
      <c r="Q530" s="62"/>
      <c r="R530" s="62"/>
      <c r="S530" s="62"/>
      <c r="T530" s="62"/>
      <c r="U530" s="62"/>
      <c r="V530" s="63"/>
      <c r="W530" s="42"/>
      <c r="X530" s="63"/>
      <c r="Y530" s="65"/>
      <c r="Z530" s="42"/>
      <c r="AA530" s="42"/>
      <c r="AB530" s="42"/>
      <c r="AC530" s="42"/>
      <c r="AD530" s="65"/>
      <c r="AE530" s="42"/>
      <c r="AF530" s="42"/>
      <c r="AG530" s="42"/>
      <c r="AH530" s="42"/>
      <c r="AI530" s="65"/>
      <c r="AJ530" s="42"/>
      <c r="AK530" s="42"/>
      <c r="AL530" s="42"/>
      <c r="AM530" s="42"/>
      <c r="AN530" s="65"/>
      <c r="AO530" s="42"/>
      <c r="AP530" s="42"/>
      <c r="AQ530" s="42"/>
      <c r="AR530" s="42"/>
      <c r="AS530" s="65"/>
      <c r="AT530" s="42"/>
    </row>
    <row r="531" spans="1:46" x14ac:dyDescent="0.25">
      <c r="A531" s="3"/>
      <c r="B531" s="58"/>
      <c r="C531" s="59"/>
      <c r="D531" s="3"/>
      <c r="E531" s="3"/>
      <c r="F531" s="3"/>
      <c r="G531" s="3"/>
      <c r="H531" s="27"/>
      <c r="I531" s="60"/>
      <c r="J531" s="61"/>
      <c r="K531" s="30"/>
      <c r="L531" s="30"/>
      <c r="M531" s="30"/>
      <c r="N531" s="30"/>
      <c r="O531" s="31"/>
      <c r="P531" s="30"/>
      <c r="Q531" s="62"/>
      <c r="R531" s="62"/>
      <c r="S531" s="62"/>
      <c r="T531" s="62"/>
      <c r="U531" s="62"/>
      <c r="V531" s="63"/>
      <c r="W531" s="42"/>
      <c r="X531" s="63"/>
      <c r="Y531" s="65"/>
      <c r="Z531" s="42"/>
      <c r="AA531" s="42"/>
      <c r="AB531" s="42"/>
      <c r="AC531" s="42"/>
      <c r="AD531" s="65"/>
      <c r="AE531" s="42"/>
      <c r="AF531" s="42"/>
      <c r="AG531" s="42"/>
      <c r="AH531" s="42"/>
      <c r="AI531" s="65"/>
      <c r="AJ531" s="42"/>
      <c r="AK531" s="42"/>
      <c r="AL531" s="42"/>
      <c r="AM531" s="42"/>
      <c r="AN531" s="65"/>
      <c r="AO531" s="42"/>
      <c r="AP531" s="42"/>
      <c r="AQ531" s="42"/>
      <c r="AR531" s="42"/>
      <c r="AS531" s="65"/>
      <c r="AT531" s="42"/>
    </row>
    <row r="532" spans="1:46" x14ac:dyDescent="0.25">
      <c r="A532" s="3"/>
      <c r="B532" s="58"/>
      <c r="C532" s="59"/>
      <c r="D532" s="3"/>
      <c r="E532" s="3"/>
      <c r="F532" s="3"/>
      <c r="G532" s="3"/>
      <c r="H532" s="27"/>
      <c r="I532" s="60"/>
      <c r="J532" s="61"/>
      <c r="K532" s="30"/>
      <c r="L532" s="30"/>
      <c r="M532" s="30"/>
      <c r="N532" s="30"/>
      <c r="O532" s="31"/>
      <c r="P532" s="30"/>
      <c r="Q532" s="62"/>
      <c r="R532" s="62"/>
      <c r="S532" s="62"/>
      <c r="T532" s="62"/>
      <c r="U532" s="62"/>
      <c r="V532" s="63"/>
      <c r="W532" s="42"/>
      <c r="X532" s="63"/>
      <c r="Y532" s="65"/>
      <c r="Z532" s="42"/>
      <c r="AA532" s="42"/>
      <c r="AB532" s="42"/>
      <c r="AC532" s="42"/>
      <c r="AD532" s="65"/>
      <c r="AE532" s="42"/>
      <c r="AF532" s="42"/>
      <c r="AG532" s="42"/>
      <c r="AH532" s="42"/>
      <c r="AI532" s="65"/>
      <c r="AJ532" s="42"/>
      <c r="AK532" s="42"/>
      <c r="AL532" s="42"/>
      <c r="AM532" s="42"/>
      <c r="AN532" s="65"/>
      <c r="AO532" s="42"/>
      <c r="AP532" s="42"/>
      <c r="AQ532" s="42"/>
      <c r="AR532" s="42"/>
      <c r="AS532" s="65"/>
      <c r="AT532" s="42"/>
    </row>
    <row r="533" spans="1:46" x14ac:dyDescent="0.25">
      <c r="A533" s="3"/>
      <c r="B533" s="58"/>
      <c r="C533" s="59"/>
      <c r="D533" s="3"/>
      <c r="E533" s="3"/>
      <c r="F533" s="3"/>
      <c r="G533" s="3"/>
      <c r="H533" s="27"/>
      <c r="I533" s="60"/>
      <c r="J533" s="61"/>
      <c r="K533" s="30"/>
      <c r="L533" s="30"/>
      <c r="M533" s="30"/>
      <c r="N533" s="30"/>
      <c r="O533" s="31"/>
      <c r="P533" s="30"/>
      <c r="Q533" s="62"/>
      <c r="R533" s="62"/>
      <c r="S533" s="62"/>
      <c r="T533" s="62"/>
      <c r="U533" s="62"/>
      <c r="V533" s="63"/>
      <c r="W533" s="42"/>
      <c r="X533" s="63"/>
      <c r="Y533" s="65"/>
      <c r="Z533" s="42"/>
      <c r="AA533" s="42"/>
      <c r="AB533" s="42"/>
      <c r="AC533" s="42"/>
      <c r="AD533" s="65"/>
      <c r="AE533" s="42"/>
      <c r="AF533" s="42"/>
      <c r="AG533" s="42"/>
      <c r="AH533" s="42"/>
      <c r="AI533" s="65"/>
      <c r="AJ533" s="42"/>
      <c r="AK533" s="42"/>
      <c r="AL533" s="42"/>
      <c r="AM533" s="42"/>
      <c r="AN533" s="65"/>
      <c r="AO533" s="42"/>
      <c r="AP533" s="42"/>
      <c r="AQ533" s="42"/>
      <c r="AR533" s="42"/>
      <c r="AS533" s="65"/>
      <c r="AT533" s="42"/>
    </row>
    <row r="534" spans="1:46" x14ac:dyDescent="0.25">
      <c r="A534" s="3"/>
      <c r="B534" s="58"/>
      <c r="C534" s="59"/>
      <c r="D534" s="3"/>
      <c r="E534" s="3"/>
      <c r="F534" s="3"/>
      <c r="G534" s="3"/>
      <c r="H534" s="27"/>
      <c r="I534" s="60"/>
      <c r="J534" s="61"/>
      <c r="K534" s="30"/>
      <c r="L534" s="30"/>
      <c r="M534" s="30"/>
      <c r="N534" s="30"/>
      <c r="O534" s="31"/>
      <c r="P534" s="30"/>
      <c r="Q534" s="62"/>
      <c r="R534" s="62"/>
      <c r="S534" s="62"/>
      <c r="T534" s="62"/>
      <c r="U534" s="62"/>
      <c r="V534" s="63"/>
      <c r="W534" s="42"/>
      <c r="X534" s="63"/>
      <c r="Y534" s="65"/>
      <c r="Z534" s="42"/>
      <c r="AA534" s="42"/>
      <c r="AB534" s="42"/>
      <c r="AC534" s="42"/>
      <c r="AD534" s="65"/>
      <c r="AE534" s="42"/>
      <c r="AF534" s="42"/>
      <c r="AG534" s="42"/>
      <c r="AH534" s="42"/>
      <c r="AI534" s="65"/>
      <c r="AJ534" s="42"/>
      <c r="AK534" s="42"/>
      <c r="AL534" s="42"/>
      <c r="AM534" s="42"/>
      <c r="AN534" s="65"/>
      <c r="AO534" s="42"/>
      <c r="AP534" s="42"/>
      <c r="AQ534" s="42"/>
      <c r="AR534" s="42"/>
      <c r="AS534" s="65"/>
      <c r="AT534" s="42"/>
    </row>
    <row r="535" spans="1:46" x14ac:dyDescent="0.25">
      <c r="A535" s="3"/>
      <c r="B535" s="58"/>
      <c r="C535" s="59"/>
      <c r="D535" s="3"/>
      <c r="E535" s="3"/>
      <c r="F535" s="3"/>
      <c r="G535" s="3"/>
      <c r="H535" s="27"/>
      <c r="I535" s="60"/>
      <c r="J535" s="61"/>
      <c r="K535" s="30"/>
      <c r="L535" s="30"/>
      <c r="M535" s="30"/>
      <c r="N535" s="30"/>
      <c r="O535" s="31"/>
      <c r="P535" s="30"/>
      <c r="Q535" s="62"/>
      <c r="R535" s="62"/>
      <c r="S535" s="62"/>
      <c r="T535" s="62"/>
      <c r="U535" s="62"/>
      <c r="V535" s="63"/>
      <c r="W535" s="42"/>
      <c r="X535" s="63"/>
      <c r="Y535" s="65"/>
      <c r="Z535" s="42"/>
      <c r="AA535" s="42"/>
      <c r="AB535" s="42"/>
      <c r="AC535" s="42"/>
      <c r="AD535" s="65"/>
      <c r="AE535" s="42"/>
      <c r="AF535" s="42"/>
      <c r="AG535" s="42"/>
      <c r="AH535" s="42"/>
      <c r="AI535" s="65"/>
      <c r="AJ535" s="42"/>
      <c r="AK535" s="42"/>
      <c r="AL535" s="42"/>
      <c r="AM535" s="42"/>
      <c r="AN535" s="65"/>
      <c r="AO535" s="42"/>
      <c r="AP535" s="42"/>
      <c r="AQ535" s="42"/>
      <c r="AR535" s="42"/>
      <c r="AS535" s="65"/>
      <c r="AT535" s="42"/>
    </row>
    <row r="536" spans="1:46" x14ac:dyDescent="0.25">
      <c r="A536" s="3"/>
      <c r="B536" s="58"/>
      <c r="C536" s="59"/>
      <c r="D536" s="3"/>
      <c r="E536" s="3"/>
      <c r="F536" s="3"/>
      <c r="G536" s="3"/>
      <c r="H536" s="27"/>
      <c r="I536" s="60"/>
      <c r="J536" s="61"/>
      <c r="K536" s="30"/>
      <c r="L536" s="30"/>
      <c r="M536" s="30"/>
      <c r="N536" s="30"/>
      <c r="O536" s="31"/>
      <c r="P536" s="30"/>
      <c r="Q536" s="62"/>
      <c r="R536" s="62"/>
      <c r="S536" s="62"/>
      <c r="T536" s="62"/>
      <c r="U536" s="62"/>
      <c r="V536" s="63"/>
      <c r="W536" s="42"/>
      <c r="X536" s="63"/>
      <c r="Y536" s="65"/>
      <c r="Z536" s="42"/>
      <c r="AA536" s="42"/>
      <c r="AB536" s="42"/>
      <c r="AC536" s="42"/>
      <c r="AD536" s="65"/>
      <c r="AE536" s="42"/>
      <c r="AF536" s="42"/>
      <c r="AG536" s="42"/>
      <c r="AH536" s="42"/>
      <c r="AI536" s="65"/>
      <c r="AJ536" s="42"/>
      <c r="AK536" s="42"/>
      <c r="AL536" s="42"/>
      <c r="AM536" s="42"/>
      <c r="AN536" s="65"/>
      <c r="AO536" s="42"/>
      <c r="AP536" s="42"/>
      <c r="AQ536" s="42"/>
      <c r="AR536" s="42"/>
      <c r="AS536" s="65"/>
      <c r="AT536" s="42"/>
    </row>
    <row r="537" spans="1:46" x14ac:dyDescent="0.25">
      <c r="A537" s="3"/>
      <c r="B537" s="58"/>
      <c r="C537" s="59"/>
      <c r="D537" s="3"/>
      <c r="E537" s="3"/>
      <c r="F537" s="3"/>
      <c r="G537" s="3"/>
      <c r="H537" s="27"/>
      <c r="I537" s="60"/>
      <c r="J537" s="61"/>
      <c r="K537" s="30"/>
      <c r="L537" s="30"/>
      <c r="M537" s="30"/>
      <c r="N537" s="30"/>
      <c r="O537" s="31"/>
      <c r="P537" s="30"/>
      <c r="Q537" s="62"/>
      <c r="R537" s="62"/>
      <c r="S537" s="62"/>
      <c r="T537" s="62"/>
      <c r="U537" s="62"/>
      <c r="V537" s="63"/>
      <c r="W537" s="42"/>
      <c r="X537" s="63"/>
      <c r="Y537" s="65"/>
      <c r="Z537" s="42"/>
      <c r="AA537" s="42"/>
      <c r="AB537" s="42"/>
      <c r="AC537" s="42"/>
      <c r="AD537" s="65"/>
      <c r="AE537" s="42"/>
      <c r="AF537" s="42"/>
      <c r="AG537" s="42"/>
      <c r="AH537" s="42"/>
      <c r="AI537" s="65"/>
      <c r="AJ537" s="42"/>
      <c r="AK537" s="42"/>
      <c r="AL537" s="42"/>
      <c r="AM537" s="42"/>
      <c r="AN537" s="65"/>
      <c r="AO537" s="42"/>
      <c r="AP537" s="42"/>
      <c r="AQ537" s="42"/>
      <c r="AR537" s="42"/>
      <c r="AS537" s="65"/>
      <c r="AT537" s="42"/>
    </row>
    <row r="538" spans="1:46" x14ac:dyDescent="0.25">
      <c r="A538" s="3"/>
      <c r="B538" s="58"/>
      <c r="C538" s="59"/>
      <c r="D538" s="3"/>
      <c r="E538" s="3"/>
      <c r="F538" s="3"/>
      <c r="G538" s="3"/>
      <c r="H538" s="27"/>
      <c r="I538" s="60"/>
      <c r="J538" s="61"/>
      <c r="K538" s="30"/>
      <c r="L538" s="30"/>
      <c r="M538" s="30"/>
      <c r="N538" s="30"/>
      <c r="O538" s="31"/>
      <c r="P538" s="30"/>
      <c r="Q538" s="62"/>
      <c r="R538" s="62"/>
      <c r="S538" s="62"/>
      <c r="T538" s="62"/>
      <c r="U538" s="62"/>
      <c r="V538" s="63"/>
      <c r="W538" s="42"/>
      <c r="X538" s="63"/>
      <c r="Y538" s="65"/>
      <c r="Z538" s="42"/>
      <c r="AA538" s="42"/>
      <c r="AB538" s="42"/>
      <c r="AC538" s="42"/>
      <c r="AD538" s="65"/>
      <c r="AE538" s="42"/>
      <c r="AF538" s="42"/>
      <c r="AG538" s="42"/>
      <c r="AH538" s="42"/>
      <c r="AI538" s="65"/>
      <c r="AJ538" s="42"/>
      <c r="AK538" s="42"/>
      <c r="AL538" s="42"/>
      <c r="AM538" s="42"/>
      <c r="AN538" s="65"/>
      <c r="AO538" s="42"/>
      <c r="AP538" s="42"/>
      <c r="AQ538" s="42"/>
      <c r="AR538" s="42"/>
      <c r="AS538" s="65"/>
      <c r="AT538" s="42"/>
    </row>
    <row r="539" spans="1:46" x14ac:dyDescent="0.25">
      <c r="A539" s="3"/>
      <c r="B539" s="58"/>
      <c r="C539" s="59"/>
      <c r="D539" s="3"/>
      <c r="E539" s="3"/>
      <c r="F539" s="3"/>
      <c r="G539" s="3"/>
      <c r="H539" s="27"/>
      <c r="I539" s="60"/>
      <c r="J539" s="61"/>
      <c r="K539" s="30"/>
      <c r="L539" s="30"/>
      <c r="M539" s="30"/>
      <c r="N539" s="30"/>
      <c r="O539" s="31"/>
      <c r="P539" s="30"/>
      <c r="Q539" s="62"/>
      <c r="R539" s="62"/>
      <c r="S539" s="62"/>
      <c r="T539" s="62"/>
      <c r="U539" s="62"/>
      <c r="V539" s="63"/>
      <c r="W539" s="42"/>
      <c r="X539" s="63"/>
      <c r="Y539" s="65"/>
      <c r="Z539" s="42"/>
      <c r="AA539" s="42"/>
      <c r="AB539" s="42"/>
      <c r="AC539" s="42"/>
      <c r="AD539" s="65"/>
      <c r="AE539" s="42"/>
      <c r="AF539" s="42"/>
      <c r="AG539" s="42"/>
      <c r="AH539" s="42"/>
      <c r="AI539" s="65"/>
      <c r="AJ539" s="42"/>
      <c r="AK539" s="42"/>
      <c r="AL539" s="42"/>
      <c r="AM539" s="42"/>
      <c r="AN539" s="65"/>
      <c r="AO539" s="42"/>
      <c r="AP539" s="42"/>
      <c r="AQ539" s="42"/>
      <c r="AR539" s="42"/>
      <c r="AS539" s="65"/>
      <c r="AT539" s="42"/>
    </row>
    <row r="540" spans="1:46" x14ac:dyDescent="0.25">
      <c r="A540" s="3"/>
      <c r="B540" s="58"/>
      <c r="C540" s="59"/>
      <c r="D540" s="3"/>
      <c r="E540" s="3"/>
      <c r="F540" s="3"/>
      <c r="G540" s="3"/>
      <c r="H540" s="27"/>
      <c r="I540" s="60"/>
      <c r="J540" s="61"/>
      <c r="K540" s="30"/>
      <c r="L540" s="30"/>
      <c r="M540" s="30"/>
      <c r="N540" s="30"/>
      <c r="O540" s="31"/>
      <c r="P540" s="30"/>
      <c r="Q540" s="62"/>
      <c r="R540" s="62"/>
      <c r="S540" s="62"/>
      <c r="T540" s="62"/>
      <c r="U540" s="62"/>
      <c r="V540" s="63"/>
      <c r="W540" s="42"/>
      <c r="X540" s="63"/>
      <c r="Y540" s="65"/>
      <c r="Z540" s="42"/>
      <c r="AA540" s="42"/>
      <c r="AB540" s="42"/>
      <c r="AC540" s="42"/>
      <c r="AD540" s="65"/>
      <c r="AE540" s="42"/>
      <c r="AF540" s="42"/>
      <c r="AG540" s="42"/>
      <c r="AH540" s="42"/>
      <c r="AI540" s="65"/>
      <c r="AJ540" s="42"/>
      <c r="AK540" s="42"/>
      <c r="AL540" s="42"/>
      <c r="AM540" s="42"/>
      <c r="AN540" s="65"/>
      <c r="AO540" s="42"/>
      <c r="AP540" s="42"/>
      <c r="AQ540" s="42"/>
      <c r="AR540" s="42"/>
      <c r="AS540" s="65"/>
      <c r="AT540" s="42"/>
    </row>
    <row r="541" spans="1:46" x14ac:dyDescent="0.25">
      <c r="A541" s="3"/>
      <c r="B541" s="58"/>
      <c r="C541" s="59"/>
      <c r="D541" s="3"/>
      <c r="E541" s="3"/>
      <c r="F541" s="3"/>
      <c r="G541" s="3"/>
      <c r="H541" s="27"/>
      <c r="I541" s="60"/>
      <c r="J541" s="61"/>
      <c r="K541" s="30"/>
      <c r="L541" s="30"/>
      <c r="M541" s="30"/>
      <c r="N541" s="30"/>
      <c r="O541" s="31"/>
      <c r="P541" s="30"/>
      <c r="Q541" s="62"/>
      <c r="R541" s="62"/>
      <c r="S541" s="62"/>
      <c r="T541" s="62"/>
      <c r="U541" s="62"/>
      <c r="V541" s="63"/>
      <c r="W541" s="42"/>
      <c r="X541" s="63"/>
      <c r="Y541" s="65"/>
      <c r="Z541" s="42"/>
      <c r="AA541" s="42"/>
      <c r="AB541" s="42"/>
      <c r="AC541" s="42"/>
      <c r="AD541" s="65"/>
      <c r="AE541" s="42"/>
      <c r="AF541" s="42"/>
      <c r="AG541" s="42"/>
      <c r="AH541" s="42"/>
      <c r="AI541" s="65"/>
      <c r="AJ541" s="42"/>
      <c r="AK541" s="42"/>
      <c r="AL541" s="42"/>
      <c r="AM541" s="42"/>
      <c r="AN541" s="65"/>
      <c r="AO541" s="42"/>
      <c r="AP541" s="42"/>
      <c r="AQ541" s="42"/>
      <c r="AR541" s="42"/>
      <c r="AS541" s="65"/>
      <c r="AT541" s="42"/>
    </row>
    <row r="542" spans="1:46" x14ac:dyDescent="0.25">
      <c r="A542" s="3"/>
      <c r="B542" s="58"/>
      <c r="C542" s="59"/>
      <c r="D542" s="3"/>
      <c r="E542" s="3"/>
      <c r="F542" s="3"/>
      <c r="G542" s="3"/>
      <c r="H542" s="27"/>
      <c r="I542" s="60"/>
      <c r="J542" s="61"/>
      <c r="K542" s="30"/>
      <c r="L542" s="30"/>
      <c r="M542" s="30"/>
      <c r="N542" s="30"/>
      <c r="O542" s="31"/>
      <c r="P542" s="30"/>
      <c r="Q542" s="62"/>
      <c r="R542" s="62"/>
      <c r="S542" s="62"/>
      <c r="T542" s="62"/>
      <c r="U542" s="62"/>
      <c r="V542" s="63"/>
      <c r="W542" s="42"/>
      <c r="X542" s="63"/>
      <c r="Y542" s="65"/>
      <c r="Z542" s="42"/>
      <c r="AA542" s="42"/>
      <c r="AB542" s="42"/>
      <c r="AC542" s="42"/>
      <c r="AD542" s="65"/>
      <c r="AE542" s="42"/>
      <c r="AF542" s="42"/>
      <c r="AG542" s="42"/>
      <c r="AH542" s="42"/>
      <c r="AI542" s="65"/>
      <c r="AJ542" s="42"/>
      <c r="AK542" s="42"/>
      <c r="AL542" s="42"/>
      <c r="AM542" s="42"/>
      <c r="AN542" s="65"/>
      <c r="AO542" s="42"/>
      <c r="AP542" s="42"/>
      <c r="AQ542" s="42"/>
      <c r="AR542" s="42"/>
      <c r="AS542" s="65"/>
      <c r="AT542" s="42"/>
    </row>
    <row r="543" spans="1:46" x14ac:dyDescent="0.25">
      <c r="A543" s="3"/>
      <c r="B543" s="58"/>
      <c r="C543" s="59"/>
      <c r="D543" s="3"/>
      <c r="E543" s="3"/>
      <c r="F543" s="3"/>
      <c r="G543" s="3"/>
      <c r="H543" s="27"/>
      <c r="I543" s="60"/>
      <c r="J543" s="61"/>
      <c r="K543" s="30"/>
      <c r="L543" s="30"/>
      <c r="M543" s="30"/>
      <c r="N543" s="30"/>
      <c r="O543" s="31"/>
      <c r="P543" s="30"/>
      <c r="Q543" s="62"/>
      <c r="R543" s="62"/>
      <c r="S543" s="62"/>
      <c r="T543" s="62"/>
      <c r="U543" s="62"/>
      <c r="V543" s="63"/>
      <c r="W543" s="42"/>
      <c r="X543" s="63"/>
      <c r="Y543" s="65"/>
      <c r="Z543" s="42"/>
      <c r="AA543" s="42"/>
      <c r="AB543" s="42"/>
      <c r="AC543" s="42"/>
      <c r="AD543" s="65"/>
      <c r="AE543" s="42"/>
      <c r="AF543" s="42"/>
      <c r="AG543" s="42"/>
      <c r="AH543" s="42"/>
      <c r="AI543" s="65"/>
      <c r="AJ543" s="42"/>
      <c r="AK543" s="42"/>
      <c r="AL543" s="42"/>
      <c r="AM543" s="42"/>
      <c r="AN543" s="65"/>
      <c r="AO543" s="42"/>
      <c r="AP543" s="42"/>
      <c r="AQ543" s="42"/>
      <c r="AR543" s="42"/>
      <c r="AS543" s="65"/>
      <c r="AT543" s="42"/>
    </row>
    <row r="544" spans="1:46" x14ac:dyDescent="0.25">
      <c r="A544" s="3"/>
      <c r="B544" s="58"/>
      <c r="C544" s="59"/>
      <c r="D544" s="3"/>
      <c r="E544" s="3"/>
      <c r="F544" s="3"/>
      <c r="G544" s="3"/>
      <c r="H544" s="27"/>
      <c r="I544" s="60"/>
      <c r="J544" s="61"/>
      <c r="K544" s="30"/>
      <c r="L544" s="30"/>
      <c r="M544" s="30"/>
      <c r="N544" s="30"/>
      <c r="O544" s="31"/>
      <c r="P544" s="30"/>
      <c r="Q544" s="62"/>
      <c r="R544" s="62"/>
      <c r="S544" s="62"/>
      <c r="T544" s="62"/>
      <c r="U544" s="62"/>
      <c r="V544" s="63"/>
      <c r="W544" s="42"/>
      <c r="X544" s="63"/>
      <c r="Y544" s="65"/>
      <c r="Z544" s="42"/>
      <c r="AA544" s="42"/>
      <c r="AB544" s="42"/>
      <c r="AC544" s="42"/>
      <c r="AD544" s="65"/>
      <c r="AE544" s="42"/>
      <c r="AF544" s="42"/>
      <c r="AG544" s="42"/>
      <c r="AH544" s="42"/>
      <c r="AI544" s="65"/>
      <c r="AJ544" s="42"/>
      <c r="AK544" s="42"/>
      <c r="AL544" s="42"/>
      <c r="AM544" s="42"/>
      <c r="AN544" s="65"/>
      <c r="AO544" s="42"/>
      <c r="AP544" s="42"/>
      <c r="AQ544" s="42"/>
      <c r="AR544" s="42"/>
      <c r="AS544" s="65"/>
      <c r="AT544" s="42"/>
    </row>
    <row r="545" spans="1:46" x14ac:dyDescent="0.25">
      <c r="A545" s="3"/>
      <c r="B545" s="58"/>
      <c r="C545" s="59"/>
      <c r="D545" s="3"/>
      <c r="E545" s="3"/>
      <c r="F545" s="3"/>
      <c r="G545" s="3"/>
      <c r="H545" s="27"/>
      <c r="I545" s="60"/>
      <c r="J545" s="61"/>
      <c r="K545" s="30"/>
      <c r="L545" s="30"/>
      <c r="M545" s="30"/>
      <c r="N545" s="30"/>
      <c r="O545" s="31"/>
      <c r="P545" s="30"/>
      <c r="Q545" s="62"/>
      <c r="R545" s="62"/>
      <c r="S545" s="62"/>
      <c r="T545" s="62"/>
      <c r="U545" s="62"/>
      <c r="V545" s="63"/>
      <c r="W545" s="42"/>
      <c r="X545" s="63"/>
      <c r="Y545" s="65"/>
      <c r="Z545" s="42"/>
      <c r="AA545" s="42"/>
      <c r="AB545" s="42"/>
      <c r="AC545" s="42"/>
      <c r="AD545" s="65"/>
      <c r="AE545" s="42"/>
      <c r="AF545" s="42"/>
      <c r="AG545" s="42"/>
      <c r="AH545" s="42"/>
      <c r="AI545" s="65"/>
      <c r="AJ545" s="42"/>
      <c r="AK545" s="42"/>
      <c r="AL545" s="42"/>
      <c r="AM545" s="42"/>
      <c r="AN545" s="65"/>
      <c r="AO545" s="42"/>
      <c r="AP545" s="42"/>
      <c r="AQ545" s="42"/>
      <c r="AR545" s="42"/>
      <c r="AS545" s="65"/>
      <c r="AT545" s="42"/>
    </row>
    <row r="546" spans="1:46" x14ac:dyDescent="0.25">
      <c r="A546" s="3"/>
      <c r="B546" s="58"/>
      <c r="C546" s="59"/>
      <c r="D546" s="3"/>
      <c r="E546" s="3"/>
      <c r="F546" s="3"/>
      <c r="G546" s="3"/>
      <c r="H546" s="27"/>
      <c r="I546" s="60"/>
      <c r="J546" s="61"/>
      <c r="K546" s="30"/>
      <c r="L546" s="30"/>
      <c r="M546" s="30"/>
      <c r="N546" s="30"/>
      <c r="O546" s="31"/>
      <c r="P546" s="30"/>
      <c r="Q546" s="62"/>
      <c r="R546" s="62"/>
      <c r="S546" s="62"/>
      <c r="T546" s="62"/>
      <c r="U546" s="62"/>
      <c r="V546" s="63"/>
      <c r="W546" s="42"/>
      <c r="X546" s="63"/>
      <c r="Y546" s="65"/>
      <c r="Z546" s="42"/>
      <c r="AA546" s="42"/>
      <c r="AB546" s="42"/>
      <c r="AC546" s="42"/>
      <c r="AD546" s="65"/>
      <c r="AE546" s="42"/>
      <c r="AF546" s="42"/>
      <c r="AG546" s="42"/>
      <c r="AH546" s="42"/>
      <c r="AI546" s="65"/>
      <c r="AJ546" s="42"/>
      <c r="AK546" s="42"/>
      <c r="AL546" s="42"/>
      <c r="AM546" s="42"/>
      <c r="AN546" s="65"/>
      <c r="AO546" s="42"/>
      <c r="AP546" s="42"/>
      <c r="AQ546" s="42"/>
      <c r="AR546" s="42"/>
      <c r="AS546" s="65"/>
      <c r="AT546" s="42"/>
    </row>
    <row r="547" spans="1:46" x14ac:dyDescent="0.25">
      <c r="A547" s="3"/>
      <c r="B547" s="58"/>
      <c r="C547" s="59"/>
      <c r="D547" s="3"/>
      <c r="E547" s="3"/>
      <c r="F547" s="3"/>
      <c r="G547" s="3"/>
      <c r="H547" s="27"/>
      <c r="I547" s="60"/>
      <c r="J547" s="61"/>
      <c r="K547" s="30"/>
      <c r="L547" s="30"/>
      <c r="M547" s="30"/>
      <c r="N547" s="30"/>
      <c r="O547" s="31"/>
      <c r="P547" s="30"/>
      <c r="Q547" s="62"/>
      <c r="R547" s="62"/>
      <c r="S547" s="62"/>
      <c r="T547" s="62"/>
      <c r="U547" s="62"/>
      <c r="V547" s="63"/>
      <c r="W547" s="42"/>
      <c r="X547" s="63"/>
      <c r="Y547" s="65"/>
      <c r="Z547" s="42"/>
      <c r="AA547" s="42"/>
      <c r="AB547" s="42"/>
      <c r="AC547" s="42"/>
      <c r="AD547" s="65"/>
      <c r="AE547" s="42"/>
      <c r="AF547" s="42"/>
      <c r="AG547" s="42"/>
      <c r="AH547" s="42"/>
      <c r="AI547" s="65"/>
      <c r="AJ547" s="42"/>
      <c r="AK547" s="42"/>
      <c r="AL547" s="42"/>
      <c r="AM547" s="42"/>
      <c r="AN547" s="65"/>
      <c r="AO547" s="42"/>
      <c r="AP547" s="42"/>
      <c r="AQ547" s="42"/>
      <c r="AR547" s="42"/>
      <c r="AS547" s="65"/>
      <c r="AT547" s="42"/>
    </row>
    <row r="548" spans="1:46" x14ac:dyDescent="0.25">
      <c r="A548" s="3"/>
      <c r="B548" s="58"/>
      <c r="C548" s="59"/>
      <c r="D548" s="3"/>
      <c r="E548" s="3"/>
      <c r="F548" s="3"/>
      <c r="G548" s="3"/>
      <c r="H548" s="27"/>
      <c r="I548" s="60"/>
      <c r="J548" s="61"/>
      <c r="K548" s="30"/>
      <c r="L548" s="30"/>
      <c r="M548" s="30"/>
      <c r="N548" s="30"/>
      <c r="O548" s="31"/>
      <c r="P548" s="30"/>
      <c r="Q548" s="62"/>
      <c r="R548" s="62"/>
      <c r="S548" s="62"/>
      <c r="T548" s="62"/>
      <c r="U548" s="62"/>
      <c r="V548" s="63"/>
      <c r="W548" s="42"/>
      <c r="X548" s="63"/>
      <c r="Y548" s="65"/>
      <c r="Z548" s="42"/>
      <c r="AA548" s="42"/>
      <c r="AB548" s="42"/>
      <c r="AC548" s="42"/>
      <c r="AD548" s="65"/>
      <c r="AE548" s="42"/>
      <c r="AF548" s="42"/>
      <c r="AG548" s="42"/>
      <c r="AH548" s="42"/>
      <c r="AI548" s="65"/>
      <c r="AJ548" s="42"/>
      <c r="AK548" s="42"/>
      <c r="AL548" s="42"/>
      <c r="AM548" s="42"/>
      <c r="AN548" s="65"/>
      <c r="AO548" s="42"/>
      <c r="AP548" s="42"/>
      <c r="AQ548" s="42"/>
      <c r="AR548" s="42"/>
      <c r="AS548" s="65"/>
      <c r="AT548" s="42"/>
    </row>
    <row r="549" spans="1:46" x14ac:dyDescent="0.25">
      <c r="A549" s="3"/>
      <c r="B549" s="58"/>
      <c r="C549" s="59"/>
      <c r="D549" s="3"/>
      <c r="E549" s="3"/>
      <c r="F549" s="3"/>
      <c r="G549" s="3"/>
      <c r="H549" s="27"/>
      <c r="I549" s="60"/>
      <c r="J549" s="61"/>
      <c r="K549" s="30"/>
      <c r="L549" s="30"/>
      <c r="M549" s="30"/>
      <c r="N549" s="30"/>
      <c r="O549" s="31"/>
      <c r="P549" s="30"/>
      <c r="Q549" s="62"/>
      <c r="R549" s="62"/>
      <c r="S549" s="62"/>
      <c r="T549" s="62"/>
      <c r="U549" s="62"/>
      <c r="V549" s="63"/>
      <c r="W549" s="42"/>
      <c r="X549" s="63"/>
      <c r="Y549" s="65"/>
      <c r="Z549" s="42"/>
      <c r="AA549" s="42"/>
      <c r="AB549" s="42"/>
      <c r="AC549" s="42"/>
      <c r="AD549" s="65"/>
      <c r="AE549" s="42"/>
      <c r="AF549" s="42"/>
      <c r="AG549" s="42"/>
      <c r="AH549" s="42"/>
      <c r="AI549" s="65"/>
      <c r="AJ549" s="42"/>
      <c r="AK549" s="42"/>
      <c r="AL549" s="42"/>
      <c r="AM549" s="42"/>
      <c r="AN549" s="65"/>
      <c r="AO549" s="42"/>
      <c r="AP549" s="42"/>
      <c r="AQ549" s="42"/>
      <c r="AR549" s="42"/>
      <c r="AS549" s="65"/>
      <c r="AT549" s="42"/>
    </row>
    <row r="550" spans="1:46" x14ac:dyDescent="0.25">
      <c r="A550" s="3"/>
      <c r="B550" s="58"/>
      <c r="C550" s="59"/>
      <c r="D550" s="3"/>
      <c r="E550" s="3"/>
      <c r="F550" s="3"/>
      <c r="G550" s="3"/>
      <c r="H550" s="27"/>
      <c r="I550" s="60"/>
      <c r="J550" s="61"/>
      <c r="K550" s="30"/>
      <c r="L550" s="30"/>
      <c r="M550" s="30"/>
      <c r="N550" s="30"/>
      <c r="O550" s="31"/>
      <c r="P550" s="30"/>
      <c r="Q550" s="62"/>
      <c r="R550" s="62"/>
      <c r="S550" s="62"/>
      <c r="T550" s="62"/>
      <c r="U550" s="62"/>
      <c r="V550" s="63"/>
      <c r="W550" s="42"/>
      <c r="X550" s="63"/>
      <c r="Y550" s="65"/>
      <c r="Z550" s="42"/>
      <c r="AA550" s="42"/>
      <c r="AB550" s="42"/>
      <c r="AC550" s="42"/>
      <c r="AD550" s="65"/>
      <c r="AE550" s="42"/>
      <c r="AF550" s="42"/>
      <c r="AG550" s="42"/>
      <c r="AH550" s="42"/>
      <c r="AI550" s="65"/>
      <c r="AJ550" s="42"/>
      <c r="AK550" s="42"/>
      <c r="AL550" s="42"/>
      <c r="AM550" s="42"/>
      <c r="AN550" s="65"/>
      <c r="AO550" s="42"/>
      <c r="AP550" s="42"/>
      <c r="AQ550" s="42"/>
      <c r="AR550" s="42"/>
      <c r="AS550" s="65"/>
      <c r="AT550" s="42"/>
    </row>
    <row r="551" spans="1:46" x14ac:dyDescent="0.25">
      <c r="A551" s="3"/>
      <c r="B551" s="58"/>
      <c r="C551" s="59"/>
      <c r="D551" s="3"/>
      <c r="E551" s="3"/>
      <c r="F551" s="3"/>
      <c r="G551" s="3"/>
      <c r="H551" s="27"/>
      <c r="I551" s="60"/>
      <c r="J551" s="61"/>
      <c r="K551" s="30"/>
      <c r="L551" s="30"/>
      <c r="M551" s="30"/>
      <c r="N551" s="30"/>
      <c r="O551" s="31"/>
      <c r="P551" s="30"/>
      <c r="Q551" s="62"/>
      <c r="R551" s="62"/>
      <c r="S551" s="62"/>
      <c r="T551" s="62"/>
      <c r="U551" s="62"/>
      <c r="V551" s="63"/>
      <c r="W551" s="42"/>
      <c r="X551" s="63"/>
      <c r="Y551" s="65"/>
      <c r="Z551" s="42"/>
      <c r="AA551" s="42"/>
      <c r="AB551" s="42"/>
      <c r="AC551" s="42"/>
      <c r="AD551" s="65"/>
      <c r="AE551" s="42"/>
      <c r="AF551" s="42"/>
      <c r="AG551" s="42"/>
      <c r="AH551" s="42"/>
      <c r="AI551" s="65"/>
      <c r="AJ551" s="42"/>
      <c r="AK551" s="42"/>
      <c r="AL551" s="42"/>
      <c r="AM551" s="42"/>
      <c r="AN551" s="65"/>
      <c r="AO551" s="42"/>
      <c r="AP551" s="42"/>
      <c r="AQ551" s="42"/>
      <c r="AR551" s="42"/>
      <c r="AS551" s="65"/>
      <c r="AT551" s="42"/>
    </row>
    <row r="552" spans="1:46" x14ac:dyDescent="0.25">
      <c r="A552" s="3"/>
      <c r="B552" s="58"/>
      <c r="C552" s="59"/>
      <c r="D552" s="3"/>
      <c r="E552" s="3"/>
      <c r="F552" s="3"/>
      <c r="G552" s="3"/>
      <c r="H552" s="27"/>
      <c r="I552" s="60"/>
      <c r="J552" s="61"/>
      <c r="K552" s="30"/>
      <c r="L552" s="30"/>
      <c r="M552" s="30"/>
      <c r="N552" s="30"/>
      <c r="O552" s="31"/>
      <c r="P552" s="30"/>
      <c r="Q552" s="62"/>
      <c r="R552" s="62"/>
      <c r="S552" s="62"/>
      <c r="T552" s="62"/>
      <c r="U552" s="62"/>
      <c r="V552" s="63"/>
      <c r="W552" s="42"/>
      <c r="X552" s="63"/>
      <c r="Y552" s="65"/>
      <c r="Z552" s="42"/>
      <c r="AA552" s="42"/>
      <c r="AB552" s="42"/>
      <c r="AC552" s="42"/>
      <c r="AD552" s="65"/>
      <c r="AE552" s="42"/>
      <c r="AF552" s="42"/>
      <c r="AG552" s="42"/>
      <c r="AH552" s="42"/>
      <c r="AI552" s="65"/>
      <c r="AJ552" s="42"/>
      <c r="AK552" s="42"/>
      <c r="AL552" s="42"/>
      <c r="AM552" s="42"/>
      <c r="AN552" s="65"/>
      <c r="AO552" s="42"/>
      <c r="AP552" s="42"/>
      <c r="AQ552" s="42"/>
      <c r="AR552" s="42"/>
      <c r="AS552" s="65"/>
      <c r="AT552" s="42"/>
    </row>
    <row r="553" spans="1:46" x14ac:dyDescent="0.25">
      <c r="A553" s="3"/>
      <c r="B553" s="58"/>
      <c r="C553" s="59"/>
      <c r="D553" s="3"/>
      <c r="E553" s="3"/>
      <c r="F553" s="3"/>
      <c r="G553" s="3"/>
      <c r="H553" s="27"/>
      <c r="I553" s="60"/>
      <c r="J553" s="61"/>
      <c r="K553" s="30"/>
      <c r="L553" s="30"/>
      <c r="M553" s="30"/>
      <c r="N553" s="30"/>
      <c r="O553" s="31"/>
      <c r="P553" s="30"/>
      <c r="Q553" s="62"/>
      <c r="R553" s="62"/>
      <c r="S553" s="62"/>
      <c r="T553" s="62"/>
      <c r="U553" s="62"/>
      <c r="V553" s="63"/>
      <c r="W553" s="42"/>
      <c r="X553" s="63"/>
      <c r="Y553" s="65"/>
      <c r="Z553" s="42"/>
      <c r="AA553" s="42"/>
      <c r="AB553" s="42"/>
      <c r="AC553" s="42"/>
      <c r="AD553" s="65"/>
      <c r="AE553" s="42"/>
      <c r="AF553" s="42"/>
      <c r="AG553" s="42"/>
      <c r="AH553" s="42"/>
      <c r="AI553" s="65"/>
      <c r="AJ553" s="42"/>
      <c r="AK553" s="42"/>
      <c r="AL553" s="42"/>
      <c r="AM553" s="42"/>
      <c r="AN553" s="65"/>
      <c r="AO553" s="42"/>
      <c r="AP553" s="42"/>
      <c r="AQ553" s="42"/>
      <c r="AR553" s="42"/>
      <c r="AS553" s="65"/>
      <c r="AT553" s="42"/>
    </row>
    <row r="554" spans="1:46" x14ac:dyDescent="0.25">
      <c r="A554" s="3"/>
      <c r="B554" s="58"/>
      <c r="C554" s="59"/>
      <c r="D554" s="3"/>
      <c r="E554" s="3"/>
      <c r="F554" s="3"/>
      <c r="G554" s="3"/>
      <c r="H554" s="27"/>
      <c r="I554" s="60"/>
      <c r="J554" s="61"/>
      <c r="K554" s="30"/>
      <c r="L554" s="30"/>
      <c r="M554" s="30"/>
      <c r="N554" s="30"/>
      <c r="O554" s="31"/>
      <c r="P554" s="30"/>
      <c r="Q554" s="62"/>
      <c r="R554" s="62"/>
      <c r="S554" s="62"/>
      <c r="T554" s="62"/>
      <c r="U554" s="62"/>
      <c r="V554" s="63"/>
      <c r="W554" s="42"/>
      <c r="X554" s="63"/>
      <c r="Y554" s="65"/>
      <c r="Z554" s="42"/>
      <c r="AA554" s="42"/>
      <c r="AB554" s="42"/>
      <c r="AC554" s="42"/>
      <c r="AD554" s="65"/>
      <c r="AE554" s="42"/>
      <c r="AF554" s="42"/>
      <c r="AG554" s="42"/>
      <c r="AH554" s="42"/>
      <c r="AI554" s="65"/>
      <c r="AJ554" s="42"/>
      <c r="AK554" s="42"/>
      <c r="AL554" s="42"/>
      <c r="AM554" s="42"/>
      <c r="AN554" s="65"/>
      <c r="AO554" s="42"/>
      <c r="AP554" s="42"/>
      <c r="AQ554" s="42"/>
      <c r="AR554" s="42"/>
      <c r="AS554" s="65"/>
      <c r="AT554" s="42"/>
    </row>
    <row r="555" spans="1:46" x14ac:dyDescent="0.25">
      <c r="A555" s="3"/>
      <c r="B555" s="58"/>
      <c r="C555" s="59"/>
      <c r="D555" s="3"/>
      <c r="E555" s="3"/>
      <c r="F555" s="3"/>
      <c r="G555" s="3"/>
      <c r="H555" s="27"/>
      <c r="I555" s="60"/>
      <c r="J555" s="61"/>
      <c r="K555" s="30"/>
      <c r="L555" s="30"/>
      <c r="M555" s="30"/>
      <c r="N555" s="30"/>
      <c r="O555" s="31"/>
      <c r="P555" s="30"/>
      <c r="Q555" s="62"/>
      <c r="R555" s="62"/>
      <c r="S555" s="62"/>
      <c r="T555" s="62"/>
      <c r="U555" s="62"/>
      <c r="V555" s="63"/>
      <c r="W555" s="42"/>
      <c r="X555" s="63"/>
      <c r="Y555" s="65"/>
      <c r="Z555" s="42"/>
      <c r="AA555" s="42"/>
      <c r="AB555" s="42"/>
      <c r="AC555" s="42"/>
      <c r="AD555" s="65"/>
      <c r="AE555" s="42"/>
      <c r="AF555" s="42"/>
      <c r="AG555" s="42"/>
      <c r="AH555" s="42"/>
      <c r="AI555" s="65"/>
      <c r="AJ555" s="42"/>
      <c r="AK555" s="42"/>
      <c r="AL555" s="42"/>
      <c r="AM555" s="42"/>
      <c r="AN555" s="65"/>
      <c r="AO555" s="42"/>
      <c r="AP555" s="42"/>
      <c r="AQ555" s="42"/>
      <c r="AR555" s="42"/>
      <c r="AS555" s="65"/>
      <c r="AT555" s="42"/>
    </row>
    <row r="556" spans="1:46" x14ac:dyDescent="0.25">
      <c r="A556" s="3"/>
      <c r="B556" s="58"/>
      <c r="C556" s="59"/>
      <c r="D556" s="3"/>
      <c r="E556" s="3"/>
      <c r="F556" s="3"/>
      <c r="G556" s="3"/>
      <c r="H556" s="27"/>
      <c r="I556" s="60"/>
      <c r="J556" s="61"/>
      <c r="K556" s="30"/>
      <c r="L556" s="30"/>
      <c r="M556" s="30"/>
      <c r="N556" s="30"/>
      <c r="O556" s="31"/>
      <c r="P556" s="30"/>
      <c r="Q556" s="62"/>
      <c r="R556" s="62"/>
      <c r="S556" s="62"/>
      <c r="T556" s="62"/>
      <c r="U556" s="62"/>
      <c r="V556" s="63"/>
      <c r="W556" s="42"/>
      <c r="X556" s="63"/>
      <c r="Y556" s="65"/>
      <c r="Z556" s="42"/>
      <c r="AA556" s="42"/>
      <c r="AB556" s="42"/>
      <c r="AC556" s="42"/>
      <c r="AD556" s="65"/>
      <c r="AE556" s="42"/>
      <c r="AF556" s="42"/>
      <c r="AG556" s="42"/>
      <c r="AH556" s="42"/>
      <c r="AI556" s="65"/>
      <c r="AJ556" s="42"/>
      <c r="AK556" s="42"/>
      <c r="AL556" s="42"/>
      <c r="AM556" s="42"/>
      <c r="AN556" s="65"/>
      <c r="AO556" s="42"/>
      <c r="AP556" s="42"/>
      <c r="AQ556" s="42"/>
      <c r="AR556" s="42"/>
      <c r="AS556" s="65"/>
      <c r="AT556" s="42"/>
    </row>
    <row r="557" spans="1:46" x14ac:dyDescent="0.25">
      <c r="A557" s="3"/>
      <c r="B557" s="58"/>
      <c r="C557" s="59"/>
      <c r="D557" s="3"/>
      <c r="E557" s="3"/>
      <c r="F557" s="3"/>
      <c r="G557" s="3"/>
      <c r="H557" s="27"/>
      <c r="I557" s="60"/>
      <c r="J557" s="61"/>
      <c r="K557" s="30"/>
      <c r="L557" s="30"/>
      <c r="M557" s="30"/>
      <c r="N557" s="30"/>
      <c r="O557" s="31"/>
      <c r="P557" s="30"/>
      <c r="Q557" s="62"/>
      <c r="R557" s="62"/>
      <c r="S557" s="62"/>
      <c r="T557" s="62"/>
      <c r="U557" s="62"/>
      <c r="V557" s="63"/>
      <c r="W557" s="42"/>
      <c r="X557" s="63"/>
      <c r="Y557" s="65"/>
      <c r="Z557" s="42"/>
      <c r="AA557" s="42"/>
      <c r="AB557" s="42"/>
      <c r="AC557" s="42"/>
      <c r="AD557" s="65"/>
      <c r="AE557" s="42"/>
      <c r="AF557" s="42"/>
      <c r="AG557" s="42"/>
      <c r="AH557" s="42"/>
      <c r="AI557" s="65"/>
      <c r="AJ557" s="42"/>
      <c r="AK557" s="42"/>
      <c r="AL557" s="42"/>
      <c r="AM557" s="42"/>
      <c r="AN557" s="65"/>
      <c r="AO557" s="42"/>
      <c r="AP557" s="42"/>
      <c r="AQ557" s="42"/>
      <c r="AR557" s="42"/>
      <c r="AS557" s="65"/>
      <c r="AT557" s="42"/>
    </row>
    <row r="558" spans="1:46" x14ac:dyDescent="0.25">
      <c r="A558" s="3"/>
      <c r="B558" s="58"/>
      <c r="C558" s="59"/>
      <c r="D558" s="3"/>
      <c r="E558" s="3"/>
      <c r="F558" s="3"/>
      <c r="G558" s="3"/>
      <c r="H558" s="27"/>
      <c r="I558" s="60"/>
      <c r="J558" s="61"/>
      <c r="K558" s="30"/>
      <c r="L558" s="30"/>
      <c r="M558" s="30"/>
      <c r="N558" s="30"/>
      <c r="O558" s="31"/>
      <c r="P558" s="30"/>
      <c r="Q558" s="62"/>
      <c r="R558" s="62"/>
      <c r="S558" s="62"/>
      <c r="T558" s="62"/>
      <c r="U558" s="62"/>
      <c r="V558" s="63"/>
      <c r="W558" s="42"/>
      <c r="X558" s="63"/>
      <c r="Y558" s="65"/>
      <c r="Z558" s="42"/>
      <c r="AA558" s="42"/>
      <c r="AB558" s="42"/>
      <c r="AC558" s="42"/>
      <c r="AD558" s="65"/>
      <c r="AE558" s="42"/>
      <c r="AF558" s="42"/>
      <c r="AG558" s="42"/>
      <c r="AH558" s="42"/>
      <c r="AI558" s="65"/>
      <c r="AJ558" s="42"/>
      <c r="AK558" s="42"/>
      <c r="AL558" s="42"/>
      <c r="AM558" s="42"/>
      <c r="AN558" s="65"/>
      <c r="AO558" s="42"/>
      <c r="AP558" s="42"/>
      <c r="AQ558" s="42"/>
      <c r="AR558" s="42"/>
      <c r="AS558" s="65"/>
      <c r="AT558" s="42"/>
    </row>
    <row r="559" spans="1:46" x14ac:dyDescent="0.25">
      <c r="A559" s="3"/>
      <c r="B559" s="58"/>
      <c r="C559" s="59"/>
      <c r="D559" s="3"/>
      <c r="E559" s="3"/>
      <c r="F559" s="3"/>
      <c r="G559" s="3"/>
      <c r="H559" s="27"/>
      <c r="I559" s="60"/>
      <c r="J559" s="61"/>
      <c r="K559" s="30"/>
      <c r="L559" s="30"/>
      <c r="M559" s="30"/>
      <c r="N559" s="30"/>
      <c r="O559" s="31"/>
      <c r="P559" s="30"/>
      <c r="Q559" s="62"/>
      <c r="R559" s="62"/>
      <c r="S559" s="62"/>
      <c r="T559" s="62"/>
      <c r="U559" s="62"/>
      <c r="V559" s="63"/>
      <c r="W559" s="42"/>
      <c r="X559" s="63"/>
      <c r="Y559" s="65"/>
      <c r="Z559" s="42"/>
      <c r="AA559" s="42"/>
      <c r="AB559" s="42"/>
      <c r="AC559" s="42"/>
      <c r="AD559" s="65"/>
      <c r="AE559" s="42"/>
      <c r="AF559" s="42"/>
      <c r="AG559" s="42"/>
      <c r="AH559" s="42"/>
      <c r="AI559" s="65"/>
      <c r="AJ559" s="42"/>
      <c r="AK559" s="42"/>
      <c r="AL559" s="42"/>
      <c r="AM559" s="42"/>
      <c r="AN559" s="65"/>
      <c r="AO559" s="42"/>
      <c r="AP559" s="42"/>
      <c r="AQ559" s="42"/>
      <c r="AR559" s="42"/>
      <c r="AS559" s="65"/>
      <c r="AT559" s="42"/>
    </row>
    <row r="560" spans="1:46" x14ac:dyDescent="0.25">
      <c r="A560" s="3"/>
      <c r="B560" s="58"/>
      <c r="C560" s="59"/>
      <c r="D560" s="3"/>
      <c r="E560" s="3"/>
      <c r="F560" s="3"/>
      <c r="G560" s="3"/>
      <c r="H560" s="27"/>
      <c r="I560" s="60"/>
      <c r="J560" s="61"/>
      <c r="K560" s="30"/>
      <c r="L560" s="30"/>
      <c r="M560" s="30"/>
      <c r="N560" s="30"/>
      <c r="O560" s="31"/>
      <c r="P560" s="30"/>
      <c r="Q560" s="62"/>
      <c r="R560" s="62"/>
      <c r="S560" s="62"/>
      <c r="T560" s="62"/>
      <c r="U560" s="62"/>
      <c r="V560" s="63"/>
      <c r="W560" s="42"/>
      <c r="X560" s="63"/>
      <c r="Y560" s="65"/>
      <c r="Z560" s="42"/>
      <c r="AA560" s="42"/>
      <c r="AB560" s="42"/>
      <c r="AC560" s="42"/>
      <c r="AD560" s="65"/>
      <c r="AE560" s="42"/>
      <c r="AF560" s="42"/>
      <c r="AG560" s="42"/>
      <c r="AH560" s="42"/>
      <c r="AI560" s="65"/>
      <c r="AJ560" s="42"/>
      <c r="AK560" s="42"/>
      <c r="AL560" s="42"/>
      <c r="AM560" s="42"/>
      <c r="AN560" s="65"/>
      <c r="AO560" s="42"/>
      <c r="AP560" s="42"/>
      <c r="AQ560" s="42"/>
      <c r="AR560" s="42"/>
      <c r="AS560" s="65"/>
      <c r="AT560" s="42"/>
    </row>
    <row r="561" spans="1:46" x14ac:dyDescent="0.25">
      <c r="A561" s="3"/>
      <c r="B561" s="58"/>
      <c r="C561" s="59"/>
      <c r="D561" s="3"/>
      <c r="E561" s="3"/>
      <c r="F561" s="3"/>
      <c r="G561" s="3"/>
      <c r="H561" s="27"/>
      <c r="I561" s="60"/>
      <c r="J561" s="61"/>
      <c r="K561" s="30"/>
      <c r="L561" s="30"/>
      <c r="M561" s="30"/>
      <c r="N561" s="30"/>
      <c r="O561" s="31"/>
      <c r="P561" s="30"/>
      <c r="Q561" s="62"/>
      <c r="R561" s="62"/>
      <c r="S561" s="62"/>
      <c r="T561" s="62"/>
      <c r="U561" s="62"/>
      <c r="V561" s="63"/>
      <c r="W561" s="42"/>
      <c r="X561" s="63"/>
      <c r="Y561" s="65"/>
      <c r="Z561" s="42"/>
      <c r="AA561" s="42"/>
      <c r="AB561" s="42"/>
      <c r="AC561" s="42"/>
      <c r="AD561" s="65"/>
      <c r="AE561" s="42"/>
      <c r="AF561" s="42"/>
      <c r="AG561" s="42"/>
      <c r="AH561" s="42"/>
      <c r="AI561" s="65"/>
      <c r="AJ561" s="42"/>
      <c r="AK561" s="42"/>
      <c r="AL561" s="42"/>
      <c r="AM561" s="42"/>
      <c r="AN561" s="65"/>
      <c r="AO561" s="42"/>
      <c r="AP561" s="42"/>
      <c r="AQ561" s="42"/>
      <c r="AR561" s="42"/>
      <c r="AS561" s="65"/>
      <c r="AT561" s="42"/>
    </row>
    <row r="562" spans="1:46" x14ac:dyDescent="0.25">
      <c r="A562" s="3"/>
      <c r="B562" s="58"/>
      <c r="C562" s="59"/>
      <c r="D562" s="3"/>
      <c r="E562" s="3"/>
      <c r="F562" s="3"/>
      <c r="G562" s="3"/>
      <c r="H562" s="27"/>
      <c r="I562" s="60"/>
      <c r="J562" s="61"/>
      <c r="K562" s="30"/>
      <c r="L562" s="30"/>
      <c r="M562" s="30"/>
      <c r="N562" s="30"/>
      <c r="O562" s="31"/>
      <c r="P562" s="30"/>
      <c r="Q562" s="62"/>
      <c r="R562" s="62"/>
      <c r="S562" s="62"/>
      <c r="T562" s="62"/>
      <c r="U562" s="62"/>
      <c r="V562" s="63"/>
      <c r="W562" s="42"/>
      <c r="X562" s="63"/>
      <c r="Y562" s="65"/>
      <c r="Z562" s="42"/>
      <c r="AA562" s="42"/>
      <c r="AB562" s="42"/>
      <c r="AC562" s="42"/>
      <c r="AD562" s="65"/>
      <c r="AE562" s="42"/>
      <c r="AF562" s="42"/>
      <c r="AG562" s="42"/>
      <c r="AH562" s="42"/>
      <c r="AI562" s="65"/>
      <c r="AJ562" s="42"/>
      <c r="AK562" s="42"/>
      <c r="AL562" s="42"/>
      <c r="AM562" s="42"/>
      <c r="AN562" s="65"/>
      <c r="AO562" s="42"/>
      <c r="AP562" s="42"/>
      <c r="AQ562" s="42"/>
      <c r="AR562" s="42"/>
      <c r="AS562" s="65"/>
      <c r="AT562" s="42"/>
    </row>
    <row r="563" spans="1:46" x14ac:dyDescent="0.25">
      <c r="A563" s="3"/>
      <c r="B563" s="58"/>
      <c r="C563" s="59"/>
      <c r="D563" s="3"/>
      <c r="E563" s="3"/>
      <c r="F563" s="3"/>
      <c r="G563" s="3"/>
      <c r="H563" s="27"/>
      <c r="I563" s="60"/>
      <c r="J563" s="61"/>
      <c r="K563" s="30"/>
      <c r="L563" s="30"/>
      <c r="M563" s="30"/>
      <c r="N563" s="30"/>
      <c r="O563" s="31"/>
      <c r="P563" s="30"/>
      <c r="Q563" s="62"/>
      <c r="R563" s="62"/>
      <c r="S563" s="62"/>
      <c r="T563" s="62"/>
      <c r="U563" s="62"/>
      <c r="V563" s="63"/>
      <c r="W563" s="42"/>
      <c r="X563" s="63"/>
      <c r="Y563" s="65"/>
      <c r="Z563" s="42"/>
      <c r="AA563" s="42"/>
      <c r="AB563" s="42"/>
      <c r="AC563" s="42"/>
      <c r="AD563" s="65"/>
      <c r="AE563" s="42"/>
      <c r="AF563" s="42"/>
      <c r="AG563" s="42"/>
      <c r="AH563" s="42"/>
      <c r="AI563" s="65"/>
      <c r="AJ563" s="42"/>
      <c r="AK563" s="42"/>
      <c r="AL563" s="42"/>
      <c r="AM563" s="42"/>
      <c r="AN563" s="65"/>
      <c r="AO563" s="42"/>
      <c r="AP563" s="42"/>
      <c r="AQ563" s="42"/>
      <c r="AR563" s="42"/>
      <c r="AS563" s="65"/>
      <c r="AT563" s="42"/>
    </row>
    <row r="564" spans="1:46" x14ac:dyDescent="0.25">
      <c r="A564" s="3"/>
      <c r="B564" s="58"/>
      <c r="C564" s="59"/>
      <c r="D564" s="3"/>
      <c r="E564" s="3"/>
      <c r="F564" s="3"/>
      <c r="G564" s="3"/>
      <c r="H564" s="27"/>
      <c r="I564" s="60"/>
      <c r="J564" s="61"/>
      <c r="K564" s="30"/>
      <c r="L564" s="30"/>
      <c r="M564" s="30"/>
      <c r="N564" s="30"/>
      <c r="O564" s="31"/>
      <c r="P564" s="30"/>
      <c r="Q564" s="62"/>
      <c r="R564" s="62"/>
      <c r="S564" s="62"/>
      <c r="T564" s="62"/>
      <c r="U564" s="62"/>
      <c r="V564" s="63"/>
      <c r="W564" s="42"/>
      <c r="X564" s="63"/>
      <c r="Y564" s="65"/>
      <c r="Z564" s="42"/>
      <c r="AA564" s="42"/>
      <c r="AB564" s="42"/>
      <c r="AC564" s="42"/>
      <c r="AD564" s="65"/>
      <c r="AE564" s="42"/>
      <c r="AF564" s="42"/>
      <c r="AG564" s="42"/>
      <c r="AH564" s="42"/>
      <c r="AI564" s="65"/>
      <c r="AJ564" s="42"/>
      <c r="AK564" s="42"/>
      <c r="AL564" s="42"/>
      <c r="AM564" s="42"/>
      <c r="AN564" s="65"/>
      <c r="AO564" s="42"/>
      <c r="AP564" s="42"/>
      <c r="AQ564" s="42"/>
      <c r="AR564" s="42"/>
      <c r="AS564" s="65"/>
      <c r="AT564" s="42"/>
    </row>
    <row r="565" spans="1:46" x14ac:dyDescent="0.25">
      <c r="A565" s="3"/>
      <c r="B565" s="58"/>
      <c r="C565" s="59"/>
      <c r="D565" s="3"/>
      <c r="E565" s="3"/>
      <c r="F565" s="3"/>
      <c r="G565" s="3"/>
      <c r="H565" s="27"/>
      <c r="I565" s="60"/>
      <c r="J565" s="61"/>
      <c r="K565" s="30"/>
      <c r="L565" s="30"/>
      <c r="M565" s="30"/>
      <c r="N565" s="30"/>
      <c r="O565" s="31"/>
      <c r="P565" s="30"/>
      <c r="Q565" s="62"/>
      <c r="R565" s="62"/>
      <c r="S565" s="62"/>
      <c r="T565" s="62"/>
      <c r="U565" s="62"/>
      <c r="V565" s="63"/>
      <c r="W565" s="42"/>
      <c r="X565" s="63"/>
      <c r="Y565" s="65"/>
      <c r="Z565" s="42"/>
      <c r="AA565" s="42"/>
      <c r="AB565" s="42"/>
      <c r="AC565" s="42"/>
      <c r="AD565" s="65"/>
      <c r="AE565" s="42"/>
      <c r="AF565" s="42"/>
      <c r="AG565" s="42"/>
      <c r="AH565" s="42"/>
      <c r="AI565" s="65"/>
      <c r="AJ565" s="42"/>
      <c r="AK565" s="42"/>
      <c r="AL565" s="42"/>
      <c r="AM565" s="42"/>
      <c r="AN565" s="65"/>
      <c r="AO565" s="42"/>
      <c r="AP565" s="42"/>
      <c r="AQ565" s="42"/>
      <c r="AR565" s="42"/>
      <c r="AS565" s="65"/>
      <c r="AT565" s="42"/>
    </row>
    <row r="566" spans="1:46" x14ac:dyDescent="0.25">
      <c r="A566" s="3"/>
      <c r="B566" s="58"/>
      <c r="C566" s="59"/>
      <c r="D566" s="3"/>
      <c r="E566" s="3"/>
      <c r="F566" s="3"/>
      <c r="G566" s="3"/>
      <c r="H566" s="27"/>
      <c r="I566" s="60"/>
      <c r="J566" s="61"/>
      <c r="K566" s="30"/>
      <c r="L566" s="30"/>
      <c r="M566" s="30"/>
      <c r="N566" s="30"/>
      <c r="O566" s="31"/>
      <c r="P566" s="30"/>
      <c r="Q566" s="62"/>
      <c r="R566" s="62"/>
      <c r="S566" s="62"/>
      <c r="T566" s="62"/>
      <c r="U566" s="62"/>
      <c r="V566" s="63"/>
      <c r="W566" s="42"/>
      <c r="X566" s="63"/>
      <c r="Y566" s="65"/>
      <c r="Z566" s="42"/>
      <c r="AA566" s="42"/>
      <c r="AB566" s="42"/>
      <c r="AC566" s="42"/>
      <c r="AD566" s="65"/>
      <c r="AE566" s="42"/>
      <c r="AF566" s="42"/>
      <c r="AG566" s="42"/>
      <c r="AH566" s="42"/>
      <c r="AI566" s="65"/>
      <c r="AJ566" s="42"/>
      <c r="AK566" s="42"/>
      <c r="AL566" s="42"/>
      <c r="AM566" s="42"/>
      <c r="AN566" s="65"/>
      <c r="AO566" s="42"/>
      <c r="AP566" s="42"/>
      <c r="AQ566" s="42"/>
      <c r="AR566" s="42"/>
      <c r="AS566" s="65"/>
      <c r="AT566" s="42"/>
    </row>
    <row r="567" spans="1:46" x14ac:dyDescent="0.25">
      <c r="A567" s="3"/>
      <c r="B567" s="58"/>
      <c r="C567" s="59"/>
      <c r="D567" s="3"/>
      <c r="E567" s="3"/>
      <c r="F567" s="3"/>
      <c r="G567" s="3"/>
      <c r="H567" s="27"/>
      <c r="I567" s="60"/>
      <c r="J567" s="61"/>
      <c r="K567" s="30"/>
      <c r="L567" s="30"/>
      <c r="M567" s="30"/>
      <c r="N567" s="30"/>
      <c r="O567" s="31"/>
      <c r="P567" s="30"/>
      <c r="Q567" s="62"/>
      <c r="R567" s="62"/>
      <c r="S567" s="62"/>
      <c r="T567" s="62"/>
      <c r="U567" s="62"/>
      <c r="V567" s="63"/>
      <c r="W567" s="42"/>
      <c r="X567" s="63"/>
      <c r="Y567" s="65"/>
      <c r="Z567" s="42"/>
      <c r="AA567" s="42"/>
      <c r="AB567" s="42"/>
      <c r="AC567" s="42"/>
      <c r="AD567" s="65"/>
      <c r="AE567" s="42"/>
      <c r="AF567" s="42"/>
      <c r="AG567" s="42"/>
      <c r="AH567" s="42"/>
      <c r="AI567" s="65"/>
      <c r="AJ567" s="42"/>
      <c r="AK567" s="42"/>
      <c r="AL567" s="42"/>
      <c r="AM567" s="42"/>
      <c r="AN567" s="65"/>
      <c r="AO567" s="42"/>
      <c r="AP567" s="42"/>
      <c r="AQ567" s="42"/>
      <c r="AR567" s="42"/>
      <c r="AS567" s="65"/>
      <c r="AT567" s="42"/>
    </row>
    <row r="568" spans="1:46" x14ac:dyDescent="0.25">
      <c r="A568" s="3"/>
      <c r="B568" s="58"/>
      <c r="C568" s="59"/>
      <c r="D568" s="3"/>
      <c r="E568" s="3"/>
      <c r="F568" s="3"/>
      <c r="G568" s="3"/>
      <c r="H568" s="27"/>
      <c r="I568" s="60"/>
      <c r="J568" s="61"/>
      <c r="K568" s="30"/>
      <c r="L568" s="30"/>
      <c r="M568" s="30"/>
      <c r="N568" s="30"/>
      <c r="O568" s="31"/>
      <c r="P568" s="30"/>
      <c r="Q568" s="62"/>
      <c r="R568" s="62"/>
      <c r="S568" s="62"/>
      <c r="T568" s="62"/>
      <c r="U568" s="62"/>
      <c r="V568" s="63"/>
      <c r="W568" s="42"/>
      <c r="X568" s="63"/>
      <c r="Y568" s="65"/>
      <c r="Z568" s="42"/>
      <c r="AA568" s="42"/>
      <c r="AB568" s="42"/>
      <c r="AC568" s="42"/>
      <c r="AD568" s="65"/>
      <c r="AE568" s="42"/>
      <c r="AF568" s="42"/>
      <c r="AG568" s="42"/>
      <c r="AH568" s="42"/>
      <c r="AI568" s="65"/>
      <c r="AJ568" s="42"/>
      <c r="AK568" s="42"/>
      <c r="AL568" s="42"/>
      <c r="AM568" s="42"/>
      <c r="AN568" s="65"/>
      <c r="AO568" s="42"/>
      <c r="AP568" s="42"/>
      <c r="AQ568" s="42"/>
      <c r="AR568" s="42"/>
      <c r="AS568" s="65"/>
      <c r="AT568" s="42"/>
    </row>
    <row r="569" spans="1:46" x14ac:dyDescent="0.25">
      <c r="A569" s="3"/>
      <c r="B569" s="58"/>
      <c r="C569" s="59"/>
      <c r="D569" s="3"/>
      <c r="E569" s="3"/>
      <c r="F569" s="3"/>
      <c r="G569" s="3"/>
      <c r="H569" s="27"/>
      <c r="I569" s="60"/>
      <c r="J569" s="61"/>
      <c r="K569" s="30"/>
      <c r="L569" s="30"/>
      <c r="M569" s="30"/>
      <c r="N569" s="30"/>
      <c r="O569" s="31"/>
      <c r="P569" s="30"/>
      <c r="Q569" s="62"/>
      <c r="R569" s="62"/>
      <c r="S569" s="62"/>
      <c r="T569" s="62"/>
      <c r="U569" s="62"/>
      <c r="V569" s="63"/>
      <c r="W569" s="42"/>
      <c r="X569" s="63"/>
      <c r="Y569" s="65"/>
      <c r="Z569" s="42"/>
      <c r="AA569" s="42"/>
      <c r="AB569" s="42"/>
      <c r="AC569" s="42"/>
      <c r="AD569" s="65"/>
      <c r="AE569" s="42"/>
      <c r="AF569" s="42"/>
      <c r="AG569" s="42"/>
      <c r="AH569" s="42"/>
      <c r="AI569" s="65"/>
      <c r="AJ569" s="42"/>
      <c r="AK569" s="42"/>
      <c r="AL569" s="42"/>
      <c r="AM569" s="42"/>
      <c r="AN569" s="65"/>
      <c r="AO569" s="42"/>
      <c r="AP569" s="42"/>
      <c r="AQ569" s="42"/>
      <c r="AR569" s="42"/>
      <c r="AS569" s="65"/>
      <c r="AT569" s="42"/>
    </row>
    <row r="570" spans="1:46" x14ac:dyDescent="0.25">
      <c r="A570" s="3"/>
      <c r="B570" s="58"/>
      <c r="C570" s="59"/>
      <c r="D570" s="3"/>
      <c r="E570" s="3"/>
      <c r="F570" s="3"/>
      <c r="G570" s="3"/>
      <c r="H570" s="27"/>
      <c r="I570" s="60"/>
      <c r="J570" s="61"/>
      <c r="K570" s="30"/>
      <c r="L570" s="30"/>
      <c r="M570" s="30"/>
      <c r="N570" s="30"/>
      <c r="O570" s="31"/>
      <c r="P570" s="30"/>
      <c r="Q570" s="62"/>
      <c r="R570" s="62"/>
      <c r="S570" s="62"/>
      <c r="T570" s="62"/>
      <c r="U570" s="62"/>
      <c r="V570" s="63"/>
      <c r="W570" s="42"/>
      <c r="X570" s="63"/>
      <c r="Y570" s="65"/>
      <c r="Z570" s="42"/>
      <c r="AA570" s="42"/>
      <c r="AB570" s="42"/>
      <c r="AC570" s="42"/>
      <c r="AD570" s="65"/>
      <c r="AE570" s="42"/>
      <c r="AF570" s="42"/>
      <c r="AG570" s="42"/>
      <c r="AH570" s="42"/>
      <c r="AI570" s="65"/>
      <c r="AJ570" s="42"/>
      <c r="AK570" s="42"/>
      <c r="AL570" s="42"/>
      <c r="AM570" s="42"/>
      <c r="AN570" s="65"/>
      <c r="AO570" s="42"/>
      <c r="AP570" s="42"/>
      <c r="AQ570" s="42"/>
      <c r="AR570" s="42"/>
      <c r="AS570" s="65"/>
      <c r="AT570" s="42"/>
    </row>
    <row r="571" spans="1:46" x14ac:dyDescent="0.25">
      <c r="A571" s="3"/>
      <c r="B571" s="58"/>
      <c r="C571" s="59"/>
      <c r="D571" s="3"/>
      <c r="E571" s="3"/>
      <c r="F571" s="3"/>
      <c r="G571" s="3"/>
      <c r="H571" s="27"/>
      <c r="I571" s="60"/>
      <c r="J571" s="61"/>
      <c r="K571" s="30"/>
      <c r="L571" s="30"/>
      <c r="M571" s="30"/>
      <c r="N571" s="30"/>
      <c r="O571" s="31"/>
      <c r="P571" s="30"/>
      <c r="Q571" s="62"/>
      <c r="R571" s="62"/>
      <c r="S571" s="62"/>
      <c r="T571" s="62"/>
      <c r="U571" s="62"/>
      <c r="V571" s="63"/>
      <c r="W571" s="42"/>
      <c r="X571" s="63"/>
      <c r="Y571" s="65"/>
      <c r="Z571" s="42"/>
      <c r="AA571" s="42"/>
      <c r="AB571" s="42"/>
      <c r="AC571" s="42"/>
      <c r="AD571" s="65"/>
      <c r="AE571" s="42"/>
      <c r="AF571" s="42"/>
      <c r="AG571" s="42"/>
      <c r="AH571" s="42"/>
      <c r="AI571" s="65"/>
      <c r="AJ571" s="42"/>
      <c r="AK571" s="42"/>
      <c r="AL571" s="42"/>
      <c r="AM571" s="42"/>
      <c r="AN571" s="65"/>
      <c r="AO571" s="42"/>
      <c r="AP571" s="42"/>
      <c r="AQ571" s="42"/>
      <c r="AR571" s="42"/>
      <c r="AS571" s="65"/>
      <c r="AT571" s="42"/>
    </row>
    <row r="572" spans="1:46" x14ac:dyDescent="0.25">
      <c r="A572" s="3"/>
      <c r="B572" s="58"/>
      <c r="C572" s="59"/>
      <c r="D572" s="3"/>
      <c r="E572" s="3"/>
      <c r="F572" s="3"/>
      <c r="G572" s="3"/>
      <c r="H572" s="27"/>
      <c r="I572" s="60"/>
      <c r="J572" s="61"/>
      <c r="K572" s="30"/>
      <c r="L572" s="30"/>
      <c r="M572" s="30"/>
      <c r="N572" s="30"/>
      <c r="O572" s="31"/>
      <c r="P572" s="30"/>
      <c r="Q572" s="62"/>
      <c r="R572" s="62"/>
      <c r="S572" s="62"/>
      <c r="T572" s="62"/>
      <c r="U572" s="62"/>
      <c r="V572" s="63"/>
      <c r="W572" s="42"/>
      <c r="X572" s="63"/>
      <c r="Y572" s="65"/>
      <c r="Z572" s="42"/>
      <c r="AA572" s="42"/>
      <c r="AB572" s="42"/>
      <c r="AC572" s="42"/>
      <c r="AD572" s="65"/>
      <c r="AE572" s="42"/>
      <c r="AF572" s="42"/>
      <c r="AG572" s="42"/>
      <c r="AH572" s="42"/>
      <c r="AI572" s="65"/>
      <c r="AJ572" s="42"/>
      <c r="AK572" s="42"/>
      <c r="AL572" s="42"/>
      <c r="AM572" s="42"/>
      <c r="AN572" s="65"/>
      <c r="AO572" s="42"/>
      <c r="AP572" s="42"/>
      <c r="AQ572" s="42"/>
      <c r="AR572" s="42"/>
      <c r="AS572" s="65"/>
      <c r="AT572" s="42"/>
    </row>
    <row r="573" spans="1:46" x14ac:dyDescent="0.25">
      <c r="A573" s="3"/>
      <c r="B573" s="58"/>
      <c r="C573" s="59"/>
      <c r="D573" s="3"/>
      <c r="E573" s="3"/>
      <c r="F573" s="3"/>
      <c r="G573" s="3"/>
      <c r="H573" s="27"/>
      <c r="I573" s="60"/>
      <c r="J573" s="61"/>
      <c r="K573" s="30"/>
      <c r="L573" s="30"/>
      <c r="M573" s="30"/>
      <c r="N573" s="30"/>
      <c r="O573" s="31"/>
      <c r="P573" s="30"/>
      <c r="Q573" s="62"/>
      <c r="R573" s="62"/>
      <c r="S573" s="62"/>
      <c r="T573" s="62"/>
      <c r="U573" s="62"/>
      <c r="V573" s="63"/>
      <c r="W573" s="42"/>
      <c r="X573" s="63"/>
      <c r="Y573" s="65"/>
      <c r="Z573" s="42"/>
      <c r="AA573" s="42"/>
      <c r="AB573" s="42"/>
      <c r="AC573" s="42"/>
      <c r="AD573" s="65"/>
      <c r="AE573" s="42"/>
      <c r="AF573" s="42"/>
      <c r="AG573" s="42"/>
      <c r="AH573" s="42"/>
      <c r="AI573" s="65"/>
      <c r="AJ573" s="42"/>
      <c r="AK573" s="42"/>
      <c r="AL573" s="42"/>
      <c r="AM573" s="42"/>
      <c r="AN573" s="65"/>
      <c r="AO573" s="42"/>
      <c r="AP573" s="42"/>
      <c r="AQ573" s="42"/>
      <c r="AR573" s="42"/>
      <c r="AS573" s="65"/>
      <c r="AT573" s="42"/>
    </row>
    <row r="574" spans="1:46" x14ac:dyDescent="0.25">
      <c r="A574" s="3"/>
      <c r="B574" s="58"/>
      <c r="C574" s="59"/>
      <c r="D574" s="3"/>
      <c r="E574" s="3"/>
      <c r="F574" s="3"/>
      <c r="G574" s="3"/>
      <c r="H574" s="27"/>
      <c r="I574" s="60"/>
      <c r="J574" s="61"/>
      <c r="K574" s="30"/>
      <c r="L574" s="30"/>
      <c r="M574" s="30"/>
      <c r="N574" s="30"/>
      <c r="O574" s="31"/>
      <c r="P574" s="30"/>
      <c r="Q574" s="62"/>
      <c r="R574" s="62"/>
      <c r="S574" s="62"/>
      <c r="T574" s="62"/>
      <c r="U574" s="62"/>
      <c r="V574" s="63"/>
      <c r="W574" s="42"/>
      <c r="X574" s="63"/>
      <c r="Y574" s="65"/>
      <c r="Z574" s="42"/>
      <c r="AA574" s="42"/>
      <c r="AB574" s="42"/>
      <c r="AC574" s="42"/>
      <c r="AD574" s="65"/>
      <c r="AE574" s="42"/>
      <c r="AF574" s="42"/>
      <c r="AG574" s="42"/>
      <c r="AH574" s="42"/>
      <c r="AI574" s="65"/>
      <c r="AJ574" s="42"/>
      <c r="AK574" s="42"/>
      <c r="AL574" s="42"/>
      <c r="AM574" s="42"/>
      <c r="AN574" s="65"/>
      <c r="AO574" s="42"/>
      <c r="AP574" s="42"/>
      <c r="AQ574" s="42"/>
      <c r="AR574" s="42"/>
      <c r="AS574" s="65"/>
      <c r="AT574" s="42"/>
    </row>
    <row r="575" spans="1:46" x14ac:dyDescent="0.25">
      <c r="A575" s="3"/>
      <c r="B575" s="58"/>
      <c r="C575" s="59"/>
      <c r="D575" s="3"/>
      <c r="E575" s="3"/>
      <c r="F575" s="3"/>
      <c r="G575" s="3"/>
      <c r="H575" s="27"/>
      <c r="I575" s="60"/>
      <c r="J575" s="61"/>
      <c r="K575" s="30"/>
      <c r="L575" s="30"/>
      <c r="M575" s="30"/>
      <c r="N575" s="30"/>
      <c r="O575" s="31"/>
      <c r="P575" s="30"/>
      <c r="Q575" s="62"/>
      <c r="R575" s="62"/>
      <c r="S575" s="62"/>
      <c r="T575" s="62"/>
      <c r="U575" s="62"/>
      <c r="V575" s="63"/>
      <c r="W575" s="42"/>
      <c r="X575" s="63"/>
      <c r="Y575" s="65"/>
      <c r="Z575" s="42"/>
      <c r="AA575" s="42"/>
      <c r="AB575" s="42"/>
      <c r="AC575" s="42"/>
      <c r="AD575" s="65"/>
      <c r="AE575" s="42"/>
      <c r="AF575" s="42"/>
      <c r="AG575" s="42"/>
      <c r="AH575" s="42"/>
      <c r="AI575" s="65"/>
      <c r="AJ575" s="42"/>
      <c r="AK575" s="42"/>
      <c r="AL575" s="42"/>
      <c r="AM575" s="42"/>
      <c r="AN575" s="65"/>
      <c r="AO575" s="42"/>
      <c r="AP575" s="42"/>
      <c r="AQ575" s="42"/>
      <c r="AR575" s="42"/>
      <c r="AS575" s="65"/>
      <c r="AT575" s="42"/>
    </row>
    <row r="576" spans="1:46" x14ac:dyDescent="0.25">
      <c r="A576" s="3"/>
      <c r="B576" s="58"/>
      <c r="C576" s="59"/>
      <c r="D576" s="3"/>
      <c r="E576" s="3"/>
      <c r="F576" s="3"/>
      <c r="G576" s="3"/>
      <c r="H576" s="27"/>
      <c r="I576" s="60"/>
      <c r="J576" s="61"/>
      <c r="K576" s="30"/>
      <c r="L576" s="30"/>
      <c r="M576" s="30"/>
      <c r="N576" s="30"/>
      <c r="O576" s="31"/>
      <c r="P576" s="30"/>
      <c r="Q576" s="62"/>
      <c r="R576" s="62"/>
      <c r="S576" s="62"/>
      <c r="T576" s="62"/>
      <c r="U576" s="62"/>
      <c r="V576" s="63"/>
      <c r="W576" s="42"/>
      <c r="X576" s="63"/>
      <c r="Y576" s="65"/>
      <c r="Z576" s="42"/>
      <c r="AA576" s="42"/>
      <c r="AB576" s="42"/>
      <c r="AC576" s="42"/>
      <c r="AD576" s="65"/>
      <c r="AE576" s="42"/>
      <c r="AF576" s="42"/>
      <c r="AG576" s="42"/>
      <c r="AH576" s="42"/>
      <c r="AI576" s="65"/>
      <c r="AJ576" s="42"/>
      <c r="AK576" s="42"/>
      <c r="AL576" s="42"/>
      <c r="AM576" s="42"/>
      <c r="AN576" s="65"/>
      <c r="AO576" s="42"/>
      <c r="AP576" s="42"/>
      <c r="AQ576" s="42"/>
      <c r="AR576" s="42"/>
      <c r="AS576" s="65"/>
      <c r="AT576" s="42"/>
    </row>
    <row r="577" spans="1:46" x14ac:dyDescent="0.25">
      <c r="A577" s="3"/>
      <c r="B577" s="58"/>
      <c r="C577" s="59"/>
      <c r="D577" s="3"/>
      <c r="E577" s="3"/>
      <c r="F577" s="3"/>
      <c r="G577" s="3"/>
      <c r="H577" s="27"/>
      <c r="I577" s="60"/>
      <c r="J577" s="61"/>
      <c r="K577" s="30"/>
      <c r="L577" s="30"/>
      <c r="M577" s="30"/>
      <c r="N577" s="30"/>
      <c r="O577" s="31"/>
      <c r="P577" s="30"/>
      <c r="Q577" s="62"/>
      <c r="R577" s="62"/>
      <c r="S577" s="62"/>
      <c r="T577" s="62"/>
      <c r="U577" s="62"/>
      <c r="V577" s="63"/>
      <c r="W577" s="42"/>
      <c r="X577" s="63"/>
      <c r="Y577" s="65"/>
      <c r="Z577" s="42"/>
      <c r="AA577" s="42"/>
      <c r="AB577" s="42"/>
      <c r="AC577" s="42"/>
      <c r="AD577" s="65"/>
      <c r="AE577" s="42"/>
      <c r="AF577" s="42"/>
      <c r="AG577" s="42"/>
      <c r="AH577" s="42"/>
      <c r="AI577" s="65"/>
      <c r="AJ577" s="42"/>
      <c r="AK577" s="42"/>
      <c r="AL577" s="42"/>
      <c r="AM577" s="42"/>
      <c r="AN577" s="65"/>
      <c r="AO577" s="42"/>
      <c r="AP577" s="42"/>
      <c r="AQ577" s="42"/>
      <c r="AR577" s="42"/>
      <c r="AS577" s="65"/>
      <c r="AT577" s="42"/>
    </row>
    <row r="578" spans="1:46" x14ac:dyDescent="0.25">
      <c r="A578" s="3"/>
      <c r="B578" s="58"/>
      <c r="C578" s="59"/>
      <c r="D578" s="3"/>
      <c r="E578" s="3"/>
      <c r="F578" s="3"/>
      <c r="G578" s="3"/>
      <c r="H578" s="27"/>
      <c r="I578" s="60"/>
      <c r="J578" s="61"/>
      <c r="K578" s="30"/>
      <c r="L578" s="30"/>
      <c r="M578" s="30"/>
      <c r="N578" s="30"/>
      <c r="O578" s="31"/>
      <c r="P578" s="30"/>
      <c r="Q578" s="62"/>
      <c r="R578" s="62"/>
      <c r="S578" s="62"/>
      <c r="T578" s="62"/>
      <c r="U578" s="62"/>
      <c r="V578" s="63"/>
      <c r="W578" s="42"/>
      <c r="X578" s="63"/>
      <c r="Y578" s="65"/>
      <c r="Z578" s="42"/>
      <c r="AA578" s="42"/>
      <c r="AB578" s="42"/>
      <c r="AC578" s="42"/>
      <c r="AD578" s="65"/>
      <c r="AE578" s="42"/>
      <c r="AF578" s="42"/>
      <c r="AG578" s="42"/>
      <c r="AH578" s="42"/>
      <c r="AI578" s="65"/>
      <c r="AJ578" s="42"/>
      <c r="AK578" s="42"/>
      <c r="AL578" s="42"/>
      <c r="AM578" s="42"/>
      <c r="AN578" s="65"/>
      <c r="AO578" s="42"/>
      <c r="AP578" s="42"/>
      <c r="AQ578" s="42"/>
      <c r="AR578" s="42"/>
      <c r="AS578" s="65"/>
      <c r="AT578" s="42"/>
    </row>
    <row r="579" spans="1:46" x14ac:dyDescent="0.25">
      <c r="A579" s="3"/>
      <c r="B579" s="58"/>
      <c r="C579" s="59"/>
      <c r="D579" s="3"/>
      <c r="E579" s="3"/>
      <c r="F579" s="3"/>
      <c r="G579" s="3"/>
      <c r="H579" s="27"/>
      <c r="I579" s="60"/>
      <c r="J579" s="61"/>
      <c r="K579" s="30"/>
      <c r="L579" s="30"/>
      <c r="M579" s="30"/>
      <c r="N579" s="30"/>
      <c r="O579" s="31"/>
      <c r="P579" s="30"/>
      <c r="Q579" s="62"/>
      <c r="R579" s="62"/>
      <c r="S579" s="62"/>
      <c r="T579" s="62"/>
      <c r="U579" s="62"/>
      <c r="V579" s="63"/>
      <c r="W579" s="42"/>
      <c r="X579" s="63"/>
      <c r="Y579" s="65"/>
      <c r="Z579" s="42"/>
      <c r="AA579" s="42"/>
      <c r="AB579" s="42"/>
      <c r="AC579" s="42"/>
      <c r="AD579" s="65"/>
      <c r="AE579" s="42"/>
      <c r="AF579" s="42"/>
      <c r="AG579" s="42"/>
      <c r="AH579" s="42"/>
      <c r="AI579" s="65"/>
      <c r="AJ579" s="42"/>
      <c r="AK579" s="42"/>
      <c r="AL579" s="42"/>
      <c r="AM579" s="42"/>
      <c r="AN579" s="65"/>
      <c r="AO579" s="42"/>
      <c r="AP579" s="42"/>
      <c r="AQ579" s="42"/>
      <c r="AR579" s="42"/>
      <c r="AS579" s="65"/>
      <c r="AT579" s="42"/>
    </row>
    <row r="580" spans="1:46" x14ac:dyDescent="0.25">
      <c r="A580" s="3"/>
      <c r="B580" s="58"/>
      <c r="C580" s="59"/>
      <c r="D580" s="3"/>
      <c r="E580" s="3"/>
      <c r="F580" s="3"/>
      <c r="G580" s="3"/>
      <c r="H580" s="27"/>
      <c r="I580" s="60"/>
      <c r="J580" s="61"/>
      <c r="K580" s="30"/>
      <c r="L580" s="30"/>
      <c r="M580" s="30"/>
      <c r="N580" s="30"/>
      <c r="O580" s="31"/>
      <c r="P580" s="30"/>
      <c r="Q580" s="62"/>
      <c r="R580" s="62"/>
      <c r="S580" s="62"/>
      <c r="T580" s="62"/>
      <c r="U580" s="62"/>
      <c r="V580" s="63"/>
      <c r="W580" s="42"/>
      <c r="X580" s="63"/>
      <c r="Y580" s="65"/>
      <c r="Z580" s="42"/>
      <c r="AA580" s="42"/>
      <c r="AB580" s="42"/>
      <c r="AC580" s="42"/>
      <c r="AD580" s="65"/>
      <c r="AE580" s="42"/>
      <c r="AF580" s="42"/>
      <c r="AG580" s="42"/>
      <c r="AH580" s="42"/>
      <c r="AI580" s="65"/>
      <c r="AJ580" s="42"/>
      <c r="AK580" s="42"/>
      <c r="AL580" s="42"/>
      <c r="AM580" s="42"/>
      <c r="AN580" s="65"/>
      <c r="AO580" s="42"/>
      <c r="AP580" s="42"/>
      <c r="AQ580" s="42"/>
      <c r="AR580" s="42"/>
      <c r="AS580" s="65"/>
      <c r="AT580" s="42"/>
    </row>
    <row r="581" spans="1:46" x14ac:dyDescent="0.25">
      <c r="A581" s="3"/>
      <c r="B581" s="58"/>
      <c r="C581" s="59"/>
      <c r="D581" s="3"/>
      <c r="E581" s="3"/>
      <c r="F581" s="3"/>
      <c r="G581" s="3"/>
      <c r="H581" s="27"/>
      <c r="I581" s="60"/>
      <c r="J581" s="61"/>
      <c r="K581" s="30"/>
      <c r="L581" s="30"/>
      <c r="M581" s="30"/>
      <c r="N581" s="30"/>
      <c r="O581" s="31"/>
      <c r="P581" s="30"/>
      <c r="Q581" s="62"/>
      <c r="R581" s="62"/>
      <c r="S581" s="62"/>
      <c r="T581" s="62"/>
      <c r="U581" s="62"/>
      <c r="V581" s="63"/>
      <c r="W581" s="42"/>
      <c r="X581" s="63"/>
      <c r="Y581" s="65"/>
      <c r="Z581" s="42"/>
      <c r="AA581" s="42"/>
      <c r="AB581" s="42"/>
      <c r="AC581" s="42"/>
      <c r="AD581" s="65"/>
      <c r="AE581" s="42"/>
      <c r="AF581" s="42"/>
      <c r="AG581" s="42"/>
      <c r="AH581" s="42"/>
      <c r="AI581" s="65"/>
      <c r="AJ581" s="42"/>
      <c r="AK581" s="42"/>
      <c r="AL581" s="42"/>
      <c r="AM581" s="42"/>
      <c r="AN581" s="65"/>
      <c r="AO581" s="42"/>
      <c r="AP581" s="42"/>
      <c r="AQ581" s="42"/>
      <c r="AR581" s="42"/>
      <c r="AS581" s="65"/>
      <c r="AT581" s="42"/>
    </row>
    <row r="582" spans="1:46" x14ac:dyDescent="0.25">
      <c r="A582" s="3"/>
      <c r="B582" s="58"/>
      <c r="C582" s="59"/>
      <c r="D582" s="3"/>
      <c r="E582" s="3"/>
      <c r="F582" s="3"/>
      <c r="G582" s="3"/>
      <c r="H582" s="27"/>
      <c r="I582" s="60"/>
      <c r="J582" s="61"/>
      <c r="K582" s="30"/>
      <c r="L582" s="30"/>
      <c r="M582" s="30"/>
      <c r="N582" s="30"/>
      <c r="O582" s="31"/>
      <c r="P582" s="30"/>
      <c r="Q582" s="62"/>
      <c r="R582" s="62"/>
      <c r="S582" s="62"/>
      <c r="T582" s="62"/>
      <c r="U582" s="62"/>
      <c r="V582" s="63"/>
      <c r="W582" s="42"/>
      <c r="X582" s="63"/>
      <c r="Y582" s="65"/>
      <c r="Z582" s="42"/>
      <c r="AA582" s="42"/>
      <c r="AB582" s="42"/>
      <c r="AC582" s="42"/>
      <c r="AD582" s="65"/>
      <c r="AE582" s="42"/>
      <c r="AF582" s="42"/>
      <c r="AG582" s="42"/>
      <c r="AH582" s="42"/>
      <c r="AI582" s="65"/>
      <c r="AJ582" s="42"/>
      <c r="AK582" s="42"/>
      <c r="AL582" s="42"/>
      <c r="AM582" s="42"/>
      <c r="AN582" s="65"/>
      <c r="AO582" s="42"/>
      <c r="AP582" s="42"/>
      <c r="AQ582" s="42"/>
      <c r="AR582" s="42"/>
      <c r="AS582" s="65"/>
      <c r="AT582" s="42"/>
    </row>
    <row r="583" spans="1:46" x14ac:dyDescent="0.25">
      <c r="A583" s="3"/>
      <c r="B583" s="58"/>
      <c r="C583" s="59"/>
      <c r="D583" s="3"/>
      <c r="E583" s="3"/>
      <c r="F583" s="3"/>
      <c r="G583" s="3"/>
      <c r="H583" s="27"/>
      <c r="I583" s="60"/>
      <c r="J583" s="61"/>
      <c r="K583" s="30"/>
      <c r="L583" s="30"/>
      <c r="M583" s="30"/>
      <c r="N583" s="30"/>
      <c r="O583" s="31"/>
      <c r="P583" s="30"/>
      <c r="Q583" s="62"/>
      <c r="R583" s="62"/>
      <c r="S583" s="62"/>
      <c r="T583" s="62"/>
      <c r="U583" s="62"/>
      <c r="V583" s="63"/>
      <c r="W583" s="42"/>
      <c r="X583" s="63"/>
      <c r="Y583" s="65"/>
      <c r="Z583" s="42"/>
      <c r="AA583" s="42"/>
      <c r="AB583" s="42"/>
      <c r="AC583" s="42"/>
      <c r="AD583" s="65"/>
      <c r="AE583" s="42"/>
      <c r="AF583" s="42"/>
      <c r="AG583" s="42"/>
      <c r="AH583" s="42"/>
      <c r="AI583" s="65"/>
      <c r="AJ583" s="42"/>
      <c r="AK583" s="42"/>
      <c r="AL583" s="42"/>
      <c r="AM583" s="42"/>
      <c r="AN583" s="65"/>
      <c r="AO583" s="42"/>
      <c r="AP583" s="42"/>
      <c r="AQ583" s="42"/>
      <c r="AR583" s="42"/>
      <c r="AS583" s="65"/>
      <c r="AT583" s="42"/>
    </row>
    <row r="584" spans="1:46" x14ac:dyDescent="0.25">
      <c r="A584" s="3"/>
      <c r="B584" s="58"/>
      <c r="C584" s="59"/>
      <c r="D584" s="3"/>
      <c r="E584" s="3"/>
      <c r="F584" s="3"/>
      <c r="G584" s="3"/>
      <c r="H584" s="27"/>
      <c r="I584" s="60"/>
      <c r="J584" s="61"/>
      <c r="K584" s="30"/>
      <c r="L584" s="30"/>
      <c r="M584" s="30"/>
      <c r="N584" s="30"/>
      <c r="O584" s="31"/>
      <c r="P584" s="30"/>
      <c r="Q584" s="62"/>
      <c r="R584" s="62"/>
      <c r="S584" s="62"/>
      <c r="T584" s="62"/>
      <c r="U584" s="62"/>
      <c r="V584" s="63"/>
      <c r="W584" s="42"/>
      <c r="X584" s="63"/>
      <c r="Y584" s="65"/>
      <c r="Z584" s="42"/>
      <c r="AA584" s="42"/>
      <c r="AB584" s="42"/>
      <c r="AC584" s="42"/>
      <c r="AD584" s="65"/>
      <c r="AE584" s="42"/>
      <c r="AF584" s="42"/>
      <c r="AG584" s="42"/>
      <c r="AH584" s="42"/>
      <c r="AI584" s="65"/>
      <c r="AJ584" s="42"/>
      <c r="AK584" s="42"/>
      <c r="AL584" s="42"/>
      <c r="AM584" s="42"/>
      <c r="AN584" s="65"/>
      <c r="AO584" s="42"/>
      <c r="AP584" s="42"/>
      <c r="AQ584" s="42"/>
      <c r="AR584" s="42"/>
      <c r="AS584" s="65"/>
      <c r="AT584" s="42"/>
    </row>
    <row r="585" spans="1:46" x14ac:dyDescent="0.25">
      <c r="A585" s="3"/>
      <c r="B585" s="58"/>
      <c r="C585" s="59"/>
      <c r="D585" s="3"/>
      <c r="E585" s="3"/>
      <c r="F585" s="3"/>
      <c r="G585" s="3"/>
      <c r="H585" s="27"/>
      <c r="I585" s="60"/>
      <c r="J585" s="61"/>
      <c r="K585" s="30"/>
      <c r="L585" s="30"/>
      <c r="M585" s="30"/>
      <c r="N585" s="30"/>
      <c r="O585" s="31"/>
      <c r="P585" s="30"/>
      <c r="Q585" s="62"/>
      <c r="R585" s="62"/>
      <c r="S585" s="62"/>
      <c r="T585" s="62"/>
      <c r="U585" s="62"/>
      <c r="V585" s="63"/>
      <c r="W585" s="42"/>
      <c r="X585" s="63"/>
      <c r="Y585" s="65"/>
      <c r="Z585" s="42"/>
      <c r="AA585" s="42"/>
      <c r="AB585" s="42"/>
      <c r="AC585" s="42"/>
      <c r="AD585" s="65"/>
      <c r="AE585" s="42"/>
      <c r="AF585" s="42"/>
      <c r="AG585" s="42"/>
      <c r="AH585" s="42"/>
      <c r="AI585" s="65"/>
      <c r="AJ585" s="42"/>
      <c r="AK585" s="42"/>
      <c r="AL585" s="42"/>
      <c r="AM585" s="42"/>
      <c r="AN585" s="65"/>
      <c r="AO585" s="42"/>
      <c r="AP585" s="42"/>
      <c r="AQ585" s="42"/>
      <c r="AR585" s="42"/>
      <c r="AS585" s="65"/>
      <c r="AT585" s="42"/>
    </row>
    <row r="586" spans="1:46" x14ac:dyDescent="0.25">
      <c r="A586" s="3"/>
      <c r="B586" s="58"/>
      <c r="C586" s="59"/>
      <c r="D586" s="3"/>
      <c r="E586" s="3"/>
      <c r="F586" s="3"/>
      <c r="G586" s="3"/>
      <c r="H586" s="27"/>
      <c r="I586" s="60"/>
      <c r="J586" s="61"/>
      <c r="K586" s="30"/>
      <c r="L586" s="30"/>
      <c r="M586" s="30"/>
      <c r="N586" s="30"/>
      <c r="O586" s="31"/>
      <c r="P586" s="30"/>
      <c r="Q586" s="62"/>
      <c r="R586" s="62"/>
      <c r="S586" s="62"/>
      <c r="T586" s="62"/>
      <c r="U586" s="62"/>
      <c r="V586" s="63"/>
      <c r="W586" s="42"/>
      <c r="X586" s="63"/>
      <c r="Y586" s="65"/>
      <c r="Z586" s="42"/>
      <c r="AA586" s="42"/>
      <c r="AB586" s="42"/>
      <c r="AC586" s="42"/>
      <c r="AD586" s="65"/>
      <c r="AE586" s="42"/>
      <c r="AF586" s="42"/>
      <c r="AG586" s="42"/>
      <c r="AH586" s="42"/>
      <c r="AI586" s="65"/>
      <c r="AJ586" s="42"/>
      <c r="AK586" s="42"/>
      <c r="AL586" s="42"/>
      <c r="AM586" s="42"/>
      <c r="AN586" s="65"/>
      <c r="AO586" s="42"/>
      <c r="AP586" s="42"/>
      <c r="AQ586" s="42"/>
      <c r="AR586" s="42"/>
      <c r="AS586" s="65"/>
      <c r="AT586" s="42"/>
    </row>
    <row r="587" spans="1:46" x14ac:dyDescent="0.25">
      <c r="A587" s="3"/>
      <c r="B587" s="58"/>
      <c r="C587" s="59"/>
      <c r="D587" s="3"/>
      <c r="E587" s="3"/>
      <c r="F587" s="3"/>
      <c r="G587" s="3"/>
      <c r="H587" s="27"/>
      <c r="I587" s="60"/>
      <c r="J587" s="61"/>
      <c r="K587" s="30"/>
      <c r="L587" s="30"/>
      <c r="M587" s="30"/>
      <c r="N587" s="30"/>
      <c r="O587" s="31"/>
      <c r="P587" s="30"/>
      <c r="Q587" s="62"/>
      <c r="R587" s="62"/>
      <c r="S587" s="62"/>
      <c r="T587" s="62"/>
      <c r="U587" s="62"/>
      <c r="V587" s="63"/>
      <c r="W587" s="42"/>
      <c r="X587" s="63"/>
      <c r="Y587" s="65"/>
      <c r="Z587" s="42"/>
      <c r="AA587" s="42"/>
      <c r="AB587" s="42"/>
      <c r="AC587" s="42"/>
      <c r="AD587" s="65"/>
      <c r="AE587" s="42"/>
      <c r="AF587" s="42"/>
      <c r="AG587" s="42"/>
      <c r="AH587" s="42"/>
      <c r="AI587" s="65"/>
      <c r="AJ587" s="42"/>
      <c r="AK587" s="42"/>
      <c r="AL587" s="42"/>
      <c r="AM587" s="42"/>
      <c r="AN587" s="65"/>
      <c r="AO587" s="42"/>
      <c r="AP587" s="42"/>
      <c r="AQ587" s="42"/>
      <c r="AR587" s="42"/>
      <c r="AS587" s="65"/>
      <c r="AT587" s="42"/>
    </row>
    <row r="588" spans="1:46" x14ac:dyDescent="0.25">
      <c r="A588" s="3"/>
      <c r="B588" s="58"/>
      <c r="C588" s="59"/>
      <c r="D588" s="3"/>
      <c r="E588" s="3"/>
      <c r="F588" s="3"/>
      <c r="G588" s="3"/>
      <c r="H588" s="27"/>
      <c r="I588" s="60"/>
      <c r="J588" s="61"/>
      <c r="K588" s="30"/>
      <c r="L588" s="30"/>
      <c r="M588" s="30"/>
      <c r="N588" s="30"/>
      <c r="O588" s="31"/>
      <c r="P588" s="30"/>
      <c r="Q588" s="62"/>
      <c r="R588" s="62"/>
      <c r="S588" s="62"/>
      <c r="T588" s="62"/>
      <c r="U588" s="62"/>
      <c r="V588" s="63"/>
      <c r="W588" s="42"/>
      <c r="X588" s="63"/>
      <c r="Y588" s="65"/>
      <c r="Z588" s="42"/>
      <c r="AA588" s="42"/>
      <c r="AB588" s="42"/>
      <c r="AC588" s="42"/>
      <c r="AD588" s="65"/>
      <c r="AE588" s="42"/>
      <c r="AF588" s="42"/>
      <c r="AG588" s="42"/>
      <c r="AH588" s="42"/>
      <c r="AI588" s="65"/>
      <c r="AJ588" s="42"/>
      <c r="AK588" s="42"/>
      <c r="AL588" s="42"/>
      <c r="AM588" s="42"/>
      <c r="AN588" s="65"/>
      <c r="AO588" s="42"/>
      <c r="AP588" s="42"/>
      <c r="AQ588" s="42"/>
      <c r="AR588" s="42"/>
      <c r="AS588" s="65"/>
      <c r="AT588" s="42"/>
    </row>
    <row r="589" spans="1:46" x14ac:dyDescent="0.25">
      <c r="A589" s="3"/>
      <c r="B589" s="58"/>
      <c r="C589" s="59"/>
      <c r="D589" s="3"/>
      <c r="E589" s="3"/>
      <c r="F589" s="3"/>
      <c r="G589" s="3"/>
      <c r="H589" s="27"/>
      <c r="I589" s="60"/>
      <c r="J589" s="61"/>
      <c r="K589" s="30"/>
      <c r="L589" s="30"/>
      <c r="M589" s="30"/>
      <c r="N589" s="30"/>
      <c r="O589" s="31"/>
      <c r="P589" s="30"/>
      <c r="Q589" s="62"/>
      <c r="R589" s="62"/>
      <c r="S589" s="62"/>
      <c r="T589" s="62"/>
      <c r="U589" s="62"/>
      <c r="V589" s="63"/>
      <c r="W589" s="42"/>
      <c r="X589" s="63"/>
      <c r="Y589" s="65"/>
      <c r="Z589" s="42"/>
      <c r="AA589" s="42"/>
      <c r="AB589" s="42"/>
      <c r="AC589" s="42"/>
      <c r="AD589" s="65"/>
      <c r="AE589" s="42"/>
      <c r="AF589" s="42"/>
      <c r="AG589" s="42"/>
      <c r="AH589" s="42"/>
      <c r="AI589" s="65"/>
      <c r="AJ589" s="42"/>
      <c r="AK589" s="42"/>
      <c r="AL589" s="42"/>
      <c r="AM589" s="42"/>
      <c r="AN589" s="65"/>
      <c r="AO589" s="42"/>
      <c r="AP589" s="42"/>
      <c r="AQ589" s="42"/>
      <c r="AR589" s="42"/>
      <c r="AS589" s="65"/>
      <c r="AT589" s="42"/>
    </row>
    <row r="590" spans="1:46" x14ac:dyDescent="0.25">
      <c r="A590" s="3"/>
      <c r="B590" s="58"/>
      <c r="C590" s="59"/>
      <c r="D590" s="3"/>
      <c r="E590" s="3"/>
      <c r="F590" s="3"/>
      <c r="G590" s="3"/>
      <c r="H590" s="27"/>
      <c r="I590" s="60"/>
      <c r="J590" s="61"/>
      <c r="K590" s="30"/>
      <c r="L590" s="30"/>
      <c r="M590" s="30"/>
      <c r="N590" s="30"/>
      <c r="O590" s="31"/>
      <c r="P590" s="30"/>
      <c r="Q590" s="62"/>
      <c r="R590" s="62"/>
      <c r="S590" s="62"/>
      <c r="T590" s="62"/>
      <c r="U590" s="62"/>
      <c r="V590" s="63"/>
      <c r="W590" s="42"/>
      <c r="X590" s="63"/>
      <c r="Y590" s="65"/>
      <c r="Z590" s="42"/>
      <c r="AA590" s="42"/>
      <c r="AB590" s="42"/>
      <c r="AC590" s="42"/>
      <c r="AD590" s="65"/>
      <c r="AE590" s="42"/>
      <c r="AF590" s="42"/>
      <c r="AG590" s="42"/>
      <c r="AH590" s="42"/>
      <c r="AI590" s="65"/>
      <c r="AJ590" s="42"/>
      <c r="AK590" s="42"/>
      <c r="AL590" s="42"/>
      <c r="AM590" s="42"/>
      <c r="AN590" s="65"/>
      <c r="AO590" s="42"/>
      <c r="AP590" s="42"/>
      <c r="AQ590" s="42"/>
      <c r="AR590" s="42"/>
      <c r="AS590" s="65"/>
      <c r="AT590" s="42"/>
    </row>
    <row r="591" spans="1:46" x14ac:dyDescent="0.25">
      <c r="A591" s="3"/>
      <c r="B591" s="58"/>
      <c r="C591" s="59"/>
      <c r="D591" s="3"/>
      <c r="E591" s="3"/>
      <c r="F591" s="3"/>
      <c r="G591" s="3"/>
      <c r="H591" s="27"/>
      <c r="I591" s="60"/>
      <c r="J591" s="61"/>
      <c r="K591" s="30"/>
      <c r="L591" s="30"/>
      <c r="M591" s="30"/>
      <c r="N591" s="30"/>
      <c r="O591" s="31"/>
      <c r="P591" s="30"/>
      <c r="Q591" s="62"/>
      <c r="R591" s="62"/>
      <c r="S591" s="62"/>
      <c r="T591" s="62"/>
      <c r="U591" s="62"/>
      <c r="V591" s="63"/>
      <c r="W591" s="42"/>
      <c r="X591" s="63"/>
      <c r="Y591" s="65"/>
      <c r="Z591" s="42"/>
      <c r="AA591" s="42"/>
      <c r="AB591" s="42"/>
      <c r="AC591" s="42"/>
      <c r="AD591" s="65"/>
      <c r="AE591" s="42"/>
      <c r="AF591" s="42"/>
      <c r="AG591" s="42"/>
      <c r="AH591" s="42"/>
      <c r="AI591" s="65"/>
      <c r="AJ591" s="42"/>
      <c r="AK591" s="42"/>
      <c r="AL591" s="42"/>
      <c r="AM591" s="42"/>
      <c r="AN591" s="65"/>
      <c r="AO591" s="42"/>
      <c r="AP591" s="42"/>
      <c r="AQ591" s="42"/>
      <c r="AR591" s="42"/>
      <c r="AS591" s="65"/>
      <c r="AT591" s="42"/>
    </row>
    <row r="592" spans="1:46" x14ac:dyDescent="0.25">
      <c r="A592" s="3"/>
      <c r="B592" s="58"/>
      <c r="C592" s="59"/>
      <c r="D592" s="3"/>
      <c r="E592" s="3"/>
      <c r="F592" s="3"/>
      <c r="G592" s="3"/>
      <c r="H592" s="27"/>
      <c r="I592" s="60"/>
      <c r="J592" s="61"/>
      <c r="K592" s="30"/>
      <c r="L592" s="30"/>
      <c r="M592" s="30"/>
      <c r="N592" s="30"/>
      <c r="O592" s="31"/>
      <c r="P592" s="30"/>
      <c r="Q592" s="62"/>
      <c r="R592" s="62"/>
      <c r="S592" s="62"/>
      <c r="T592" s="62"/>
      <c r="U592" s="62"/>
      <c r="V592" s="63"/>
      <c r="W592" s="42"/>
      <c r="X592" s="63"/>
      <c r="Y592" s="65"/>
      <c r="Z592" s="42"/>
      <c r="AA592" s="42"/>
      <c r="AB592" s="42"/>
      <c r="AC592" s="42"/>
      <c r="AD592" s="65"/>
      <c r="AE592" s="42"/>
      <c r="AF592" s="42"/>
      <c r="AG592" s="42"/>
      <c r="AH592" s="42"/>
      <c r="AI592" s="65"/>
      <c r="AJ592" s="42"/>
      <c r="AK592" s="42"/>
      <c r="AL592" s="42"/>
      <c r="AM592" s="42"/>
      <c r="AN592" s="65"/>
      <c r="AO592" s="42"/>
      <c r="AP592" s="42"/>
      <c r="AQ592" s="42"/>
      <c r="AR592" s="42"/>
      <c r="AS592" s="65"/>
      <c r="AT592" s="42"/>
    </row>
    <row r="593" spans="1:46" x14ac:dyDescent="0.25">
      <c r="A593" s="3"/>
      <c r="B593" s="58"/>
      <c r="C593" s="59"/>
      <c r="D593" s="3"/>
      <c r="E593" s="3"/>
      <c r="F593" s="3"/>
      <c r="G593" s="3"/>
      <c r="H593" s="27"/>
      <c r="I593" s="60"/>
      <c r="J593" s="61"/>
      <c r="K593" s="30"/>
      <c r="L593" s="30"/>
      <c r="M593" s="30"/>
      <c r="N593" s="30"/>
      <c r="O593" s="31"/>
      <c r="P593" s="30"/>
      <c r="Q593" s="62"/>
      <c r="R593" s="62"/>
      <c r="S593" s="62"/>
      <c r="T593" s="62"/>
      <c r="U593" s="62"/>
      <c r="V593" s="63"/>
      <c r="W593" s="42"/>
      <c r="X593" s="63"/>
      <c r="Y593" s="65"/>
      <c r="Z593" s="42"/>
      <c r="AA593" s="42"/>
      <c r="AB593" s="42"/>
      <c r="AC593" s="42"/>
      <c r="AD593" s="65"/>
      <c r="AE593" s="42"/>
      <c r="AF593" s="42"/>
      <c r="AG593" s="42"/>
      <c r="AH593" s="42"/>
      <c r="AI593" s="65"/>
      <c r="AJ593" s="42"/>
      <c r="AK593" s="42"/>
      <c r="AL593" s="42"/>
      <c r="AM593" s="42"/>
      <c r="AN593" s="65"/>
      <c r="AO593" s="42"/>
      <c r="AP593" s="42"/>
      <c r="AQ593" s="42"/>
      <c r="AR593" s="42"/>
      <c r="AS593" s="65"/>
      <c r="AT593" s="42"/>
    </row>
    <row r="594" spans="1:46" x14ac:dyDescent="0.25">
      <c r="A594" s="3"/>
      <c r="B594" s="58"/>
      <c r="C594" s="59"/>
      <c r="D594" s="3"/>
      <c r="E594" s="3"/>
      <c r="F594" s="3"/>
      <c r="G594" s="3"/>
      <c r="H594" s="27"/>
      <c r="I594" s="60"/>
      <c r="J594" s="61"/>
      <c r="K594" s="30"/>
      <c r="L594" s="30"/>
      <c r="M594" s="30"/>
      <c r="N594" s="30"/>
      <c r="O594" s="31"/>
      <c r="P594" s="30"/>
      <c r="Q594" s="62"/>
      <c r="R594" s="62"/>
      <c r="S594" s="62"/>
      <c r="T594" s="62"/>
      <c r="U594" s="62"/>
      <c r="V594" s="63"/>
      <c r="W594" s="42"/>
      <c r="X594" s="63"/>
      <c r="Y594" s="65"/>
      <c r="Z594" s="42"/>
      <c r="AA594" s="42"/>
      <c r="AB594" s="42"/>
      <c r="AC594" s="42"/>
      <c r="AD594" s="65"/>
      <c r="AE594" s="42"/>
      <c r="AF594" s="42"/>
      <c r="AG594" s="42"/>
      <c r="AH594" s="42"/>
      <c r="AI594" s="65"/>
      <c r="AJ594" s="42"/>
      <c r="AK594" s="42"/>
      <c r="AL594" s="42"/>
      <c r="AM594" s="42"/>
      <c r="AN594" s="65"/>
      <c r="AO594" s="42"/>
      <c r="AP594" s="42"/>
      <c r="AQ594" s="42"/>
      <c r="AR594" s="42"/>
      <c r="AS594" s="65"/>
      <c r="AT594" s="42"/>
    </row>
    <row r="595" spans="1:46" x14ac:dyDescent="0.25">
      <c r="A595" s="3"/>
      <c r="B595" s="58"/>
      <c r="C595" s="59"/>
      <c r="D595" s="3"/>
      <c r="E595" s="3"/>
      <c r="F595" s="3"/>
      <c r="G595" s="3"/>
      <c r="H595" s="27"/>
      <c r="I595" s="60"/>
      <c r="J595" s="61"/>
      <c r="K595" s="30"/>
      <c r="L595" s="30"/>
      <c r="M595" s="30"/>
      <c r="N595" s="30"/>
      <c r="O595" s="31"/>
      <c r="P595" s="30"/>
      <c r="Q595" s="62"/>
      <c r="R595" s="62"/>
      <c r="S595" s="62"/>
      <c r="T595" s="62"/>
      <c r="U595" s="62"/>
      <c r="V595" s="63"/>
      <c r="W595" s="42"/>
      <c r="X595" s="63"/>
      <c r="Y595" s="65"/>
      <c r="Z595" s="42"/>
      <c r="AA595" s="42"/>
      <c r="AB595" s="42"/>
      <c r="AC595" s="42"/>
      <c r="AD595" s="65"/>
      <c r="AE595" s="42"/>
      <c r="AF595" s="42"/>
      <c r="AG595" s="42"/>
      <c r="AH595" s="42"/>
      <c r="AI595" s="65"/>
      <c r="AJ595" s="42"/>
      <c r="AK595" s="42"/>
      <c r="AL595" s="42"/>
      <c r="AM595" s="42"/>
      <c r="AN595" s="65"/>
      <c r="AO595" s="42"/>
      <c r="AP595" s="42"/>
      <c r="AQ595" s="42"/>
      <c r="AR595" s="42"/>
      <c r="AS595" s="65"/>
      <c r="AT595" s="42"/>
    </row>
    <row r="596" spans="1:46" x14ac:dyDescent="0.25">
      <c r="A596" s="3"/>
      <c r="B596" s="58"/>
      <c r="C596" s="59"/>
      <c r="D596" s="3"/>
      <c r="E596" s="3"/>
      <c r="F596" s="3"/>
      <c r="G596" s="3"/>
      <c r="H596" s="27"/>
      <c r="I596" s="60"/>
      <c r="J596" s="61"/>
      <c r="K596" s="30"/>
      <c r="L596" s="30"/>
      <c r="M596" s="30"/>
      <c r="N596" s="30"/>
      <c r="O596" s="31"/>
      <c r="P596" s="30"/>
      <c r="Q596" s="62"/>
      <c r="R596" s="62"/>
      <c r="S596" s="62"/>
      <c r="T596" s="62"/>
      <c r="U596" s="62"/>
      <c r="V596" s="63"/>
      <c r="W596" s="42"/>
      <c r="X596" s="63"/>
      <c r="Y596" s="65"/>
      <c r="Z596" s="42"/>
      <c r="AA596" s="42"/>
      <c r="AB596" s="42"/>
      <c r="AC596" s="42"/>
      <c r="AD596" s="65"/>
      <c r="AE596" s="42"/>
      <c r="AF596" s="42"/>
      <c r="AG596" s="42"/>
      <c r="AH596" s="42"/>
      <c r="AI596" s="65"/>
      <c r="AJ596" s="42"/>
      <c r="AK596" s="42"/>
      <c r="AL596" s="42"/>
      <c r="AM596" s="42"/>
      <c r="AN596" s="65"/>
      <c r="AO596" s="42"/>
      <c r="AP596" s="42"/>
      <c r="AQ596" s="42"/>
      <c r="AR596" s="42"/>
      <c r="AS596" s="65"/>
      <c r="AT596" s="42"/>
    </row>
    <row r="597" spans="1:46" x14ac:dyDescent="0.25">
      <c r="A597" s="3"/>
      <c r="B597" s="58"/>
      <c r="C597" s="59"/>
      <c r="D597" s="3"/>
      <c r="E597" s="3"/>
      <c r="F597" s="3"/>
      <c r="G597" s="3"/>
      <c r="H597" s="27"/>
      <c r="I597" s="60"/>
      <c r="J597" s="61"/>
      <c r="K597" s="30"/>
      <c r="L597" s="30"/>
      <c r="M597" s="30"/>
      <c r="N597" s="30"/>
      <c r="O597" s="31"/>
      <c r="P597" s="30"/>
      <c r="Q597" s="62"/>
      <c r="R597" s="62"/>
      <c r="S597" s="62"/>
      <c r="T597" s="62"/>
      <c r="U597" s="62"/>
      <c r="V597" s="63"/>
      <c r="W597" s="42"/>
      <c r="X597" s="63"/>
      <c r="Y597" s="65"/>
      <c r="Z597" s="42"/>
      <c r="AA597" s="42"/>
      <c r="AB597" s="42"/>
      <c r="AC597" s="42"/>
      <c r="AD597" s="65"/>
      <c r="AE597" s="42"/>
      <c r="AF597" s="42"/>
      <c r="AG597" s="42"/>
      <c r="AH597" s="42"/>
      <c r="AI597" s="65"/>
      <c r="AJ597" s="42"/>
      <c r="AK597" s="42"/>
      <c r="AL597" s="42"/>
      <c r="AM597" s="42"/>
      <c r="AN597" s="65"/>
      <c r="AO597" s="42"/>
      <c r="AP597" s="42"/>
      <c r="AQ597" s="42"/>
      <c r="AR597" s="42"/>
      <c r="AS597" s="65"/>
      <c r="AT597" s="42"/>
    </row>
    <row r="598" spans="1:46" x14ac:dyDescent="0.25">
      <c r="A598" s="3"/>
      <c r="B598" s="58"/>
      <c r="C598" s="59"/>
      <c r="D598" s="3"/>
      <c r="E598" s="3"/>
      <c r="F598" s="3"/>
      <c r="G598" s="3"/>
      <c r="H598" s="27"/>
      <c r="I598" s="60"/>
      <c r="J598" s="61"/>
      <c r="K598" s="30"/>
      <c r="L598" s="30"/>
      <c r="M598" s="30"/>
      <c r="N598" s="30"/>
      <c r="O598" s="31"/>
      <c r="P598" s="30"/>
      <c r="Q598" s="62"/>
      <c r="R598" s="62"/>
      <c r="S598" s="62"/>
      <c r="T598" s="62"/>
      <c r="U598" s="62"/>
      <c r="V598" s="63"/>
      <c r="W598" s="42"/>
      <c r="X598" s="63"/>
      <c r="Y598" s="65"/>
      <c r="Z598" s="42"/>
      <c r="AA598" s="42"/>
      <c r="AB598" s="42"/>
      <c r="AC598" s="42"/>
      <c r="AD598" s="65"/>
      <c r="AE598" s="42"/>
      <c r="AF598" s="42"/>
      <c r="AG598" s="42"/>
      <c r="AH598" s="42"/>
      <c r="AI598" s="65"/>
      <c r="AJ598" s="42"/>
      <c r="AK598" s="42"/>
      <c r="AL598" s="42"/>
      <c r="AM598" s="42"/>
      <c r="AN598" s="65"/>
      <c r="AO598" s="42"/>
      <c r="AP598" s="42"/>
      <c r="AQ598" s="42"/>
      <c r="AR598" s="42"/>
      <c r="AS598" s="65"/>
      <c r="AT598" s="42"/>
    </row>
    <row r="599" spans="1:46" x14ac:dyDescent="0.25">
      <c r="A599" s="3"/>
      <c r="B599" s="58"/>
      <c r="C599" s="59"/>
      <c r="D599" s="3"/>
      <c r="E599" s="3"/>
      <c r="F599" s="3"/>
      <c r="G599" s="3"/>
      <c r="H599" s="27"/>
      <c r="I599" s="60"/>
      <c r="J599" s="61"/>
      <c r="K599" s="30"/>
      <c r="L599" s="30"/>
      <c r="M599" s="30"/>
      <c r="N599" s="30"/>
      <c r="O599" s="31"/>
      <c r="P599" s="30"/>
      <c r="Q599" s="62"/>
      <c r="R599" s="62"/>
      <c r="S599" s="62"/>
      <c r="T599" s="62"/>
      <c r="U599" s="62"/>
      <c r="V599" s="63"/>
      <c r="W599" s="42"/>
      <c r="X599" s="63"/>
      <c r="Y599" s="65"/>
      <c r="Z599" s="42"/>
      <c r="AA599" s="42"/>
      <c r="AB599" s="42"/>
      <c r="AC599" s="42"/>
      <c r="AD599" s="65"/>
      <c r="AE599" s="42"/>
      <c r="AF599" s="42"/>
      <c r="AG599" s="42"/>
      <c r="AH599" s="42"/>
      <c r="AI599" s="65"/>
      <c r="AJ599" s="42"/>
      <c r="AK599" s="42"/>
      <c r="AL599" s="42"/>
      <c r="AM599" s="42"/>
      <c r="AN599" s="65"/>
      <c r="AO599" s="42"/>
      <c r="AP599" s="42"/>
      <c r="AQ599" s="42"/>
      <c r="AR599" s="42"/>
      <c r="AS599" s="65"/>
      <c r="AT599" s="42"/>
    </row>
    <row r="600" spans="1:46" x14ac:dyDescent="0.25">
      <c r="A600" s="3"/>
      <c r="B600" s="58"/>
      <c r="C600" s="59"/>
      <c r="D600" s="3"/>
      <c r="E600" s="3"/>
      <c r="F600" s="3"/>
      <c r="G600" s="3"/>
      <c r="H600" s="27"/>
      <c r="I600" s="60"/>
      <c r="J600" s="61"/>
      <c r="K600" s="30"/>
      <c r="L600" s="30"/>
      <c r="M600" s="30"/>
      <c r="N600" s="30"/>
      <c r="O600" s="31"/>
      <c r="P600" s="30"/>
      <c r="Q600" s="62"/>
      <c r="R600" s="62"/>
      <c r="S600" s="62"/>
      <c r="T600" s="62"/>
      <c r="U600" s="62"/>
      <c r="V600" s="63"/>
      <c r="W600" s="42"/>
      <c r="X600" s="63"/>
      <c r="Y600" s="65"/>
      <c r="Z600" s="42"/>
      <c r="AA600" s="42"/>
      <c r="AB600" s="42"/>
      <c r="AC600" s="42"/>
      <c r="AD600" s="65"/>
      <c r="AE600" s="42"/>
      <c r="AF600" s="42"/>
      <c r="AG600" s="42"/>
      <c r="AH600" s="42"/>
      <c r="AI600" s="65"/>
      <c r="AJ600" s="42"/>
      <c r="AK600" s="42"/>
      <c r="AL600" s="42"/>
      <c r="AM600" s="42"/>
      <c r="AN600" s="65"/>
      <c r="AO600" s="42"/>
      <c r="AP600" s="42"/>
      <c r="AQ600" s="42"/>
      <c r="AR600" s="42"/>
      <c r="AS600" s="65"/>
      <c r="AT600" s="42"/>
    </row>
    <row r="601" spans="1:46" x14ac:dyDescent="0.25">
      <c r="A601" s="3"/>
      <c r="B601" s="58"/>
      <c r="C601" s="59"/>
      <c r="D601" s="3"/>
      <c r="E601" s="3"/>
      <c r="F601" s="3"/>
      <c r="G601" s="3"/>
      <c r="H601" s="27"/>
      <c r="I601" s="60"/>
      <c r="J601" s="61"/>
      <c r="K601" s="30"/>
      <c r="L601" s="30"/>
      <c r="M601" s="30"/>
      <c r="N601" s="30"/>
      <c r="O601" s="31"/>
      <c r="P601" s="30"/>
      <c r="Q601" s="62"/>
      <c r="R601" s="62"/>
      <c r="S601" s="62"/>
      <c r="T601" s="62"/>
      <c r="U601" s="62"/>
      <c r="V601" s="63"/>
      <c r="W601" s="42"/>
      <c r="X601" s="63"/>
      <c r="Y601" s="65"/>
      <c r="Z601" s="42"/>
      <c r="AA601" s="42"/>
      <c r="AB601" s="42"/>
      <c r="AC601" s="42"/>
      <c r="AD601" s="65"/>
      <c r="AE601" s="42"/>
      <c r="AF601" s="42"/>
      <c r="AG601" s="42"/>
      <c r="AH601" s="42"/>
      <c r="AI601" s="65"/>
      <c r="AJ601" s="42"/>
      <c r="AK601" s="42"/>
      <c r="AL601" s="42"/>
      <c r="AM601" s="42"/>
      <c r="AN601" s="65"/>
      <c r="AO601" s="42"/>
      <c r="AP601" s="42"/>
      <c r="AQ601" s="42"/>
      <c r="AR601" s="42"/>
      <c r="AS601" s="65"/>
      <c r="AT601" s="42"/>
    </row>
    <row r="602" spans="1:46" x14ac:dyDescent="0.25">
      <c r="A602" s="3"/>
      <c r="B602" s="58"/>
      <c r="C602" s="59"/>
      <c r="D602" s="3"/>
      <c r="E602" s="3"/>
      <c r="F602" s="3"/>
      <c r="G602" s="3"/>
      <c r="H602" s="27"/>
      <c r="I602" s="60"/>
      <c r="J602" s="61"/>
      <c r="K602" s="30"/>
      <c r="L602" s="30"/>
      <c r="M602" s="30"/>
      <c r="N602" s="30"/>
      <c r="O602" s="31"/>
      <c r="P602" s="30"/>
      <c r="Q602" s="62"/>
      <c r="R602" s="62"/>
      <c r="S602" s="62"/>
      <c r="T602" s="62"/>
      <c r="U602" s="62"/>
      <c r="V602" s="63"/>
      <c r="W602" s="42"/>
      <c r="X602" s="63"/>
      <c r="Y602" s="65"/>
      <c r="Z602" s="42"/>
      <c r="AA602" s="42"/>
      <c r="AB602" s="42"/>
      <c r="AC602" s="42"/>
      <c r="AD602" s="65"/>
      <c r="AE602" s="42"/>
      <c r="AF602" s="42"/>
      <c r="AG602" s="42"/>
      <c r="AH602" s="42"/>
      <c r="AI602" s="65"/>
      <c r="AJ602" s="42"/>
      <c r="AK602" s="42"/>
      <c r="AL602" s="42"/>
      <c r="AM602" s="42"/>
      <c r="AN602" s="65"/>
      <c r="AO602" s="42"/>
      <c r="AP602" s="42"/>
      <c r="AQ602" s="42"/>
      <c r="AR602" s="42"/>
      <c r="AS602" s="65"/>
      <c r="AT602" s="42"/>
    </row>
    <row r="603" spans="1:46" x14ac:dyDescent="0.25">
      <c r="A603" s="3"/>
      <c r="B603" s="58"/>
      <c r="C603" s="59"/>
      <c r="D603" s="3"/>
      <c r="E603" s="3"/>
      <c r="F603" s="3"/>
      <c r="G603" s="3"/>
      <c r="H603" s="27"/>
      <c r="I603" s="60"/>
      <c r="J603" s="61"/>
      <c r="K603" s="30"/>
      <c r="L603" s="30"/>
      <c r="M603" s="30"/>
      <c r="N603" s="30"/>
      <c r="O603" s="31"/>
      <c r="P603" s="30"/>
      <c r="Q603" s="62"/>
      <c r="R603" s="62"/>
      <c r="S603" s="62"/>
      <c r="T603" s="62"/>
      <c r="U603" s="62"/>
      <c r="V603" s="63"/>
      <c r="W603" s="42"/>
      <c r="X603" s="63"/>
      <c r="Y603" s="65"/>
      <c r="Z603" s="42"/>
      <c r="AA603" s="42"/>
      <c r="AB603" s="42"/>
      <c r="AC603" s="42"/>
      <c r="AD603" s="65"/>
      <c r="AE603" s="42"/>
      <c r="AF603" s="42"/>
      <c r="AG603" s="42"/>
      <c r="AH603" s="42"/>
      <c r="AI603" s="65"/>
      <c r="AJ603" s="42"/>
      <c r="AK603" s="42"/>
      <c r="AL603" s="42"/>
      <c r="AM603" s="42"/>
      <c r="AN603" s="65"/>
      <c r="AO603" s="42"/>
      <c r="AP603" s="42"/>
      <c r="AQ603" s="42"/>
      <c r="AR603" s="42"/>
      <c r="AS603" s="65"/>
      <c r="AT603" s="42"/>
    </row>
    <row r="604" spans="1:46" x14ac:dyDescent="0.25">
      <c r="A604" s="3"/>
      <c r="B604" s="58"/>
      <c r="C604" s="59"/>
      <c r="D604" s="3"/>
      <c r="E604" s="3"/>
      <c r="F604" s="3"/>
      <c r="G604" s="3"/>
      <c r="H604" s="27"/>
      <c r="I604" s="60"/>
      <c r="J604" s="61"/>
      <c r="K604" s="30"/>
      <c r="L604" s="30"/>
      <c r="M604" s="30"/>
      <c r="N604" s="30"/>
      <c r="O604" s="31"/>
      <c r="P604" s="30"/>
      <c r="Q604" s="62"/>
      <c r="R604" s="62"/>
      <c r="S604" s="62"/>
      <c r="T604" s="62"/>
      <c r="U604" s="62"/>
      <c r="V604" s="63"/>
      <c r="W604" s="42"/>
      <c r="X604" s="63"/>
      <c r="Y604" s="65"/>
      <c r="Z604" s="42"/>
      <c r="AA604" s="42"/>
      <c r="AB604" s="42"/>
      <c r="AC604" s="42"/>
      <c r="AD604" s="65"/>
      <c r="AE604" s="42"/>
      <c r="AF604" s="42"/>
      <c r="AG604" s="42"/>
      <c r="AH604" s="42"/>
      <c r="AI604" s="65"/>
      <c r="AJ604" s="42"/>
      <c r="AK604" s="42"/>
      <c r="AL604" s="42"/>
      <c r="AM604" s="42"/>
      <c r="AN604" s="65"/>
      <c r="AO604" s="42"/>
      <c r="AP604" s="42"/>
      <c r="AQ604" s="42"/>
      <c r="AR604" s="42"/>
      <c r="AS604" s="65"/>
      <c r="AT604" s="42"/>
    </row>
    <row r="605" spans="1:46" x14ac:dyDescent="0.25">
      <c r="A605" s="3"/>
      <c r="B605" s="58"/>
      <c r="C605" s="59"/>
      <c r="D605" s="3"/>
      <c r="E605" s="3"/>
      <c r="F605" s="3"/>
      <c r="G605" s="3"/>
      <c r="H605" s="27"/>
      <c r="I605" s="60"/>
      <c r="J605" s="61"/>
      <c r="K605" s="30"/>
      <c r="L605" s="30"/>
      <c r="M605" s="30"/>
      <c r="N605" s="30"/>
      <c r="O605" s="31"/>
      <c r="P605" s="30"/>
      <c r="Q605" s="62"/>
      <c r="R605" s="62"/>
      <c r="S605" s="62"/>
      <c r="T605" s="62"/>
      <c r="U605" s="62"/>
      <c r="V605" s="63"/>
      <c r="W605" s="42"/>
      <c r="X605" s="63"/>
      <c r="Y605" s="65"/>
      <c r="Z605" s="42"/>
      <c r="AA605" s="42"/>
      <c r="AB605" s="42"/>
      <c r="AC605" s="42"/>
      <c r="AD605" s="65"/>
      <c r="AE605" s="42"/>
      <c r="AF605" s="42"/>
      <c r="AG605" s="42"/>
      <c r="AH605" s="42"/>
      <c r="AI605" s="65"/>
      <c r="AJ605" s="42"/>
      <c r="AK605" s="42"/>
      <c r="AL605" s="42"/>
      <c r="AM605" s="42"/>
      <c r="AN605" s="65"/>
      <c r="AO605" s="42"/>
      <c r="AP605" s="42"/>
      <c r="AQ605" s="42"/>
      <c r="AR605" s="42"/>
      <c r="AS605" s="65"/>
      <c r="AT605" s="42"/>
    </row>
    <row r="606" spans="1:46" x14ac:dyDescent="0.25">
      <c r="A606" s="3"/>
      <c r="B606" s="58"/>
      <c r="C606" s="59"/>
      <c r="D606" s="3"/>
      <c r="E606" s="3"/>
      <c r="F606" s="3"/>
      <c r="G606" s="3"/>
      <c r="H606" s="27"/>
      <c r="I606" s="60"/>
      <c r="J606" s="61"/>
      <c r="K606" s="30"/>
      <c r="L606" s="30"/>
      <c r="M606" s="30"/>
      <c r="N606" s="30"/>
      <c r="O606" s="31"/>
      <c r="P606" s="30"/>
      <c r="Q606" s="62"/>
      <c r="R606" s="62"/>
      <c r="S606" s="62"/>
      <c r="T606" s="62"/>
      <c r="U606" s="62"/>
      <c r="V606" s="63"/>
      <c r="W606" s="42"/>
      <c r="X606" s="63"/>
      <c r="Y606" s="65"/>
      <c r="Z606" s="42"/>
      <c r="AA606" s="42"/>
      <c r="AB606" s="42"/>
      <c r="AC606" s="42"/>
      <c r="AD606" s="65"/>
      <c r="AE606" s="42"/>
      <c r="AF606" s="42"/>
      <c r="AG606" s="42"/>
      <c r="AH606" s="42"/>
      <c r="AI606" s="65"/>
      <c r="AJ606" s="42"/>
      <c r="AK606" s="42"/>
      <c r="AL606" s="42"/>
      <c r="AM606" s="42"/>
      <c r="AN606" s="65"/>
      <c r="AO606" s="42"/>
      <c r="AP606" s="42"/>
      <c r="AQ606" s="42"/>
      <c r="AR606" s="42"/>
      <c r="AS606" s="65"/>
      <c r="AT606" s="42"/>
    </row>
    <row r="607" spans="1:46" x14ac:dyDescent="0.25">
      <c r="A607" s="3"/>
      <c r="B607" s="58"/>
      <c r="C607" s="59"/>
      <c r="D607" s="3"/>
      <c r="E607" s="3"/>
      <c r="F607" s="3"/>
      <c r="G607" s="3"/>
      <c r="H607" s="27"/>
      <c r="I607" s="60"/>
      <c r="J607" s="61"/>
      <c r="K607" s="30"/>
      <c r="L607" s="30"/>
      <c r="M607" s="30"/>
      <c r="N607" s="30"/>
      <c r="O607" s="31"/>
      <c r="P607" s="30"/>
      <c r="Q607" s="62"/>
      <c r="R607" s="62"/>
      <c r="S607" s="62"/>
      <c r="T607" s="62"/>
      <c r="U607" s="62"/>
      <c r="V607" s="63"/>
      <c r="W607" s="42"/>
      <c r="X607" s="63"/>
      <c r="Y607" s="65"/>
      <c r="Z607" s="42"/>
      <c r="AA607" s="42"/>
      <c r="AB607" s="42"/>
      <c r="AC607" s="42"/>
      <c r="AD607" s="65"/>
      <c r="AE607" s="42"/>
      <c r="AF607" s="42"/>
      <c r="AG607" s="42"/>
      <c r="AH607" s="42"/>
      <c r="AI607" s="65"/>
      <c r="AJ607" s="42"/>
      <c r="AK607" s="42"/>
      <c r="AL607" s="42"/>
      <c r="AM607" s="42"/>
      <c r="AN607" s="65"/>
      <c r="AO607" s="42"/>
      <c r="AP607" s="42"/>
      <c r="AQ607" s="42"/>
      <c r="AR607" s="42"/>
      <c r="AS607" s="65"/>
      <c r="AT607" s="42"/>
    </row>
    <row r="608" spans="1:46" x14ac:dyDescent="0.25">
      <c r="A608" s="3"/>
      <c r="B608" s="58"/>
      <c r="C608" s="59"/>
      <c r="D608" s="3"/>
      <c r="E608" s="3"/>
      <c r="F608" s="3"/>
      <c r="G608" s="3"/>
      <c r="H608" s="27"/>
      <c r="I608" s="60"/>
      <c r="J608" s="61"/>
      <c r="K608" s="30"/>
      <c r="L608" s="30"/>
      <c r="M608" s="30"/>
      <c r="N608" s="30"/>
      <c r="O608" s="31"/>
      <c r="P608" s="30"/>
      <c r="Q608" s="62"/>
      <c r="R608" s="62"/>
      <c r="S608" s="62"/>
      <c r="T608" s="62"/>
      <c r="U608" s="62"/>
      <c r="V608" s="63"/>
      <c r="W608" s="42"/>
      <c r="X608" s="63"/>
      <c r="Y608" s="65"/>
      <c r="Z608" s="42"/>
      <c r="AA608" s="42"/>
      <c r="AB608" s="42"/>
      <c r="AC608" s="42"/>
      <c r="AD608" s="65"/>
      <c r="AE608" s="42"/>
      <c r="AF608" s="42"/>
      <c r="AG608" s="42"/>
      <c r="AH608" s="42"/>
      <c r="AI608" s="65"/>
      <c r="AJ608" s="42"/>
      <c r="AK608" s="42"/>
      <c r="AL608" s="42"/>
      <c r="AM608" s="42"/>
      <c r="AN608" s="65"/>
      <c r="AO608" s="42"/>
      <c r="AP608" s="42"/>
      <c r="AQ608" s="42"/>
      <c r="AR608" s="42"/>
      <c r="AS608" s="65"/>
      <c r="AT608" s="42"/>
    </row>
    <row r="609" spans="1:46" x14ac:dyDescent="0.25">
      <c r="A609" s="3"/>
      <c r="B609" s="58"/>
      <c r="C609" s="59"/>
      <c r="D609" s="3"/>
      <c r="E609" s="3"/>
      <c r="F609" s="3"/>
      <c r="G609" s="3"/>
      <c r="H609" s="27"/>
      <c r="I609" s="60"/>
      <c r="J609" s="61"/>
      <c r="K609" s="30"/>
      <c r="L609" s="30"/>
      <c r="M609" s="30"/>
      <c r="N609" s="30"/>
      <c r="O609" s="31"/>
      <c r="P609" s="30"/>
      <c r="Q609" s="62"/>
      <c r="R609" s="62"/>
      <c r="S609" s="62"/>
      <c r="T609" s="62"/>
      <c r="U609" s="62"/>
      <c r="V609" s="63"/>
      <c r="W609" s="42"/>
      <c r="X609" s="63"/>
      <c r="Y609" s="65"/>
      <c r="Z609" s="42"/>
      <c r="AA609" s="42"/>
      <c r="AB609" s="42"/>
      <c r="AC609" s="42"/>
      <c r="AD609" s="65"/>
      <c r="AE609" s="42"/>
      <c r="AF609" s="42"/>
      <c r="AG609" s="42"/>
      <c r="AH609" s="42"/>
      <c r="AI609" s="65"/>
      <c r="AJ609" s="42"/>
      <c r="AK609" s="42"/>
      <c r="AL609" s="42"/>
      <c r="AM609" s="42"/>
      <c r="AN609" s="65"/>
      <c r="AO609" s="42"/>
      <c r="AP609" s="42"/>
      <c r="AQ609" s="42"/>
      <c r="AR609" s="42"/>
      <c r="AS609" s="65"/>
      <c r="AT609" s="42"/>
    </row>
    <row r="610" spans="1:46" x14ac:dyDescent="0.25">
      <c r="A610" s="3"/>
      <c r="B610" s="58"/>
      <c r="C610" s="59"/>
      <c r="D610" s="3"/>
      <c r="E610" s="3"/>
      <c r="F610" s="3"/>
      <c r="G610" s="3"/>
      <c r="H610" s="27"/>
      <c r="I610" s="60"/>
      <c r="J610" s="61"/>
      <c r="K610" s="30"/>
      <c r="L610" s="30"/>
      <c r="M610" s="30"/>
      <c r="N610" s="30"/>
      <c r="O610" s="31"/>
      <c r="P610" s="30"/>
      <c r="Q610" s="62"/>
      <c r="R610" s="62"/>
      <c r="S610" s="62"/>
      <c r="T610" s="62"/>
      <c r="U610" s="62"/>
      <c r="V610" s="63"/>
      <c r="W610" s="42"/>
      <c r="X610" s="63"/>
      <c r="Y610" s="65"/>
      <c r="Z610" s="42"/>
      <c r="AA610" s="42"/>
      <c r="AB610" s="42"/>
      <c r="AC610" s="42"/>
      <c r="AD610" s="65"/>
      <c r="AE610" s="42"/>
      <c r="AF610" s="42"/>
      <c r="AG610" s="42"/>
      <c r="AH610" s="42"/>
      <c r="AI610" s="65"/>
      <c r="AJ610" s="42"/>
      <c r="AK610" s="42"/>
      <c r="AL610" s="42"/>
      <c r="AM610" s="42"/>
      <c r="AN610" s="65"/>
      <c r="AO610" s="42"/>
      <c r="AP610" s="42"/>
      <c r="AQ610" s="42"/>
      <c r="AR610" s="42"/>
      <c r="AS610" s="65"/>
      <c r="AT610" s="42"/>
    </row>
    <row r="611" spans="1:46" x14ac:dyDescent="0.25">
      <c r="A611" s="3"/>
      <c r="B611" s="58"/>
      <c r="C611" s="59"/>
      <c r="D611" s="3"/>
      <c r="E611" s="3"/>
      <c r="F611" s="3"/>
      <c r="G611" s="3"/>
      <c r="H611" s="27"/>
      <c r="I611" s="60"/>
      <c r="J611" s="61"/>
      <c r="K611" s="30"/>
      <c r="L611" s="30"/>
      <c r="M611" s="30"/>
      <c r="N611" s="30"/>
      <c r="O611" s="31"/>
      <c r="P611" s="30"/>
      <c r="Q611" s="62"/>
      <c r="R611" s="62"/>
      <c r="S611" s="62"/>
      <c r="T611" s="62"/>
      <c r="U611" s="62"/>
      <c r="V611" s="63"/>
      <c r="W611" s="42"/>
      <c r="X611" s="63"/>
      <c r="Y611" s="65"/>
      <c r="Z611" s="42"/>
      <c r="AA611" s="42"/>
      <c r="AB611" s="42"/>
      <c r="AC611" s="42"/>
      <c r="AD611" s="65"/>
      <c r="AE611" s="42"/>
      <c r="AF611" s="42"/>
      <c r="AG611" s="42"/>
      <c r="AH611" s="42"/>
      <c r="AI611" s="65"/>
      <c r="AJ611" s="42"/>
      <c r="AK611" s="42"/>
      <c r="AL611" s="42"/>
      <c r="AM611" s="42"/>
      <c r="AN611" s="65"/>
      <c r="AO611" s="42"/>
      <c r="AP611" s="42"/>
      <c r="AQ611" s="42"/>
      <c r="AR611" s="42"/>
      <c r="AS611" s="65"/>
      <c r="AT611" s="42"/>
    </row>
    <row r="612" spans="1:46" x14ac:dyDescent="0.25">
      <c r="A612" s="3"/>
      <c r="B612" s="58"/>
      <c r="C612" s="59"/>
      <c r="D612" s="3"/>
      <c r="E612" s="3"/>
      <c r="F612" s="3"/>
      <c r="G612" s="3"/>
      <c r="H612" s="27"/>
      <c r="I612" s="60"/>
      <c r="J612" s="61"/>
      <c r="K612" s="30"/>
      <c r="L612" s="30"/>
      <c r="M612" s="30"/>
      <c r="N612" s="30"/>
      <c r="O612" s="31"/>
      <c r="P612" s="30"/>
      <c r="Q612" s="62"/>
      <c r="R612" s="62"/>
      <c r="S612" s="62"/>
      <c r="T612" s="62"/>
      <c r="U612" s="62"/>
      <c r="V612" s="63"/>
      <c r="W612" s="42"/>
      <c r="X612" s="63"/>
      <c r="Y612" s="65"/>
      <c r="Z612" s="42"/>
      <c r="AA612" s="42"/>
      <c r="AB612" s="42"/>
      <c r="AC612" s="42"/>
      <c r="AD612" s="65"/>
      <c r="AE612" s="42"/>
      <c r="AF612" s="42"/>
      <c r="AG612" s="42"/>
      <c r="AH612" s="42"/>
      <c r="AI612" s="65"/>
      <c r="AJ612" s="42"/>
      <c r="AK612" s="42"/>
      <c r="AL612" s="42"/>
      <c r="AM612" s="42"/>
      <c r="AN612" s="65"/>
      <c r="AO612" s="42"/>
      <c r="AP612" s="42"/>
      <c r="AQ612" s="42"/>
      <c r="AR612" s="42"/>
      <c r="AS612" s="65"/>
      <c r="AT612" s="42"/>
    </row>
    <row r="613" spans="1:46" x14ac:dyDescent="0.25">
      <c r="A613" s="3"/>
      <c r="B613" s="58"/>
      <c r="C613" s="59"/>
      <c r="D613" s="3"/>
      <c r="E613" s="3"/>
      <c r="F613" s="3"/>
      <c r="G613" s="3"/>
      <c r="H613" s="27"/>
      <c r="I613" s="60"/>
      <c r="J613" s="61"/>
      <c r="K613" s="30"/>
      <c r="L613" s="30"/>
      <c r="M613" s="30"/>
      <c r="N613" s="30"/>
      <c r="O613" s="31"/>
      <c r="P613" s="30"/>
      <c r="Q613" s="62"/>
      <c r="R613" s="62"/>
      <c r="S613" s="62"/>
      <c r="T613" s="62"/>
      <c r="U613" s="62"/>
      <c r="V613" s="63"/>
      <c r="W613" s="42"/>
      <c r="X613" s="63"/>
      <c r="Y613" s="65"/>
      <c r="Z613" s="42"/>
      <c r="AA613" s="42"/>
      <c r="AB613" s="42"/>
      <c r="AC613" s="42"/>
      <c r="AD613" s="65"/>
      <c r="AE613" s="42"/>
      <c r="AF613" s="42"/>
      <c r="AG613" s="42"/>
      <c r="AH613" s="42"/>
      <c r="AI613" s="65"/>
      <c r="AJ613" s="42"/>
      <c r="AK613" s="42"/>
      <c r="AL613" s="42"/>
      <c r="AM613" s="42"/>
      <c r="AN613" s="65"/>
      <c r="AO613" s="42"/>
      <c r="AP613" s="42"/>
      <c r="AQ613" s="42"/>
      <c r="AR613" s="42"/>
      <c r="AS613" s="65"/>
      <c r="AT613" s="42"/>
    </row>
    <row r="614" spans="1:46" x14ac:dyDescent="0.25">
      <c r="A614" s="3"/>
      <c r="B614" s="58"/>
      <c r="C614" s="59"/>
      <c r="D614" s="3"/>
      <c r="E614" s="3"/>
      <c r="F614" s="3"/>
      <c r="G614" s="3"/>
      <c r="H614" s="27"/>
      <c r="I614" s="60"/>
      <c r="J614" s="61"/>
      <c r="K614" s="30"/>
      <c r="L614" s="30"/>
      <c r="M614" s="30"/>
      <c r="N614" s="30"/>
      <c r="O614" s="31"/>
      <c r="P614" s="30"/>
      <c r="Q614" s="62"/>
      <c r="R614" s="62"/>
      <c r="S614" s="62"/>
      <c r="T614" s="62"/>
      <c r="U614" s="62"/>
      <c r="V614" s="63"/>
      <c r="W614" s="42"/>
      <c r="X614" s="63"/>
      <c r="Y614" s="65"/>
      <c r="Z614" s="42"/>
      <c r="AA614" s="42"/>
      <c r="AB614" s="42"/>
      <c r="AC614" s="42"/>
      <c r="AD614" s="65"/>
      <c r="AE614" s="42"/>
      <c r="AF614" s="42"/>
      <c r="AG614" s="42"/>
      <c r="AH614" s="42"/>
      <c r="AI614" s="65"/>
      <c r="AJ614" s="42"/>
      <c r="AK614" s="42"/>
      <c r="AL614" s="42"/>
      <c r="AM614" s="42"/>
      <c r="AN614" s="65"/>
      <c r="AO614" s="42"/>
      <c r="AP614" s="42"/>
      <c r="AQ614" s="42"/>
      <c r="AR614" s="42"/>
      <c r="AS614" s="65"/>
      <c r="AT614" s="42"/>
    </row>
    <row r="615" spans="1:46" x14ac:dyDescent="0.25">
      <c r="A615" s="3"/>
      <c r="B615" s="58"/>
      <c r="C615" s="59"/>
      <c r="D615" s="3"/>
      <c r="E615" s="3"/>
      <c r="F615" s="3"/>
      <c r="G615" s="3"/>
      <c r="H615" s="27"/>
      <c r="I615" s="60"/>
      <c r="J615" s="61"/>
      <c r="K615" s="30"/>
      <c r="L615" s="30"/>
      <c r="M615" s="30"/>
      <c r="N615" s="30"/>
      <c r="O615" s="31"/>
      <c r="P615" s="30"/>
      <c r="Q615" s="62"/>
      <c r="R615" s="62"/>
      <c r="S615" s="62"/>
      <c r="T615" s="62"/>
      <c r="U615" s="62"/>
      <c r="V615" s="63"/>
      <c r="W615" s="42"/>
      <c r="X615" s="63"/>
      <c r="Y615" s="65"/>
      <c r="Z615" s="42"/>
      <c r="AA615" s="42"/>
      <c r="AB615" s="42"/>
      <c r="AC615" s="42"/>
      <c r="AD615" s="65"/>
      <c r="AE615" s="42"/>
      <c r="AF615" s="42"/>
      <c r="AG615" s="42"/>
      <c r="AH615" s="42"/>
      <c r="AI615" s="65"/>
      <c r="AJ615" s="42"/>
      <c r="AK615" s="42"/>
      <c r="AL615" s="42"/>
      <c r="AM615" s="42"/>
      <c r="AN615" s="65"/>
      <c r="AO615" s="42"/>
      <c r="AP615" s="42"/>
      <c r="AQ615" s="42"/>
      <c r="AR615" s="42"/>
      <c r="AS615" s="65"/>
      <c r="AT615" s="42"/>
    </row>
    <row r="616" spans="1:46" x14ac:dyDescent="0.25">
      <c r="A616" s="3"/>
      <c r="B616" s="58"/>
      <c r="C616" s="59"/>
      <c r="D616" s="3"/>
      <c r="E616" s="3"/>
      <c r="F616" s="3"/>
      <c r="G616" s="3"/>
      <c r="H616" s="27"/>
      <c r="I616" s="60"/>
      <c r="J616" s="61"/>
      <c r="K616" s="30"/>
      <c r="L616" s="30"/>
      <c r="M616" s="30"/>
      <c r="N616" s="30"/>
      <c r="O616" s="31"/>
      <c r="P616" s="30"/>
      <c r="Q616" s="62"/>
      <c r="R616" s="62"/>
      <c r="S616" s="62"/>
      <c r="T616" s="62"/>
      <c r="U616" s="62"/>
      <c r="V616" s="63"/>
      <c r="W616" s="42"/>
      <c r="X616" s="63"/>
      <c r="Y616" s="65"/>
      <c r="Z616" s="42"/>
      <c r="AA616" s="42"/>
      <c r="AB616" s="42"/>
      <c r="AC616" s="42"/>
      <c r="AD616" s="65"/>
      <c r="AE616" s="42"/>
      <c r="AF616" s="42"/>
      <c r="AG616" s="42"/>
      <c r="AH616" s="42"/>
      <c r="AI616" s="65"/>
      <c r="AJ616" s="42"/>
      <c r="AK616" s="42"/>
      <c r="AL616" s="42"/>
      <c r="AM616" s="42"/>
      <c r="AN616" s="65"/>
      <c r="AO616" s="42"/>
      <c r="AP616" s="42"/>
      <c r="AQ616" s="42"/>
      <c r="AR616" s="42"/>
      <c r="AS616" s="65"/>
      <c r="AT616" s="42"/>
    </row>
    <row r="617" spans="1:46" x14ac:dyDescent="0.25">
      <c r="A617" s="3"/>
      <c r="B617" s="58"/>
      <c r="C617" s="59"/>
      <c r="D617" s="3"/>
      <c r="E617" s="3"/>
      <c r="F617" s="3"/>
      <c r="G617" s="3"/>
      <c r="H617" s="27"/>
      <c r="I617" s="60"/>
      <c r="J617" s="61"/>
      <c r="K617" s="30"/>
      <c r="L617" s="30"/>
      <c r="M617" s="30"/>
      <c r="N617" s="30"/>
      <c r="O617" s="31"/>
      <c r="P617" s="30"/>
      <c r="Q617" s="62"/>
      <c r="R617" s="62"/>
      <c r="S617" s="62"/>
      <c r="T617" s="62"/>
      <c r="U617" s="62"/>
      <c r="V617" s="63"/>
      <c r="W617" s="42"/>
      <c r="X617" s="63"/>
      <c r="Y617" s="65"/>
      <c r="Z617" s="42"/>
      <c r="AA617" s="42"/>
      <c r="AB617" s="42"/>
      <c r="AC617" s="42"/>
      <c r="AD617" s="65"/>
      <c r="AE617" s="42"/>
      <c r="AF617" s="42"/>
      <c r="AG617" s="42"/>
      <c r="AH617" s="42"/>
      <c r="AI617" s="65"/>
      <c r="AJ617" s="42"/>
      <c r="AK617" s="42"/>
      <c r="AL617" s="42"/>
      <c r="AM617" s="42"/>
      <c r="AN617" s="65"/>
      <c r="AO617" s="42"/>
      <c r="AP617" s="42"/>
      <c r="AQ617" s="42"/>
      <c r="AR617" s="42"/>
      <c r="AS617" s="65"/>
      <c r="AT617" s="42"/>
    </row>
    <row r="618" spans="1:46" x14ac:dyDescent="0.25">
      <c r="A618" s="3"/>
      <c r="B618" s="58"/>
      <c r="C618" s="59"/>
      <c r="D618" s="3"/>
      <c r="E618" s="3"/>
      <c r="F618" s="3"/>
      <c r="G618" s="3"/>
      <c r="H618" s="27"/>
      <c r="I618" s="60"/>
      <c r="J618" s="61"/>
      <c r="K618" s="30"/>
      <c r="L618" s="30"/>
      <c r="M618" s="30"/>
      <c r="N618" s="30"/>
      <c r="O618" s="31"/>
      <c r="P618" s="30"/>
      <c r="Q618" s="62"/>
      <c r="R618" s="62"/>
      <c r="S618" s="62"/>
      <c r="T618" s="62"/>
      <c r="U618" s="62"/>
      <c r="V618" s="63"/>
      <c r="W618" s="42"/>
      <c r="X618" s="63"/>
      <c r="Y618" s="65"/>
      <c r="Z618" s="42"/>
      <c r="AA618" s="42"/>
      <c r="AB618" s="42"/>
      <c r="AC618" s="42"/>
      <c r="AD618" s="65"/>
      <c r="AE618" s="42"/>
      <c r="AF618" s="42"/>
      <c r="AG618" s="42"/>
      <c r="AH618" s="42"/>
      <c r="AI618" s="65"/>
      <c r="AJ618" s="42"/>
      <c r="AK618" s="42"/>
      <c r="AL618" s="42"/>
      <c r="AM618" s="42"/>
      <c r="AN618" s="65"/>
      <c r="AO618" s="42"/>
      <c r="AP618" s="42"/>
      <c r="AQ618" s="42"/>
      <c r="AR618" s="42"/>
      <c r="AS618" s="65"/>
      <c r="AT618" s="42"/>
    </row>
    <row r="619" spans="1:46" x14ac:dyDescent="0.25">
      <c r="A619" s="3"/>
      <c r="B619" s="58"/>
      <c r="C619" s="59"/>
      <c r="D619" s="3"/>
      <c r="E619" s="3"/>
      <c r="F619" s="3"/>
      <c r="G619" s="3"/>
      <c r="H619" s="27"/>
      <c r="I619" s="60"/>
      <c r="J619" s="61"/>
      <c r="K619" s="30"/>
      <c r="L619" s="30"/>
      <c r="M619" s="30"/>
      <c r="N619" s="30"/>
      <c r="O619" s="31"/>
      <c r="P619" s="30"/>
      <c r="Q619" s="62"/>
      <c r="R619" s="62"/>
      <c r="S619" s="62"/>
      <c r="T619" s="62"/>
      <c r="U619" s="62"/>
      <c r="V619" s="63"/>
      <c r="W619" s="42"/>
      <c r="X619" s="63"/>
      <c r="Y619" s="65"/>
      <c r="Z619" s="42"/>
      <c r="AA619" s="42"/>
      <c r="AB619" s="42"/>
      <c r="AC619" s="42"/>
      <c r="AD619" s="65"/>
      <c r="AE619" s="42"/>
      <c r="AF619" s="42"/>
      <c r="AG619" s="42"/>
      <c r="AH619" s="42"/>
      <c r="AI619" s="65"/>
      <c r="AJ619" s="42"/>
      <c r="AK619" s="42"/>
      <c r="AL619" s="42"/>
      <c r="AM619" s="42"/>
      <c r="AN619" s="65"/>
      <c r="AO619" s="42"/>
      <c r="AP619" s="42"/>
      <c r="AQ619" s="42"/>
      <c r="AR619" s="42"/>
      <c r="AS619" s="65"/>
      <c r="AT619" s="42"/>
    </row>
    <row r="620" spans="1:46" x14ac:dyDescent="0.25">
      <c r="A620" s="3"/>
      <c r="B620" s="58"/>
      <c r="C620" s="59"/>
      <c r="D620" s="3"/>
      <c r="E620" s="3"/>
      <c r="F620" s="3"/>
      <c r="G620" s="3"/>
      <c r="H620" s="27"/>
      <c r="I620" s="60"/>
      <c r="J620" s="61"/>
      <c r="K620" s="30"/>
      <c r="L620" s="30"/>
      <c r="M620" s="30"/>
      <c r="N620" s="30"/>
      <c r="O620" s="31"/>
      <c r="P620" s="30"/>
      <c r="Q620" s="62"/>
      <c r="R620" s="62"/>
      <c r="S620" s="62"/>
      <c r="T620" s="62"/>
      <c r="U620" s="62"/>
      <c r="V620" s="63"/>
      <c r="W620" s="42"/>
      <c r="X620" s="63"/>
      <c r="Y620" s="65"/>
      <c r="Z620" s="42"/>
      <c r="AA620" s="42"/>
      <c r="AB620" s="42"/>
      <c r="AC620" s="42"/>
      <c r="AD620" s="65"/>
      <c r="AE620" s="42"/>
      <c r="AF620" s="42"/>
      <c r="AG620" s="42"/>
      <c r="AH620" s="42"/>
      <c r="AI620" s="65"/>
      <c r="AJ620" s="42"/>
      <c r="AK620" s="42"/>
      <c r="AL620" s="42"/>
      <c r="AM620" s="42"/>
      <c r="AN620" s="65"/>
      <c r="AO620" s="42"/>
      <c r="AP620" s="42"/>
      <c r="AQ620" s="42"/>
      <c r="AR620" s="42"/>
      <c r="AS620" s="65"/>
      <c r="AT620" s="42"/>
    </row>
    <row r="621" spans="1:46" x14ac:dyDescent="0.25">
      <c r="A621" s="3"/>
      <c r="B621" s="58"/>
      <c r="C621" s="59"/>
      <c r="D621" s="3"/>
      <c r="E621" s="3"/>
      <c r="F621" s="3"/>
      <c r="G621" s="3"/>
      <c r="H621" s="27"/>
      <c r="I621" s="60"/>
      <c r="J621" s="61"/>
      <c r="K621" s="30"/>
      <c r="L621" s="30"/>
      <c r="M621" s="30"/>
      <c r="N621" s="30"/>
      <c r="O621" s="31"/>
      <c r="P621" s="30"/>
      <c r="Q621" s="62"/>
      <c r="R621" s="62"/>
      <c r="S621" s="62"/>
      <c r="T621" s="62"/>
      <c r="U621" s="62"/>
      <c r="V621" s="63"/>
      <c r="W621" s="42"/>
      <c r="X621" s="63"/>
      <c r="Y621" s="65"/>
      <c r="Z621" s="42"/>
      <c r="AA621" s="42"/>
      <c r="AB621" s="42"/>
      <c r="AC621" s="42"/>
      <c r="AD621" s="65"/>
      <c r="AE621" s="42"/>
      <c r="AF621" s="42"/>
      <c r="AG621" s="42"/>
      <c r="AH621" s="42"/>
      <c r="AI621" s="65"/>
      <c r="AJ621" s="42"/>
      <c r="AK621" s="42"/>
      <c r="AL621" s="42"/>
      <c r="AM621" s="42"/>
      <c r="AN621" s="65"/>
      <c r="AO621" s="42"/>
      <c r="AP621" s="42"/>
      <c r="AQ621" s="42"/>
      <c r="AR621" s="42"/>
      <c r="AS621" s="65"/>
      <c r="AT621" s="42"/>
    </row>
    <row r="622" spans="1:46" x14ac:dyDescent="0.25">
      <c r="A622" s="3"/>
      <c r="B622" s="58"/>
      <c r="C622" s="59"/>
      <c r="D622" s="3"/>
      <c r="E622" s="3"/>
      <c r="F622" s="3"/>
      <c r="G622" s="3"/>
      <c r="H622" s="27"/>
      <c r="I622" s="60"/>
      <c r="J622" s="61"/>
      <c r="K622" s="30"/>
      <c r="L622" s="30"/>
      <c r="M622" s="30"/>
      <c r="N622" s="30"/>
      <c r="O622" s="31"/>
      <c r="P622" s="30"/>
      <c r="Q622" s="62"/>
      <c r="R622" s="62"/>
      <c r="S622" s="62"/>
      <c r="T622" s="62"/>
      <c r="U622" s="62"/>
      <c r="V622" s="63"/>
      <c r="W622" s="42"/>
      <c r="X622" s="63"/>
      <c r="Y622" s="65"/>
      <c r="Z622" s="42"/>
      <c r="AA622" s="42"/>
      <c r="AB622" s="42"/>
      <c r="AC622" s="42"/>
      <c r="AD622" s="65"/>
      <c r="AE622" s="42"/>
      <c r="AF622" s="42"/>
      <c r="AG622" s="42"/>
      <c r="AH622" s="42"/>
      <c r="AI622" s="65"/>
      <c r="AJ622" s="42"/>
      <c r="AK622" s="42"/>
      <c r="AL622" s="42"/>
      <c r="AM622" s="42"/>
      <c r="AN622" s="65"/>
      <c r="AO622" s="42"/>
      <c r="AP622" s="42"/>
      <c r="AQ622" s="42"/>
      <c r="AR622" s="42"/>
      <c r="AS622" s="65"/>
      <c r="AT622" s="42"/>
    </row>
    <row r="623" spans="1:46" x14ac:dyDescent="0.25">
      <c r="A623" s="3"/>
      <c r="B623" s="58"/>
      <c r="C623" s="59"/>
      <c r="D623" s="3"/>
      <c r="E623" s="3"/>
      <c r="F623" s="3"/>
      <c r="G623" s="3"/>
      <c r="H623" s="27"/>
      <c r="I623" s="60"/>
      <c r="J623" s="61"/>
      <c r="K623" s="30"/>
      <c r="L623" s="30"/>
      <c r="M623" s="30"/>
      <c r="N623" s="30"/>
      <c r="O623" s="31"/>
      <c r="P623" s="30"/>
      <c r="Q623" s="62"/>
      <c r="R623" s="62"/>
      <c r="S623" s="62"/>
      <c r="T623" s="62"/>
      <c r="U623" s="62"/>
      <c r="V623" s="63"/>
      <c r="W623" s="42"/>
      <c r="X623" s="63"/>
      <c r="Y623" s="65"/>
      <c r="Z623" s="42"/>
      <c r="AA623" s="42"/>
      <c r="AB623" s="42"/>
      <c r="AC623" s="42"/>
      <c r="AD623" s="65"/>
      <c r="AE623" s="42"/>
      <c r="AF623" s="42"/>
      <c r="AG623" s="42"/>
      <c r="AH623" s="42"/>
      <c r="AI623" s="65"/>
      <c r="AJ623" s="42"/>
      <c r="AK623" s="42"/>
      <c r="AL623" s="42"/>
      <c r="AM623" s="42"/>
      <c r="AN623" s="65"/>
      <c r="AO623" s="42"/>
      <c r="AP623" s="42"/>
      <c r="AQ623" s="42"/>
      <c r="AR623" s="42"/>
      <c r="AS623" s="65"/>
      <c r="AT623" s="42"/>
    </row>
    <row r="624" spans="1:46" x14ac:dyDescent="0.25">
      <c r="A624" s="3"/>
      <c r="B624" s="58"/>
      <c r="C624" s="59"/>
      <c r="D624" s="3"/>
      <c r="E624" s="3"/>
      <c r="F624" s="3"/>
      <c r="G624" s="3"/>
      <c r="H624" s="27"/>
      <c r="I624" s="60"/>
      <c r="J624" s="61"/>
      <c r="K624" s="30"/>
      <c r="L624" s="30"/>
      <c r="M624" s="30"/>
      <c r="N624" s="30"/>
      <c r="O624" s="31"/>
      <c r="P624" s="30"/>
      <c r="Q624" s="62"/>
      <c r="R624" s="62"/>
      <c r="S624" s="62"/>
      <c r="T624" s="62"/>
      <c r="U624" s="62"/>
      <c r="V624" s="63"/>
      <c r="W624" s="42"/>
      <c r="X624" s="63"/>
      <c r="Y624" s="65"/>
      <c r="Z624" s="42"/>
      <c r="AA624" s="42"/>
      <c r="AB624" s="42"/>
      <c r="AC624" s="42"/>
      <c r="AD624" s="65"/>
      <c r="AE624" s="42"/>
      <c r="AF624" s="42"/>
      <c r="AG624" s="42"/>
      <c r="AH624" s="42"/>
      <c r="AI624" s="65"/>
      <c r="AJ624" s="42"/>
      <c r="AK624" s="42"/>
      <c r="AL624" s="42"/>
      <c r="AM624" s="42"/>
      <c r="AN624" s="65"/>
      <c r="AO624" s="42"/>
      <c r="AP624" s="42"/>
      <c r="AQ624" s="42"/>
      <c r="AR624" s="42"/>
      <c r="AS624" s="65"/>
      <c r="AT624" s="42"/>
    </row>
    <row r="625" spans="1:46" x14ac:dyDescent="0.25">
      <c r="A625" s="3"/>
      <c r="B625" s="58"/>
      <c r="C625" s="59"/>
      <c r="D625" s="3"/>
      <c r="E625" s="3"/>
      <c r="F625" s="3"/>
      <c r="G625" s="3"/>
      <c r="H625" s="27"/>
      <c r="I625" s="60"/>
      <c r="J625" s="61"/>
      <c r="K625" s="30"/>
      <c r="L625" s="30"/>
      <c r="M625" s="30"/>
      <c r="N625" s="30"/>
      <c r="O625" s="31"/>
      <c r="P625" s="30"/>
      <c r="Q625" s="62"/>
      <c r="R625" s="62"/>
      <c r="S625" s="62"/>
      <c r="T625" s="62"/>
      <c r="U625" s="62"/>
      <c r="V625" s="63"/>
      <c r="W625" s="42"/>
      <c r="X625" s="63"/>
      <c r="Y625" s="65"/>
      <c r="Z625" s="42"/>
      <c r="AA625" s="42"/>
      <c r="AB625" s="42"/>
      <c r="AC625" s="42"/>
      <c r="AD625" s="65"/>
      <c r="AE625" s="42"/>
      <c r="AF625" s="42"/>
      <c r="AG625" s="42"/>
      <c r="AH625" s="42"/>
      <c r="AI625" s="65"/>
      <c r="AJ625" s="42"/>
      <c r="AK625" s="42"/>
      <c r="AL625" s="42"/>
      <c r="AM625" s="42"/>
      <c r="AN625" s="65"/>
      <c r="AO625" s="42"/>
      <c r="AP625" s="42"/>
      <c r="AQ625" s="42"/>
      <c r="AR625" s="42"/>
      <c r="AS625" s="65"/>
      <c r="AT625" s="42"/>
    </row>
    <row r="626" spans="1:46" x14ac:dyDescent="0.25">
      <c r="A626" s="3"/>
      <c r="B626" s="58"/>
      <c r="C626" s="59"/>
      <c r="D626" s="3"/>
      <c r="E626" s="3"/>
      <c r="F626" s="3"/>
      <c r="G626" s="3"/>
      <c r="H626" s="27"/>
      <c r="I626" s="60"/>
      <c r="J626" s="61"/>
      <c r="K626" s="30"/>
      <c r="L626" s="30"/>
      <c r="M626" s="30"/>
      <c r="N626" s="30"/>
      <c r="O626" s="31"/>
      <c r="P626" s="30"/>
      <c r="Q626" s="62"/>
      <c r="R626" s="62"/>
      <c r="S626" s="62"/>
      <c r="T626" s="62"/>
      <c r="U626" s="62"/>
      <c r="V626" s="63"/>
      <c r="W626" s="42"/>
      <c r="X626" s="63"/>
      <c r="Y626" s="65"/>
      <c r="Z626" s="42"/>
      <c r="AA626" s="42"/>
      <c r="AB626" s="42"/>
      <c r="AC626" s="42"/>
      <c r="AD626" s="65"/>
      <c r="AE626" s="42"/>
      <c r="AF626" s="42"/>
      <c r="AG626" s="42"/>
      <c r="AH626" s="42"/>
      <c r="AI626" s="65"/>
      <c r="AJ626" s="42"/>
      <c r="AK626" s="42"/>
      <c r="AL626" s="42"/>
      <c r="AM626" s="42"/>
      <c r="AN626" s="65"/>
      <c r="AO626" s="42"/>
      <c r="AP626" s="42"/>
      <c r="AQ626" s="42"/>
      <c r="AR626" s="42"/>
      <c r="AS626" s="65"/>
      <c r="AT626" s="42"/>
    </row>
    <row r="627" spans="1:46" x14ac:dyDescent="0.25">
      <c r="A627" s="3"/>
      <c r="B627" s="58"/>
      <c r="C627" s="59"/>
      <c r="D627" s="3"/>
      <c r="E627" s="3"/>
      <c r="F627" s="3"/>
      <c r="G627" s="3"/>
      <c r="H627" s="27"/>
      <c r="I627" s="60"/>
      <c r="J627" s="61"/>
      <c r="K627" s="30"/>
      <c r="L627" s="30"/>
      <c r="M627" s="30"/>
      <c r="N627" s="30"/>
      <c r="O627" s="31"/>
      <c r="P627" s="30"/>
      <c r="Q627" s="62"/>
      <c r="R627" s="62"/>
      <c r="S627" s="62"/>
      <c r="T627" s="62"/>
      <c r="U627" s="62"/>
      <c r="V627" s="63"/>
      <c r="W627" s="42"/>
      <c r="X627" s="63"/>
      <c r="Y627" s="65"/>
      <c r="Z627" s="42"/>
      <c r="AA627" s="42"/>
      <c r="AB627" s="42"/>
      <c r="AC627" s="42"/>
      <c r="AD627" s="65"/>
      <c r="AE627" s="42"/>
      <c r="AF627" s="42"/>
      <c r="AG627" s="42"/>
      <c r="AH627" s="42"/>
      <c r="AI627" s="65"/>
      <c r="AJ627" s="42"/>
      <c r="AK627" s="42"/>
      <c r="AL627" s="42"/>
      <c r="AM627" s="42"/>
      <c r="AN627" s="65"/>
      <c r="AO627" s="42"/>
      <c r="AP627" s="42"/>
      <c r="AQ627" s="42"/>
      <c r="AR627" s="42"/>
      <c r="AS627" s="65"/>
      <c r="AT627" s="42"/>
    </row>
    <row r="628" spans="1:46" x14ac:dyDescent="0.25">
      <c r="A628" s="3"/>
      <c r="B628" s="58"/>
      <c r="C628" s="59"/>
      <c r="D628" s="3"/>
      <c r="E628" s="3"/>
      <c r="F628" s="3"/>
      <c r="G628" s="3"/>
      <c r="H628" s="27"/>
      <c r="I628" s="60"/>
      <c r="J628" s="61"/>
      <c r="K628" s="30"/>
      <c r="L628" s="30"/>
      <c r="M628" s="30"/>
      <c r="N628" s="30"/>
      <c r="O628" s="31"/>
      <c r="P628" s="30"/>
      <c r="Q628" s="62"/>
      <c r="R628" s="62"/>
      <c r="S628" s="62"/>
      <c r="T628" s="62"/>
      <c r="U628" s="62"/>
      <c r="V628" s="63"/>
      <c r="W628" s="42"/>
      <c r="X628" s="63"/>
      <c r="Y628" s="65"/>
      <c r="Z628" s="42"/>
      <c r="AA628" s="42"/>
      <c r="AB628" s="42"/>
      <c r="AC628" s="42"/>
      <c r="AD628" s="65"/>
      <c r="AE628" s="42"/>
      <c r="AF628" s="42"/>
      <c r="AG628" s="42"/>
      <c r="AH628" s="42"/>
      <c r="AI628" s="65"/>
      <c r="AJ628" s="42"/>
      <c r="AK628" s="42"/>
      <c r="AL628" s="42"/>
      <c r="AM628" s="42"/>
      <c r="AN628" s="65"/>
      <c r="AO628" s="42"/>
      <c r="AP628" s="42"/>
      <c r="AQ628" s="42"/>
      <c r="AR628" s="42"/>
      <c r="AS628" s="65"/>
      <c r="AT628" s="42"/>
    </row>
    <row r="629" spans="1:46" x14ac:dyDescent="0.25">
      <c r="A629" s="3"/>
      <c r="B629" s="58"/>
      <c r="C629" s="59"/>
      <c r="D629" s="3"/>
      <c r="E629" s="3"/>
      <c r="F629" s="3"/>
      <c r="G629" s="3"/>
      <c r="H629" s="27"/>
      <c r="I629" s="60"/>
      <c r="J629" s="61"/>
      <c r="K629" s="30"/>
      <c r="L629" s="30"/>
      <c r="M629" s="30"/>
      <c r="N629" s="30"/>
      <c r="O629" s="31"/>
      <c r="P629" s="30"/>
      <c r="Q629" s="62"/>
      <c r="R629" s="62"/>
      <c r="S629" s="62"/>
      <c r="T629" s="62"/>
      <c r="U629" s="62"/>
      <c r="V629" s="63"/>
      <c r="W629" s="42"/>
      <c r="X629" s="63"/>
      <c r="Y629" s="65"/>
      <c r="Z629" s="42"/>
      <c r="AA629" s="42"/>
      <c r="AB629" s="42"/>
      <c r="AC629" s="42"/>
      <c r="AD629" s="65"/>
      <c r="AE629" s="42"/>
      <c r="AF629" s="42"/>
      <c r="AG629" s="42"/>
      <c r="AH629" s="42"/>
      <c r="AI629" s="65"/>
      <c r="AJ629" s="42"/>
      <c r="AK629" s="42"/>
      <c r="AL629" s="42"/>
      <c r="AM629" s="42"/>
      <c r="AN629" s="65"/>
      <c r="AO629" s="42"/>
      <c r="AP629" s="42"/>
      <c r="AQ629" s="42"/>
      <c r="AR629" s="42"/>
      <c r="AS629" s="65"/>
      <c r="AT629" s="42"/>
    </row>
    <row r="630" spans="1:46" x14ac:dyDescent="0.25">
      <c r="A630" s="3"/>
      <c r="B630" s="58"/>
      <c r="C630" s="59"/>
      <c r="D630" s="3"/>
      <c r="E630" s="3"/>
      <c r="F630" s="3"/>
      <c r="G630" s="3"/>
      <c r="H630" s="27"/>
      <c r="I630" s="60"/>
      <c r="J630" s="61"/>
      <c r="K630" s="30"/>
      <c r="L630" s="30"/>
      <c r="M630" s="30"/>
      <c r="N630" s="30"/>
      <c r="O630" s="31"/>
      <c r="P630" s="30"/>
      <c r="Q630" s="62"/>
      <c r="R630" s="62"/>
      <c r="S630" s="62"/>
      <c r="T630" s="62"/>
      <c r="U630" s="62"/>
      <c r="V630" s="63"/>
      <c r="W630" s="42"/>
      <c r="X630" s="63"/>
      <c r="Y630" s="65"/>
      <c r="Z630" s="42"/>
      <c r="AA630" s="42"/>
      <c r="AB630" s="42"/>
      <c r="AC630" s="42"/>
      <c r="AD630" s="65"/>
      <c r="AE630" s="42"/>
      <c r="AF630" s="42"/>
      <c r="AG630" s="42"/>
      <c r="AH630" s="42"/>
      <c r="AI630" s="65"/>
      <c r="AJ630" s="42"/>
      <c r="AK630" s="42"/>
      <c r="AL630" s="42"/>
      <c r="AM630" s="42"/>
      <c r="AN630" s="65"/>
      <c r="AO630" s="42"/>
      <c r="AP630" s="42"/>
      <c r="AQ630" s="42"/>
      <c r="AR630" s="42"/>
      <c r="AS630" s="65"/>
      <c r="AT630" s="42"/>
    </row>
    <row r="631" spans="1:46" x14ac:dyDescent="0.25">
      <c r="A631" s="3"/>
      <c r="B631" s="58"/>
      <c r="C631" s="59"/>
      <c r="D631" s="3"/>
      <c r="E631" s="3"/>
      <c r="F631" s="3"/>
      <c r="G631" s="3"/>
      <c r="H631" s="27"/>
      <c r="I631" s="60"/>
      <c r="J631" s="61"/>
      <c r="K631" s="30"/>
      <c r="L631" s="30"/>
      <c r="M631" s="30"/>
      <c r="N631" s="30"/>
      <c r="O631" s="31"/>
      <c r="P631" s="30"/>
      <c r="Q631" s="62"/>
      <c r="R631" s="62"/>
      <c r="S631" s="62"/>
      <c r="T631" s="62"/>
      <c r="U631" s="62"/>
      <c r="V631" s="63"/>
      <c r="W631" s="42"/>
      <c r="X631" s="63"/>
      <c r="Y631" s="65"/>
      <c r="Z631" s="42"/>
      <c r="AA631" s="42"/>
      <c r="AB631" s="42"/>
      <c r="AC631" s="42"/>
      <c r="AD631" s="65"/>
      <c r="AE631" s="42"/>
      <c r="AF631" s="42"/>
      <c r="AG631" s="42"/>
      <c r="AH631" s="42"/>
      <c r="AI631" s="65"/>
      <c r="AJ631" s="42"/>
      <c r="AK631" s="42"/>
      <c r="AL631" s="42"/>
      <c r="AM631" s="42"/>
      <c r="AN631" s="65"/>
      <c r="AO631" s="42"/>
      <c r="AP631" s="42"/>
      <c r="AQ631" s="42"/>
      <c r="AR631" s="42"/>
      <c r="AS631" s="65"/>
      <c r="AT631" s="42"/>
    </row>
    <row r="632" spans="1:46" x14ac:dyDescent="0.25">
      <c r="A632" s="3"/>
      <c r="B632" s="58"/>
      <c r="C632" s="59"/>
      <c r="D632" s="3"/>
      <c r="E632" s="3"/>
      <c r="F632" s="3"/>
      <c r="G632" s="3"/>
      <c r="H632" s="27"/>
      <c r="I632" s="60"/>
      <c r="J632" s="61"/>
      <c r="K632" s="30"/>
      <c r="L632" s="30"/>
      <c r="M632" s="30"/>
      <c r="N632" s="30"/>
      <c r="O632" s="31"/>
      <c r="P632" s="30"/>
      <c r="Q632" s="62"/>
      <c r="R632" s="62"/>
      <c r="S632" s="62"/>
      <c r="T632" s="62"/>
      <c r="U632" s="62"/>
      <c r="V632" s="63"/>
      <c r="W632" s="42"/>
      <c r="X632" s="63"/>
      <c r="Y632" s="65"/>
      <c r="Z632" s="42"/>
      <c r="AA632" s="42"/>
      <c r="AB632" s="42"/>
      <c r="AC632" s="42"/>
      <c r="AD632" s="65"/>
      <c r="AE632" s="42"/>
      <c r="AF632" s="42"/>
      <c r="AG632" s="42"/>
      <c r="AH632" s="42"/>
      <c r="AI632" s="65"/>
      <c r="AJ632" s="42"/>
      <c r="AK632" s="42"/>
      <c r="AL632" s="42"/>
      <c r="AM632" s="42"/>
      <c r="AN632" s="65"/>
      <c r="AO632" s="42"/>
      <c r="AP632" s="42"/>
      <c r="AQ632" s="42"/>
      <c r="AR632" s="42"/>
      <c r="AS632" s="65"/>
      <c r="AT632" s="42"/>
    </row>
    <row r="633" spans="1:46" x14ac:dyDescent="0.25">
      <c r="A633" s="3"/>
      <c r="B633" s="58"/>
      <c r="C633" s="59"/>
      <c r="D633" s="3"/>
      <c r="E633" s="3"/>
      <c r="F633" s="3"/>
      <c r="G633" s="3"/>
      <c r="H633" s="27"/>
      <c r="I633" s="60"/>
      <c r="J633" s="61"/>
      <c r="K633" s="30"/>
      <c r="L633" s="30"/>
      <c r="M633" s="30"/>
      <c r="N633" s="30"/>
      <c r="O633" s="31"/>
      <c r="P633" s="30"/>
      <c r="Q633" s="62"/>
      <c r="R633" s="62"/>
      <c r="S633" s="62"/>
      <c r="T633" s="62"/>
      <c r="U633" s="62"/>
      <c r="V633" s="63"/>
      <c r="W633" s="42"/>
      <c r="X633" s="63"/>
      <c r="Y633" s="65"/>
      <c r="Z633" s="42"/>
      <c r="AA633" s="42"/>
      <c r="AB633" s="42"/>
      <c r="AC633" s="42"/>
      <c r="AD633" s="65"/>
      <c r="AE633" s="42"/>
      <c r="AF633" s="42"/>
      <c r="AG633" s="42"/>
      <c r="AH633" s="42"/>
      <c r="AI633" s="65"/>
      <c r="AJ633" s="42"/>
      <c r="AK633" s="42"/>
      <c r="AL633" s="42"/>
      <c r="AM633" s="42"/>
      <c r="AN633" s="65"/>
      <c r="AO633" s="42"/>
      <c r="AP633" s="42"/>
      <c r="AQ633" s="42"/>
      <c r="AR633" s="42"/>
      <c r="AS633" s="65"/>
      <c r="AT633" s="42"/>
    </row>
    <row r="634" spans="1:46" x14ac:dyDescent="0.25">
      <c r="A634" s="3"/>
      <c r="B634" s="58"/>
      <c r="C634" s="59"/>
      <c r="D634" s="3"/>
      <c r="E634" s="3"/>
      <c r="F634" s="3"/>
      <c r="G634" s="3"/>
      <c r="H634" s="27"/>
      <c r="I634" s="60"/>
      <c r="J634" s="61"/>
      <c r="K634" s="30"/>
      <c r="L634" s="30"/>
      <c r="M634" s="30"/>
      <c r="N634" s="30"/>
      <c r="O634" s="31"/>
      <c r="P634" s="30"/>
      <c r="Q634" s="62"/>
      <c r="R634" s="62"/>
      <c r="S634" s="62"/>
      <c r="T634" s="62"/>
      <c r="U634" s="62"/>
      <c r="V634" s="63"/>
      <c r="W634" s="42"/>
      <c r="X634" s="63"/>
      <c r="Y634" s="65"/>
      <c r="Z634" s="42"/>
      <c r="AA634" s="42"/>
      <c r="AB634" s="42"/>
      <c r="AC634" s="42"/>
      <c r="AD634" s="65"/>
      <c r="AE634" s="42"/>
      <c r="AF634" s="42"/>
      <c r="AG634" s="42"/>
      <c r="AH634" s="42"/>
      <c r="AI634" s="65"/>
      <c r="AJ634" s="42"/>
      <c r="AK634" s="42"/>
      <c r="AL634" s="42"/>
      <c r="AM634" s="42"/>
      <c r="AN634" s="65"/>
      <c r="AO634" s="42"/>
      <c r="AP634" s="42"/>
      <c r="AQ634" s="42"/>
      <c r="AR634" s="42"/>
      <c r="AS634" s="65"/>
      <c r="AT634" s="42"/>
    </row>
    <row r="635" spans="1:46" x14ac:dyDescent="0.25">
      <c r="A635" s="3"/>
      <c r="B635" s="58"/>
      <c r="C635" s="59"/>
      <c r="D635" s="3"/>
      <c r="E635" s="3"/>
      <c r="F635" s="3"/>
      <c r="G635" s="3"/>
      <c r="H635" s="27"/>
      <c r="I635" s="60"/>
      <c r="J635" s="61"/>
      <c r="K635" s="30"/>
      <c r="L635" s="30"/>
      <c r="M635" s="30"/>
      <c r="N635" s="30"/>
      <c r="O635" s="31"/>
      <c r="P635" s="30"/>
      <c r="Q635" s="62"/>
      <c r="R635" s="62"/>
      <c r="S635" s="62"/>
      <c r="T635" s="62"/>
      <c r="U635" s="62"/>
      <c r="V635" s="63"/>
      <c r="W635" s="42"/>
      <c r="X635" s="63"/>
      <c r="Y635" s="65"/>
      <c r="Z635" s="42"/>
      <c r="AA635" s="42"/>
      <c r="AB635" s="42"/>
      <c r="AC635" s="42"/>
      <c r="AD635" s="65"/>
      <c r="AE635" s="42"/>
      <c r="AF635" s="42"/>
      <c r="AG635" s="42"/>
      <c r="AH635" s="42"/>
      <c r="AI635" s="65"/>
      <c r="AJ635" s="42"/>
      <c r="AK635" s="42"/>
      <c r="AL635" s="42"/>
      <c r="AM635" s="42"/>
      <c r="AN635" s="65"/>
      <c r="AO635" s="42"/>
      <c r="AP635" s="42"/>
      <c r="AQ635" s="42"/>
      <c r="AR635" s="42"/>
      <c r="AS635" s="65"/>
      <c r="AT635" s="42"/>
    </row>
    <row r="636" spans="1:46" x14ac:dyDescent="0.25">
      <c r="A636" s="3"/>
      <c r="B636" s="58"/>
      <c r="C636" s="59"/>
      <c r="D636" s="3"/>
      <c r="E636" s="3"/>
      <c r="F636" s="3"/>
      <c r="G636" s="3"/>
      <c r="H636" s="27"/>
      <c r="I636" s="60"/>
      <c r="J636" s="61"/>
      <c r="K636" s="30"/>
      <c r="L636" s="30"/>
      <c r="M636" s="30"/>
      <c r="N636" s="30"/>
      <c r="O636" s="31"/>
      <c r="P636" s="30"/>
      <c r="Q636" s="62"/>
      <c r="R636" s="62"/>
      <c r="S636" s="62"/>
      <c r="T636" s="62"/>
      <c r="U636" s="62"/>
      <c r="V636" s="63"/>
      <c r="W636" s="42"/>
      <c r="X636" s="63"/>
      <c r="Y636" s="65"/>
      <c r="Z636" s="42"/>
      <c r="AA636" s="42"/>
      <c r="AB636" s="42"/>
      <c r="AC636" s="42"/>
      <c r="AD636" s="65"/>
      <c r="AE636" s="42"/>
      <c r="AF636" s="42"/>
      <c r="AG636" s="42"/>
      <c r="AH636" s="42"/>
      <c r="AI636" s="65"/>
      <c r="AJ636" s="42"/>
      <c r="AK636" s="42"/>
      <c r="AL636" s="42"/>
      <c r="AM636" s="42"/>
      <c r="AN636" s="65"/>
      <c r="AO636" s="42"/>
      <c r="AP636" s="42"/>
      <c r="AQ636" s="42"/>
      <c r="AR636" s="42"/>
      <c r="AS636" s="65"/>
      <c r="AT636" s="42"/>
    </row>
    <row r="637" spans="1:46" x14ac:dyDescent="0.25">
      <c r="A637" s="3"/>
      <c r="B637" s="58"/>
      <c r="C637" s="59"/>
      <c r="D637" s="3"/>
      <c r="E637" s="3"/>
      <c r="F637" s="3"/>
      <c r="G637" s="3"/>
      <c r="H637" s="27"/>
      <c r="I637" s="60"/>
      <c r="J637" s="61"/>
      <c r="K637" s="30"/>
      <c r="L637" s="30"/>
      <c r="M637" s="30"/>
      <c r="N637" s="30"/>
      <c r="O637" s="31"/>
      <c r="P637" s="30"/>
      <c r="Q637" s="62"/>
      <c r="R637" s="62"/>
      <c r="S637" s="62"/>
      <c r="T637" s="62"/>
      <c r="U637" s="62"/>
      <c r="V637" s="63"/>
      <c r="W637" s="42"/>
      <c r="X637" s="63"/>
      <c r="Y637" s="65"/>
      <c r="Z637" s="42"/>
      <c r="AA637" s="42"/>
      <c r="AB637" s="42"/>
      <c r="AC637" s="42"/>
      <c r="AD637" s="65"/>
      <c r="AE637" s="42"/>
      <c r="AF637" s="42"/>
      <c r="AG637" s="42"/>
      <c r="AH637" s="42"/>
      <c r="AI637" s="65"/>
      <c r="AJ637" s="42"/>
      <c r="AK637" s="42"/>
      <c r="AL637" s="42"/>
      <c r="AM637" s="42"/>
      <c r="AN637" s="65"/>
      <c r="AO637" s="42"/>
      <c r="AP637" s="42"/>
      <c r="AQ637" s="42"/>
      <c r="AR637" s="42"/>
      <c r="AS637" s="65"/>
      <c r="AT637" s="42"/>
    </row>
    <row r="638" spans="1:46" x14ac:dyDescent="0.25">
      <c r="A638" s="3"/>
      <c r="B638" s="58"/>
      <c r="C638" s="59"/>
      <c r="D638" s="3"/>
      <c r="E638" s="3"/>
      <c r="F638" s="3"/>
      <c r="G638" s="3"/>
      <c r="H638" s="27"/>
      <c r="I638" s="60"/>
      <c r="J638" s="61"/>
      <c r="K638" s="30"/>
      <c r="L638" s="30"/>
      <c r="M638" s="30"/>
      <c r="N638" s="30"/>
      <c r="O638" s="31"/>
      <c r="P638" s="30"/>
      <c r="Q638" s="62"/>
      <c r="R638" s="62"/>
      <c r="S638" s="62"/>
      <c r="T638" s="62"/>
      <c r="U638" s="62"/>
      <c r="V638" s="63"/>
      <c r="W638" s="42"/>
      <c r="X638" s="63"/>
      <c r="Y638" s="65"/>
      <c r="Z638" s="42"/>
      <c r="AA638" s="42"/>
      <c r="AB638" s="42"/>
      <c r="AC638" s="42"/>
      <c r="AD638" s="65"/>
      <c r="AE638" s="42"/>
      <c r="AF638" s="42"/>
      <c r="AG638" s="42"/>
      <c r="AH638" s="42"/>
      <c r="AI638" s="65"/>
      <c r="AJ638" s="42"/>
      <c r="AK638" s="42"/>
      <c r="AL638" s="42"/>
      <c r="AM638" s="42"/>
      <c r="AN638" s="65"/>
      <c r="AO638" s="42"/>
      <c r="AP638" s="42"/>
      <c r="AQ638" s="42"/>
      <c r="AR638" s="42"/>
      <c r="AS638" s="65"/>
      <c r="AT638" s="42"/>
    </row>
    <row r="639" spans="1:46" x14ac:dyDescent="0.25">
      <c r="A639" s="3"/>
      <c r="B639" s="58"/>
      <c r="C639" s="59"/>
      <c r="D639" s="3"/>
      <c r="E639" s="3"/>
      <c r="F639" s="3"/>
      <c r="G639" s="3"/>
      <c r="H639" s="27"/>
      <c r="I639" s="60"/>
      <c r="J639" s="61"/>
      <c r="K639" s="30"/>
      <c r="L639" s="30"/>
      <c r="M639" s="30"/>
      <c r="N639" s="30"/>
      <c r="O639" s="31"/>
      <c r="P639" s="30"/>
      <c r="Q639" s="62"/>
      <c r="R639" s="62"/>
      <c r="S639" s="62"/>
      <c r="T639" s="62"/>
      <c r="U639" s="62"/>
      <c r="V639" s="63"/>
      <c r="W639" s="42"/>
      <c r="X639" s="63"/>
      <c r="Y639" s="65"/>
      <c r="Z639" s="42"/>
      <c r="AA639" s="42"/>
      <c r="AB639" s="42"/>
      <c r="AC639" s="42"/>
      <c r="AD639" s="65"/>
      <c r="AE639" s="42"/>
      <c r="AF639" s="42"/>
      <c r="AG639" s="42"/>
      <c r="AH639" s="42"/>
      <c r="AI639" s="65"/>
      <c r="AJ639" s="42"/>
      <c r="AK639" s="42"/>
      <c r="AL639" s="42"/>
      <c r="AM639" s="42"/>
      <c r="AN639" s="65"/>
      <c r="AO639" s="42"/>
      <c r="AP639" s="42"/>
      <c r="AQ639" s="42"/>
      <c r="AR639" s="42"/>
      <c r="AS639" s="65"/>
      <c r="AT639" s="42"/>
    </row>
    <row r="640" spans="1:46" x14ac:dyDescent="0.25">
      <c r="A640" s="3"/>
      <c r="B640" s="58"/>
      <c r="C640" s="59"/>
      <c r="D640" s="3"/>
      <c r="E640" s="3"/>
      <c r="F640" s="3"/>
      <c r="G640" s="3"/>
      <c r="H640" s="27"/>
      <c r="I640" s="60"/>
      <c r="J640" s="61"/>
      <c r="K640" s="30"/>
      <c r="L640" s="30"/>
      <c r="M640" s="30"/>
      <c r="N640" s="30"/>
      <c r="O640" s="31"/>
      <c r="P640" s="30"/>
      <c r="Q640" s="62"/>
      <c r="R640" s="62"/>
      <c r="S640" s="62"/>
      <c r="T640" s="62"/>
      <c r="U640" s="62"/>
      <c r="V640" s="63"/>
      <c r="W640" s="42"/>
      <c r="X640" s="63"/>
      <c r="Y640" s="65"/>
      <c r="Z640" s="42"/>
      <c r="AA640" s="42"/>
      <c r="AB640" s="42"/>
      <c r="AC640" s="42"/>
      <c r="AD640" s="65"/>
      <c r="AE640" s="42"/>
      <c r="AF640" s="42"/>
      <c r="AG640" s="42"/>
      <c r="AH640" s="42"/>
      <c r="AI640" s="65"/>
      <c r="AJ640" s="42"/>
      <c r="AK640" s="42"/>
      <c r="AL640" s="42"/>
      <c r="AM640" s="42"/>
      <c r="AN640" s="65"/>
      <c r="AO640" s="42"/>
      <c r="AP640" s="42"/>
      <c r="AQ640" s="42"/>
      <c r="AR640" s="42"/>
      <c r="AS640" s="65"/>
      <c r="AT640" s="42"/>
    </row>
    <row r="641" spans="1:46" x14ac:dyDescent="0.25">
      <c r="A641" s="3"/>
      <c r="B641" s="58"/>
      <c r="C641" s="59"/>
      <c r="D641" s="3"/>
      <c r="E641" s="3"/>
      <c r="F641" s="3"/>
      <c r="G641" s="3"/>
      <c r="H641" s="27"/>
      <c r="I641" s="60"/>
      <c r="J641" s="61"/>
      <c r="K641" s="30"/>
      <c r="L641" s="30"/>
      <c r="M641" s="30"/>
      <c r="N641" s="30"/>
      <c r="O641" s="31"/>
      <c r="P641" s="30"/>
      <c r="Q641" s="62"/>
      <c r="R641" s="62"/>
      <c r="S641" s="62"/>
      <c r="T641" s="62"/>
      <c r="U641" s="62"/>
      <c r="V641" s="63"/>
      <c r="W641" s="42"/>
      <c r="X641" s="63"/>
      <c r="Y641" s="65"/>
      <c r="Z641" s="42"/>
      <c r="AA641" s="42"/>
      <c r="AB641" s="42"/>
      <c r="AC641" s="42"/>
      <c r="AD641" s="65"/>
      <c r="AE641" s="42"/>
      <c r="AF641" s="42"/>
      <c r="AG641" s="42"/>
      <c r="AH641" s="42"/>
      <c r="AI641" s="65"/>
      <c r="AJ641" s="42"/>
      <c r="AK641" s="42"/>
      <c r="AL641" s="42"/>
      <c r="AM641" s="42"/>
      <c r="AN641" s="65"/>
      <c r="AO641" s="42"/>
      <c r="AP641" s="42"/>
      <c r="AQ641" s="42"/>
      <c r="AR641" s="42"/>
      <c r="AS641" s="65"/>
      <c r="AT641" s="42"/>
    </row>
    <row r="642" spans="1:46" x14ac:dyDescent="0.25">
      <c r="A642" s="3"/>
      <c r="B642" s="58"/>
      <c r="C642" s="59"/>
      <c r="D642" s="3"/>
      <c r="E642" s="3"/>
      <c r="F642" s="3"/>
      <c r="G642" s="3"/>
      <c r="H642" s="27"/>
      <c r="I642" s="60"/>
      <c r="J642" s="61"/>
      <c r="K642" s="30"/>
      <c r="L642" s="30"/>
      <c r="M642" s="30"/>
      <c r="N642" s="30"/>
      <c r="O642" s="31"/>
      <c r="P642" s="30"/>
      <c r="Q642" s="62"/>
      <c r="R642" s="62"/>
      <c r="S642" s="62"/>
      <c r="T642" s="62"/>
      <c r="U642" s="62"/>
      <c r="V642" s="63"/>
      <c r="W642" s="42"/>
      <c r="X642" s="63"/>
      <c r="Y642" s="65"/>
      <c r="Z642" s="42"/>
      <c r="AA642" s="42"/>
      <c r="AB642" s="42"/>
      <c r="AC642" s="42"/>
      <c r="AD642" s="65"/>
      <c r="AE642" s="42"/>
      <c r="AF642" s="42"/>
      <c r="AG642" s="42"/>
      <c r="AH642" s="42"/>
      <c r="AI642" s="65"/>
      <c r="AJ642" s="42"/>
      <c r="AK642" s="42"/>
      <c r="AL642" s="42"/>
      <c r="AM642" s="42"/>
      <c r="AN642" s="65"/>
      <c r="AO642" s="42"/>
      <c r="AP642" s="42"/>
      <c r="AQ642" s="42"/>
      <c r="AR642" s="42"/>
      <c r="AS642" s="65"/>
      <c r="AT642" s="42"/>
    </row>
    <row r="643" spans="1:46" x14ac:dyDescent="0.25">
      <c r="A643" s="3"/>
      <c r="B643" s="58"/>
      <c r="C643" s="59"/>
      <c r="D643" s="3"/>
      <c r="E643" s="3"/>
      <c r="F643" s="3"/>
      <c r="G643" s="3"/>
      <c r="H643" s="27"/>
      <c r="I643" s="60"/>
      <c r="J643" s="61"/>
      <c r="K643" s="30"/>
      <c r="L643" s="30"/>
      <c r="M643" s="30"/>
      <c r="N643" s="30"/>
      <c r="O643" s="31"/>
      <c r="P643" s="30"/>
      <c r="Q643" s="62"/>
      <c r="R643" s="62"/>
      <c r="S643" s="62"/>
      <c r="T643" s="62"/>
      <c r="U643" s="62"/>
      <c r="V643" s="63"/>
      <c r="W643" s="42"/>
      <c r="X643" s="63"/>
      <c r="Y643" s="65"/>
      <c r="Z643" s="42"/>
      <c r="AA643" s="42"/>
      <c r="AB643" s="42"/>
      <c r="AC643" s="42"/>
      <c r="AD643" s="65"/>
      <c r="AE643" s="42"/>
      <c r="AF643" s="42"/>
      <c r="AG643" s="42"/>
      <c r="AH643" s="42"/>
      <c r="AI643" s="65"/>
      <c r="AJ643" s="42"/>
      <c r="AK643" s="42"/>
      <c r="AL643" s="42"/>
      <c r="AM643" s="42"/>
      <c r="AN643" s="65"/>
      <c r="AO643" s="42"/>
      <c r="AP643" s="42"/>
      <c r="AQ643" s="42"/>
      <c r="AR643" s="42"/>
      <c r="AS643" s="65"/>
      <c r="AT643" s="42"/>
    </row>
    <row r="644" spans="1:46" x14ac:dyDescent="0.25">
      <c r="A644" s="3"/>
      <c r="B644" s="58"/>
      <c r="C644" s="59"/>
      <c r="D644" s="3"/>
      <c r="E644" s="3"/>
      <c r="F644" s="3"/>
      <c r="G644" s="3"/>
      <c r="H644" s="27"/>
      <c r="I644" s="60"/>
      <c r="J644" s="61"/>
      <c r="K644" s="30"/>
      <c r="L644" s="30"/>
      <c r="M644" s="30"/>
      <c r="N644" s="30"/>
      <c r="O644" s="31"/>
      <c r="P644" s="30"/>
      <c r="Q644" s="62"/>
      <c r="R644" s="62"/>
      <c r="S644" s="62"/>
      <c r="T644" s="62"/>
      <c r="U644" s="62"/>
      <c r="V644" s="63"/>
      <c r="W644" s="42"/>
      <c r="X644" s="63"/>
      <c r="Y644" s="65"/>
      <c r="Z644" s="42"/>
      <c r="AA644" s="42"/>
      <c r="AB644" s="42"/>
      <c r="AC644" s="42"/>
      <c r="AD644" s="65"/>
      <c r="AE644" s="42"/>
      <c r="AF644" s="42"/>
      <c r="AG644" s="42"/>
      <c r="AH644" s="42"/>
      <c r="AI644" s="65"/>
      <c r="AJ644" s="42"/>
      <c r="AK644" s="42"/>
      <c r="AL644" s="42"/>
      <c r="AM644" s="42"/>
      <c r="AN644" s="65"/>
      <c r="AO644" s="42"/>
      <c r="AP644" s="42"/>
      <c r="AQ644" s="42"/>
      <c r="AR644" s="42"/>
      <c r="AS644" s="65"/>
      <c r="AT644" s="42"/>
    </row>
    <row r="645" spans="1:46" x14ac:dyDescent="0.25">
      <c r="A645" s="3"/>
      <c r="B645" s="58"/>
      <c r="C645" s="59"/>
      <c r="D645" s="3"/>
      <c r="E645" s="3"/>
      <c r="F645" s="3"/>
      <c r="G645" s="3"/>
      <c r="H645" s="27"/>
      <c r="I645" s="60"/>
      <c r="J645" s="61"/>
      <c r="K645" s="30"/>
      <c r="L645" s="30"/>
      <c r="M645" s="30"/>
      <c r="N645" s="30"/>
      <c r="O645" s="31"/>
      <c r="P645" s="30"/>
      <c r="Q645" s="62"/>
      <c r="R645" s="62"/>
      <c r="S645" s="62"/>
      <c r="T645" s="62"/>
      <c r="U645" s="62"/>
      <c r="V645" s="63"/>
      <c r="W645" s="42"/>
      <c r="X645" s="63"/>
      <c r="Y645" s="65"/>
      <c r="Z645" s="42"/>
      <c r="AA645" s="42"/>
      <c r="AB645" s="42"/>
      <c r="AC645" s="42"/>
      <c r="AD645" s="65"/>
      <c r="AE645" s="42"/>
      <c r="AF645" s="42"/>
      <c r="AG645" s="42"/>
      <c r="AH645" s="42"/>
      <c r="AI645" s="65"/>
      <c r="AJ645" s="42"/>
      <c r="AK645" s="42"/>
      <c r="AL645" s="42"/>
      <c r="AM645" s="42"/>
      <c r="AN645" s="65"/>
      <c r="AO645" s="42"/>
      <c r="AP645" s="42"/>
      <c r="AQ645" s="42"/>
      <c r="AR645" s="42"/>
      <c r="AS645" s="65"/>
      <c r="AT645" s="42"/>
    </row>
    <row r="646" spans="1:46" x14ac:dyDescent="0.25">
      <c r="A646" s="3"/>
      <c r="B646" s="58"/>
      <c r="C646" s="59"/>
      <c r="D646" s="3"/>
      <c r="E646" s="3"/>
      <c r="F646" s="3"/>
      <c r="G646" s="3"/>
      <c r="H646" s="27"/>
      <c r="I646" s="60"/>
      <c r="J646" s="61"/>
      <c r="K646" s="30"/>
      <c r="L646" s="30"/>
      <c r="M646" s="30"/>
      <c r="N646" s="30"/>
      <c r="O646" s="31"/>
      <c r="P646" s="30"/>
      <c r="Q646" s="62"/>
      <c r="R646" s="62"/>
      <c r="S646" s="62"/>
      <c r="T646" s="62"/>
      <c r="U646" s="62"/>
      <c r="V646" s="63"/>
      <c r="W646" s="42"/>
      <c r="X646" s="63"/>
      <c r="Y646" s="65"/>
      <c r="Z646" s="42"/>
      <c r="AA646" s="42"/>
      <c r="AB646" s="42"/>
      <c r="AC646" s="42"/>
      <c r="AD646" s="65"/>
      <c r="AE646" s="42"/>
      <c r="AF646" s="42"/>
      <c r="AG646" s="42"/>
      <c r="AH646" s="42"/>
      <c r="AI646" s="65"/>
      <c r="AJ646" s="42"/>
      <c r="AK646" s="42"/>
      <c r="AL646" s="42"/>
      <c r="AM646" s="42"/>
      <c r="AN646" s="65"/>
      <c r="AO646" s="42"/>
      <c r="AP646" s="42"/>
      <c r="AQ646" s="42"/>
      <c r="AR646" s="42"/>
      <c r="AS646" s="65"/>
      <c r="AT646" s="42"/>
    </row>
    <row r="647" spans="1:46" x14ac:dyDescent="0.25">
      <c r="A647" s="3"/>
      <c r="B647" s="58"/>
      <c r="C647" s="59"/>
      <c r="D647" s="3"/>
      <c r="E647" s="3"/>
      <c r="F647" s="3"/>
      <c r="G647" s="3"/>
      <c r="H647" s="27"/>
      <c r="I647" s="60"/>
      <c r="J647" s="61"/>
      <c r="K647" s="30"/>
      <c r="L647" s="30"/>
      <c r="M647" s="30"/>
      <c r="N647" s="30"/>
      <c r="O647" s="31"/>
      <c r="P647" s="30"/>
      <c r="Q647" s="62"/>
      <c r="R647" s="62"/>
      <c r="S647" s="62"/>
      <c r="T647" s="62"/>
      <c r="U647" s="62"/>
      <c r="V647" s="63"/>
      <c r="W647" s="42"/>
      <c r="X647" s="63"/>
      <c r="Y647" s="65"/>
      <c r="Z647" s="42"/>
      <c r="AA647" s="42"/>
      <c r="AB647" s="42"/>
      <c r="AC647" s="42"/>
      <c r="AD647" s="65"/>
      <c r="AE647" s="42"/>
      <c r="AF647" s="42"/>
      <c r="AG647" s="42"/>
      <c r="AH647" s="42"/>
      <c r="AI647" s="65"/>
      <c r="AJ647" s="42"/>
      <c r="AK647" s="42"/>
      <c r="AL647" s="42"/>
      <c r="AM647" s="42"/>
      <c r="AN647" s="65"/>
      <c r="AO647" s="42"/>
      <c r="AP647" s="42"/>
      <c r="AQ647" s="42"/>
      <c r="AR647" s="42"/>
      <c r="AS647" s="65"/>
      <c r="AT647" s="42"/>
    </row>
    <row r="648" spans="1:46" x14ac:dyDescent="0.25">
      <c r="A648" s="3"/>
      <c r="B648" s="58"/>
      <c r="C648" s="59"/>
      <c r="D648" s="3"/>
      <c r="E648" s="3"/>
      <c r="F648" s="3"/>
      <c r="G648" s="3"/>
      <c r="H648" s="27"/>
      <c r="I648" s="60"/>
      <c r="J648" s="61"/>
      <c r="K648" s="30"/>
      <c r="L648" s="30"/>
      <c r="M648" s="30"/>
      <c r="N648" s="30"/>
      <c r="O648" s="31"/>
      <c r="P648" s="30"/>
      <c r="Q648" s="62"/>
      <c r="R648" s="62"/>
      <c r="S648" s="62"/>
      <c r="T648" s="62"/>
      <c r="U648" s="62"/>
      <c r="V648" s="63"/>
      <c r="W648" s="42"/>
      <c r="X648" s="63"/>
      <c r="Y648" s="65"/>
      <c r="Z648" s="42"/>
      <c r="AA648" s="42"/>
      <c r="AB648" s="42"/>
      <c r="AC648" s="42"/>
      <c r="AD648" s="65"/>
      <c r="AE648" s="42"/>
      <c r="AF648" s="42"/>
      <c r="AG648" s="42"/>
      <c r="AH648" s="42"/>
      <c r="AI648" s="65"/>
      <c r="AJ648" s="42"/>
      <c r="AK648" s="42"/>
      <c r="AL648" s="42"/>
      <c r="AM648" s="42"/>
      <c r="AN648" s="65"/>
      <c r="AO648" s="42"/>
      <c r="AP648" s="42"/>
      <c r="AQ648" s="42"/>
      <c r="AR648" s="42"/>
      <c r="AS648" s="65"/>
      <c r="AT648" s="42"/>
    </row>
    <row r="649" spans="1:46" x14ac:dyDescent="0.25">
      <c r="A649" s="3"/>
      <c r="B649" s="58"/>
      <c r="C649" s="59"/>
      <c r="D649" s="3"/>
      <c r="E649" s="3"/>
      <c r="F649" s="3"/>
      <c r="G649" s="3"/>
      <c r="H649" s="27"/>
      <c r="I649" s="60"/>
      <c r="J649" s="61"/>
      <c r="K649" s="30"/>
      <c r="L649" s="30"/>
      <c r="M649" s="30"/>
      <c r="N649" s="30"/>
      <c r="O649" s="31"/>
      <c r="P649" s="30"/>
      <c r="Q649" s="62"/>
      <c r="R649" s="62"/>
      <c r="S649" s="62"/>
      <c r="T649" s="62"/>
      <c r="U649" s="62"/>
      <c r="V649" s="63"/>
      <c r="W649" s="42"/>
      <c r="X649" s="63"/>
      <c r="Y649" s="65"/>
      <c r="Z649" s="42"/>
      <c r="AA649" s="42"/>
      <c r="AB649" s="42"/>
      <c r="AC649" s="42"/>
      <c r="AD649" s="65"/>
      <c r="AE649" s="42"/>
      <c r="AF649" s="42"/>
      <c r="AG649" s="42"/>
      <c r="AH649" s="42"/>
      <c r="AI649" s="65"/>
      <c r="AJ649" s="42"/>
      <c r="AK649" s="42"/>
      <c r="AL649" s="42"/>
      <c r="AM649" s="42"/>
      <c r="AN649" s="65"/>
      <c r="AO649" s="42"/>
      <c r="AP649" s="42"/>
      <c r="AQ649" s="42"/>
      <c r="AR649" s="42"/>
      <c r="AS649" s="65"/>
      <c r="AT649" s="42"/>
    </row>
    <row r="650" spans="1:46" x14ac:dyDescent="0.25">
      <c r="A650" s="3"/>
      <c r="B650" s="58"/>
      <c r="C650" s="59"/>
      <c r="D650" s="3"/>
      <c r="E650" s="3"/>
      <c r="F650" s="3"/>
      <c r="G650" s="3"/>
      <c r="H650" s="27"/>
      <c r="I650" s="60"/>
      <c r="J650" s="61"/>
      <c r="K650" s="30"/>
      <c r="L650" s="30"/>
      <c r="M650" s="30"/>
      <c r="N650" s="30"/>
      <c r="O650" s="31"/>
      <c r="P650" s="30"/>
      <c r="Q650" s="62"/>
      <c r="R650" s="62"/>
      <c r="S650" s="62"/>
      <c r="T650" s="62"/>
      <c r="U650" s="62"/>
      <c r="V650" s="63"/>
      <c r="W650" s="42"/>
      <c r="X650" s="63"/>
      <c r="Y650" s="65"/>
      <c r="Z650" s="42"/>
      <c r="AA650" s="42"/>
      <c r="AB650" s="42"/>
      <c r="AC650" s="42"/>
      <c r="AD650" s="65"/>
      <c r="AE650" s="42"/>
      <c r="AF650" s="42"/>
      <c r="AG650" s="42"/>
      <c r="AH650" s="42"/>
      <c r="AI650" s="65"/>
      <c r="AJ650" s="42"/>
      <c r="AK650" s="42"/>
      <c r="AL650" s="42"/>
      <c r="AM650" s="42"/>
      <c r="AN650" s="65"/>
      <c r="AO650" s="42"/>
      <c r="AP650" s="42"/>
      <c r="AQ650" s="42"/>
      <c r="AR650" s="42"/>
      <c r="AS650" s="65"/>
      <c r="AT650" s="42"/>
    </row>
    <row r="651" spans="1:46" x14ac:dyDescent="0.25">
      <c r="A651" s="3"/>
      <c r="B651" s="58"/>
      <c r="C651" s="59"/>
      <c r="D651" s="3"/>
      <c r="E651" s="3"/>
      <c r="F651" s="3"/>
      <c r="G651" s="3"/>
      <c r="H651" s="27"/>
      <c r="I651" s="60"/>
      <c r="J651" s="61"/>
      <c r="K651" s="30"/>
      <c r="L651" s="30"/>
      <c r="M651" s="30"/>
      <c r="N651" s="30"/>
      <c r="O651" s="31"/>
      <c r="P651" s="30"/>
      <c r="Q651" s="62"/>
      <c r="R651" s="62"/>
      <c r="S651" s="62"/>
      <c r="T651" s="62"/>
      <c r="U651" s="62"/>
      <c r="V651" s="63"/>
      <c r="W651" s="42"/>
      <c r="X651" s="63"/>
      <c r="Y651" s="65"/>
      <c r="Z651" s="42"/>
      <c r="AA651" s="42"/>
      <c r="AB651" s="42"/>
      <c r="AC651" s="42"/>
      <c r="AD651" s="65"/>
      <c r="AE651" s="42"/>
      <c r="AF651" s="42"/>
      <c r="AG651" s="42"/>
      <c r="AH651" s="42"/>
      <c r="AI651" s="65"/>
      <c r="AJ651" s="42"/>
      <c r="AK651" s="42"/>
      <c r="AL651" s="42"/>
      <c r="AM651" s="42"/>
      <c r="AN651" s="65"/>
      <c r="AO651" s="42"/>
      <c r="AP651" s="42"/>
      <c r="AQ651" s="42"/>
      <c r="AR651" s="42"/>
      <c r="AS651" s="65"/>
      <c r="AT651" s="42"/>
    </row>
    <row r="652" spans="1:46" x14ac:dyDescent="0.25">
      <c r="A652" s="3"/>
      <c r="B652" s="58"/>
      <c r="C652" s="59"/>
      <c r="D652" s="3"/>
      <c r="E652" s="3"/>
      <c r="F652" s="3"/>
      <c r="G652" s="3"/>
      <c r="H652" s="27"/>
      <c r="I652" s="60"/>
      <c r="J652" s="61"/>
      <c r="K652" s="30"/>
      <c r="L652" s="30"/>
      <c r="M652" s="30"/>
      <c r="N652" s="30"/>
      <c r="O652" s="31"/>
      <c r="P652" s="30"/>
      <c r="Q652" s="62"/>
      <c r="R652" s="62"/>
      <c r="S652" s="62"/>
      <c r="T652" s="62"/>
      <c r="U652" s="62"/>
      <c r="V652" s="63"/>
      <c r="W652" s="42"/>
      <c r="X652" s="63"/>
      <c r="Y652" s="65"/>
      <c r="Z652" s="42"/>
      <c r="AA652" s="42"/>
      <c r="AB652" s="42"/>
      <c r="AC652" s="42"/>
      <c r="AD652" s="65"/>
      <c r="AE652" s="42"/>
      <c r="AF652" s="42"/>
      <c r="AG652" s="42"/>
      <c r="AH652" s="42"/>
      <c r="AI652" s="65"/>
      <c r="AJ652" s="42"/>
      <c r="AK652" s="42"/>
      <c r="AL652" s="42"/>
      <c r="AM652" s="42"/>
      <c r="AN652" s="65"/>
      <c r="AO652" s="42"/>
      <c r="AP652" s="42"/>
      <c r="AQ652" s="42"/>
      <c r="AR652" s="42"/>
      <c r="AS652" s="65"/>
      <c r="AT652" s="42"/>
    </row>
    <row r="653" spans="1:46" x14ac:dyDescent="0.25">
      <c r="A653" s="3"/>
      <c r="B653" s="58"/>
      <c r="C653" s="59"/>
      <c r="D653" s="3"/>
      <c r="E653" s="3"/>
      <c r="F653" s="3"/>
      <c r="G653" s="3"/>
      <c r="H653" s="27"/>
      <c r="I653" s="60"/>
      <c r="J653" s="61"/>
      <c r="K653" s="30"/>
      <c r="L653" s="30"/>
      <c r="M653" s="30"/>
      <c r="N653" s="30"/>
      <c r="O653" s="31"/>
      <c r="P653" s="30"/>
      <c r="Q653" s="62"/>
      <c r="R653" s="62"/>
      <c r="S653" s="62"/>
      <c r="T653" s="62"/>
      <c r="U653" s="62"/>
      <c r="V653" s="63"/>
      <c r="W653" s="42"/>
      <c r="X653" s="63"/>
      <c r="Y653" s="65"/>
      <c r="Z653" s="42"/>
      <c r="AA653" s="42"/>
      <c r="AB653" s="42"/>
      <c r="AC653" s="42"/>
      <c r="AD653" s="65"/>
      <c r="AE653" s="42"/>
      <c r="AF653" s="42"/>
      <c r="AG653" s="42"/>
      <c r="AH653" s="42"/>
      <c r="AI653" s="65"/>
      <c r="AJ653" s="42"/>
      <c r="AK653" s="42"/>
      <c r="AL653" s="42"/>
      <c r="AM653" s="42"/>
      <c r="AN653" s="65"/>
      <c r="AO653" s="42"/>
      <c r="AP653" s="42"/>
      <c r="AQ653" s="42"/>
      <c r="AR653" s="42"/>
      <c r="AS653" s="65"/>
      <c r="AT653" s="42"/>
    </row>
    <row r="654" spans="1:46" x14ac:dyDescent="0.25">
      <c r="A654" s="3"/>
      <c r="B654" s="58"/>
      <c r="C654" s="59"/>
      <c r="D654" s="3"/>
      <c r="E654" s="3"/>
      <c r="F654" s="3"/>
      <c r="G654" s="3"/>
      <c r="H654" s="27"/>
      <c r="I654" s="60"/>
      <c r="J654" s="61"/>
      <c r="K654" s="30"/>
      <c r="L654" s="30"/>
      <c r="M654" s="30"/>
      <c r="N654" s="30"/>
      <c r="O654" s="31"/>
      <c r="P654" s="30"/>
      <c r="Q654" s="62"/>
      <c r="R654" s="62"/>
      <c r="S654" s="62"/>
      <c r="T654" s="62"/>
      <c r="U654" s="62"/>
      <c r="V654" s="63"/>
      <c r="W654" s="42"/>
      <c r="X654" s="63"/>
      <c r="Y654" s="65"/>
      <c r="Z654" s="42"/>
      <c r="AA654" s="42"/>
      <c r="AB654" s="42"/>
      <c r="AC654" s="42"/>
      <c r="AD654" s="65"/>
      <c r="AE654" s="42"/>
      <c r="AF654" s="42"/>
      <c r="AG654" s="42"/>
      <c r="AH654" s="42"/>
      <c r="AI654" s="65"/>
      <c r="AJ654" s="42"/>
      <c r="AK654" s="42"/>
      <c r="AL654" s="42"/>
      <c r="AM654" s="42"/>
      <c r="AN654" s="65"/>
      <c r="AO654" s="42"/>
      <c r="AP654" s="42"/>
      <c r="AQ654" s="42"/>
      <c r="AR654" s="42"/>
      <c r="AS654" s="65"/>
      <c r="AT654" s="42"/>
    </row>
    <row r="655" spans="1:46" x14ac:dyDescent="0.25">
      <c r="A655" s="3"/>
      <c r="B655" s="58"/>
      <c r="C655" s="59"/>
      <c r="D655" s="3"/>
      <c r="E655" s="3"/>
      <c r="F655" s="3"/>
      <c r="G655" s="3"/>
      <c r="H655" s="27"/>
      <c r="I655" s="60"/>
      <c r="J655" s="61"/>
      <c r="K655" s="30"/>
      <c r="L655" s="30"/>
      <c r="M655" s="30"/>
      <c r="N655" s="30"/>
      <c r="O655" s="31"/>
      <c r="P655" s="30"/>
      <c r="Q655" s="62"/>
      <c r="R655" s="62"/>
      <c r="S655" s="62"/>
      <c r="T655" s="62"/>
      <c r="U655" s="62"/>
      <c r="V655" s="63"/>
      <c r="W655" s="42"/>
      <c r="X655" s="63"/>
      <c r="Y655" s="65"/>
      <c r="Z655" s="42"/>
      <c r="AA655" s="42"/>
      <c r="AB655" s="42"/>
      <c r="AC655" s="42"/>
      <c r="AD655" s="65"/>
      <c r="AE655" s="42"/>
      <c r="AF655" s="42"/>
      <c r="AG655" s="42"/>
      <c r="AH655" s="42"/>
      <c r="AI655" s="65"/>
      <c r="AJ655" s="42"/>
      <c r="AK655" s="42"/>
      <c r="AL655" s="42"/>
      <c r="AM655" s="42"/>
      <c r="AN655" s="65"/>
      <c r="AO655" s="42"/>
      <c r="AP655" s="42"/>
      <c r="AQ655" s="42"/>
      <c r="AR655" s="42"/>
      <c r="AS655" s="65"/>
      <c r="AT655" s="42"/>
    </row>
    <row r="656" spans="1:46" x14ac:dyDescent="0.25">
      <c r="A656" s="3"/>
      <c r="B656" s="58"/>
      <c r="C656" s="59"/>
      <c r="D656" s="3"/>
      <c r="E656" s="3"/>
      <c r="F656" s="3"/>
      <c r="G656" s="3"/>
      <c r="H656" s="27"/>
      <c r="I656" s="60"/>
      <c r="J656" s="61"/>
      <c r="K656" s="30"/>
      <c r="L656" s="30"/>
      <c r="M656" s="30"/>
      <c r="N656" s="30"/>
      <c r="O656" s="31"/>
      <c r="P656" s="30"/>
      <c r="Q656" s="62"/>
      <c r="R656" s="62"/>
      <c r="S656" s="62"/>
      <c r="T656" s="62"/>
      <c r="U656" s="62"/>
      <c r="V656" s="63"/>
      <c r="W656" s="42"/>
      <c r="X656" s="63"/>
      <c r="Y656" s="65"/>
      <c r="Z656" s="42"/>
      <c r="AA656" s="42"/>
      <c r="AB656" s="42"/>
      <c r="AC656" s="42"/>
      <c r="AD656" s="65"/>
      <c r="AE656" s="42"/>
      <c r="AF656" s="42"/>
      <c r="AG656" s="42"/>
      <c r="AH656" s="42"/>
      <c r="AI656" s="65"/>
      <c r="AJ656" s="42"/>
      <c r="AK656" s="42"/>
      <c r="AL656" s="42"/>
      <c r="AM656" s="42"/>
      <c r="AN656" s="65"/>
      <c r="AO656" s="42"/>
      <c r="AP656" s="42"/>
      <c r="AQ656" s="42"/>
      <c r="AR656" s="42"/>
      <c r="AS656" s="65"/>
      <c r="AT656" s="42"/>
    </row>
    <row r="657" spans="1:46" x14ac:dyDescent="0.25">
      <c r="A657" s="3"/>
      <c r="B657" s="58"/>
      <c r="C657" s="59"/>
      <c r="D657" s="3"/>
      <c r="E657" s="3"/>
      <c r="F657" s="3"/>
      <c r="G657" s="3"/>
      <c r="H657" s="27"/>
      <c r="I657" s="60"/>
      <c r="J657" s="61"/>
      <c r="K657" s="30"/>
      <c r="L657" s="30"/>
      <c r="M657" s="30"/>
      <c r="N657" s="30"/>
      <c r="O657" s="31"/>
      <c r="P657" s="30"/>
      <c r="Q657" s="62"/>
      <c r="R657" s="62"/>
      <c r="S657" s="62"/>
      <c r="T657" s="62"/>
      <c r="U657" s="62"/>
      <c r="V657" s="63"/>
      <c r="W657" s="42"/>
      <c r="X657" s="63"/>
      <c r="Y657" s="65"/>
      <c r="Z657" s="42"/>
      <c r="AA657" s="42"/>
      <c r="AB657" s="42"/>
      <c r="AC657" s="42"/>
      <c r="AD657" s="65"/>
      <c r="AE657" s="42"/>
      <c r="AF657" s="42"/>
      <c r="AG657" s="42"/>
      <c r="AH657" s="42"/>
      <c r="AI657" s="65"/>
      <c r="AJ657" s="42"/>
      <c r="AK657" s="42"/>
      <c r="AL657" s="42"/>
      <c r="AM657" s="42"/>
      <c r="AN657" s="65"/>
      <c r="AO657" s="42"/>
      <c r="AP657" s="42"/>
      <c r="AQ657" s="42"/>
      <c r="AR657" s="42"/>
      <c r="AS657" s="65"/>
      <c r="AT657" s="42"/>
    </row>
    <row r="658" spans="1:46" x14ac:dyDescent="0.25">
      <c r="A658" s="3"/>
      <c r="B658" s="58"/>
      <c r="C658" s="59"/>
      <c r="D658" s="3"/>
      <c r="E658" s="3"/>
      <c r="F658" s="3"/>
      <c r="G658" s="3"/>
      <c r="H658" s="27"/>
      <c r="I658" s="60"/>
      <c r="J658" s="61"/>
      <c r="K658" s="30"/>
      <c r="L658" s="30"/>
      <c r="M658" s="30"/>
      <c r="N658" s="30"/>
      <c r="O658" s="31"/>
      <c r="P658" s="30"/>
      <c r="Q658" s="62"/>
      <c r="R658" s="62"/>
      <c r="S658" s="62"/>
      <c r="T658" s="62"/>
      <c r="U658" s="62"/>
      <c r="V658" s="63"/>
      <c r="W658" s="42"/>
      <c r="X658" s="63"/>
      <c r="Y658" s="65"/>
      <c r="Z658" s="42"/>
      <c r="AA658" s="42"/>
      <c r="AB658" s="42"/>
      <c r="AC658" s="42"/>
      <c r="AD658" s="65"/>
      <c r="AE658" s="42"/>
      <c r="AF658" s="42"/>
      <c r="AG658" s="42"/>
      <c r="AH658" s="42"/>
      <c r="AI658" s="65"/>
      <c r="AJ658" s="42"/>
      <c r="AK658" s="42"/>
      <c r="AL658" s="42"/>
      <c r="AM658" s="42"/>
      <c r="AN658" s="65"/>
      <c r="AO658" s="42"/>
      <c r="AP658" s="42"/>
      <c r="AQ658" s="42"/>
      <c r="AR658" s="42"/>
      <c r="AS658" s="65"/>
      <c r="AT658" s="42"/>
    </row>
    <row r="659" spans="1:46" x14ac:dyDescent="0.25">
      <c r="A659" s="3"/>
      <c r="B659" s="58"/>
      <c r="C659" s="59"/>
      <c r="D659" s="3"/>
      <c r="E659" s="3"/>
      <c r="F659" s="3"/>
      <c r="G659" s="3"/>
      <c r="H659" s="27"/>
      <c r="I659" s="60"/>
      <c r="J659" s="61"/>
      <c r="K659" s="30"/>
      <c r="L659" s="30"/>
      <c r="M659" s="30"/>
      <c r="N659" s="30"/>
      <c r="O659" s="31"/>
      <c r="P659" s="30"/>
      <c r="Q659" s="62"/>
      <c r="R659" s="62"/>
      <c r="S659" s="62"/>
      <c r="T659" s="62"/>
      <c r="U659" s="62"/>
      <c r="V659" s="63"/>
      <c r="W659" s="42"/>
      <c r="X659" s="63"/>
      <c r="Y659" s="65"/>
      <c r="Z659" s="42"/>
      <c r="AA659" s="42"/>
      <c r="AB659" s="42"/>
      <c r="AC659" s="42"/>
      <c r="AD659" s="65"/>
      <c r="AE659" s="42"/>
      <c r="AF659" s="42"/>
      <c r="AG659" s="42"/>
      <c r="AH659" s="42"/>
      <c r="AI659" s="65"/>
      <c r="AJ659" s="42"/>
      <c r="AK659" s="42"/>
      <c r="AL659" s="42"/>
      <c r="AM659" s="42"/>
      <c r="AN659" s="65"/>
      <c r="AO659" s="42"/>
      <c r="AP659" s="42"/>
      <c r="AQ659" s="42"/>
      <c r="AR659" s="42"/>
      <c r="AS659" s="65"/>
      <c r="AT659" s="42"/>
    </row>
    <row r="660" spans="1:46" x14ac:dyDescent="0.25">
      <c r="A660" s="3"/>
      <c r="B660" s="58"/>
      <c r="C660" s="59"/>
      <c r="D660" s="3"/>
      <c r="E660" s="3"/>
      <c r="F660" s="3"/>
      <c r="G660" s="3"/>
      <c r="H660" s="27"/>
      <c r="I660" s="60"/>
      <c r="J660" s="61"/>
      <c r="K660" s="30"/>
      <c r="L660" s="30"/>
      <c r="M660" s="30"/>
      <c r="N660" s="30"/>
      <c r="O660" s="31"/>
      <c r="P660" s="30"/>
      <c r="Q660" s="62"/>
      <c r="R660" s="62"/>
      <c r="S660" s="62"/>
      <c r="T660" s="62"/>
      <c r="U660" s="62"/>
      <c r="V660" s="63"/>
      <c r="W660" s="42"/>
      <c r="X660" s="63"/>
      <c r="Y660" s="65"/>
      <c r="Z660" s="42"/>
      <c r="AA660" s="42"/>
      <c r="AB660" s="42"/>
      <c r="AC660" s="42"/>
      <c r="AD660" s="65"/>
      <c r="AE660" s="42"/>
      <c r="AF660" s="42"/>
      <c r="AG660" s="42"/>
      <c r="AH660" s="42"/>
      <c r="AI660" s="65"/>
      <c r="AJ660" s="42"/>
      <c r="AK660" s="42"/>
      <c r="AL660" s="42"/>
      <c r="AM660" s="42"/>
      <c r="AN660" s="65"/>
      <c r="AO660" s="42"/>
      <c r="AP660" s="42"/>
      <c r="AQ660" s="42"/>
      <c r="AR660" s="42"/>
      <c r="AS660" s="65"/>
      <c r="AT660" s="42"/>
    </row>
    <row r="661" spans="1:46" x14ac:dyDescent="0.25">
      <c r="A661" s="3"/>
      <c r="B661" s="58"/>
      <c r="C661" s="59"/>
      <c r="D661" s="3"/>
      <c r="E661" s="3"/>
      <c r="F661" s="3"/>
      <c r="G661" s="3"/>
      <c r="H661" s="27"/>
      <c r="I661" s="60"/>
      <c r="J661" s="61"/>
      <c r="K661" s="30"/>
      <c r="L661" s="30"/>
      <c r="M661" s="30"/>
      <c r="N661" s="30"/>
      <c r="O661" s="31"/>
      <c r="P661" s="30"/>
      <c r="Q661" s="62"/>
      <c r="R661" s="62"/>
      <c r="S661" s="62"/>
      <c r="T661" s="62"/>
      <c r="U661" s="62"/>
      <c r="V661" s="63"/>
      <c r="W661" s="42"/>
      <c r="X661" s="63"/>
      <c r="Y661" s="65"/>
      <c r="Z661" s="42"/>
      <c r="AA661" s="42"/>
      <c r="AB661" s="42"/>
      <c r="AC661" s="42"/>
      <c r="AD661" s="65"/>
      <c r="AE661" s="42"/>
      <c r="AF661" s="42"/>
      <c r="AG661" s="42"/>
      <c r="AH661" s="42"/>
      <c r="AI661" s="65"/>
      <c r="AJ661" s="42"/>
      <c r="AK661" s="42"/>
      <c r="AL661" s="42"/>
      <c r="AM661" s="42"/>
      <c r="AN661" s="65"/>
      <c r="AO661" s="42"/>
      <c r="AP661" s="42"/>
      <c r="AQ661" s="42"/>
      <c r="AR661" s="42"/>
      <c r="AS661" s="65"/>
      <c r="AT661" s="42"/>
    </row>
    <row r="662" spans="1:46" x14ac:dyDescent="0.25">
      <c r="A662" s="3"/>
      <c r="B662" s="58"/>
      <c r="C662" s="59"/>
      <c r="D662" s="3"/>
      <c r="E662" s="3"/>
      <c r="F662" s="3"/>
      <c r="G662" s="3"/>
      <c r="H662" s="27"/>
      <c r="I662" s="60"/>
      <c r="J662" s="61"/>
      <c r="K662" s="30"/>
      <c r="L662" s="30"/>
      <c r="M662" s="30"/>
      <c r="N662" s="30"/>
      <c r="O662" s="31"/>
      <c r="P662" s="30"/>
      <c r="Q662" s="62"/>
      <c r="R662" s="62"/>
      <c r="S662" s="62"/>
      <c r="T662" s="62"/>
      <c r="U662" s="62"/>
      <c r="V662" s="63"/>
      <c r="W662" s="42"/>
      <c r="X662" s="63"/>
      <c r="Y662" s="65"/>
      <c r="Z662" s="42"/>
      <c r="AA662" s="42"/>
      <c r="AB662" s="42"/>
      <c r="AC662" s="42"/>
      <c r="AD662" s="65"/>
      <c r="AE662" s="42"/>
      <c r="AF662" s="42"/>
      <c r="AG662" s="42"/>
      <c r="AH662" s="42"/>
      <c r="AI662" s="65"/>
      <c r="AJ662" s="42"/>
      <c r="AK662" s="42"/>
      <c r="AL662" s="42"/>
      <c r="AM662" s="42"/>
      <c r="AN662" s="65"/>
      <c r="AO662" s="42"/>
      <c r="AP662" s="42"/>
      <c r="AQ662" s="42"/>
      <c r="AR662" s="42"/>
      <c r="AS662" s="65"/>
      <c r="AT662" s="42"/>
    </row>
    <row r="663" spans="1:46" x14ac:dyDescent="0.25">
      <c r="A663" s="3"/>
      <c r="B663" s="58"/>
      <c r="C663" s="59"/>
      <c r="D663" s="3"/>
      <c r="E663" s="3"/>
      <c r="F663" s="3"/>
      <c r="G663" s="3"/>
      <c r="H663" s="27"/>
      <c r="I663" s="60"/>
      <c r="J663" s="61"/>
      <c r="K663" s="30"/>
      <c r="L663" s="30"/>
      <c r="M663" s="30"/>
      <c r="N663" s="30"/>
      <c r="O663" s="31"/>
      <c r="P663" s="30"/>
      <c r="Q663" s="62"/>
      <c r="R663" s="62"/>
      <c r="S663" s="62"/>
      <c r="T663" s="62"/>
      <c r="U663" s="62"/>
      <c r="V663" s="63"/>
      <c r="W663" s="42"/>
      <c r="X663" s="63"/>
      <c r="Y663" s="65"/>
      <c r="Z663" s="42"/>
      <c r="AA663" s="42"/>
      <c r="AB663" s="42"/>
      <c r="AC663" s="42"/>
      <c r="AD663" s="65"/>
      <c r="AE663" s="42"/>
      <c r="AF663" s="42"/>
      <c r="AG663" s="42"/>
      <c r="AH663" s="42"/>
      <c r="AI663" s="65"/>
      <c r="AJ663" s="42"/>
      <c r="AK663" s="42"/>
      <c r="AL663" s="42"/>
      <c r="AM663" s="42"/>
      <c r="AN663" s="65"/>
      <c r="AO663" s="42"/>
      <c r="AP663" s="42"/>
      <c r="AQ663" s="42"/>
      <c r="AR663" s="42"/>
      <c r="AS663" s="65"/>
      <c r="AT663" s="42"/>
    </row>
    <row r="664" spans="1:46" x14ac:dyDescent="0.25">
      <c r="A664" s="3"/>
      <c r="B664" s="58"/>
      <c r="C664" s="59"/>
      <c r="D664" s="3"/>
      <c r="E664" s="3"/>
      <c r="F664" s="3"/>
      <c r="G664" s="3"/>
      <c r="H664" s="27"/>
      <c r="I664" s="60"/>
      <c r="J664" s="61"/>
      <c r="K664" s="30"/>
      <c r="L664" s="30"/>
      <c r="M664" s="30"/>
      <c r="N664" s="30"/>
      <c r="O664" s="31"/>
      <c r="P664" s="30"/>
      <c r="Q664" s="62"/>
      <c r="R664" s="62"/>
      <c r="S664" s="62"/>
      <c r="T664" s="62"/>
      <c r="U664" s="62"/>
      <c r="V664" s="63"/>
      <c r="W664" s="42"/>
      <c r="X664" s="63"/>
      <c r="Y664" s="65"/>
      <c r="Z664" s="42"/>
      <c r="AA664" s="42"/>
      <c r="AB664" s="42"/>
      <c r="AC664" s="42"/>
      <c r="AD664" s="65"/>
      <c r="AE664" s="42"/>
      <c r="AF664" s="42"/>
      <c r="AG664" s="42"/>
      <c r="AH664" s="42"/>
      <c r="AI664" s="65"/>
      <c r="AJ664" s="42"/>
      <c r="AK664" s="42"/>
      <c r="AL664" s="42"/>
      <c r="AM664" s="42"/>
      <c r="AN664" s="65"/>
      <c r="AO664" s="42"/>
      <c r="AP664" s="42"/>
      <c r="AQ664" s="42"/>
      <c r="AR664" s="42"/>
      <c r="AS664" s="65"/>
      <c r="AT664" s="42"/>
    </row>
    <row r="665" spans="1:46" x14ac:dyDescent="0.25">
      <c r="A665" s="3"/>
      <c r="B665" s="58"/>
      <c r="C665" s="59"/>
      <c r="D665" s="3"/>
      <c r="E665" s="3"/>
      <c r="F665" s="3"/>
      <c r="G665" s="3"/>
      <c r="H665" s="27"/>
      <c r="I665" s="60"/>
      <c r="J665" s="61"/>
      <c r="K665" s="30"/>
      <c r="L665" s="30"/>
      <c r="M665" s="30"/>
      <c r="N665" s="30"/>
      <c r="O665" s="31"/>
      <c r="P665" s="30"/>
      <c r="Q665" s="62"/>
      <c r="R665" s="62"/>
      <c r="S665" s="62"/>
      <c r="T665" s="62"/>
      <c r="U665" s="62"/>
      <c r="V665" s="63"/>
      <c r="W665" s="42"/>
      <c r="X665" s="63"/>
      <c r="Y665" s="65"/>
      <c r="Z665" s="42"/>
      <c r="AA665" s="42"/>
      <c r="AB665" s="42"/>
      <c r="AC665" s="42"/>
      <c r="AD665" s="65"/>
      <c r="AE665" s="42"/>
      <c r="AF665" s="42"/>
      <c r="AG665" s="42"/>
      <c r="AH665" s="42"/>
      <c r="AI665" s="65"/>
      <c r="AJ665" s="42"/>
      <c r="AK665" s="42"/>
      <c r="AL665" s="42"/>
      <c r="AM665" s="42"/>
      <c r="AN665" s="65"/>
      <c r="AO665" s="42"/>
      <c r="AP665" s="42"/>
      <c r="AQ665" s="42"/>
      <c r="AR665" s="42"/>
      <c r="AS665" s="65"/>
      <c r="AT665" s="42"/>
    </row>
    <row r="666" spans="1:46" x14ac:dyDescent="0.25">
      <c r="A666" s="3"/>
      <c r="B666" s="58"/>
      <c r="C666" s="59"/>
      <c r="D666" s="3"/>
      <c r="E666" s="3"/>
      <c r="F666" s="3"/>
      <c r="G666" s="3"/>
      <c r="H666" s="27"/>
      <c r="I666" s="60"/>
      <c r="J666" s="61"/>
      <c r="K666" s="30"/>
      <c r="L666" s="30"/>
      <c r="M666" s="30"/>
      <c r="N666" s="30"/>
      <c r="O666" s="31"/>
      <c r="P666" s="30"/>
      <c r="Q666" s="62"/>
      <c r="R666" s="62"/>
      <c r="S666" s="62"/>
      <c r="T666" s="62"/>
      <c r="U666" s="62"/>
      <c r="V666" s="63"/>
      <c r="W666" s="42"/>
      <c r="X666" s="63"/>
      <c r="Y666" s="65"/>
      <c r="Z666" s="42"/>
      <c r="AA666" s="42"/>
      <c r="AB666" s="42"/>
      <c r="AC666" s="42"/>
      <c r="AD666" s="65"/>
      <c r="AE666" s="42"/>
      <c r="AF666" s="42"/>
      <c r="AG666" s="42"/>
      <c r="AH666" s="42"/>
      <c r="AI666" s="65"/>
      <c r="AJ666" s="42"/>
      <c r="AK666" s="42"/>
      <c r="AL666" s="42"/>
      <c r="AM666" s="42"/>
      <c r="AN666" s="65"/>
      <c r="AO666" s="42"/>
      <c r="AP666" s="42"/>
      <c r="AQ666" s="42"/>
      <c r="AR666" s="42"/>
      <c r="AS666" s="65"/>
      <c r="AT666" s="42"/>
    </row>
    <row r="667" spans="1:46" x14ac:dyDescent="0.25">
      <c r="A667" s="3"/>
      <c r="B667" s="58"/>
      <c r="C667" s="59"/>
      <c r="D667" s="3"/>
      <c r="E667" s="3"/>
      <c r="F667" s="3"/>
      <c r="G667" s="3"/>
      <c r="H667" s="27"/>
      <c r="I667" s="60"/>
      <c r="J667" s="61"/>
      <c r="K667" s="30"/>
      <c r="L667" s="30"/>
      <c r="M667" s="30"/>
      <c r="N667" s="30"/>
      <c r="O667" s="31"/>
      <c r="P667" s="30"/>
      <c r="Q667" s="62"/>
      <c r="R667" s="62"/>
      <c r="S667" s="62"/>
      <c r="T667" s="62"/>
      <c r="U667" s="62"/>
      <c r="V667" s="63"/>
      <c r="W667" s="42"/>
      <c r="X667" s="63"/>
      <c r="Y667" s="65"/>
      <c r="Z667" s="42"/>
      <c r="AA667" s="42"/>
      <c r="AB667" s="42"/>
      <c r="AC667" s="42"/>
      <c r="AD667" s="65"/>
      <c r="AE667" s="42"/>
      <c r="AF667" s="42"/>
      <c r="AG667" s="42"/>
      <c r="AH667" s="42"/>
      <c r="AI667" s="65"/>
      <c r="AJ667" s="42"/>
      <c r="AK667" s="42"/>
      <c r="AL667" s="42"/>
      <c r="AM667" s="42"/>
      <c r="AN667" s="65"/>
      <c r="AO667" s="42"/>
      <c r="AP667" s="42"/>
      <c r="AQ667" s="42"/>
      <c r="AR667" s="42"/>
      <c r="AS667" s="65"/>
      <c r="AT667" s="42"/>
    </row>
    <row r="668" spans="1:46" x14ac:dyDescent="0.25">
      <c r="A668" s="3"/>
      <c r="B668" s="58"/>
      <c r="C668" s="59"/>
      <c r="D668" s="3"/>
      <c r="E668" s="3"/>
      <c r="F668" s="3"/>
      <c r="G668" s="3"/>
      <c r="H668" s="27"/>
      <c r="I668" s="60"/>
      <c r="J668" s="61"/>
      <c r="K668" s="30"/>
      <c r="L668" s="30"/>
      <c r="M668" s="30"/>
      <c r="N668" s="30"/>
      <c r="O668" s="31"/>
      <c r="P668" s="30"/>
      <c r="Q668" s="62"/>
      <c r="R668" s="62"/>
      <c r="S668" s="62"/>
      <c r="T668" s="62"/>
      <c r="U668" s="62"/>
      <c r="V668" s="63"/>
      <c r="W668" s="42"/>
      <c r="X668" s="63"/>
      <c r="Y668" s="65"/>
      <c r="Z668" s="42"/>
      <c r="AA668" s="42"/>
      <c r="AB668" s="42"/>
      <c r="AC668" s="42"/>
      <c r="AD668" s="65"/>
      <c r="AE668" s="42"/>
      <c r="AF668" s="42"/>
      <c r="AG668" s="42"/>
      <c r="AH668" s="42"/>
      <c r="AI668" s="65"/>
      <c r="AJ668" s="42"/>
      <c r="AK668" s="42"/>
      <c r="AL668" s="42"/>
      <c r="AM668" s="42"/>
      <c r="AN668" s="65"/>
      <c r="AO668" s="42"/>
      <c r="AP668" s="42"/>
      <c r="AQ668" s="42"/>
      <c r="AR668" s="42"/>
      <c r="AS668" s="65"/>
      <c r="AT668" s="42"/>
    </row>
    <row r="669" spans="1:46" x14ac:dyDescent="0.25">
      <c r="A669" s="3"/>
      <c r="B669" s="58"/>
      <c r="C669" s="59"/>
      <c r="D669" s="3"/>
      <c r="E669" s="3"/>
      <c r="F669" s="3"/>
      <c r="G669" s="3"/>
      <c r="H669" s="27"/>
      <c r="I669" s="60"/>
      <c r="J669" s="61"/>
      <c r="K669" s="30"/>
      <c r="L669" s="30"/>
      <c r="M669" s="30"/>
      <c r="N669" s="30"/>
      <c r="O669" s="31"/>
      <c r="P669" s="30"/>
      <c r="Q669" s="62"/>
      <c r="R669" s="62"/>
      <c r="S669" s="62"/>
      <c r="T669" s="62"/>
      <c r="U669" s="62"/>
      <c r="V669" s="63"/>
      <c r="W669" s="42"/>
      <c r="X669" s="63"/>
      <c r="Y669" s="65"/>
      <c r="Z669" s="42"/>
      <c r="AA669" s="42"/>
      <c r="AB669" s="42"/>
      <c r="AC669" s="42"/>
      <c r="AD669" s="65"/>
      <c r="AE669" s="42"/>
      <c r="AF669" s="42"/>
      <c r="AG669" s="42"/>
      <c r="AH669" s="42"/>
      <c r="AI669" s="65"/>
      <c r="AJ669" s="42"/>
      <c r="AK669" s="42"/>
      <c r="AL669" s="42"/>
      <c r="AM669" s="42"/>
      <c r="AN669" s="65"/>
      <c r="AO669" s="42"/>
      <c r="AP669" s="42"/>
      <c r="AQ669" s="42"/>
      <c r="AR669" s="42"/>
      <c r="AS669" s="65"/>
      <c r="AT669" s="42"/>
    </row>
    <row r="670" spans="1:46" x14ac:dyDescent="0.25">
      <c r="A670" s="3"/>
      <c r="B670" s="58"/>
      <c r="C670" s="59"/>
      <c r="D670" s="3"/>
      <c r="E670" s="3"/>
      <c r="F670" s="3"/>
      <c r="G670" s="3"/>
      <c r="H670" s="27"/>
      <c r="I670" s="60"/>
      <c r="J670" s="61"/>
      <c r="K670" s="30"/>
      <c r="L670" s="30"/>
      <c r="M670" s="30"/>
      <c r="N670" s="30"/>
      <c r="O670" s="31"/>
      <c r="P670" s="30"/>
      <c r="Q670" s="62"/>
      <c r="R670" s="62"/>
      <c r="S670" s="62"/>
      <c r="T670" s="62"/>
      <c r="U670" s="62"/>
      <c r="V670" s="63"/>
      <c r="W670" s="42"/>
      <c r="X670" s="63"/>
      <c r="Y670" s="65"/>
      <c r="Z670" s="42"/>
      <c r="AA670" s="42"/>
      <c r="AB670" s="42"/>
      <c r="AC670" s="42"/>
      <c r="AD670" s="65"/>
      <c r="AE670" s="42"/>
      <c r="AF670" s="42"/>
      <c r="AG670" s="42"/>
      <c r="AH670" s="42"/>
      <c r="AI670" s="65"/>
      <c r="AJ670" s="42"/>
      <c r="AK670" s="42"/>
      <c r="AL670" s="42"/>
      <c r="AM670" s="42"/>
      <c r="AN670" s="65"/>
      <c r="AO670" s="42"/>
      <c r="AP670" s="42"/>
      <c r="AQ670" s="42"/>
      <c r="AR670" s="42"/>
      <c r="AS670" s="65"/>
      <c r="AT670" s="42"/>
    </row>
    <row r="671" spans="1:46" x14ac:dyDescent="0.25">
      <c r="A671" s="3"/>
      <c r="B671" s="58"/>
      <c r="C671" s="59"/>
      <c r="D671" s="3"/>
      <c r="E671" s="3"/>
      <c r="F671" s="3"/>
      <c r="G671" s="3"/>
      <c r="H671" s="27"/>
      <c r="I671" s="60"/>
      <c r="J671" s="61"/>
      <c r="K671" s="30"/>
      <c r="L671" s="30"/>
      <c r="M671" s="30"/>
      <c r="N671" s="30"/>
      <c r="O671" s="31"/>
      <c r="P671" s="30"/>
      <c r="Q671" s="62"/>
      <c r="R671" s="62"/>
      <c r="S671" s="62"/>
      <c r="T671" s="62"/>
      <c r="U671" s="62"/>
      <c r="V671" s="63"/>
      <c r="W671" s="42"/>
      <c r="X671" s="63"/>
      <c r="Y671" s="65"/>
      <c r="Z671" s="42"/>
      <c r="AA671" s="42"/>
      <c r="AB671" s="42"/>
      <c r="AC671" s="42"/>
      <c r="AD671" s="65"/>
      <c r="AE671" s="42"/>
      <c r="AF671" s="42"/>
      <c r="AG671" s="42"/>
      <c r="AH671" s="42"/>
      <c r="AI671" s="65"/>
      <c r="AJ671" s="42"/>
      <c r="AK671" s="42"/>
      <c r="AL671" s="42"/>
      <c r="AM671" s="42"/>
      <c r="AN671" s="65"/>
      <c r="AO671" s="42"/>
      <c r="AP671" s="42"/>
      <c r="AQ671" s="42"/>
      <c r="AR671" s="42"/>
      <c r="AS671" s="65"/>
      <c r="AT671" s="42"/>
    </row>
    <row r="672" spans="1:46" x14ac:dyDescent="0.25">
      <c r="A672" s="3"/>
      <c r="B672" s="58"/>
      <c r="C672" s="59"/>
      <c r="D672" s="3"/>
      <c r="E672" s="3"/>
      <c r="F672" s="3"/>
      <c r="G672" s="3"/>
      <c r="H672" s="27"/>
      <c r="I672" s="60"/>
      <c r="J672" s="61"/>
      <c r="K672" s="30"/>
      <c r="L672" s="30"/>
      <c r="M672" s="30"/>
      <c r="N672" s="30"/>
      <c r="O672" s="31"/>
      <c r="P672" s="30"/>
      <c r="Q672" s="62"/>
      <c r="R672" s="62"/>
      <c r="S672" s="62"/>
      <c r="T672" s="62"/>
      <c r="U672" s="62"/>
      <c r="V672" s="63"/>
      <c r="W672" s="42"/>
      <c r="X672" s="63"/>
      <c r="Y672" s="65"/>
      <c r="Z672" s="42"/>
      <c r="AA672" s="42"/>
      <c r="AB672" s="42"/>
      <c r="AC672" s="42"/>
      <c r="AD672" s="65"/>
      <c r="AE672" s="42"/>
      <c r="AF672" s="42"/>
      <c r="AG672" s="42"/>
      <c r="AH672" s="42"/>
      <c r="AI672" s="65"/>
      <c r="AJ672" s="42"/>
      <c r="AK672" s="42"/>
      <c r="AL672" s="42"/>
      <c r="AM672" s="42"/>
      <c r="AN672" s="65"/>
      <c r="AO672" s="42"/>
      <c r="AP672" s="42"/>
      <c r="AQ672" s="42"/>
      <c r="AR672" s="42"/>
      <c r="AS672" s="65"/>
      <c r="AT672" s="42"/>
    </row>
    <row r="673" spans="1:46" x14ac:dyDescent="0.25">
      <c r="A673" s="3"/>
      <c r="B673" s="58"/>
      <c r="C673" s="59"/>
      <c r="D673" s="3"/>
      <c r="E673" s="3"/>
      <c r="F673" s="3"/>
      <c r="G673" s="3"/>
      <c r="H673" s="27"/>
      <c r="I673" s="60"/>
      <c r="J673" s="61"/>
      <c r="K673" s="30"/>
      <c r="L673" s="30"/>
      <c r="M673" s="30"/>
      <c r="N673" s="30"/>
      <c r="O673" s="31"/>
      <c r="P673" s="30"/>
      <c r="Q673" s="62"/>
      <c r="R673" s="62"/>
      <c r="S673" s="62"/>
      <c r="T673" s="62"/>
      <c r="U673" s="62"/>
      <c r="V673" s="63"/>
      <c r="W673" s="42"/>
      <c r="X673" s="63"/>
      <c r="Y673" s="65"/>
      <c r="Z673" s="42"/>
      <c r="AA673" s="42"/>
      <c r="AB673" s="42"/>
      <c r="AC673" s="42"/>
      <c r="AD673" s="65"/>
      <c r="AE673" s="42"/>
      <c r="AF673" s="42"/>
      <c r="AG673" s="42"/>
      <c r="AH673" s="42"/>
      <c r="AI673" s="65"/>
      <c r="AJ673" s="42"/>
      <c r="AK673" s="42"/>
      <c r="AL673" s="42"/>
      <c r="AM673" s="42"/>
      <c r="AN673" s="65"/>
      <c r="AO673" s="42"/>
      <c r="AP673" s="42"/>
      <c r="AQ673" s="42"/>
      <c r="AR673" s="42"/>
      <c r="AS673" s="65"/>
      <c r="AT673" s="42"/>
    </row>
    <row r="674" spans="1:46" x14ac:dyDescent="0.25">
      <c r="A674" s="3"/>
      <c r="B674" s="58"/>
      <c r="C674" s="59"/>
      <c r="D674" s="3"/>
      <c r="E674" s="3"/>
      <c r="F674" s="3"/>
      <c r="G674" s="3"/>
      <c r="H674" s="27"/>
      <c r="I674" s="60"/>
      <c r="J674" s="61"/>
      <c r="K674" s="30"/>
      <c r="L674" s="30"/>
      <c r="M674" s="30"/>
      <c r="N674" s="30"/>
      <c r="O674" s="31"/>
      <c r="P674" s="30"/>
      <c r="Q674" s="62"/>
      <c r="R674" s="62"/>
      <c r="S674" s="62"/>
      <c r="T674" s="62"/>
      <c r="U674" s="62"/>
      <c r="V674" s="63"/>
      <c r="W674" s="42"/>
      <c r="X674" s="63"/>
      <c r="Y674" s="65"/>
      <c r="Z674" s="42"/>
      <c r="AA674" s="42"/>
      <c r="AB674" s="42"/>
      <c r="AC674" s="42"/>
      <c r="AD674" s="65"/>
      <c r="AE674" s="42"/>
      <c r="AF674" s="42"/>
      <c r="AG674" s="42"/>
      <c r="AH674" s="42"/>
      <c r="AI674" s="65"/>
      <c r="AJ674" s="42"/>
      <c r="AK674" s="42"/>
      <c r="AL674" s="42"/>
      <c r="AM674" s="42"/>
      <c r="AN674" s="65"/>
      <c r="AO674" s="42"/>
      <c r="AP674" s="42"/>
      <c r="AQ674" s="42"/>
      <c r="AR674" s="42"/>
      <c r="AS674" s="65"/>
      <c r="AT674" s="42"/>
    </row>
    <row r="675" spans="1:46" x14ac:dyDescent="0.25">
      <c r="A675" s="3"/>
      <c r="B675" s="58"/>
      <c r="C675" s="59"/>
      <c r="D675" s="3"/>
      <c r="E675" s="3"/>
      <c r="F675" s="3"/>
      <c r="G675" s="3"/>
      <c r="H675" s="27"/>
      <c r="I675" s="60"/>
      <c r="J675" s="61"/>
      <c r="K675" s="30"/>
      <c r="L675" s="30"/>
      <c r="M675" s="30"/>
      <c r="N675" s="30"/>
      <c r="O675" s="31"/>
      <c r="P675" s="30"/>
      <c r="Q675" s="62"/>
      <c r="R675" s="62"/>
      <c r="S675" s="62"/>
      <c r="T675" s="62"/>
      <c r="U675" s="62"/>
      <c r="V675" s="63"/>
      <c r="W675" s="42"/>
      <c r="X675" s="63"/>
      <c r="Y675" s="65"/>
      <c r="Z675" s="42"/>
      <c r="AA675" s="42"/>
      <c r="AB675" s="42"/>
      <c r="AC675" s="42"/>
      <c r="AD675" s="65"/>
      <c r="AE675" s="42"/>
      <c r="AF675" s="42"/>
      <c r="AG675" s="42"/>
      <c r="AH675" s="42"/>
      <c r="AI675" s="65"/>
      <c r="AJ675" s="42"/>
      <c r="AK675" s="42"/>
      <c r="AL675" s="42"/>
      <c r="AM675" s="42"/>
      <c r="AN675" s="65"/>
      <c r="AO675" s="42"/>
      <c r="AP675" s="42"/>
      <c r="AQ675" s="42"/>
      <c r="AR675" s="42"/>
      <c r="AS675" s="65"/>
      <c r="AT675" s="42"/>
    </row>
    <row r="676" spans="1:46" x14ac:dyDescent="0.25">
      <c r="A676" s="3"/>
      <c r="B676" s="58"/>
      <c r="C676" s="59"/>
      <c r="D676" s="3"/>
      <c r="E676" s="3"/>
      <c r="F676" s="3"/>
      <c r="G676" s="3"/>
      <c r="H676" s="27"/>
      <c r="I676" s="60"/>
      <c r="J676" s="61"/>
      <c r="K676" s="30"/>
      <c r="L676" s="30"/>
      <c r="M676" s="30"/>
      <c r="N676" s="30"/>
      <c r="O676" s="31"/>
      <c r="P676" s="30"/>
      <c r="Q676" s="62"/>
      <c r="R676" s="62"/>
      <c r="S676" s="62"/>
      <c r="T676" s="62"/>
      <c r="U676" s="62"/>
      <c r="V676" s="63"/>
      <c r="W676" s="42"/>
      <c r="X676" s="63"/>
      <c r="Y676" s="65"/>
      <c r="Z676" s="42"/>
      <c r="AA676" s="42"/>
      <c r="AB676" s="42"/>
      <c r="AC676" s="42"/>
      <c r="AD676" s="65"/>
      <c r="AE676" s="42"/>
      <c r="AF676" s="42"/>
      <c r="AG676" s="42"/>
      <c r="AH676" s="42"/>
      <c r="AI676" s="65"/>
      <c r="AJ676" s="42"/>
      <c r="AK676" s="42"/>
      <c r="AL676" s="42"/>
      <c r="AM676" s="42"/>
      <c r="AN676" s="65"/>
      <c r="AO676" s="42"/>
      <c r="AP676" s="42"/>
      <c r="AQ676" s="42"/>
      <c r="AR676" s="42"/>
      <c r="AS676" s="65"/>
      <c r="AT676" s="42"/>
    </row>
    <row r="677" spans="1:46" x14ac:dyDescent="0.25">
      <c r="A677" s="3"/>
      <c r="B677" s="58"/>
      <c r="C677" s="59"/>
      <c r="D677" s="3"/>
      <c r="E677" s="3"/>
      <c r="F677" s="3"/>
      <c r="G677" s="3"/>
      <c r="H677" s="27"/>
      <c r="I677" s="60"/>
      <c r="J677" s="61"/>
      <c r="K677" s="30"/>
      <c r="L677" s="30"/>
      <c r="M677" s="30"/>
      <c r="N677" s="30"/>
      <c r="O677" s="31"/>
      <c r="P677" s="30"/>
      <c r="Q677" s="62"/>
      <c r="R677" s="62"/>
      <c r="S677" s="62"/>
      <c r="T677" s="62"/>
      <c r="U677" s="62"/>
      <c r="V677" s="63"/>
      <c r="W677" s="42"/>
      <c r="X677" s="63"/>
      <c r="Y677" s="65"/>
      <c r="Z677" s="42"/>
      <c r="AA677" s="42"/>
      <c r="AB677" s="42"/>
      <c r="AC677" s="42"/>
      <c r="AD677" s="65"/>
      <c r="AE677" s="42"/>
      <c r="AF677" s="42"/>
      <c r="AG677" s="42"/>
      <c r="AH677" s="42"/>
      <c r="AI677" s="65"/>
      <c r="AJ677" s="42"/>
      <c r="AK677" s="42"/>
      <c r="AL677" s="42"/>
      <c r="AM677" s="42"/>
      <c r="AN677" s="65"/>
      <c r="AO677" s="42"/>
      <c r="AP677" s="42"/>
      <c r="AQ677" s="42"/>
      <c r="AR677" s="42"/>
      <c r="AS677" s="65"/>
      <c r="AT677" s="42"/>
    </row>
    <row r="678" spans="1:46" x14ac:dyDescent="0.25">
      <c r="A678" s="3"/>
      <c r="B678" s="58"/>
      <c r="C678" s="59"/>
      <c r="D678" s="3"/>
      <c r="E678" s="3"/>
      <c r="F678" s="3"/>
      <c r="G678" s="3"/>
      <c r="H678" s="27"/>
      <c r="I678" s="60"/>
      <c r="J678" s="61"/>
      <c r="K678" s="30"/>
      <c r="L678" s="30"/>
      <c r="M678" s="30"/>
      <c r="N678" s="30"/>
      <c r="O678" s="31"/>
      <c r="P678" s="30"/>
      <c r="Q678" s="62"/>
      <c r="R678" s="62"/>
      <c r="S678" s="62"/>
      <c r="T678" s="62"/>
      <c r="U678" s="62"/>
      <c r="V678" s="63"/>
      <c r="W678" s="42"/>
      <c r="X678" s="63"/>
      <c r="Y678" s="65"/>
      <c r="Z678" s="42"/>
      <c r="AA678" s="42"/>
      <c r="AB678" s="42"/>
      <c r="AC678" s="42"/>
      <c r="AD678" s="65"/>
      <c r="AE678" s="42"/>
      <c r="AF678" s="42"/>
      <c r="AG678" s="42"/>
      <c r="AH678" s="42"/>
      <c r="AI678" s="65"/>
      <c r="AJ678" s="42"/>
      <c r="AK678" s="42"/>
      <c r="AL678" s="42"/>
      <c r="AM678" s="42"/>
      <c r="AN678" s="65"/>
      <c r="AO678" s="42"/>
      <c r="AP678" s="42"/>
      <c r="AQ678" s="42"/>
      <c r="AR678" s="42"/>
      <c r="AS678" s="65"/>
      <c r="AT678" s="42"/>
    </row>
    <row r="679" spans="1:46" x14ac:dyDescent="0.25">
      <c r="A679" s="3"/>
      <c r="B679" s="58"/>
      <c r="C679" s="59"/>
      <c r="D679" s="3"/>
      <c r="E679" s="3"/>
      <c r="F679" s="3"/>
      <c r="G679" s="3"/>
      <c r="H679" s="27"/>
      <c r="I679" s="60"/>
      <c r="J679" s="61"/>
      <c r="K679" s="30"/>
      <c r="L679" s="30"/>
      <c r="M679" s="30"/>
      <c r="N679" s="30"/>
      <c r="O679" s="31"/>
      <c r="P679" s="30"/>
      <c r="Q679" s="62"/>
      <c r="R679" s="62"/>
      <c r="S679" s="62"/>
      <c r="T679" s="62"/>
      <c r="U679" s="62"/>
      <c r="V679" s="63"/>
      <c r="W679" s="42"/>
      <c r="X679" s="63"/>
      <c r="Y679" s="65"/>
      <c r="Z679" s="42"/>
      <c r="AA679" s="42"/>
      <c r="AB679" s="42"/>
      <c r="AC679" s="42"/>
      <c r="AD679" s="65"/>
      <c r="AE679" s="42"/>
      <c r="AF679" s="42"/>
      <c r="AG679" s="42"/>
      <c r="AH679" s="42"/>
      <c r="AI679" s="65"/>
      <c r="AJ679" s="42"/>
      <c r="AK679" s="42"/>
      <c r="AL679" s="42"/>
      <c r="AM679" s="42"/>
      <c r="AN679" s="65"/>
      <c r="AO679" s="42"/>
      <c r="AP679" s="42"/>
      <c r="AQ679" s="42"/>
      <c r="AR679" s="42"/>
      <c r="AS679" s="65"/>
      <c r="AT679" s="42"/>
    </row>
    <row r="680" spans="1:46" x14ac:dyDescent="0.25">
      <c r="A680" s="3"/>
      <c r="B680" s="58"/>
      <c r="C680" s="59"/>
      <c r="D680" s="3"/>
      <c r="E680" s="3"/>
      <c r="F680" s="3"/>
      <c r="G680" s="3"/>
      <c r="H680" s="27"/>
      <c r="I680" s="60"/>
      <c r="J680" s="61"/>
      <c r="K680" s="30"/>
      <c r="L680" s="30"/>
      <c r="M680" s="30"/>
      <c r="N680" s="30"/>
      <c r="O680" s="31"/>
      <c r="P680" s="30"/>
      <c r="Q680" s="62"/>
      <c r="R680" s="62"/>
      <c r="S680" s="62"/>
      <c r="T680" s="62"/>
      <c r="U680" s="62"/>
      <c r="V680" s="63"/>
      <c r="W680" s="42"/>
      <c r="X680" s="63"/>
      <c r="Y680" s="65"/>
      <c r="Z680" s="42"/>
      <c r="AA680" s="42"/>
      <c r="AB680" s="42"/>
      <c r="AC680" s="42"/>
      <c r="AD680" s="65"/>
      <c r="AE680" s="42"/>
      <c r="AF680" s="42"/>
      <c r="AG680" s="42"/>
      <c r="AH680" s="42"/>
      <c r="AI680" s="65"/>
      <c r="AJ680" s="42"/>
      <c r="AK680" s="42"/>
      <c r="AL680" s="42"/>
      <c r="AM680" s="42"/>
      <c r="AN680" s="65"/>
      <c r="AO680" s="42"/>
      <c r="AP680" s="42"/>
      <c r="AQ680" s="42"/>
      <c r="AR680" s="42"/>
      <c r="AS680" s="65"/>
      <c r="AT680" s="42"/>
    </row>
    <row r="681" spans="1:46" x14ac:dyDescent="0.25">
      <c r="A681" s="3"/>
      <c r="B681" s="58"/>
      <c r="C681" s="59"/>
      <c r="D681" s="3"/>
      <c r="E681" s="3"/>
      <c r="F681" s="3"/>
      <c r="G681" s="3"/>
      <c r="H681" s="27"/>
      <c r="I681" s="60"/>
      <c r="J681" s="61"/>
      <c r="K681" s="30"/>
      <c r="L681" s="30"/>
      <c r="M681" s="30"/>
      <c r="N681" s="30"/>
      <c r="O681" s="31"/>
      <c r="P681" s="30"/>
      <c r="Q681" s="62"/>
      <c r="R681" s="62"/>
      <c r="S681" s="62"/>
      <c r="T681" s="62"/>
      <c r="U681" s="62"/>
      <c r="V681" s="63"/>
      <c r="W681" s="42"/>
      <c r="X681" s="63"/>
      <c r="Y681" s="65"/>
      <c r="Z681" s="42"/>
      <c r="AA681" s="42"/>
      <c r="AB681" s="42"/>
      <c r="AC681" s="42"/>
      <c r="AD681" s="65"/>
      <c r="AE681" s="42"/>
      <c r="AF681" s="42"/>
      <c r="AG681" s="42"/>
      <c r="AH681" s="42"/>
      <c r="AI681" s="65"/>
      <c r="AJ681" s="42"/>
      <c r="AK681" s="42"/>
      <c r="AL681" s="42"/>
      <c r="AM681" s="42"/>
      <c r="AN681" s="65"/>
      <c r="AO681" s="42"/>
      <c r="AP681" s="42"/>
      <c r="AQ681" s="42"/>
      <c r="AR681" s="42"/>
      <c r="AS681" s="65"/>
      <c r="AT681" s="42"/>
    </row>
    <row r="682" spans="1:46" x14ac:dyDescent="0.25">
      <c r="A682" s="3"/>
      <c r="B682" s="58"/>
      <c r="C682" s="59"/>
      <c r="D682" s="3"/>
      <c r="E682" s="3"/>
      <c r="F682" s="3"/>
      <c r="G682" s="3"/>
      <c r="H682" s="27"/>
      <c r="I682" s="60"/>
      <c r="J682" s="61"/>
      <c r="K682" s="30"/>
      <c r="L682" s="30"/>
      <c r="M682" s="30"/>
      <c r="N682" s="30"/>
      <c r="O682" s="31"/>
      <c r="P682" s="30"/>
      <c r="Q682" s="62"/>
      <c r="R682" s="62"/>
      <c r="S682" s="62"/>
      <c r="T682" s="62"/>
      <c r="U682" s="62"/>
      <c r="V682" s="63"/>
      <c r="W682" s="42"/>
      <c r="X682" s="63"/>
      <c r="Y682" s="65"/>
      <c r="Z682" s="42"/>
      <c r="AA682" s="42"/>
      <c r="AB682" s="42"/>
      <c r="AC682" s="42"/>
      <c r="AD682" s="65"/>
      <c r="AE682" s="42"/>
      <c r="AF682" s="42"/>
      <c r="AG682" s="42"/>
      <c r="AH682" s="42"/>
      <c r="AI682" s="65"/>
      <c r="AJ682" s="42"/>
      <c r="AK682" s="42"/>
      <c r="AL682" s="42"/>
      <c r="AM682" s="42"/>
      <c r="AN682" s="65"/>
      <c r="AO682" s="42"/>
      <c r="AP682" s="42"/>
      <c r="AQ682" s="42"/>
      <c r="AR682" s="42"/>
      <c r="AS682" s="65"/>
      <c r="AT682" s="42"/>
    </row>
    <row r="683" spans="1:46" x14ac:dyDescent="0.25">
      <c r="A683" s="3"/>
      <c r="B683" s="58"/>
      <c r="C683" s="59"/>
      <c r="D683" s="3"/>
      <c r="E683" s="3"/>
      <c r="F683" s="3"/>
      <c r="G683" s="3"/>
      <c r="H683" s="27"/>
      <c r="I683" s="60"/>
      <c r="J683" s="61"/>
      <c r="K683" s="30"/>
      <c r="L683" s="30"/>
      <c r="M683" s="30"/>
      <c r="N683" s="30"/>
      <c r="O683" s="31"/>
      <c r="P683" s="30"/>
      <c r="Q683" s="62"/>
      <c r="R683" s="62"/>
      <c r="S683" s="62"/>
      <c r="T683" s="62"/>
      <c r="U683" s="62"/>
      <c r="V683" s="63"/>
      <c r="W683" s="42"/>
      <c r="X683" s="63"/>
      <c r="Y683" s="65"/>
      <c r="Z683" s="42"/>
      <c r="AA683" s="42"/>
      <c r="AB683" s="42"/>
      <c r="AC683" s="42"/>
      <c r="AD683" s="65"/>
      <c r="AE683" s="42"/>
      <c r="AF683" s="42"/>
      <c r="AG683" s="42"/>
      <c r="AH683" s="42"/>
      <c r="AI683" s="65"/>
      <c r="AJ683" s="42"/>
      <c r="AK683" s="42"/>
      <c r="AL683" s="42"/>
      <c r="AM683" s="42"/>
      <c r="AN683" s="65"/>
      <c r="AO683" s="42"/>
      <c r="AP683" s="42"/>
      <c r="AQ683" s="42"/>
      <c r="AR683" s="42"/>
      <c r="AS683" s="65"/>
      <c r="AT683" s="42"/>
    </row>
    <row r="684" spans="1:46" x14ac:dyDescent="0.25">
      <c r="A684" s="3"/>
      <c r="B684" s="58"/>
      <c r="C684" s="59"/>
      <c r="D684" s="3"/>
      <c r="E684" s="3"/>
      <c r="F684" s="3"/>
      <c r="G684" s="3"/>
      <c r="H684" s="27"/>
      <c r="I684" s="60"/>
      <c r="J684" s="61"/>
      <c r="K684" s="30"/>
      <c r="L684" s="30"/>
      <c r="M684" s="30"/>
      <c r="N684" s="30"/>
      <c r="O684" s="31"/>
      <c r="P684" s="30"/>
      <c r="Q684" s="62"/>
      <c r="R684" s="62"/>
      <c r="S684" s="62"/>
      <c r="T684" s="62"/>
      <c r="U684" s="62"/>
      <c r="V684" s="63"/>
      <c r="W684" s="42"/>
      <c r="X684" s="63"/>
      <c r="Y684" s="65"/>
      <c r="Z684" s="42"/>
      <c r="AA684" s="42"/>
      <c r="AB684" s="42"/>
      <c r="AC684" s="42"/>
      <c r="AD684" s="65"/>
      <c r="AE684" s="42"/>
      <c r="AF684" s="42"/>
      <c r="AG684" s="42"/>
      <c r="AH684" s="42"/>
      <c r="AI684" s="65"/>
      <c r="AJ684" s="42"/>
      <c r="AK684" s="42"/>
      <c r="AL684" s="42"/>
      <c r="AM684" s="42"/>
      <c r="AN684" s="65"/>
      <c r="AO684" s="42"/>
      <c r="AP684" s="42"/>
      <c r="AQ684" s="42"/>
      <c r="AR684" s="42"/>
      <c r="AS684" s="65"/>
      <c r="AT684" s="42"/>
    </row>
    <row r="685" spans="1:46" x14ac:dyDescent="0.25">
      <c r="A685" s="3"/>
      <c r="B685" s="58"/>
      <c r="C685" s="59"/>
      <c r="D685" s="3"/>
      <c r="E685" s="3"/>
      <c r="F685" s="3"/>
      <c r="G685" s="3"/>
      <c r="H685" s="27"/>
      <c r="I685" s="60"/>
      <c r="J685" s="61"/>
      <c r="K685" s="30"/>
      <c r="L685" s="30"/>
      <c r="M685" s="30"/>
      <c r="N685" s="30"/>
      <c r="O685" s="31"/>
      <c r="P685" s="30"/>
      <c r="Q685" s="62"/>
      <c r="R685" s="62"/>
      <c r="S685" s="62"/>
      <c r="T685" s="62"/>
      <c r="U685" s="62"/>
      <c r="V685" s="63"/>
      <c r="W685" s="42"/>
      <c r="X685" s="63"/>
      <c r="Y685" s="65"/>
      <c r="Z685" s="42"/>
      <c r="AA685" s="42"/>
      <c r="AB685" s="42"/>
      <c r="AC685" s="42"/>
      <c r="AD685" s="65"/>
      <c r="AE685" s="42"/>
      <c r="AF685" s="42"/>
      <c r="AG685" s="42"/>
      <c r="AH685" s="42"/>
      <c r="AI685" s="65"/>
      <c r="AJ685" s="42"/>
      <c r="AK685" s="42"/>
      <c r="AL685" s="42"/>
      <c r="AM685" s="42"/>
      <c r="AN685" s="65"/>
      <c r="AO685" s="42"/>
      <c r="AP685" s="42"/>
      <c r="AQ685" s="42"/>
      <c r="AR685" s="42"/>
      <c r="AS685" s="65"/>
      <c r="AT685" s="42"/>
    </row>
    <row r="686" spans="1:46" x14ac:dyDescent="0.25">
      <c r="A686" s="3"/>
      <c r="B686" s="58"/>
      <c r="C686" s="59"/>
      <c r="D686" s="3"/>
      <c r="E686" s="3"/>
      <c r="F686" s="3"/>
      <c r="G686" s="3"/>
      <c r="H686" s="27"/>
      <c r="I686" s="60"/>
      <c r="J686" s="61"/>
      <c r="K686" s="30"/>
      <c r="L686" s="30"/>
      <c r="M686" s="30"/>
      <c r="N686" s="30"/>
      <c r="O686" s="31"/>
      <c r="P686" s="30"/>
      <c r="Q686" s="62"/>
      <c r="R686" s="62"/>
      <c r="S686" s="62"/>
      <c r="T686" s="62"/>
      <c r="U686" s="62"/>
      <c r="V686" s="63"/>
      <c r="W686" s="42"/>
      <c r="X686" s="63"/>
      <c r="Y686" s="65"/>
      <c r="Z686" s="42"/>
      <c r="AA686" s="42"/>
      <c r="AB686" s="42"/>
      <c r="AC686" s="42"/>
      <c r="AD686" s="65"/>
      <c r="AE686" s="42"/>
      <c r="AF686" s="42"/>
      <c r="AG686" s="42"/>
      <c r="AH686" s="42"/>
      <c r="AI686" s="65"/>
      <c r="AJ686" s="42"/>
      <c r="AK686" s="42"/>
      <c r="AL686" s="42"/>
      <c r="AM686" s="42"/>
      <c r="AN686" s="65"/>
      <c r="AO686" s="42"/>
      <c r="AP686" s="42"/>
      <c r="AQ686" s="42"/>
      <c r="AR686" s="42"/>
      <c r="AS686" s="65"/>
      <c r="AT686" s="42"/>
    </row>
    <row r="687" spans="1:46" x14ac:dyDescent="0.25">
      <c r="A687" s="3"/>
      <c r="B687" s="58"/>
      <c r="C687" s="59"/>
      <c r="D687" s="3"/>
      <c r="E687" s="3"/>
      <c r="F687" s="3"/>
      <c r="G687" s="3"/>
      <c r="H687" s="27"/>
      <c r="I687" s="60"/>
      <c r="J687" s="61"/>
      <c r="K687" s="30"/>
      <c r="L687" s="30"/>
      <c r="M687" s="30"/>
      <c r="N687" s="30"/>
      <c r="O687" s="31"/>
      <c r="P687" s="30"/>
      <c r="Q687" s="62"/>
      <c r="R687" s="62"/>
      <c r="S687" s="62"/>
      <c r="T687" s="62"/>
      <c r="U687" s="62"/>
      <c r="V687" s="63"/>
      <c r="W687" s="42"/>
      <c r="X687" s="63"/>
      <c r="Y687" s="65"/>
      <c r="Z687" s="42"/>
      <c r="AA687" s="42"/>
      <c r="AB687" s="42"/>
      <c r="AC687" s="42"/>
      <c r="AD687" s="65"/>
      <c r="AE687" s="42"/>
      <c r="AF687" s="42"/>
      <c r="AG687" s="42"/>
      <c r="AH687" s="42"/>
      <c r="AI687" s="65"/>
      <c r="AJ687" s="42"/>
      <c r="AK687" s="42"/>
      <c r="AL687" s="42"/>
      <c r="AM687" s="42"/>
      <c r="AN687" s="65"/>
      <c r="AO687" s="42"/>
      <c r="AP687" s="42"/>
      <c r="AQ687" s="42"/>
      <c r="AR687" s="42"/>
      <c r="AS687" s="65"/>
      <c r="AT687" s="42"/>
    </row>
    <row r="688" spans="1:46" x14ac:dyDescent="0.25">
      <c r="A688" s="3"/>
      <c r="B688" s="58"/>
      <c r="C688" s="59"/>
      <c r="D688" s="3"/>
      <c r="E688" s="3"/>
      <c r="F688" s="3"/>
      <c r="G688" s="3"/>
      <c r="H688" s="27"/>
      <c r="I688" s="60"/>
      <c r="J688" s="61"/>
      <c r="K688" s="30"/>
      <c r="L688" s="30"/>
      <c r="M688" s="30"/>
      <c r="N688" s="30"/>
      <c r="O688" s="31"/>
      <c r="P688" s="30"/>
      <c r="Q688" s="62"/>
      <c r="R688" s="62"/>
      <c r="S688" s="62"/>
      <c r="T688" s="62"/>
      <c r="U688" s="62"/>
      <c r="V688" s="63"/>
      <c r="W688" s="42"/>
      <c r="X688" s="63"/>
      <c r="Y688" s="65"/>
      <c r="Z688" s="42"/>
      <c r="AA688" s="42"/>
      <c r="AB688" s="42"/>
      <c r="AC688" s="42"/>
      <c r="AD688" s="65"/>
      <c r="AE688" s="42"/>
      <c r="AF688" s="42"/>
      <c r="AG688" s="42"/>
      <c r="AH688" s="42"/>
      <c r="AI688" s="65"/>
      <c r="AJ688" s="42"/>
      <c r="AK688" s="42"/>
      <c r="AL688" s="42"/>
      <c r="AM688" s="42"/>
      <c r="AN688" s="65"/>
      <c r="AO688" s="42"/>
      <c r="AP688" s="42"/>
      <c r="AQ688" s="42"/>
      <c r="AR688" s="42"/>
      <c r="AS688" s="65"/>
      <c r="AT688" s="42"/>
    </row>
    <row r="689" spans="1:46" x14ac:dyDescent="0.25">
      <c r="A689" s="3"/>
      <c r="B689" s="58"/>
      <c r="C689" s="59"/>
      <c r="D689" s="3"/>
      <c r="E689" s="3"/>
      <c r="F689" s="3"/>
      <c r="G689" s="3"/>
      <c r="H689" s="27"/>
      <c r="I689" s="60"/>
      <c r="J689" s="61"/>
      <c r="K689" s="30"/>
      <c r="L689" s="30"/>
      <c r="M689" s="30"/>
      <c r="N689" s="30"/>
      <c r="O689" s="31"/>
      <c r="P689" s="30"/>
      <c r="Q689" s="62"/>
      <c r="R689" s="62"/>
      <c r="S689" s="62"/>
      <c r="T689" s="62"/>
      <c r="U689" s="62"/>
      <c r="V689" s="63"/>
      <c r="W689" s="42"/>
      <c r="X689" s="63"/>
      <c r="Y689" s="65"/>
      <c r="Z689" s="42"/>
      <c r="AA689" s="42"/>
      <c r="AB689" s="42"/>
      <c r="AC689" s="42"/>
      <c r="AD689" s="65"/>
      <c r="AE689" s="42"/>
      <c r="AF689" s="42"/>
      <c r="AG689" s="42"/>
      <c r="AH689" s="42"/>
      <c r="AI689" s="65"/>
      <c r="AJ689" s="42"/>
      <c r="AK689" s="42"/>
      <c r="AL689" s="42"/>
      <c r="AM689" s="42"/>
      <c r="AN689" s="65"/>
      <c r="AO689" s="42"/>
      <c r="AP689" s="42"/>
      <c r="AQ689" s="42"/>
      <c r="AR689" s="42"/>
      <c r="AS689" s="65"/>
      <c r="AT689" s="42"/>
    </row>
    <row r="690" spans="1:46" x14ac:dyDescent="0.25">
      <c r="A690" s="3"/>
      <c r="B690" s="58"/>
      <c r="C690" s="59"/>
      <c r="D690" s="3"/>
      <c r="E690" s="3"/>
      <c r="F690" s="3"/>
      <c r="G690" s="3"/>
      <c r="H690" s="27"/>
      <c r="I690" s="60"/>
      <c r="J690" s="61"/>
      <c r="K690" s="30"/>
      <c r="L690" s="30"/>
      <c r="M690" s="30"/>
      <c r="N690" s="30"/>
      <c r="O690" s="31"/>
      <c r="P690" s="30"/>
      <c r="Q690" s="62"/>
      <c r="R690" s="62"/>
      <c r="S690" s="62"/>
      <c r="T690" s="62"/>
      <c r="U690" s="62"/>
      <c r="V690" s="63"/>
      <c r="W690" s="42"/>
      <c r="X690" s="63"/>
      <c r="Y690" s="65"/>
      <c r="Z690" s="42"/>
      <c r="AA690" s="42"/>
      <c r="AB690" s="42"/>
      <c r="AC690" s="42"/>
      <c r="AD690" s="65"/>
      <c r="AE690" s="42"/>
      <c r="AF690" s="42"/>
      <c r="AG690" s="42"/>
      <c r="AH690" s="42"/>
      <c r="AI690" s="65"/>
      <c r="AJ690" s="42"/>
      <c r="AK690" s="42"/>
      <c r="AL690" s="42"/>
      <c r="AM690" s="42"/>
      <c r="AN690" s="65"/>
      <c r="AO690" s="42"/>
      <c r="AP690" s="42"/>
      <c r="AQ690" s="42"/>
      <c r="AR690" s="42"/>
      <c r="AS690" s="65"/>
      <c r="AT690" s="42"/>
    </row>
    <row r="691" spans="1:46" x14ac:dyDescent="0.25">
      <c r="A691" s="3"/>
      <c r="B691" s="58"/>
      <c r="C691" s="59"/>
      <c r="D691" s="3"/>
      <c r="E691" s="3"/>
      <c r="F691" s="3"/>
      <c r="G691" s="3"/>
      <c r="H691" s="27"/>
      <c r="I691" s="60"/>
      <c r="J691" s="61"/>
      <c r="K691" s="30"/>
      <c r="L691" s="30"/>
      <c r="M691" s="30"/>
      <c r="N691" s="30"/>
      <c r="O691" s="31"/>
      <c r="P691" s="30"/>
      <c r="Q691" s="62"/>
      <c r="R691" s="62"/>
      <c r="S691" s="62"/>
      <c r="T691" s="62"/>
      <c r="U691" s="62"/>
      <c r="V691" s="63"/>
      <c r="W691" s="42"/>
      <c r="X691" s="63"/>
      <c r="Y691" s="65"/>
      <c r="Z691" s="42"/>
      <c r="AA691" s="42"/>
      <c r="AB691" s="42"/>
      <c r="AC691" s="42"/>
      <c r="AD691" s="65"/>
      <c r="AE691" s="42"/>
      <c r="AF691" s="42"/>
      <c r="AG691" s="42"/>
      <c r="AH691" s="42"/>
      <c r="AI691" s="65"/>
      <c r="AJ691" s="42"/>
      <c r="AK691" s="42"/>
      <c r="AL691" s="42"/>
      <c r="AM691" s="42"/>
      <c r="AN691" s="65"/>
      <c r="AO691" s="42"/>
      <c r="AP691" s="42"/>
      <c r="AQ691" s="42"/>
      <c r="AR691" s="42"/>
      <c r="AS691" s="65"/>
      <c r="AT691" s="42"/>
    </row>
    <row r="692" spans="1:46" x14ac:dyDescent="0.25">
      <c r="A692" s="3"/>
      <c r="B692" s="58"/>
      <c r="C692" s="59"/>
      <c r="D692" s="3"/>
      <c r="E692" s="3"/>
      <c r="F692" s="3"/>
      <c r="G692" s="3"/>
      <c r="H692" s="27"/>
      <c r="I692" s="60"/>
      <c r="J692" s="61"/>
      <c r="K692" s="30"/>
      <c r="L692" s="30"/>
      <c r="M692" s="30"/>
      <c r="N692" s="30"/>
      <c r="O692" s="31"/>
      <c r="P692" s="30"/>
      <c r="Q692" s="62"/>
      <c r="R692" s="62"/>
      <c r="S692" s="62"/>
      <c r="T692" s="62"/>
      <c r="U692" s="62"/>
      <c r="V692" s="63"/>
      <c r="W692" s="42"/>
      <c r="X692" s="63"/>
      <c r="Y692" s="65"/>
      <c r="Z692" s="42"/>
      <c r="AA692" s="42"/>
      <c r="AB692" s="42"/>
      <c r="AC692" s="42"/>
      <c r="AD692" s="65"/>
      <c r="AE692" s="42"/>
      <c r="AF692" s="42"/>
      <c r="AG692" s="42"/>
      <c r="AH692" s="42"/>
      <c r="AI692" s="65"/>
      <c r="AJ692" s="42"/>
      <c r="AK692" s="42"/>
      <c r="AL692" s="42"/>
      <c r="AM692" s="42"/>
      <c r="AN692" s="65"/>
      <c r="AO692" s="42"/>
      <c r="AP692" s="42"/>
      <c r="AQ692" s="42"/>
      <c r="AR692" s="42"/>
      <c r="AS692" s="65"/>
      <c r="AT692" s="42"/>
    </row>
    <row r="693" spans="1:46" x14ac:dyDescent="0.25">
      <c r="A693" s="3"/>
      <c r="B693" s="58"/>
      <c r="C693" s="59"/>
      <c r="D693" s="3"/>
      <c r="E693" s="3"/>
      <c r="F693" s="3"/>
      <c r="G693" s="3"/>
      <c r="H693" s="27"/>
      <c r="I693" s="60"/>
      <c r="J693" s="61"/>
      <c r="K693" s="30"/>
      <c r="L693" s="30"/>
      <c r="M693" s="30"/>
      <c r="N693" s="30"/>
      <c r="O693" s="31"/>
      <c r="P693" s="30"/>
      <c r="Q693" s="62"/>
      <c r="R693" s="62"/>
      <c r="S693" s="62"/>
      <c r="T693" s="62"/>
      <c r="U693" s="62"/>
      <c r="V693" s="63"/>
      <c r="W693" s="42"/>
      <c r="X693" s="63"/>
      <c r="Y693" s="65"/>
      <c r="Z693" s="42"/>
      <c r="AA693" s="42"/>
      <c r="AB693" s="42"/>
      <c r="AC693" s="42"/>
      <c r="AD693" s="65"/>
      <c r="AE693" s="42"/>
      <c r="AF693" s="42"/>
      <c r="AG693" s="42"/>
      <c r="AH693" s="42"/>
      <c r="AI693" s="65"/>
      <c r="AJ693" s="42"/>
      <c r="AK693" s="42"/>
      <c r="AL693" s="42"/>
      <c r="AM693" s="42"/>
      <c r="AN693" s="65"/>
      <c r="AO693" s="42"/>
      <c r="AP693" s="42"/>
      <c r="AQ693" s="42"/>
      <c r="AR693" s="42"/>
      <c r="AS693" s="65"/>
      <c r="AT693" s="42"/>
    </row>
    <row r="694" spans="1:46" x14ac:dyDescent="0.25">
      <c r="A694" s="3"/>
      <c r="B694" s="58"/>
      <c r="C694" s="59"/>
      <c r="D694" s="3"/>
      <c r="E694" s="3"/>
      <c r="F694" s="3"/>
      <c r="G694" s="3"/>
      <c r="H694" s="27"/>
      <c r="I694" s="60"/>
      <c r="J694" s="61"/>
      <c r="K694" s="30"/>
      <c r="L694" s="30"/>
      <c r="M694" s="30"/>
      <c r="N694" s="30"/>
      <c r="O694" s="31"/>
      <c r="P694" s="30"/>
      <c r="Q694" s="62"/>
      <c r="R694" s="62"/>
      <c r="S694" s="62"/>
      <c r="T694" s="62"/>
      <c r="U694" s="62"/>
      <c r="V694" s="63"/>
      <c r="W694" s="42"/>
      <c r="X694" s="63"/>
      <c r="Y694" s="65"/>
      <c r="Z694" s="42"/>
      <c r="AA694" s="42"/>
      <c r="AB694" s="42"/>
      <c r="AC694" s="42"/>
      <c r="AD694" s="65"/>
      <c r="AE694" s="42"/>
      <c r="AF694" s="42"/>
      <c r="AG694" s="42"/>
      <c r="AH694" s="42"/>
      <c r="AI694" s="65"/>
      <c r="AJ694" s="42"/>
      <c r="AK694" s="42"/>
      <c r="AL694" s="42"/>
      <c r="AM694" s="42"/>
      <c r="AN694" s="65"/>
      <c r="AO694" s="42"/>
      <c r="AP694" s="42"/>
      <c r="AQ694" s="42"/>
      <c r="AR694" s="42"/>
      <c r="AS694" s="65"/>
      <c r="AT694" s="42"/>
    </row>
    <row r="695" spans="1:46" x14ac:dyDescent="0.25">
      <c r="A695" s="3"/>
      <c r="B695" s="58"/>
      <c r="C695" s="59"/>
      <c r="D695" s="3"/>
      <c r="E695" s="3"/>
      <c r="F695" s="3"/>
      <c r="G695" s="3"/>
      <c r="H695" s="27"/>
      <c r="I695" s="60"/>
      <c r="J695" s="61"/>
      <c r="K695" s="30"/>
      <c r="L695" s="30"/>
      <c r="M695" s="30"/>
      <c r="N695" s="30"/>
      <c r="O695" s="31"/>
      <c r="P695" s="30"/>
      <c r="Q695" s="62"/>
      <c r="R695" s="62"/>
      <c r="S695" s="62"/>
      <c r="T695" s="62"/>
      <c r="U695" s="62"/>
      <c r="V695" s="63"/>
      <c r="W695" s="42"/>
      <c r="X695" s="63"/>
      <c r="Y695" s="65"/>
      <c r="Z695" s="42"/>
      <c r="AA695" s="42"/>
      <c r="AB695" s="42"/>
      <c r="AC695" s="42"/>
      <c r="AD695" s="65"/>
      <c r="AE695" s="42"/>
      <c r="AF695" s="42"/>
      <c r="AG695" s="42"/>
      <c r="AH695" s="42"/>
      <c r="AI695" s="65"/>
      <c r="AJ695" s="42"/>
      <c r="AK695" s="42"/>
      <c r="AL695" s="42"/>
      <c r="AM695" s="42"/>
      <c r="AN695" s="65"/>
      <c r="AO695" s="42"/>
      <c r="AP695" s="42"/>
      <c r="AQ695" s="42"/>
      <c r="AR695" s="42"/>
      <c r="AS695" s="65"/>
      <c r="AT695" s="42"/>
    </row>
    <row r="696" spans="1:46" x14ac:dyDescent="0.25">
      <c r="A696" s="3"/>
      <c r="B696" s="58"/>
      <c r="C696" s="59"/>
      <c r="D696" s="3"/>
      <c r="E696" s="3"/>
      <c r="F696" s="3"/>
      <c r="G696" s="3"/>
      <c r="H696" s="27"/>
      <c r="I696" s="60"/>
      <c r="J696" s="61"/>
      <c r="K696" s="30"/>
      <c r="L696" s="30"/>
      <c r="M696" s="30"/>
      <c r="N696" s="30"/>
      <c r="O696" s="31"/>
      <c r="P696" s="30"/>
      <c r="Q696" s="62"/>
      <c r="R696" s="62"/>
      <c r="S696" s="62"/>
      <c r="T696" s="62"/>
      <c r="U696" s="62"/>
      <c r="V696" s="63"/>
      <c r="W696" s="42"/>
      <c r="X696" s="63"/>
      <c r="Y696" s="65"/>
      <c r="Z696" s="42"/>
      <c r="AA696" s="42"/>
      <c r="AB696" s="42"/>
      <c r="AC696" s="42"/>
      <c r="AD696" s="65"/>
      <c r="AE696" s="42"/>
      <c r="AF696" s="42"/>
      <c r="AG696" s="42"/>
      <c r="AH696" s="42"/>
      <c r="AI696" s="65"/>
      <c r="AJ696" s="42"/>
      <c r="AK696" s="42"/>
      <c r="AL696" s="42"/>
      <c r="AM696" s="42"/>
      <c r="AN696" s="65"/>
      <c r="AO696" s="42"/>
      <c r="AP696" s="42"/>
      <c r="AQ696" s="42"/>
      <c r="AR696" s="42"/>
      <c r="AS696" s="65"/>
      <c r="AT696" s="42"/>
    </row>
    <row r="697" spans="1:46" x14ac:dyDescent="0.25">
      <c r="A697" s="3"/>
      <c r="B697" s="58"/>
      <c r="C697" s="59"/>
      <c r="D697" s="3"/>
      <c r="E697" s="3"/>
      <c r="F697" s="3"/>
      <c r="G697" s="3"/>
      <c r="H697" s="27"/>
      <c r="I697" s="60"/>
      <c r="J697" s="61"/>
      <c r="K697" s="30"/>
      <c r="L697" s="30"/>
      <c r="M697" s="30"/>
      <c r="N697" s="30"/>
      <c r="O697" s="31"/>
      <c r="P697" s="30"/>
      <c r="Q697" s="62"/>
      <c r="R697" s="62"/>
      <c r="S697" s="62"/>
      <c r="T697" s="62"/>
      <c r="U697" s="62"/>
      <c r="V697" s="63"/>
      <c r="W697" s="42"/>
      <c r="X697" s="63"/>
      <c r="Y697" s="65"/>
      <c r="Z697" s="42"/>
      <c r="AA697" s="42"/>
      <c r="AB697" s="42"/>
      <c r="AC697" s="42"/>
      <c r="AD697" s="65"/>
      <c r="AE697" s="42"/>
      <c r="AF697" s="42"/>
      <c r="AG697" s="42"/>
      <c r="AH697" s="42"/>
      <c r="AI697" s="65"/>
      <c r="AJ697" s="42"/>
      <c r="AK697" s="42"/>
      <c r="AL697" s="42"/>
      <c r="AM697" s="42"/>
      <c r="AN697" s="65"/>
      <c r="AO697" s="42"/>
      <c r="AP697" s="42"/>
      <c r="AQ697" s="42"/>
      <c r="AR697" s="42"/>
      <c r="AS697" s="65"/>
      <c r="AT697" s="42"/>
    </row>
    <row r="698" spans="1:46" x14ac:dyDescent="0.25">
      <c r="A698" s="3"/>
      <c r="B698" s="58"/>
      <c r="C698" s="59"/>
      <c r="D698" s="3"/>
      <c r="E698" s="3"/>
      <c r="F698" s="3"/>
      <c r="G698" s="3"/>
      <c r="H698" s="27"/>
      <c r="I698" s="60"/>
      <c r="J698" s="61"/>
      <c r="K698" s="30"/>
      <c r="L698" s="30"/>
      <c r="M698" s="30"/>
      <c r="N698" s="30"/>
      <c r="O698" s="31"/>
      <c r="P698" s="30"/>
      <c r="Q698" s="62"/>
      <c r="R698" s="62"/>
      <c r="S698" s="62"/>
      <c r="T698" s="62"/>
      <c r="U698" s="62"/>
      <c r="V698" s="63"/>
      <c r="W698" s="42"/>
      <c r="X698" s="63"/>
      <c r="Y698" s="65"/>
      <c r="Z698" s="42"/>
      <c r="AA698" s="42"/>
      <c r="AB698" s="42"/>
      <c r="AC698" s="42"/>
      <c r="AD698" s="65"/>
      <c r="AE698" s="42"/>
      <c r="AF698" s="42"/>
      <c r="AG698" s="42"/>
      <c r="AH698" s="42"/>
      <c r="AI698" s="65"/>
      <c r="AJ698" s="42"/>
      <c r="AK698" s="42"/>
      <c r="AL698" s="42"/>
      <c r="AM698" s="42"/>
      <c r="AN698" s="65"/>
      <c r="AO698" s="42"/>
      <c r="AP698" s="42"/>
      <c r="AQ698" s="42"/>
      <c r="AR698" s="42"/>
      <c r="AS698" s="65"/>
      <c r="AT698" s="42"/>
    </row>
    <row r="699" spans="1:46" x14ac:dyDescent="0.25">
      <c r="A699" s="3"/>
      <c r="B699" s="58"/>
      <c r="C699" s="59"/>
      <c r="D699" s="3"/>
      <c r="E699" s="3"/>
      <c r="F699" s="3"/>
      <c r="G699" s="3"/>
      <c r="H699" s="27"/>
      <c r="I699" s="60"/>
      <c r="J699" s="61"/>
      <c r="K699" s="30"/>
      <c r="L699" s="30"/>
      <c r="M699" s="30"/>
      <c r="N699" s="30"/>
      <c r="O699" s="31"/>
      <c r="P699" s="30"/>
      <c r="Q699" s="62"/>
      <c r="R699" s="62"/>
      <c r="S699" s="62"/>
      <c r="T699" s="62"/>
      <c r="U699" s="62"/>
      <c r="V699" s="63"/>
      <c r="W699" s="42"/>
      <c r="X699" s="63"/>
      <c r="Y699" s="65"/>
      <c r="Z699" s="42"/>
      <c r="AA699" s="42"/>
      <c r="AB699" s="42"/>
      <c r="AC699" s="42"/>
      <c r="AD699" s="65"/>
      <c r="AE699" s="42"/>
      <c r="AF699" s="42"/>
      <c r="AG699" s="42"/>
      <c r="AH699" s="42"/>
      <c r="AI699" s="65"/>
      <c r="AJ699" s="42"/>
      <c r="AK699" s="42"/>
      <c r="AL699" s="42"/>
      <c r="AM699" s="42"/>
      <c r="AN699" s="65"/>
      <c r="AO699" s="42"/>
      <c r="AP699" s="42"/>
      <c r="AQ699" s="42"/>
      <c r="AR699" s="42"/>
      <c r="AS699" s="65"/>
      <c r="AT699" s="42"/>
    </row>
    <row r="700" spans="1:46" x14ac:dyDescent="0.25">
      <c r="A700" s="3"/>
      <c r="B700" s="58"/>
      <c r="C700" s="59"/>
      <c r="D700" s="3"/>
      <c r="E700" s="3"/>
      <c r="F700" s="3"/>
      <c r="G700" s="3"/>
      <c r="H700" s="27"/>
      <c r="I700" s="60"/>
      <c r="J700" s="61"/>
      <c r="K700" s="30"/>
      <c r="L700" s="30"/>
      <c r="M700" s="30"/>
      <c r="N700" s="30"/>
      <c r="O700" s="31"/>
      <c r="P700" s="30"/>
      <c r="Q700" s="62"/>
      <c r="R700" s="62"/>
      <c r="S700" s="62"/>
      <c r="T700" s="62"/>
      <c r="U700" s="62"/>
      <c r="V700" s="63"/>
      <c r="W700" s="42"/>
      <c r="X700" s="63"/>
      <c r="Y700" s="65"/>
      <c r="Z700" s="42"/>
      <c r="AA700" s="42"/>
      <c r="AB700" s="42"/>
      <c r="AC700" s="42"/>
      <c r="AD700" s="65"/>
      <c r="AE700" s="42"/>
      <c r="AF700" s="42"/>
      <c r="AG700" s="42"/>
      <c r="AH700" s="42"/>
      <c r="AI700" s="65"/>
      <c r="AJ700" s="42"/>
      <c r="AK700" s="42"/>
      <c r="AL700" s="42"/>
      <c r="AM700" s="42"/>
      <c r="AN700" s="65"/>
      <c r="AO700" s="42"/>
      <c r="AP700" s="42"/>
      <c r="AQ700" s="42"/>
      <c r="AR700" s="42"/>
      <c r="AS700" s="65"/>
      <c r="AT700" s="42"/>
    </row>
    <row r="701" spans="1:46" x14ac:dyDescent="0.25">
      <c r="A701" s="3"/>
      <c r="B701" s="58"/>
      <c r="C701" s="59"/>
      <c r="D701" s="3"/>
      <c r="E701" s="3"/>
      <c r="F701" s="3"/>
      <c r="G701" s="3"/>
      <c r="H701" s="27"/>
      <c r="I701" s="60"/>
      <c r="J701" s="61"/>
      <c r="K701" s="30"/>
      <c r="L701" s="30"/>
      <c r="M701" s="30"/>
      <c r="N701" s="30"/>
      <c r="O701" s="31"/>
      <c r="P701" s="30"/>
      <c r="Q701" s="62"/>
      <c r="R701" s="62"/>
      <c r="S701" s="62"/>
      <c r="T701" s="62"/>
      <c r="U701" s="62"/>
      <c r="V701" s="63"/>
      <c r="W701" s="42"/>
      <c r="X701" s="63"/>
      <c r="Y701" s="65"/>
      <c r="Z701" s="42"/>
      <c r="AA701" s="42"/>
      <c r="AB701" s="42"/>
      <c r="AC701" s="42"/>
      <c r="AD701" s="65"/>
      <c r="AE701" s="42"/>
      <c r="AF701" s="42"/>
      <c r="AG701" s="42"/>
      <c r="AH701" s="42"/>
      <c r="AI701" s="65"/>
      <c r="AJ701" s="42"/>
      <c r="AK701" s="42"/>
      <c r="AL701" s="42"/>
      <c r="AM701" s="42"/>
      <c r="AN701" s="65"/>
      <c r="AO701" s="42"/>
      <c r="AP701" s="42"/>
      <c r="AQ701" s="42"/>
      <c r="AR701" s="42"/>
      <c r="AS701" s="65"/>
      <c r="AT701" s="42"/>
    </row>
    <row r="702" spans="1:46" x14ac:dyDescent="0.25">
      <c r="A702" s="3"/>
      <c r="B702" s="58"/>
      <c r="C702" s="59"/>
      <c r="D702" s="3"/>
      <c r="E702" s="3"/>
      <c r="F702" s="3"/>
      <c r="G702" s="3"/>
      <c r="H702" s="27"/>
      <c r="I702" s="60"/>
      <c r="J702" s="61"/>
      <c r="K702" s="30"/>
      <c r="L702" s="30"/>
      <c r="M702" s="30"/>
      <c r="N702" s="30"/>
      <c r="O702" s="31"/>
      <c r="P702" s="30"/>
      <c r="Q702" s="62"/>
      <c r="R702" s="62"/>
      <c r="S702" s="62"/>
      <c r="T702" s="62"/>
      <c r="U702" s="62"/>
      <c r="V702" s="63"/>
      <c r="W702" s="42"/>
      <c r="X702" s="63"/>
      <c r="Y702" s="65"/>
      <c r="Z702" s="42"/>
      <c r="AA702" s="42"/>
      <c r="AB702" s="42"/>
      <c r="AC702" s="42"/>
      <c r="AD702" s="65"/>
      <c r="AE702" s="42"/>
      <c r="AF702" s="42"/>
      <c r="AG702" s="42"/>
      <c r="AH702" s="42"/>
      <c r="AI702" s="65"/>
      <c r="AJ702" s="42"/>
      <c r="AK702" s="42"/>
      <c r="AL702" s="42"/>
      <c r="AM702" s="42"/>
      <c r="AN702" s="65"/>
      <c r="AO702" s="42"/>
      <c r="AP702" s="42"/>
      <c r="AQ702" s="42"/>
      <c r="AR702" s="42"/>
      <c r="AS702" s="65"/>
      <c r="AT702" s="42"/>
    </row>
    <row r="703" spans="1:46" x14ac:dyDescent="0.25">
      <c r="A703" s="3"/>
      <c r="B703" s="58"/>
      <c r="C703" s="59"/>
      <c r="D703" s="3"/>
      <c r="E703" s="3"/>
      <c r="F703" s="3"/>
      <c r="G703" s="3"/>
      <c r="H703" s="27"/>
      <c r="I703" s="60"/>
      <c r="J703" s="61"/>
      <c r="K703" s="30"/>
      <c r="L703" s="30"/>
      <c r="M703" s="30"/>
      <c r="N703" s="30"/>
      <c r="O703" s="31"/>
      <c r="P703" s="30"/>
      <c r="Q703" s="62"/>
      <c r="R703" s="62"/>
      <c r="S703" s="62"/>
      <c r="T703" s="62"/>
      <c r="U703" s="62"/>
      <c r="V703" s="63"/>
      <c r="W703" s="42"/>
      <c r="X703" s="63"/>
      <c r="Y703" s="65"/>
      <c r="Z703" s="42"/>
      <c r="AA703" s="42"/>
      <c r="AB703" s="42"/>
      <c r="AC703" s="42"/>
      <c r="AD703" s="65"/>
      <c r="AE703" s="42"/>
      <c r="AF703" s="42"/>
      <c r="AG703" s="42"/>
      <c r="AH703" s="42"/>
      <c r="AI703" s="65"/>
      <c r="AJ703" s="42"/>
      <c r="AK703" s="42"/>
      <c r="AL703" s="42"/>
      <c r="AM703" s="42"/>
      <c r="AN703" s="65"/>
      <c r="AO703" s="42"/>
      <c r="AP703" s="42"/>
      <c r="AQ703" s="42"/>
      <c r="AR703" s="42"/>
      <c r="AS703" s="65"/>
      <c r="AT703" s="42"/>
    </row>
    <row r="704" spans="1:46" x14ac:dyDescent="0.25">
      <c r="A704" s="3"/>
      <c r="B704" s="58"/>
      <c r="C704" s="59"/>
      <c r="D704" s="3"/>
      <c r="E704" s="3"/>
      <c r="F704" s="3"/>
      <c r="G704" s="3"/>
      <c r="H704" s="27"/>
      <c r="I704" s="60"/>
      <c r="J704" s="61"/>
      <c r="K704" s="30"/>
      <c r="L704" s="30"/>
      <c r="M704" s="30"/>
      <c r="N704" s="30"/>
      <c r="O704" s="31"/>
      <c r="P704" s="30"/>
      <c r="Q704" s="62"/>
      <c r="R704" s="62"/>
      <c r="S704" s="62"/>
      <c r="T704" s="62"/>
      <c r="U704" s="62"/>
      <c r="V704" s="63"/>
      <c r="W704" s="42"/>
      <c r="X704" s="63"/>
      <c r="Y704" s="65"/>
      <c r="Z704" s="42"/>
      <c r="AA704" s="42"/>
      <c r="AB704" s="42"/>
      <c r="AC704" s="42"/>
      <c r="AD704" s="65"/>
      <c r="AE704" s="42"/>
      <c r="AF704" s="42"/>
      <c r="AG704" s="42"/>
      <c r="AH704" s="42"/>
      <c r="AI704" s="65"/>
      <c r="AJ704" s="42"/>
      <c r="AK704" s="42"/>
      <c r="AL704" s="42"/>
      <c r="AM704" s="42"/>
      <c r="AN704" s="65"/>
      <c r="AO704" s="42"/>
      <c r="AP704" s="42"/>
      <c r="AQ704" s="42"/>
      <c r="AR704" s="42"/>
      <c r="AS704" s="65"/>
      <c r="AT704" s="42"/>
    </row>
    <row r="705" spans="1:46" x14ac:dyDescent="0.25">
      <c r="A705" s="3"/>
      <c r="B705" s="58"/>
      <c r="C705" s="59"/>
      <c r="D705" s="3"/>
      <c r="E705" s="3"/>
      <c r="F705" s="3"/>
      <c r="G705" s="3"/>
      <c r="H705" s="27"/>
      <c r="I705" s="60"/>
      <c r="J705" s="61"/>
      <c r="K705" s="30"/>
      <c r="L705" s="30"/>
      <c r="M705" s="30"/>
      <c r="N705" s="30"/>
      <c r="O705" s="31"/>
      <c r="P705" s="30"/>
      <c r="Q705" s="62"/>
      <c r="R705" s="62"/>
      <c r="S705" s="62"/>
      <c r="T705" s="62"/>
      <c r="U705" s="62"/>
      <c r="V705" s="63"/>
      <c r="W705" s="42"/>
      <c r="X705" s="63"/>
      <c r="Y705" s="65"/>
      <c r="Z705" s="42"/>
      <c r="AA705" s="42"/>
      <c r="AB705" s="42"/>
      <c r="AC705" s="42"/>
      <c r="AD705" s="65"/>
      <c r="AE705" s="42"/>
      <c r="AF705" s="42"/>
      <c r="AG705" s="42"/>
      <c r="AH705" s="42"/>
      <c r="AI705" s="65"/>
      <c r="AJ705" s="42"/>
      <c r="AK705" s="42"/>
      <c r="AL705" s="42"/>
      <c r="AM705" s="42"/>
      <c r="AN705" s="65"/>
      <c r="AO705" s="42"/>
      <c r="AP705" s="42"/>
      <c r="AQ705" s="42"/>
      <c r="AR705" s="42"/>
      <c r="AS705" s="65"/>
      <c r="AT705" s="42"/>
    </row>
    <row r="706" spans="1:46" x14ac:dyDescent="0.25">
      <c r="A706" s="3"/>
      <c r="B706" s="58"/>
      <c r="C706" s="59"/>
      <c r="D706" s="3"/>
      <c r="E706" s="3"/>
      <c r="F706" s="3"/>
      <c r="G706" s="3"/>
      <c r="H706" s="27"/>
      <c r="I706" s="60"/>
      <c r="J706" s="61"/>
      <c r="K706" s="30"/>
      <c r="L706" s="30"/>
      <c r="M706" s="30"/>
      <c r="N706" s="30"/>
      <c r="O706" s="31"/>
      <c r="P706" s="30"/>
      <c r="Q706" s="62"/>
      <c r="R706" s="62"/>
      <c r="S706" s="62"/>
      <c r="T706" s="62"/>
      <c r="U706" s="62"/>
      <c r="V706" s="63"/>
      <c r="W706" s="42"/>
      <c r="X706" s="63"/>
      <c r="Y706" s="65"/>
      <c r="Z706" s="42"/>
      <c r="AA706" s="42"/>
      <c r="AB706" s="42"/>
      <c r="AC706" s="42"/>
      <c r="AD706" s="65"/>
      <c r="AE706" s="42"/>
      <c r="AF706" s="42"/>
      <c r="AG706" s="42"/>
      <c r="AH706" s="42"/>
      <c r="AI706" s="65"/>
      <c r="AJ706" s="42"/>
      <c r="AK706" s="42"/>
      <c r="AL706" s="42"/>
      <c r="AM706" s="42"/>
      <c r="AN706" s="65"/>
      <c r="AO706" s="42"/>
      <c r="AP706" s="42"/>
      <c r="AQ706" s="42"/>
      <c r="AR706" s="42"/>
      <c r="AS706" s="65"/>
      <c r="AT706" s="42"/>
    </row>
    <row r="707" spans="1:46" x14ac:dyDescent="0.25">
      <c r="A707" s="3"/>
      <c r="B707" s="58"/>
      <c r="C707" s="59"/>
      <c r="D707" s="3"/>
      <c r="E707" s="3"/>
      <c r="F707" s="3"/>
      <c r="G707" s="3"/>
      <c r="H707" s="27"/>
      <c r="I707" s="60"/>
      <c r="J707" s="61"/>
      <c r="K707" s="30"/>
      <c r="L707" s="30"/>
      <c r="M707" s="30"/>
      <c r="N707" s="30"/>
      <c r="O707" s="31"/>
      <c r="P707" s="30"/>
      <c r="Q707" s="62"/>
      <c r="R707" s="62"/>
      <c r="S707" s="62"/>
      <c r="T707" s="62"/>
      <c r="U707" s="62"/>
      <c r="V707" s="63"/>
      <c r="W707" s="42"/>
      <c r="X707" s="63"/>
      <c r="Y707" s="65"/>
      <c r="Z707" s="42"/>
      <c r="AA707" s="42"/>
      <c r="AB707" s="42"/>
      <c r="AC707" s="42"/>
      <c r="AD707" s="65"/>
      <c r="AE707" s="42"/>
      <c r="AF707" s="42"/>
      <c r="AG707" s="42"/>
      <c r="AH707" s="42"/>
      <c r="AI707" s="65"/>
      <c r="AJ707" s="42"/>
      <c r="AK707" s="42"/>
      <c r="AL707" s="42"/>
      <c r="AM707" s="42"/>
      <c r="AN707" s="65"/>
      <c r="AO707" s="42"/>
      <c r="AP707" s="42"/>
      <c r="AQ707" s="42"/>
      <c r="AR707" s="42"/>
      <c r="AS707" s="65"/>
      <c r="AT707" s="42"/>
    </row>
    <row r="708" spans="1:46" x14ac:dyDescent="0.25">
      <c r="A708" s="3"/>
      <c r="B708" s="58"/>
      <c r="C708" s="59"/>
      <c r="D708" s="3"/>
      <c r="E708" s="3"/>
      <c r="F708" s="3"/>
      <c r="G708" s="3"/>
      <c r="H708" s="27"/>
      <c r="I708" s="60"/>
      <c r="J708" s="61"/>
      <c r="K708" s="30"/>
      <c r="L708" s="30"/>
      <c r="M708" s="30"/>
      <c r="N708" s="30"/>
      <c r="O708" s="31"/>
      <c r="P708" s="30"/>
      <c r="Q708" s="62"/>
      <c r="R708" s="62"/>
      <c r="S708" s="62"/>
      <c r="T708" s="62"/>
      <c r="U708" s="62"/>
      <c r="V708" s="63"/>
      <c r="W708" s="42"/>
      <c r="X708" s="63"/>
      <c r="Y708" s="65"/>
      <c r="Z708" s="42"/>
      <c r="AA708" s="42"/>
      <c r="AB708" s="42"/>
      <c r="AC708" s="42"/>
      <c r="AD708" s="65"/>
      <c r="AE708" s="42"/>
      <c r="AF708" s="42"/>
      <c r="AG708" s="42"/>
      <c r="AH708" s="42"/>
      <c r="AI708" s="65"/>
      <c r="AJ708" s="42"/>
      <c r="AK708" s="42"/>
      <c r="AL708" s="42"/>
      <c r="AM708" s="42"/>
      <c r="AN708" s="65"/>
      <c r="AO708" s="42"/>
      <c r="AP708" s="42"/>
      <c r="AQ708" s="42"/>
      <c r="AR708" s="42"/>
      <c r="AS708" s="65"/>
      <c r="AT708" s="42"/>
    </row>
    <row r="709" spans="1:46" x14ac:dyDescent="0.25">
      <c r="A709" s="3"/>
      <c r="B709" s="58"/>
      <c r="C709" s="59"/>
      <c r="D709" s="3"/>
      <c r="E709" s="3"/>
      <c r="F709" s="3"/>
      <c r="G709" s="3"/>
      <c r="H709" s="27"/>
      <c r="I709" s="60"/>
      <c r="J709" s="61"/>
      <c r="K709" s="30"/>
      <c r="L709" s="30"/>
      <c r="M709" s="30"/>
      <c r="N709" s="30"/>
      <c r="O709" s="31"/>
      <c r="P709" s="30"/>
      <c r="Q709" s="62"/>
      <c r="R709" s="62"/>
      <c r="S709" s="62"/>
      <c r="T709" s="62"/>
      <c r="U709" s="62"/>
      <c r="V709" s="63"/>
      <c r="W709" s="42"/>
      <c r="X709" s="63"/>
      <c r="Y709" s="65"/>
      <c r="Z709" s="42"/>
      <c r="AA709" s="42"/>
      <c r="AB709" s="42"/>
      <c r="AC709" s="42"/>
      <c r="AD709" s="65"/>
      <c r="AE709" s="42"/>
      <c r="AF709" s="42"/>
      <c r="AG709" s="42"/>
      <c r="AH709" s="42"/>
      <c r="AI709" s="65"/>
      <c r="AJ709" s="42"/>
      <c r="AK709" s="42"/>
      <c r="AL709" s="42"/>
      <c r="AM709" s="42"/>
      <c r="AN709" s="65"/>
      <c r="AO709" s="42"/>
      <c r="AP709" s="42"/>
      <c r="AQ709" s="42"/>
      <c r="AR709" s="42"/>
      <c r="AS709" s="65"/>
      <c r="AT709" s="42"/>
    </row>
    <row r="710" spans="1:46" x14ac:dyDescent="0.25">
      <c r="A710" s="3"/>
      <c r="B710" s="58"/>
      <c r="C710" s="59"/>
      <c r="D710" s="3"/>
      <c r="E710" s="3"/>
      <c r="F710" s="3"/>
      <c r="G710" s="3"/>
      <c r="H710" s="27"/>
      <c r="I710" s="60"/>
      <c r="J710" s="61"/>
      <c r="K710" s="30"/>
      <c r="L710" s="30"/>
      <c r="M710" s="30"/>
      <c r="N710" s="30"/>
      <c r="O710" s="31"/>
      <c r="P710" s="30"/>
      <c r="Q710" s="62"/>
      <c r="R710" s="62"/>
      <c r="S710" s="62"/>
      <c r="T710" s="62"/>
      <c r="U710" s="62"/>
      <c r="V710" s="63"/>
      <c r="W710" s="42"/>
      <c r="X710" s="63"/>
      <c r="Y710" s="65"/>
      <c r="Z710" s="42"/>
      <c r="AA710" s="42"/>
      <c r="AB710" s="42"/>
      <c r="AC710" s="42"/>
      <c r="AD710" s="65"/>
      <c r="AE710" s="42"/>
      <c r="AF710" s="42"/>
      <c r="AG710" s="42"/>
      <c r="AH710" s="42"/>
      <c r="AI710" s="65"/>
      <c r="AJ710" s="42"/>
      <c r="AK710" s="42"/>
      <c r="AL710" s="42"/>
      <c r="AM710" s="42"/>
      <c r="AN710" s="65"/>
      <c r="AO710" s="42"/>
      <c r="AP710" s="42"/>
      <c r="AQ710" s="42"/>
      <c r="AR710" s="42"/>
      <c r="AS710" s="65"/>
      <c r="AT710" s="42"/>
    </row>
    <row r="711" spans="1:46" x14ac:dyDescent="0.25">
      <c r="A711" s="3"/>
      <c r="B711" s="58"/>
      <c r="C711" s="59"/>
      <c r="D711" s="3"/>
      <c r="E711" s="3"/>
      <c r="F711" s="3"/>
      <c r="G711" s="3"/>
      <c r="H711" s="27"/>
      <c r="I711" s="60"/>
      <c r="J711" s="61"/>
      <c r="K711" s="30"/>
      <c r="L711" s="30"/>
      <c r="M711" s="30"/>
      <c r="N711" s="30"/>
      <c r="O711" s="31"/>
      <c r="P711" s="30"/>
      <c r="Q711" s="62"/>
      <c r="R711" s="62"/>
      <c r="S711" s="62"/>
      <c r="T711" s="62"/>
      <c r="U711" s="62"/>
      <c r="V711" s="63"/>
      <c r="W711" s="42"/>
      <c r="X711" s="63"/>
      <c r="Y711" s="65"/>
      <c r="Z711" s="42"/>
      <c r="AA711" s="42"/>
      <c r="AB711" s="42"/>
      <c r="AC711" s="42"/>
      <c r="AD711" s="65"/>
      <c r="AE711" s="42"/>
      <c r="AF711" s="42"/>
      <c r="AG711" s="42"/>
      <c r="AH711" s="42"/>
      <c r="AI711" s="65"/>
      <c r="AJ711" s="42"/>
      <c r="AK711" s="42"/>
      <c r="AL711" s="42"/>
      <c r="AM711" s="42"/>
      <c r="AN711" s="65"/>
      <c r="AO711" s="42"/>
      <c r="AP711" s="42"/>
      <c r="AQ711" s="42"/>
      <c r="AR711" s="42"/>
      <c r="AS711" s="65"/>
      <c r="AT711" s="42"/>
    </row>
    <row r="712" spans="1:46" x14ac:dyDescent="0.25">
      <c r="A712" s="3"/>
      <c r="B712" s="58"/>
      <c r="C712" s="59"/>
      <c r="D712" s="3"/>
      <c r="E712" s="3"/>
      <c r="F712" s="3"/>
      <c r="G712" s="3"/>
      <c r="H712" s="27"/>
      <c r="I712" s="60"/>
      <c r="J712" s="61"/>
      <c r="K712" s="30"/>
      <c r="L712" s="30"/>
      <c r="M712" s="30"/>
      <c r="N712" s="30"/>
      <c r="O712" s="31"/>
      <c r="P712" s="30"/>
      <c r="Q712" s="62"/>
      <c r="R712" s="62"/>
      <c r="S712" s="62"/>
      <c r="T712" s="62"/>
      <c r="U712" s="62"/>
      <c r="V712" s="63"/>
      <c r="W712" s="42"/>
      <c r="X712" s="63"/>
      <c r="Y712" s="65"/>
      <c r="Z712" s="42"/>
      <c r="AA712" s="42"/>
      <c r="AB712" s="42"/>
      <c r="AC712" s="42"/>
      <c r="AD712" s="65"/>
      <c r="AE712" s="42"/>
      <c r="AF712" s="42"/>
      <c r="AG712" s="42"/>
      <c r="AH712" s="42"/>
      <c r="AI712" s="65"/>
      <c r="AJ712" s="42"/>
      <c r="AK712" s="42"/>
      <c r="AL712" s="42"/>
      <c r="AM712" s="42"/>
      <c r="AN712" s="65"/>
      <c r="AO712" s="42"/>
      <c r="AP712" s="42"/>
      <c r="AQ712" s="42"/>
      <c r="AR712" s="42"/>
      <c r="AS712" s="65"/>
      <c r="AT712" s="42"/>
    </row>
    <row r="713" spans="1:46" x14ac:dyDescent="0.25">
      <c r="A713" s="3"/>
      <c r="B713" s="58"/>
      <c r="C713" s="59"/>
      <c r="D713" s="3"/>
      <c r="E713" s="3"/>
      <c r="F713" s="3"/>
      <c r="G713" s="3"/>
      <c r="H713" s="27"/>
      <c r="I713" s="60"/>
      <c r="J713" s="61"/>
      <c r="K713" s="30"/>
      <c r="L713" s="30"/>
      <c r="M713" s="30"/>
      <c r="N713" s="30"/>
      <c r="O713" s="31"/>
      <c r="P713" s="30"/>
      <c r="Q713" s="62"/>
      <c r="R713" s="62"/>
      <c r="S713" s="62"/>
      <c r="T713" s="62"/>
      <c r="U713" s="62"/>
      <c r="V713" s="63"/>
      <c r="W713" s="42"/>
      <c r="X713" s="63"/>
      <c r="Y713" s="65"/>
      <c r="Z713" s="42"/>
      <c r="AA713" s="42"/>
      <c r="AB713" s="42"/>
      <c r="AC713" s="42"/>
      <c r="AD713" s="65"/>
      <c r="AE713" s="42"/>
      <c r="AF713" s="42"/>
      <c r="AG713" s="42"/>
      <c r="AH713" s="42"/>
      <c r="AI713" s="65"/>
      <c r="AJ713" s="42"/>
      <c r="AK713" s="42"/>
      <c r="AL713" s="42"/>
      <c r="AM713" s="42"/>
      <c r="AN713" s="65"/>
      <c r="AO713" s="42"/>
      <c r="AP713" s="42"/>
      <c r="AQ713" s="42"/>
      <c r="AR713" s="42"/>
      <c r="AS713" s="65"/>
      <c r="AT713" s="42"/>
    </row>
    <row r="714" spans="1:46" x14ac:dyDescent="0.25">
      <c r="A714" s="3"/>
      <c r="B714" s="58"/>
      <c r="C714" s="59"/>
      <c r="D714" s="3"/>
      <c r="E714" s="3"/>
      <c r="F714" s="3"/>
      <c r="G714" s="3"/>
      <c r="H714" s="27"/>
      <c r="I714" s="60"/>
      <c r="J714" s="61"/>
      <c r="K714" s="30"/>
      <c r="L714" s="30"/>
      <c r="M714" s="30"/>
      <c r="N714" s="30"/>
      <c r="O714" s="31"/>
      <c r="P714" s="30"/>
      <c r="Q714" s="62"/>
      <c r="R714" s="62"/>
      <c r="S714" s="62"/>
      <c r="T714" s="62"/>
      <c r="U714" s="62"/>
      <c r="V714" s="63"/>
      <c r="W714" s="42"/>
      <c r="X714" s="63"/>
      <c r="Y714" s="65"/>
      <c r="Z714" s="42"/>
      <c r="AA714" s="42"/>
      <c r="AB714" s="42"/>
      <c r="AC714" s="42"/>
      <c r="AD714" s="65"/>
      <c r="AE714" s="42"/>
      <c r="AF714" s="42"/>
      <c r="AG714" s="42"/>
      <c r="AH714" s="42"/>
      <c r="AI714" s="65"/>
      <c r="AJ714" s="42"/>
      <c r="AK714" s="42"/>
      <c r="AL714" s="42"/>
      <c r="AM714" s="42"/>
      <c r="AN714" s="65"/>
      <c r="AO714" s="42"/>
      <c r="AP714" s="42"/>
      <c r="AQ714" s="42"/>
      <c r="AR714" s="42"/>
      <c r="AS714" s="65"/>
      <c r="AT714" s="42"/>
    </row>
    <row r="715" spans="1:46" x14ac:dyDescent="0.25">
      <c r="A715" s="3"/>
      <c r="B715" s="58"/>
      <c r="C715" s="59"/>
      <c r="D715" s="3"/>
      <c r="E715" s="3"/>
      <c r="F715" s="3"/>
      <c r="G715" s="3"/>
      <c r="H715" s="27"/>
      <c r="I715" s="60"/>
      <c r="J715" s="61"/>
      <c r="K715" s="30"/>
      <c r="L715" s="30"/>
      <c r="M715" s="30"/>
      <c r="N715" s="30"/>
      <c r="O715" s="31"/>
      <c r="P715" s="30"/>
      <c r="Q715" s="62"/>
      <c r="R715" s="62"/>
      <c r="S715" s="62"/>
      <c r="T715" s="62"/>
      <c r="U715" s="62"/>
      <c r="V715" s="63"/>
      <c r="W715" s="42"/>
      <c r="X715" s="63"/>
      <c r="Y715" s="65"/>
      <c r="Z715" s="42"/>
      <c r="AA715" s="42"/>
      <c r="AB715" s="42"/>
      <c r="AC715" s="42"/>
      <c r="AD715" s="65"/>
      <c r="AE715" s="42"/>
      <c r="AF715" s="42"/>
      <c r="AG715" s="42"/>
      <c r="AH715" s="42"/>
      <c r="AI715" s="65"/>
      <c r="AJ715" s="42"/>
      <c r="AK715" s="42"/>
      <c r="AL715" s="42"/>
      <c r="AM715" s="42"/>
      <c r="AN715" s="65"/>
      <c r="AO715" s="42"/>
      <c r="AP715" s="42"/>
      <c r="AQ715" s="42"/>
      <c r="AR715" s="42"/>
      <c r="AS715" s="65"/>
      <c r="AT715" s="42"/>
    </row>
    <row r="716" spans="1:46" x14ac:dyDescent="0.25">
      <c r="A716" s="3"/>
      <c r="B716" s="58"/>
      <c r="C716" s="59"/>
      <c r="D716" s="3"/>
      <c r="E716" s="3"/>
      <c r="F716" s="3"/>
      <c r="G716" s="3"/>
      <c r="H716" s="27"/>
      <c r="I716" s="60"/>
      <c r="J716" s="61"/>
      <c r="K716" s="30"/>
      <c r="L716" s="30"/>
      <c r="M716" s="30"/>
      <c r="N716" s="30"/>
      <c r="O716" s="31"/>
      <c r="P716" s="30"/>
      <c r="Q716" s="62"/>
      <c r="R716" s="62"/>
      <c r="S716" s="62"/>
      <c r="T716" s="62"/>
      <c r="U716" s="62"/>
      <c r="V716" s="63"/>
      <c r="W716" s="42"/>
      <c r="X716" s="63"/>
      <c r="Y716" s="65"/>
      <c r="Z716" s="42"/>
      <c r="AA716" s="42"/>
      <c r="AB716" s="42"/>
      <c r="AC716" s="42"/>
      <c r="AD716" s="65"/>
      <c r="AE716" s="42"/>
      <c r="AF716" s="42"/>
      <c r="AG716" s="42"/>
      <c r="AH716" s="42"/>
      <c r="AI716" s="65"/>
      <c r="AJ716" s="42"/>
      <c r="AK716" s="42"/>
      <c r="AL716" s="42"/>
      <c r="AM716" s="42"/>
      <c r="AN716" s="65"/>
      <c r="AO716" s="42"/>
      <c r="AP716" s="42"/>
      <c r="AQ716" s="42"/>
      <c r="AR716" s="42"/>
      <c r="AS716" s="65"/>
      <c r="AT716" s="42"/>
    </row>
    <row r="717" spans="1:46" x14ac:dyDescent="0.25">
      <c r="A717" s="3"/>
      <c r="B717" s="58"/>
      <c r="C717" s="59"/>
      <c r="D717" s="3"/>
      <c r="E717" s="3"/>
      <c r="F717" s="3"/>
      <c r="G717" s="3"/>
      <c r="H717" s="27"/>
      <c r="I717" s="60"/>
      <c r="J717" s="61"/>
      <c r="K717" s="30"/>
      <c r="L717" s="30"/>
      <c r="M717" s="30"/>
      <c r="N717" s="30"/>
      <c r="O717" s="31"/>
      <c r="P717" s="30"/>
      <c r="Q717" s="62"/>
      <c r="R717" s="62"/>
      <c r="S717" s="62"/>
      <c r="T717" s="62"/>
      <c r="U717" s="62"/>
      <c r="V717" s="63"/>
      <c r="W717" s="42"/>
      <c r="X717" s="63"/>
      <c r="Y717" s="65"/>
      <c r="Z717" s="42"/>
      <c r="AA717" s="42"/>
      <c r="AB717" s="42"/>
      <c r="AC717" s="42"/>
      <c r="AD717" s="65"/>
      <c r="AE717" s="42"/>
      <c r="AF717" s="42"/>
      <c r="AG717" s="42"/>
      <c r="AH717" s="42"/>
      <c r="AI717" s="65"/>
      <c r="AJ717" s="42"/>
      <c r="AK717" s="42"/>
      <c r="AL717" s="42"/>
      <c r="AM717" s="42"/>
      <c r="AN717" s="65"/>
      <c r="AO717" s="42"/>
      <c r="AP717" s="42"/>
      <c r="AQ717" s="42"/>
      <c r="AR717" s="42"/>
      <c r="AS717" s="65"/>
      <c r="AT717" s="42"/>
    </row>
    <row r="718" spans="1:46" x14ac:dyDescent="0.25">
      <c r="A718" s="3"/>
      <c r="B718" s="58"/>
      <c r="C718" s="59"/>
      <c r="D718" s="3"/>
      <c r="E718" s="3"/>
      <c r="F718" s="3"/>
      <c r="G718" s="3"/>
      <c r="H718" s="27"/>
      <c r="I718" s="60"/>
      <c r="J718" s="61"/>
      <c r="K718" s="30"/>
      <c r="L718" s="30"/>
      <c r="M718" s="30"/>
      <c r="N718" s="30"/>
      <c r="O718" s="31"/>
      <c r="P718" s="30"/>
      <c r="Q718" s="62"/>
      <c r="R718" s="62"/>
      <c r="S718" s="62"/>
      <c r="T718" s="62"/>
      <c r="U718" s="62"/>
      <c r="V718" s="63"/>
      <c r="W718" s="42"/>
      <c r="X718" s="63"/>
      <c r="Y718" s="65"/>
      <c r="Z718" s="42"/>
      <c r="AA718" s="42"/>
      <c r="AB718" s="42"/>
      <c r="AC718" s="42"/>
      <c r="AD718" s="65"/>
      <c r="AE718" s="42"/>
      <c r="AF718" s="42"/>
      <c r="AG718" s="42"/>
      <c r="AH718" s="42"/>
      <c r="AI718" s="65"/>
      <c r="AJ718" s="42"/>
      <c r="AK718" s="42"/>
      <c r="AL718" s="42"/>
      <c r="AM718" s="42"/>
      <c r="AN718" s="65"/>
      <c r="AO718" s="42"/>
      <c r="AP718" s="42"/>
      <c r="AQ718" s="42"/>
      <c r="AR718" s="42"/>
      <c r="AS718" s="65"/>
      <c r="AT718" s="42"/>
    </row>
    <row r="719" spans="1:46" x14ac:dyDescent="0.25">
      <c r="A719" s="3"/>
      <c r="B719" s="58"/>
      <c r="C719" s="59"/>
      <c r="D719" s="3"/>
      <c r="E719" s="3"/>
      <c r="F719" s="3"/>
      <c r="G719" s="3"/>
      <c r="H719" s="27"/>
      <c r="I719" s="60"/>
      <c r="J719" s="61"/>
      <c r="K719" s="30"/>
      <c r="L719" s="30"/>
      <c r="M719" s="30"/>
      <c r="N719" s="30"/>
      <c r="O719" s="31"/>
      <c r="P719" s="30"/>
      <c r="Q719" s="62"/>
      <c r="R719" s="62"/>
      <c r="S719" s="62"/>
      <c r="T719" s="62"/>
      <c r="U719" s="62"/>
      <c r="V719" s="63"/>
      <c r="W719" s="42"/>
      <c r="X719" s="63"/>
      <c r="Y719" s="65"/>
      <c r="Z719" s="42"/>
      <c r="AA719" s="42"/>
      <c r="AB719" s="42"/>
      <c r="AC719" s="42"/>
      <c r="AD719" s="65"/>
      <c r="AE719" s="42"/>
      <c r="AF719" s="42"/>
      <c r="AG719" s="42"/>
      <c r="AH719" s="42"/>
      <c r="AI719" s="65"/>
      <c r="AJ719" s="42"/>
      <c r="AK719" s="42"/>
      <c r="AL719" s="42"/>
      <c r="AM719" s="42"/>
      <c r="AN719" s="65"/>
      <c r="AO719" s="42"/>
      <c r="AP719" s="42"/>
      <c r="AQ719" s="42"/>
      <c r="AR719" s="42"/>
      <c r="AS719" s="65"/>
      <c r="AT719" s="42"/>
    </row>
    <row r="720" spans="1:46" x14ac:dyDescent="0.25">
      <c r="A720" s="3"/>
      <c r="B720" s="58"/>
      <c r="C720" s="59"/>
      <c r="D720" s="3"/>
      <c r="E720" s="3"/>
      <c r="F720" s="3"/>
      <c r="G720" s="3"/>
      <c r="H720" s="27"/>
      <c r="I720" s="60"/>
      <c r="J720" s="61"/>
      <c r="K720" s="30"/>
      <c r="L720" s="30"/>
      <c r="M720" s="30"/>
      <c r="N720" s="30"/>
      <c r="O720" s="31"/>
      <c r="P720" s="30"/>
      <c r="Q720" s="62"/>
      <c r="R720" s="62"/>
      <c r="S720" s="62"/>
      <c r="T720" s="62"/>
      <c r="U720" s="62"/>
      <c r="V720" s="63"/>
      <c r="W720" s="42"/>
      <c r="X720" s="63"/>
      <c r="Y720" s="65"/>
      <c r="Z720" s="42"/>
      <c r="AA720" s="42"/>
      <c r="AB720" s="42"/>
      <c r="AC720" s="42"/>
      <c r="AD720" s="65"/>
      <c r="AE720" s="42"/>
      <c r="AF720" s="42"/>
      <c r="AG720" s="42"/>
      <c r="AH720" s="42"/>
      <c r="AI720" s="65"/>
      <c r="AJ720" s="42"/>
      <c r="AK720" s="42"/>
      <c r="AL720" s="42"/>
      <c r="AM720" s="42"/>
      <c r="AN720" s="65"/>
      <c r="AO720" s="42"/>
      <c r="AP720" s="42"/>
      <c r="AQ720" s="42"/>
      <c r="AR720" s="42"/>
      <c r="AS720" s="65"/>
      <c r="AT720" s="42"/>
    </row>
    <row r="721" spans="1:46" x14ac:dyDescent="0.25">
      <c r="A721" s="3"/>
      <c r="B721" s="58"/>
      <c r="C721" s="59"/>
      <c r="D721" s="3"/>
      <c r="E721" s="3"/>
      <c r="F721" s="3"/>
      <c r="G721" s="3"/>
      <c r="H721" s="27"/>
      <c r="I721" s="60"/>
      <c r="J721" s="61"/>
      <c r="K721" s="30"/>
      <c r="L721" s="30"/>
      <c r="M721" s="30"/>
      <c r="N721" s="30"/>
      <c r="O721" s="31"/>
      <c r="P721" s="30"/>
      <c r="Q721" s="62"/>
      <c r="R721" s="62"/>
      <c r="S721" s="62"/>
      <c r="T721" s="62"/>
      <c r="U721" s="62"/>
      <c r="V721" s="63"/>
      <c r="W721" s="42"/>
      <c r="X721" s="63"/>
      <c r="Y721" s="65"/>
      <c r="Z721" s="42"/>
      <c r="AA721" s="42"/>
      <c r="AB721" s="42"/>
      <c r="AC721" s="42"/>
      <c r="AD721" s="65"/>
      <c r="AE721" s="42"/>
      <c r="AF721" s="42"/>
      <c r="AG721" s="42"/>
      <c r="AH721" s="42"/>
      <c r="AI721" s="65"/>
      <c r="AJ721" s="42"/>
      <c r="AK721" s="42"/>
      <c r="AL721" s="42"/>
      <c r="AM721" s="42"/>
      <c r="AN721" s="65"/>
      <c r="AO721" s="42"/>
      <c r="AP721" s="42"/>
      <c r="AQ721" s="42"/>
      <c r="AR721" s="42"/>
      <c r="AS721" s="65"/>
      <c r="AT721" s="42"/>
    </row>
    <row r="722" spans="1:46" x14ac:dyDescent="0.25">
      <c r="A722" s="3"/>
      <c r="B722" s="58"/>
      <c r="C722" s="59"/>
      <c r="D722" s="3"/>
      <c r="E722" s="3"/>
      <c r="F722" s="3"/>
      <c r="G722" s="3"/>
      <c r="H722" s="27"/>
      <c r="I722" s="60"/>
      <c r="J722" s="61"/>
      <c r="K722" s="30"/>
      <c r="L722" s="30"/>
      <c r="M722" s="30"/>
      <c r="N722" s="30"/>
      <c r="O722" s="31"/>
      <c r="P722" s="30"/>
      <c r="Q722" s="62"/>
      <c r="R722" s="62"/>
      <c r="S722" s="62"/>
      <c r="T722" s="62"/>
      <c r="U722" s="62"/>
      <c r="V722" s="63"/>
      <c r="W722" s="42"/>
      <c r="X722" s="63"/>
      <c r="Y722" s="65"/>
      <c r="Z722" s="42"/>
      <c r="AA722" s="42"/>
      <c r="AB722" s="42"/>
      <c r="AC722" s="42"/>
      <c r="AD722" s="65"/>
      <c r="AE722" s="42"/>
      <c r="AF722" s="42"/>
      <c r="AG722" s="42"/>
      <c r="AH722" s="42"/>
      <c r="AI722" s="65"/>
      <c r="AJ722" s="42"/>
      <c r="AK722" s="42"/>
      <c r="AL722" s="42"/>
      <c r="AM722" s="42"/>
      <c r="AN722" s="65"/>
      <c r="AO722" s="42"/>
      <c r="AP722" s="42"/>
      <c r="AQ722" s="42"/>
      <c r="AR722" s="42"/>
      <c r="AS722" s="65"/>
      <c r="AT722" s="42"/>
    </row>
    <row r="723" spans="1:46" x14ac:dyDescent="0.25">
      <c r="A723" s="3"/>
      <c r="B723" s="58"/>
      <c r="C723" s="59"/>
      <c r="D723" s="3"/>
      <c r="E723" s="3"/>
      <c r="F723" s="3"/>
      <c r="G723" s="3"/>
      <c r="H723" s="27"/>
      <c r="I723" s="60"/>
      <c r="J723" s="61"/>
      <c r="K723" s="30"/>
      <c r="L723" s="30"/>
      <c r="M723" s="30"/>
      <c r="N723" s="30"/>
      <c r="O723" s="31"/>
      <c r="P723" s="30"/>
      <c r="Q723" s="62"/>
      <c r="R723" s="62"/>
      <c r="S723" s="62"/>
      <c r="T723" s="62"/>
      <c r="U723" s="62"/>
      <c r="V723" s="63"/>
      <c r="W723" s="42"/>
      <c r="X723" s="63"/>
      <c r="Y723" s="65"/>
      <c r="Z723" s="42"/>
      <c r="AA723" s="42"/>
      <c r="AB723" s="42"/>
      <c r="AC723" s="42"/>
      <c r="AD723" s="65"/>
      <c r="AE723" s="42"/>
      <c r="AF723" s="42"/>
      <c r="AG723" s="42"/>
      <c r="AH723" s="42"/>
      <c r="AI723" s="65"/>
      <c r="AJ723" s="42"/>
      <c r="AK723" s="42"/>
      <c r="AL723" s="42"/>
      <c r="AM723" s="42"/>
      <c r="AN723" s="65"/>
      <c r="AO723" s="42"/>
      <c r="AP723" s="42"/>
      <c r="AQ723" s="42"/>
      <c r="AR723" s="42"/>
      <c r="AS723" s="65"/>
      <c r="AT723" s="42"/>
    </row>
    <row r="724" spans="1:46" x14ac:dyDescent="0.25">
      <c r="A724" s="3"/>
      <c r="B724" s="58"/>
      <c r="C724" s="59"/>
      <c r="D724" s="3"/>
      <c r="E724" s="3"/>
      <c r="F724" s="3"/>
      <c r="G724" s="3"/>
      <c r="H724" s="27"/>
      <c r="I724" s="60"/>
      <c r="J724" s="61"/>
      <c r="K724" s="30"/>
      <c r="L724" s="30"/>
      <c r="M724" s="30"/>
      <c r="N724" s="30"/>
      <c r="O724" s="31"/>
      <c r="P724" s="30"/>
      <c r="Q724" s="62"/>
      <c r="R724" s="62"/>
      <c r="S724" s="62"/>
      <c r="T724" s="62"/>
      <c r="U724" s="62"/>
      <c r="V724" s="63"/>
      <c r="W724" s="42"/>
      <c r="X724" s="63"/>
      <c r="Y724" s="65"/>
      <c r="Z724" s="42"/>
      <c r="AA724" s="42"/>
      <c r="AB724" s="42"/>
      <c r="AC724" s="42"/>
      <c r="AD724" s="65"/>
      <c r="AE724" s="42"/>
      <c r="AF724" s="42"/>
      <c r="AG724" s="42"/>
      <c r="AH724" s="42"/>
      <c r="AI724" s="65"/>
      <c r="AJ724" s="42"/>
      <c r="AK724" s="42"/>
      <c r="AL724" s="42"/>
      <c r="AM724" s="42"/>
      <c r="AN724" s="65"/>
      <c r="AO724" s="42"/>
      <c r="AP724" s="42"/>
      <c r="AQ724" s="42"/>
      <c r="AR724" s="42"/>
      <c r="AS724" s="65"/>
      <c r="AT724" s="42"/>
    </row>
    <row r="725" spans="1:46" x14ac:dyDescent="0.25">
      <c r="A725" s="3"/>
      <c r="B725" s="58"/>
      <c r="C725" s="59"/>
      <c r="D725" s="3"/>
      <c r="E725" s="3"/>
      <c r="F725" s="3"/>
      <c r="G725" s="3"/>
      <c r="H725" s="27"/>
      <c r="I725" s="60"/>
      <c r="J725" s="61"/>
      <c r="K725" s="30"/>
      <c r="L725" s="30"/>
      <c r="M725" s="30"/>
      <c r="N725" s="30"/>
      <c r="O725" s="31"/>
      <c r="P725" s="30"/>
      <c r="Q725" s="62"/>
      <c r="R725" s="62"/>
      <c r="S725" s="62"/>
      <c r="T725" s="62"/>
      <c r="U725" s="62"/>
      <c r="V725" s="63"/>
      <c r="W725" s="42"/>
      <c r="X725" s="63"/>
      <c r="Y725" s="65"/>
      <c r="Z725" s="42"/>
      <c r="AA725" s="42"/>
      <c r="AB725" s="42"/>
      <c r="AC725" s="42"/>
      <c r="AD725" s="65"/>
      <c r="AE725" s="42"/>
      <c r="AF725" s="42"/>
      <c r="AG725" s="42"/>
      <c r="AH725" s="42"/>
      <c r="AI725" s="65"/>
      <c r="AJ725" s="42"/>
      <c r="AK725" s="42"/>
      <c r="AL725" s="42"/>
      <c r="AM725" s="42"/>
      <c r="AN725" s="65"/>
      <c r="AO725" s="42"/>
      <c r="AP725" s="42"/>
      <c r="AQ725" s="42"/>
      <c r="AR725" s="42"/>
      <c r="AS725" s="65"/>
      <c r="AT725" s="42"/>
    </row>
    <row r="726" spans="1:46" x14ac:dyDescent="0.25">
      <c r="A726" s="3"/>
      <c r="B726" s="58"/>
      <c r="C726" s="59"/>
      <c r="D726" s="3"/>
      <c r="E726" s="3"/>
      <c r="F726" s="3"/>
      <c r="G726" s="3"/>
      <c r="H726" s="27"/>
      <c r="I726" s="60"/>
      <c r="J726" s="61"/>
      <c r="K726" s="30"/>
      <c r="L726" s="30"/>
      <c r="M726" s="30"/>
      <c r="N726" s="30"/>
      <c r="O726" s="31"/>
      <c r="P726" s="30"/>
      <c r="Q726" s="62"/>
      <c r="R726" s="62"/>
      <c r="S726" s="62"/>
      <c r="T726" s="62"/>
      <c r="U726" s="62"/>
      <c r="V726" s="63"/>
      <c r="W726" s="42"/>
      <c r="X726" s="63"/>
      <c r="Y726" s="65"/>
      <c r="Z726" s="42"/>
      <c r="AA726" s="42"/>
      <c r="AB726" s="42"/>
      <c r="AC726" s="42"/>
      <c r="AD726" s="65"/>
      <c r="AE726" s="42"/>
      <c r="AF726" s="42"/>
      <c r="AG726" s="42"/>
      <c r="AH726" s="42"/>
      <c r="AI726" s="65"/>
      <c r="AJ726" s="42"/>
      <c r="AK726" s="42"/>
      <c r="AL726" s="42"/>
      <c r="AM726" s="42"/>
      <c r="AN726" s="65"/>
      <c r="AO726" s="42"/>
      <c r="AP726" s="42"/>
      <c r="AQ726" s="42"/>
      <c r="AR726" s="42"/>
      <c r="AS726" s="65"/>
      <c r="AT726" s="42"/>
    </row>
    <row r="727" spans="1:46" x14ac:dyDescent="0.25">
      <c r="A727" s="3"/>
      <c r="B727" s="58"/>
      <c r="C727" s="59"/>
      <c r="D727" s="3"/>
      <c r="E727" s="3"/>
      <c r="F727" s="3"/>
      <c r="G727" s="3"/>
      <c r="H727" s="27"/>
      <c r="I727" s="60"/>
      <c r="J727" s="61"/>
      <c r="K727" s="30"/>
      <c r="L727" s="30"/>
      <c r="M727" s="30"/>
      <c r="N727" s="30"/>
      <c r="O727" s="31"/>
      <c r="P727" s="30"/>
      <c r="Q727" s="62"/>
      <c r="R727" s="62"/>
      <c r="S727" s="62"/>
      <c r="T727" s="62"/>
      <c r="U727" s="62"/>
      <c r="V727" s="63"/>
      <c r="W727" s="42"/>
      <c r="X727" s="63"/>
      <c r="Y727" s="65"/>
      <c r="Z727" s="42"/>
      <c r="AA727" s="42"/>
      <c r="AB727" s="42"/>
      <c r="AC727" s="42"/>
      <c r="AD727" s="65"/>
      <c r="AE727" s="42"/>
      <c r="AF727" s="42"/>
      <c r="AG727" s="42"/>
      <c r="AH727" s="42"/>
      <c r="AI727" s="65"/>
      <c r="AJ727" s="42"/>
      <c r="AK727" s="42"/>
      <c r="AL727" s="42"/>
      <c r="AM727" s="42"/>
      <c r="AN727" s="65"/>
      <c r="AO727" s="42"/>
      <c r="AP727" s="42"/>
      <c r="AQ727" s="42"/>
      <c r="AR727" s="42"/>
      <c r="AS727" s="65"/>
      <c r="AT727" s="42"/>
    </row>
    <row r="728" spans="1:46" x14ac:dyDescent="0.25">
      <c r="A728" s="3"/>
      <c r="B728" s="58"/>
      <c r="C728" s="59"/>
      <c r="D728" s="3"/>
      <c r="E728" s="3"/>
      <c r="F728" s="3"/>
      <c r="G728" s="3"/>
      <c r="H728" s="27"/>
      <c r="I728" s="60"/>
      <c r="J728" s="61"/>
      <c r="K728" s="30"/>
      <c r="L728" s="30"/>
      <c r="M728" s="30"/>
      <c r="N728" s="30"/>
      <c r="O728" s="31"/>
      <c r="P728" s="30"/>
      <c r="Q728" s="62"/>
      <c r="R728" s="62"/>
      <c r="S728" s="62"/>
      <c r="T728" s="62"/>
      <c r="U728" s="62"/>
      <c r="V728" s="63"/>
      <c r="W728" s="42"/>
      <c r="X728" s="63"/>
      <c r="Y728" s="65"/>
      <c r="Z728" s="42"/>
      <c r="AA728" s="42"/>
      <c r="AB728" s="42"/>
      <c r="AC728" s="42"/>
      <c r="AD728" s="65"/>
      <c r="AE728" s="42"/>
      <c r="AF728" s="42"/>
      <c r="AG728" s="42"/>
      <c r="AH728" s="42"/>
      <c r="AI728" s="65"/>
      <c r="AJ728" s="42"/>
      <c r="AK728" s="42"/>
      <c r="AL728" s="42"/>
      <c r="AM728" s="42"/>
      <c r="AN728" s="65"/>
      <c r="AO728" s="42"/>
      <c r="AP728" s="42"/>
      <c r="AQ728" s="42"/>
      <c r="AR728" s="42"/>
      <c r="AS728" s="65"/>
      <c r="AT728" s="42"/>
    </row>
    <row r="729" spans="1:46" x14ac:dyDescent="0.25">
      <c r="A729" s="3"/>
      <c r="B729" s="58"/>
      <c r="C729" s="59"/>
      <c r="D729" s="3"/>
      <c r="E729" s="3"/>
      <c r="F729" s="3"/>
      <c r="G729" s="3"/>
      <c r="H729" s="27"/>
      <c r="I729" s="60"/>
      <c r="J729" s="61"/>
      <c r="K729" s="30"/>
      <c r="L729" s="30"/>
      <c r="M729" s="30"/>
      <c r="N729" s="30"/>
      <c r="O729" s="31"/>
      <c r="P729" s="30"/>
      <c r="Q729" s="62"/>
      <c r="R729" s="62"/>
      <c r="S729" s="62"/>
      <c r="T729" s="62"/>
      <c r="U729" s="62"/>
      <c r="V729" s="63"/>
      <c r="W729" s="42"/>
      <c r="X729" s="63"/>
      <c r="Y729" s="65"/>
      <c r="Z729" s="42"/>
      <c r="AA729" s="42"/>
      <c r="AB729" s="42"/>
      <c r="AC729" s="42"/>
      <c r="AD729" s="65"/>
      <c r="AE729" s="42"/>
      <c r="AF729" s="42"/>
      <c r="AG729" s="42"/>
      <c r="AH729" s="42"/>
      <c r="AI729" s="65"/>
      <c r="AJ729" s="42"/>
      <c r="AK729" s="42"/>
      <c r="AL729" s="42"/>
      <c r="AM729" s="42"/>
      <c r="AN729" s="65"/>
      <c r="AO729" s="42"/>
      <c r="AP729" s="42"/>
      <c r="AQ729" s="42"/>
      <c r="AR729" s="42"/>
      <c r="AS729" s="65"/>
      <c r="AT729" s="42"/>
    </row>
    <row r="730" spans="1:46" x14ac:dyDescent="0.25">
      <c r="A730" s="3"/>
      <c r="B730" s="58"/>
      <c r="C730" s="59"/>
      <c r="D730" s="3"/>
      <c r="E730" s="3"/>
      <c r="F730" s="3"/>
      <c r="G730" s="3"/>
      <c r="H730" s="27"/>
      <c r="I730" s="60"/>
      <c r="J730" s="61"/>
      <c r="K730" s="30"/>
      <c r="L730" s="30"/>
      <c r="M730" s="30"/>
      <c r="N730" s="30"/>
      <c r="O730" s="31"/>
      <c r="P730" s="30"/>
      <c r="Q730" s="62"/>
      <c r="R730" s="62"/>
      <c r="S730" s="62"/>
      <c r="T730" s="62"/>
      <c r="U730" s="62"/>
      <c r="V730" s="63"/>
      <c r="W730" s="42"/>
      <c r="X730" s="63"/>
      <c r="Y730" s="65"/>
      <c r="Z730" s="42"/>
      <c r="AA730" s="42"/>
      <c r="AB730" s="42"/>
      <c r="AC730" s="42"/>
      <c r="AD730" s="65"/>
      <c r="AE730" s="42"/>
      <c r="AF730" s="42"/>
      <c r="AG730" s="42"/>
      <c r="AH730" s="42"/>
      <c r="AI730" s="65"/>
      <c r="AJ730" s="42"/>
      <c r="AK730" s="42"/>
      <c r="AL730" s="42"/>
      <c r="AM730" s="42"/>
      <c r="AN730" s="65"/>
      <c r="AO730" s="42"/>
      <c r="AP730" s="42"/>
      <c r="AQ730" s="42"/>
      <c r="AR730" s="42"/>
      <c r="AS730" s="65"/>
      <c r="AT730" s="42"/>
    </row>
    <row r="731" spans="1:46" x14ac:dyDescent="0.25">
      <c r="A731" s="3"/>
      <c r="B731" s="58"/>
      <c r="C731" s="59"/>
      <c r="D731" s="3"/>
      <c r="E731" s="3"/>
      <c r="F731" s="3"/>
      <c r="G731" s="3"/>
      <c r="H731" s="27"/>
      <c r="I731" s="60"/>
      <c r="J731" s="61"/>
      <c r="K731" s="30"/>
      <c r="L731" s="30"/>
      <c r="M731" s="30"/>
      <c r="N731" s="30"/>
      <c r="O731" s="31"/>
      <c r="P731" s="30"/>
      <c r="Q731" s="62"/>
      <c r="R731" s="62"/>
      <c r="S731" s="62"/>
      <c r="T731" s="62"/>
      <c r="U731" s="62"/>
      <c r="V731" s="63"/>
      <c r="W731" s="42"/>
      <c r="X731" s="63"/>
      <c r="Y731" s="65"/>
      <c r="Z731" s="42"/>
      <c r="AA731" s="42"/>
      <c r="AB731" s="42"/>
      <c r="AC731" s="42"/>
      <c r="AD731" s="65"/>
      <c r="AE731" s="42"/>
      <c r="AF731" s="42"/>
      <c r="AG731" s="42"/>
      <c r="AH731" s="42"/>
      <c r="AI731" s="65"/>
      <c r="AJ731" s="42"/>
      <c r="AK731" s="42"/>
      <c r="AL731" s="42"/>
      <c r="AM731" s="42"/>
      <c r="AN731" s="65"/>
      <c r="AO731" s="42"/>
      <c r="AP731" s="42"/>
      <c r="AQ731" s="42"/>
      <c r="AR731" s="42"/>
      <c r="AS731" s="65"/>
      <c r="AT731" s="42"/>
    </row>
    <row r="732" spans="1:46" x14ac:dyDescent="0.25">
      <c r="A732" s="3"/>
      <c r="B732" s="58"/>
      <c r="C732" s="59"/>
      <c r="D732" s="3"/>
      <c r="E732" s="3"/>
      <c r="F732" s="3"/>
      <c r="G732" s="3"/>
      <c r="H732" s="27"/>
      <c r="I732" s="60"/>
      <c r="J732" s="61"/>
      <c r="K732" s="30"/>
      <c r="L732" s="30"/>
      <c r="M732" s="30"/>
      <c r="N732" s="30"/>
      <c r="O732" s="31"/>
      <c r="P732" s="30"/>
      <c r="Q732" s="62"/>
      <c r="R732" s="62"/>
      <c r="S732" s="62"/>
      <c r="T732" s="62"/>
      <c r="U732" s="62"/>
      <c r="V732" s="63"/>
      <c r="W732" s="42"/>
      <c r="X732" s="63"/>
      <c r="Y732" s="65"/>
      <c r="Z732" s="42"/>
      <c r="AA732" s="42"/>
      <c r="AB732" s="42"/>
      <c r="AC732" s="42"/>
      <c r="AD732" s="65"/>
      <c r="AE732" s="42"/>
      <c r="AF732" s="42"/>
      <c r="AG732" s="42"/>
      <c r="AH732" s="42"/>
      <c r="AI732" s="65"/>
      <c r="AJ732" s="42"/>
      <c r="AK732" s="42"/>
      <c r="AL732" s="42"/>
      <c r="AM732" s="42"/>
      <c r="AN732" s="65"/>
      <c r="AO732" s="42"/>
      <c r="AP732" s="42"/>
      <c r="AQ732" s="42"/>
      <c r="AR732" s="42"/>
      <c r="AS732" s="65"/>
      <c r="AT732" s="42"/>
    </row>
    <row r="733" spans="1:46" x14ac:dyDescent="0.25">
      <c r="A733" s="3"/>
      <c r="B733" s="58"/>
      <c r="C733" s="59"/>
      <c r="D733" s="3"/>
      <c r="E733" s="3"/>
      <c r="F733" s="3"/>
      <c r="G733" s="3"/>
      <c r="H733" s="27"/>
      <c r="I733" s="60"/>
      <c r="J733" s="61"/>
      <c r="K733" s="30"/>
      <c r="L733" s="30"/>
      <c r="M733" s="30"/>
      <c r="N733" s="30"/>
      <c r="O733" s="31"/>
      <c r="P733" s="30"/>
      <c r="Q733" s="62"/>
      <c r="R733" s="62"/>
      <c r="S733" s="62"/>
      <c r="T733" s="62"/>
      <c r="U733" s="62"/>
      <c r="V733" s="63"/>
      <c r="W733" s="42"/>
      <c r="X733" s="63"/>
      <c r="Y733" s="65"/>
      <c r="Z733" s="42"/>
      <c r="AA733" s="42"/>
      <c r="AB733" s="42"/>
      <c r="AC733" s="42"/>
      <c r="AD733" s="65"/>
      <c r="AE733" s="42"/>
      <c r="AF733" s="42"/>
      <c r="AG733" s="42"/>
      <c r="AH733" s="42"/>
      <c r="AI733" s="65"/>
      <c r="AJ733" s="42"/>
      <c r="AK733" s="42"/>
      <c r="AL733" s="42"/>
      <c r="AM733" s="42"/>
      <c r="AN733" s="65"/>
      <c r="AO733" s="42"/>
      <c r="AP733" s="42"/>
      <c r="AQ733" s="42"/>
      <c r="AR733" s="42"/>
      <c r="AS733" s="65"/>
      <c r="AT733" s="42"/>
    </row>
    <row r="734" spans="1:46" x14ac:dyDescent="0.25">
      <c r="A734" s="3"/>
      <c r="B734" s="58"/>
      <c r="C734" s="59"/>
      <c r="D734" s="3"/>
      <c r="E734" s="3"/>
      <c r="F734" s="3"/>
      <c r="G734" s="3"/>
      <c r="H734" s="27"/>
      <c r="I734" s="60"/>
      <c r="J734" s="61"/>
      <c r="K734" s="30"/>
      <c r="L734" s="30"/>
      <c r="M734" s="30"/>
      <c r="N734" s="30"/>
      <c r="O734" s="31"/>
      <c r="P734" s="30"/>
      <c r="Q734" s="62"/>
      <c r="R734" s="62"/>
      <c r="S734" s="62"/>
      <c r="T734" s="62"/>
      <c r="U734" s="62"/>
      <c r="V734" s="63"/>
      <c r="W734" s="42"/>
      <c r="X734" s="63"/>
      <c r="Y734" s="65"/>
      <c r="Z734" s="42"/>
      <c r="AA734" s="42"/>
      <c r="AB734" s="42"/>
      <c r="AC734" s="42"/>
      <c r="AD734" s="65"/>
      <c r="AE734" s="42"/>
      <c r="AF734" s="42"/>
      <c r="AG734" s="42"/>
      <c r="AH734" s="42"/>
      <c r="AI734" s="65"/>
      <c r="AJ734" s="42"/>
      <c r="AK734" s="42"/>
      <c r="AL734" s="42"/>
      <c r="AM734" s="42"/>
      <c r="AN734" s="65"/>
      <c r="AO734" s="42"/>
      <c r="AP734" s="42"/>
      <c r="AQ734" s="42"/>
      <c r="AR734" s="42"/>
      <c r="AS734" s="65"/>
      <c r="AT734" s="42"/>
    </row>
    <row r="735" spans="1:46" x14ac:dyDescent="0.25">
      <c r="A735" s="3"/>
      <c r="B735" s="58"/>
      <c r="C735" s="59"/>
      <c r="D735" s="3"/>
      <c r="E735" s="3"/>
      <c r="F735" s="3"/>
      <c r="G735" s="3"/>
      <c r="H735" s="27"/>
      <c r="I735" s="60"/>
      <c r="J735" s="61"/>
      <c r="K735" s="30"/>
      <c r="L735" s="30"/>
      <c r="M735" s="30"/>
      <c r="N735" s="30"/>
      <c r="O735" s="31"/>
      <c r="P735" s="30"/>
      <c r="Q735" s="62"/>
      <c r="R735" s="62"/>
      <c r="S735" s="62"/>
      <c r="T735" s="62"/>
      <c r="U735" s="62"/>
      <c r="V735" s="63"/>
      <c r="W735" s="42"/>
      <c r="X735" s="63"/>
      <c r="Y735" s="65"/>
      <c r="Z735" s="42"/>
      <c r="AA735" s="42"/>
      <c r="AB735" s="42"/>
      <c r="AC735" s="42"/>
      <c r="AD735" s="65"/>
      <c r="AE735" s="42"/>
      <c r="AF735" s="42"/>
      <c r="AG735" s="42"/>
      <c r="AH735" s="42"/>
      <c r="AI735" s="65"/>
      <c r="AJ735" s="42"/>
      <c r="AK735" s="42"/>
      <c r="AL735" s="42"/>
      <c r="AM735" s="42"/>
      <c r="AN735" s="65"/>
      <c r="AO735" s="42"/>
      <c r="AP735" s="42"/>
      <c r="AQ735" s="42"/>
      <c r="AR735" s="42"/>
      <c r="AS735" s="65"/>
      <c r="AT735" s="42"/>
    </row>
    <row r="736" spans="1:46" x14ac:dyDescent="0.25">
      <c r="A736" s="3"/>
      <c r="B736" s="58"/>
      <c r="C736" s="59"/>
      <c r="D736" s="3"/>
      <c r="E736" s="3"/>
      <c r="F736" s="3"/>
      <c r="G736" s="3"/>
      <c r="H736" s="27"/>
      <c r="I736" s="60"/>
      <c r="J736" s="61"/>
      <c r="K736" s="30"/>
      <c r="L736" s="30"/>
      <c r="M736" s="30"/>
      <c r="N736" s="30"/>
      <c r="O736" s="31"/>
      <c r="P736" s="30"/>
      <c r="Q736" s="62"/>
      <c r="R736" s="62"/>
      <c r="S736" s="62"/>
      <c r="T736" s="62"/>
      <c r="U736" s="62"/>
      <c r="V736" s="63"/>
      <c r="W736" s="42"/>
      <c r="X736" s="63"/>
      <c r="Y736" s="65"/>
      <c r="Z736" s="42"/>
      <c r="AA736" s="42"/>
      <c r="AB736" s="42"/>
      <c r="AC736" s="42"/>
      <c r="AD736" s="65"/>
      <c r="AE736" s="42"/>
      <c r="AF736" s="42"/>
      <c r="AG736" s="42"/>
      <c r="AH736" s="42"/>
      <c r="AI736" s="65"/>
      <c r="AJ736" s="42"/>
      <c r="AK736" s="42"/>
      <c r="AL736" s="42"/>
      <c r="AM736" s="42"/>
      <c r="AN736" s="65"/>
      <c r="AO736" s="42"/>
      <c r="AP736" s="42"/>
      <c r="AQ736" s="42"/>
      <c r="AR736" s="42"/>
      <c r="AS736" s="65"/>
      <c r="AT736" s="42"/>
    </row>
    <row r="737" spans="1:46" x14ac:dyDescent="0.25">
      <c r="A737" s="3"/>
      <c r="B737" s="58"/>
      <c r="C737" s="59"/>
      <c r="D737" s="3"/>
      <c r="E737" s="3"/>
      <c r="F737" s="3"/>
      <c r="G737" s="3"/>
      <c r="H737" s="27"/>
      <c r="I737" s="60"/>
      <c r="J737" s="61"/>
      <c r="K737" s="30"/>
      <c r="L737" s="30"/>
      <c r="M737" s="30"/>
      <c r="N737" s="30"/>
      <c r="O737" s="31"/>
      <c r="P737" s="30"/>
      <c r="Q737" s="62"/>
      <c r="R737" s="62"/>
      <c r="S737" s="62"/>
      <c r="T737" s="62"/>
      <c r="U737" s="62"/>
      <c r="V737" s="63"/>
      <c r="W737" s="42"/>
      <c r="X737" s="63"/>
      <c r="Y737" s="65"/>
      <c r="Z737" s="42"/>
      <c r="AA737" s="42"/>
      <c r="AB737" s="42"/>
      <c r="AC737" s="42"/>
      <c r="AD737" s="65"/>
      <c r="AE737" s="42"/>
      <c r="AF737" s="42"/>
      <c r="AG737" s="42"/>
      <c r="AH737" s="42"/>
      <c r="AI737" s="65"/>
      <c r="AJ737" s="42"/>
      <c r="AK737" s="42"/>
      <c r="AL737" s="42"/>
      <c r="AM737" s="42"/>
      <c r="AN737" s="65"/>
      <c r="AO737" s="42"/>
      <c r="AP737" s="42"/>
      <c r="AQ737" s="42"/>
      <c r="AR737" s="42"/>
      <c r="AS737" s="65"/>
      <c r="AT737" s="42"/>
    </row>
    <row r="738" spans="1:46" x14ac:dyDescent="0.25">
      <c r="A738" s="3"/>
      <c r="B738" s="58"/>
      <c r="C738" s="59"/>
      <c r="D738" s="3"/>
      <c r="E738" s="3"/>
      <c r="F738" s="3"/>
      <c r="G738" s="3"/>
      <c r="H738" s="27"/>
      <c r="I738" s="60"/>
      <c r="J738" s="61"/>
      <c r="K738" s="30"/>
      <c r="L738" s="30"/>
      <c r="M738" s="30"/>
      <c r="N738" s="30"/>
      <c r="O738" s="31"/>
      <c r="P738" s="30"/>
      <c r="Q738" s="62"/>
      <c r="R738" s="62"/>
      <c r="S738" s="62"/>
      <c r="T738" s="62"/>
      <c r="U738" s="62"/>
      <c r="V738" s="63"/>
      <c r="W738" s="42"/>
      <c r="X738" s="63"/>
      <c r="Y738" s="65"/>
      <c r="Z738" s="42"/>
      <c r="AA738" s="42"/>
      <c r="AB738" s="42"/>
      <c r="AC738" s="42"/>
      <c r="AD738" s="65"/>
      <c r="AE738" s="42"/>
      <c r="AF738" s="42"/>
      <c r="AG738" s="42"/>
      <c r="AH738" s="42"/>
      <c r="AI738" s="65"/>
      <c r="AJ738" s="42"/>
      <c r="AK738" s="42"/>
      <c r="AL738" s="42"/>
      <c r="AM738" s="42"/>
      <c r="AN738" s="65"/>
      <c r="AO738" s="42"/>
      <c r="AP738" s="42"/>
      <c r="AQ738" s="42"/>
      <c r="AR738" s="42"/>
      <c r="AS738" s="65"/>
      <c r="AT738" s="42"/>
    </row>
    <row r="739" spans="1:46" x14ac:dyDescent="0.25">
      <c r="A739" s="3"/>
      <c r="B739" s="58"/>
      <c r="C739" s="59"/>
      <c r="D739" s="3"/>
      <c r="E739" s="3"/>
      <c r="F739" s="3"/>
      <c r="G739" s="3"/>
      <c r="H739" s="27"/>
      <c r="I739" s="60"/>
      <c r="J739" s="61"/>
      <c r="K739" s="30"/>
      <c r="L739" s="30"/>
      <c r="M739" s="30"/>
      <c r="N739" s="30"/>
      <c r="O739" s="31"/>
      <c r="P739" s="30"/>
      <c r="Q739" s="62"/>
      <c r="R739" s="62"/>
      <c r="S739" s="62"/>
      <c r="T739" s="62"/>
      <c r="U739" s="62"/>
      <c r="V739" s="63"/>
      <c r="W739" s="42"/>
      <c r="X739" s="63"/>
      <c r="Y739" s="65"/>
      <c r="Z739" s="42"/>
      <c r="AA739" s="42"/>
      <c r="AB739" s="42"/>
      <c r="AC739" s="42"/>
      <c r="AD739" s="65"/>
      <c r="AE739" s="42"/>
      <c r="AF739" s="42"/>
      <c r="AG739" s="42"/>
      <c r="AH739" s="42"/>
      <c r="AI739" s="65"/>
      <c r="AJ739" s="42"/>
      <c r="AK739" s="42"/>
      <c r="AL739" s="42"/>
      <c r="AM739" s="42"/>
      <c r="AN739" s="65"/>
      <c r="AO739" s="42"/>
      <c r="AP739" s="42"/>
      <c r="AQ739" s="42"/>
      <c r="AR739" s="42"/>
      <c r="AS739" s="65"/>
      <c r="AT739" s="42"/>
    </row>
    <row r="740" spans="1:46" x14ac:dyDescent="0.25">
      <c r="A740" s="3"/>
      <c r="B740" s="58"/>
      <c r="C740" s="59"/>
      <c r="D740" s="3"/>
      <c r="E740" s="3"/>
      <c r="F740" s="3"/>
      <c r="G740" s="3"/>
      <c r="H740" s="27"/>
      <c r="I740" s="60"/>
      <c r="J740" s="61"/>
      <c r="K740" s="30"/>
      <c r="L740" s="30"/>
      <c r="M740" s="30"/>
      <c r="N740" s="30"/>
      <c r="O740" s="31"/>
      <c r="P740" s="30"/>
      <c r="Q740" s="62"/>
      <c r="R740" s="62"/>
      <c r="S740" s="62"/>
      <c r="T740" s="62"/>
      <c r="U740" s="62"/>
      <c r="V740" s="63"/>
      <c r="W740" s="42"/>
      <c r="X740" s="63"/>
      <c r="Y740" s="65"/>
      <c r="Z740" s="42"/>
      <c r="AA740" s="42"/>
      <c r="AB740" s="42"/>
      <c r="AC740" s="42"/>
      <c r="AD740" s="65"/>
      <c r="AE740" s="42"/>
      <c r="AF740" s="42"/>
      <c r="AG740" s="42"/>
      <c r="AH740" s="42"/>
      <c r="AI740" s="65"/>
      <c r="AJ740" s="42"/>
      <c r="AK740" s="42"/>
      <c r="AL740" s="42"/>
      <c r="AM740" s="42"/>
      <c r="AN740" s="65"/>
      <c r="AO740" s="42"/>
      <c r="AP740" s="42"/>
      <c r="AQ740" s="42"/>
      <c r="AR740" s="42"/>
      <c r="AS740" s="65"/>
      <c r="AT740" s="42"/>
    </row>
    <row r="741" spans="1:46" x14ac:dyDescent="0.25">
      <c r="A741" s="3"/>
      <c r="B741" s="58"/>
      <c r="C741" s="59"/>
      <c r="D741" s="3"/>
      <c r="E741" s="3"/>
      <c r="F741" s="3"/>
      <c r="G741" s="3"/>
      <c r="H741" s="27"/>
      <c r="I741" s="60"/>
      <c r="J741" s="61"/>
      <c r="K741" s="30"/>
      <c r="L741" s="30"/>
      <c r="M741" s="30"/>
      <c r="N741" s="30"/>
      <c r="O741" s="31"/>
      <c r="P741" s="30"/>
      <c r="Q741" s="62"/>
      <c r="R741" s="62"/>
      <c r="S741" s="62"/>
      <c r="T741" s="62"/>
      <c r="U741" s="62"/>
      <c r="V741" s="63"/>
      <c r="W741" s="42"/>
      <c r="X741" s="63"/>
      <c r="Y741" s="65"/>
      <c r="Z741" s="42"/>
      <c r="AA741" s="42"/>
      <c r="AB741" s="42"/>
      <c r="AC741" s="42"/>
      <c r="AD741" s="65"/>
      <c r="AE741" s="42"/>
      <c r="AF741" s="42"/>
      <c r="AG741" s="42"/>
      <c r="AH741" s="42"/>
      <c r="AI741" s="65"/>
      <c r="AJ741" s="42"/>
      <c r="AK741" s="42"/>
      <c r="AL741" s="42"/>
      <c r="AM741" s="42"/>
      <c r="AN741" s="65"/>
      <c r="AO741" s="42"/>
      <c r="AP741" s="42"/>
      <c r="AQ741" s="42"/>
      <c r="AR741" s="42"/>
      <c r="AS741" s="65"/>
      <c r="AT741" s="42"/>
    </row>
    <row r="742" spans="1:46" x14ac:dyDescent="0.25">
      <c r="A742" s="3"/>
      <c r="B742" s="58"/>
      <c r="C742" s="59"/>
      <c r="D742" s="3"/>
      <c r="E742" s="3"/>
      <c r="F742" s="3"/>
      <c r="G742" s="3"/>
      <c r="H742" s="27"/>
      <c r="I742" s="60"/>
      <c r="J742" s="61"/>
      <c r="K742" s="30"/>
      <c r="L742" s="30"/>
      <c r="M742" s="30"/>
      <c r="N742" s="30"/>
      <c r="O742" s="31"/>
      <c r="P742" s="30"/>
      <c r="Q742" s="62"/>
      <c r="R742" s="62"/>
      <c r="S742" s="62"/>
      <c r="T742" s="62"/>
      <c r="U742" s="62"/>
      <c r="V742" s="63"/>
      <c r="W742" s="42"/>
      <c r="X742" s="63"/>
      <c r="Y742" s="65"/>
      <c r="Z742" s="42"/>
      <c r="AA742" s="42"/>
      <c r="AB742" s="42"/>
      <c r="AC742" s="42"/>
      <c r="AD742" s="65"/>
      <c r="AE742" s="42"/>
      <c r="AF742" s="42"/>
      <c r="AG742" s="42"/>
      <c r="AH742" s="42"/>
      <c r="AI742" s="65"/>
      <c r="AJ742" s="42"/>
      <c r="AK742" s="42"/>
      <c r="AL742" s="42"/>
      <c r="AM742" s="42"/>
      <c r="AN742" s="65"/>
      <c r="AO742" s="42"/>
      <c r="AP742" s="42"/>
      <c r="AQ742" s="42"/>
      <c r="AR742" s="42"/>
      <c r="AS742" s="65"/>
      <c r="AT742" s="42"/>
    </row>
    <row r="743" spans="1:46" x14ac:dyDescent="0.25">
      <c r="A743" s="3"/>
      <c r="B743" s="58"/>
      <c r="C743" s="59"/>
      <c r="D743" s="3"/>
      <c r="E743" s="3"/>
      <c r="F743" s="3"/>
      <c r="G743" s="3"/>
      <c r="H743" s="27"/>
      <c r="I743" s="60"/>
      <c r="J743" s="61"/>
      <c r="K743" s="30"/>
      <c r="L743" s="30"/>
      <c r="M743" s="30"/>
      <c r="N743" s="30"/>
      <c r="O743" s="31"/>
      <c r="P743" s="30"/>
      <c r="Q743" s="62"/>
      <c r="R743" s="62"/>
      <c r="S743" s="62"/>
      <c r="T743" s="62"/>
      <c r="U743" s="62"/>
      <c r="V743" s="63"/>
      <c r="W743" s="42"/>
      <c r="X743" s="63"/>
      <c r="Y743" s="65"/>
      <c r="Z743" s="42"/>
      <c r="AA743" s="42"/>
      <c r="AB743" s="42"/>
      <c r="AC743" s="42"/>
      <c r="AD743" s="65"/>
      <c r="AE743" s="42"/>
      <c r="AF743" s="42"/>
      <c r="AG743" s="42"/>
      <c r="AH743" s="42"/>
      <c r="AI743" s="65"/>
      <c r="AJ743" s="42"/>
      <c r="AK743" s="42"/>
      <c r="AL743" s="42"/>
      <c r="AM743" s="42"/>
      <c r="AN743" s="65"/>
      <c r="AO743" s="42"/>
      <c r="AP743" s="42"/>
      <c r="AQ743" s="42"/>
      <c r="AR743" s="42"/>
      <c r="AS743" s="65"/>
      <c r="AT743" s="42"/>
    </row>
    <row r="744" spans="1:46" x14ac:dyDescent="0.25">
      <c r="A744" s="3"/>
      <c r="B744" s="58"/>
      <c r="C744" s="59"/>
      <c r="D744" s="3"/>
      <c r="E744" s="3"/>
      <c r="F744" s="3"/>
      <c r="G744" s="3"/>
      <c r="H744" s="27"/>
      <c r="I744" s="60"/>
      <c r="J744" s="61"/>
      <c r="K744" s="30"/>
      <c r="L744" s="30"/>
      <c r="M744" s="30"/>
      <c r="N744" s="30"/>
      <c r="O744" s="31"/>
      <c r="P744" s="30"/>
      <c r="Q744" s="62"/>
      <c r="R744" s="62"/>
      <c r="S744" s="62"/>
      <c r="T744" s="62"/>
      <c r="U744" s="62"/>
      <c r="V744" s="63"/>
      <c r="W744" s="42"/>
      <c r="X744" s="63"/>
      <c r="Y744" s="65"/>
      <c r="Z744" s="42"/>
      <c r="AA744" s="42"/>
      <c r="AB744" s="42"/>
      <c r="AC744" s="42"/>
      <c r="AD744" s="65"/>
      <c r="AE744" s="42"/>
      <c r="AF744" s="42"/>
      <c r="AG744" s="42"/>
      <c r="AH744" s="42"/>
      <c r="AI744" s="65"/>
      <c r="AJ744" s="42"/>
      <c r="AK744" s="42"/>
      <c r="AL744" s="42"/>
      <c r="AM744" s="42"/>
      <c r="AN744" s="65"/>
      <c r="AO744" s="42"/>
      <c r="AP744" s="42"/>
      <c r="AQ744" s="42"/>
      <c r="AR744" s="42"/>
      <c r="AS744" s="65"/>
      <c r="AT744" s="42"/>
    </row>
    <row r="745" spans="1:46" x14ac:dyDescent="0.25">
      <c r="A745" s="3"/>
      <c r="B745" s="58"/>
      <c r="C745" s="59"/>
      <c r="D745" s="3"/>
      <c r="E745" s="3"/>
      <c r="F745" s="3"/>
      <c r="G745" s="3"/>
      <c r="H745" s="27"/>
      <c r="I745" s="60"/>
      <c r="J745" s="61"/>
      <c r="K745" s="30"/>
      <c r="L745" s="30"/>
      <c r="M745" s="30"/>
      <c r="N745" s="30"/>
      <c r="O745" s="31"/>
      <c r="P745" s="30"/>
      <c r="Q745" s="62"/>
      <c r="R745" s="62"/>
      <c r="S745" s="62"/>
      <c r="T745" s="62"/>
      <c r="U745" s="62"/>
      <c r="V745" s="63"/>
      <c r="W745" s="42"/>
      <c r="X745" s="63"/>
      <c r="Y745" s="65"/>
      <c r="Z745" s="42"/>
      <c r="AA745" s="42"/>
      <c r="AB745" s="42"/>
      <c r="AC745" s="42"/>
      <c r="AD745" s="65"/>
      <c r="AE745" s="42"/>
      <c r="AF745" s="42"/>
      <c r="AG745" s="42"/>
      <c r="AH745" s="42"/>
      <c r="AI745" s="65"/>
      <c r="AJ745" s="42"/>
      <c r="AK745" s="42"/>
      <c r="AL745" s="42"/>
      <c r="AM745" s="42"/>
      <c r="AN745" s="65"/>
      <c r="AO745" s="42"/>
      <c r="AP745" s="42"/>
      <c r="AQ745" s="42"/>
      <c r="AR745" s="42"/>
      <c r="AS745" s="65"/>
      <c r="AT745" s="42"/>
    </row>
    <row r="746" spans="1:46" x14ac:dyDescent="0.25">
      <c r="A746" s="3"/>
      <c r="B746" s="58"/>
      <c r="C746" s="59"/>
      <c r="D746" s="3"/>
      <c r="E746" s="3"/>
      <c r="F746" s="3"/>
      <c r="G746" s="3"/>
      <c r="H746" s="27"/>
      <c r="I746" s="60"/>
      <c r="J746" s="61"/>
      <c r="K746" s="30"/>
      <c r="L746" s="30"/>
      <c r="M746" s="30"/>
      <c r="N746" s="30"/>
      <c r="O746" s="31"/>
      <c r="P746" s="30"/>
      <c r="Q746" s="62"/>
      <c r="R746" s="62"/>
      <c r="S746" s="62"/>
      <c r="T746" s="62"/>
      <c r="U746" s="62"/>
      <c r="V746" s="63"/>
      <c r="W746" s="42"/>
      <c r="X746" s="63"/>
      <c r="Y746" s="65"/>
      <c r="Z746" s="42"/>
      <c r="AA746" s="42"/>
      <c r="AB746" s="42"/>
      <c r="AC746" s="42"/>
      <c r="AD746" s="65"/>
      <c r="AE746" s="42"/>
      <c r="AF746" s="42"/>
      <c r="AG746" s="42"/>
      <c r="AH746" s="42"/>
      <c r="AI746" s="65"/>
      <c r="AJ746" s="42"/>
      <c r="AK746" s="42"/>
      <c r="AL746" s="42"/>
      <c r="AM746" s="42"/>
      <c r="AN746" s="65"/>
      <c r="AO746" s="42"/>
      <c r="AP746" s="42"/>
      <c r="AQ746" s="42"/>
      <c r="AR746" s="42"/>
      <c r="AS746" s="65"/>
      <c r="AT746" s="42"/>
    </row>
    <row r="747" spans="1:46" x14ac:dyDescent="0.25">
      <c r="A747" s="3"/>
      <c r="B747" s="58"/>
      <c r="C747" s="59"/>
      <c r="D747" s="3"/>
      <c r="E747" s="3"/>
      <c r="F747" s="3"/>
      <c r="G747" s="3"/>
      <c r="H747" s="27"/>
      <c r="I747" s="60"/>
      <c r="J747" s="61"/>
      <c r="K747" s="30"/>
      <c r="L747" s="30"/>
      <c r="M747" s="30"/>
      <c r="N747" s="30"/>
      <c r="O747" s="31"/>
      <c r="P747" s="30"/>
      <c r="Q747" s="62"/>
      <c r="R747" s="62"/>
      <c r="S747" s="62"/>
      <c r="T747" s="62"/>
      <c r="U747" s="62"/>
      <c r="V747" s="63"/>
      <c r="W747" s="42"/>
      <c r="X747" s="63"/>
      <c r="Y747" s="65"/>
      <c r="Z747" s="42"/>
      <c r="AA747" s="42"/>
      <c r="AB747" s="42"/>
      <c r="AC747" s="42"/>
      <c r="AD747" s="65"/>
      <c r="AE747" s="42"/>
      <c r="AF747" s="42"/>
      <c r="AG747" s="42"/>
      <c r="AH747" s="42"/>
      <c r="AI747" s="65"/>
      <c r="AJ747" s="42"/>
      <c r="AK747" s="42"/>
      <c r="AL747" s="42"/>
      <c r="AM747" s="42"/>
      <c r="AN747" s="65"/>
      <c r="AO747" s="42"/>
      <c r="AP747" s="42"/>
      <c r="AQ747" s="42"/>
      <c r="AR747" s="42"/>
      <c r="AS747" s="65"/>
      <c r="AT747" s="42"/>
    </row>
    <row r="748" spans="1:46" x14ac:dyDescent="0.25">
      <c r="A748" s="3"/>
      <c r="B748" s="58"/>
      <c r="C748" s="59"/>
      <c r="D748" s="3"/>
      <c r="E748" s="3"/>
      <c r="F748" s="3"/>
      <c r="G748" s="3"/>
      <c r="H748" s="27"/>
      <c r="I748" s="60"/>
      <c r="J748" s="61"/>
      <c r="K748" s="30"/>
      <c r="L748" s="30"/>
      <c r="M748" s="30"/>
      <c r="N748" s="30"/>
      <c r="O748" s="31"/>
      <c r="P748" s="30"/>
      <c r="Q748" s="62"/>
      <c r="R748" s="62"/>
      <c r="S748" s="62"/>
      <c r="T748" s="62"/>
      <c r="U748" s="62"/>
      <c r="V748" s="63"/>
      <c r="W748" s="42"/>
      <c r="X748" s="63"/>
      <c r="Y748" s="65"/>
      <c r="Z748" s="42"/>
      <c r="AA748" s="42"/>
      <c r="AB748" s="42"/>
      <c r="AC748" s="42"/>
      <c r="AD748" s="65"/>
      <c r="AE748" s="42"/>
      <c r="AF748" s="42"/>
      <c r="AG748" s="42"/>
      <c r="AH748" s="42"/>
      <c r="AI748" s="65"/>
      <c r="AJ748" s="42"/>
      <c r="AK748" s="42"/>
      <c r="AL748" s="42"/>
      <c r="AM748" s="42"/>
      <c r="AN748" s="65"/>
      <c r="AO748" s="42"/>
      <c r="AP748" s="42"/>
      <c r="AQ748" s="42"/>
      <c r="AR748" s="42"/>
      <c r="AS748" s="65"/>
      <c r="AT748" s="42"/>
    </row>
    <row r="749" spans="1:46" x14ac:dyDescent="0.25">
      <c r="A749" s="3"/>
      <c r="B749" s="58"/>
      <c r="C749" s="59"/>
      <c r="D749" s="3"/>
      <c r="E749" s="3"/>
      <c r="F749" s="3"/>
      <c r="G749" s="3"/>
      <c r="H749" s="27"/>
      <c r="I749" s="60"/>
      <c r="J749" s="61"/>
      <c r="K749" s="30"/>
      <c r="L749" s="30"/>
      <c r="M749" s="30"/>
      <c r="N749" s="30"/>
      <c r="O749" s="31"/>
      <c r="P749" s="30"/>
      <c r="Q749" s="62"/>
      <c r="R749" s="62"/>
      <c r="S749" s="62"/>
      <c r="T749" s="62"/>
      <c r="U749" s="62"/>
      <c r="V749" s="63"/>
      <c r="W749" s="42"/>
      <c r="X749" s="63"/>
      <c r="Y749" s="65"/>
      <c r="Z749" s="42"/>
      <c r="AA749" s="42"/>
      <c r="AB749" s="42"/>
      <c r="AC749" s="42"/>
      <c r="AD749" s="65"/>
      <c r="AE749" s="42"/>
      <c r="AF749" s="42"/>
      <c r="AG749" s="42"/>
      <c r="AH749" s="42"/>
      <c r="AI749" s="65"/>
      <c r="AJ749" s="42"/>
      <c r="AK749" s="42"/>
      <c r="AL749" s="42"/>
      <c r="AM749" s="42"/>
      <c r="AN749" s="65"/>
      <c r="AO749" s="42"/>
      <c r="AP749" s="42"/>
      <c r="AQ749" s="42"/>
      <c r="AR749" s="42"/>
      <c r="AS749" s="65"/>
      <c r="AT749" s="42"/>
    </row>
    <row r="750" spans="1:46" x14ac:dyDescent="0.25">
      <c r="A750" s="3"/>
      <c r="B750" s="58"/>
      <c r="C750" s="59"/>
      <c r="D750" s="3"/>
      <c r="E750" s="3"/>
      <c r="F750" s="3"/>
      <c r="G750" s="3"/>
      <c r="H750" s="27"/>
      <c r="I750" s="60"/>
      <c r="J750" s="61"/>
      <c r="K750" s="30"/>
      <c r="L750" s="30"/>
      <c r="M750" s="30"/>
      <c r="N750" s="30"/>
      <c r="O750" s="31"/>
      <c r="P750" s="30"/>
      <c r="Q750" s="62"/>
      <c r="R750" s="62"/>
      <c r="S750" s="62"/>
      <c r="T750" s="62"/>
      <c r="U750" s="62"/>
      <c r="V750" s="63"/>
      <c r="W750" s="42"/>
      <c r="X750" s="63"/>
      <c r="Y750" s="65"/>
      <c r="Z750" s="42"/>
      <c r="AA750" s="42"/>
      <c r="AB750" s="42"/>
      <c r="AC750" s="42"/>
      <c r="AD750" s="65"/>
      <c r="AE750" s="42"/>
      <c r="AF750" s="42"/>
      <c r="AG750" s="42"/>
      <c r="AH750" s="42"/>
      <c r="AI750" s="65"/>
      <c r="AJ750" s="42"/>
      <c r="AK750" s="42"/>
      <c r="AL750" s="42"/>
      <c r="AM750" s="42"/>
      <c r="AN750" s="65"/>
      <c r="AO750" s="42"/>
      <c r="AP750" s="42"/>
      <c r="AQ750" s="42"/>
      <c r="AR750" s="42"/>
      <c r="AS750" s="65"/>
      <c r="AT750" s="42"/>
    </row>
    <row r="751" spans="1:46" x14ac:dyDescent="0.25">
      <c r="A751" s="3"/>
      <c r="B751" s="58"/>
      <c r="C751" s="59"/>
      <c r="D751" s="3"/>
      <c r="E751" s="3"/>
      <c r="F751" s="3"/>
      <c r="G751" s="3"/>
      <c r="H751" s="27"/>
      <c r="I751" s="60"/>
      <c r="J751" s="61"/>
      <c r="K751" s="30"/>
      <c r="L751" s="30"/>
      <c r="M751" s="30"/>
      <c r="N751" s="30"/>
      <c r="O751" s="31"/>
      <c r="P751" s="30"/>
      <c r="Q751" s="62"/>
      <c r="R751" s="62"/>
      <c r="S751" s="62"/>
      <c r="T751" s="62"/>
      <c r="U751" s="62"/>
      <c r="V751" s="63"/>
      <c r="W751" s="42"/>
      <c r="X751" s="63"/>
      <c r="Y751" s="65"/>
      <c r="Z751" s="42"/>
      <c r="AA751" s="42"/>
      <c r="AB751" s="42"/>
      <c r="AC751" s="42"/>
      <c r="AD751" s="65"/>
      <c r="AE751" s="42"/>
      <c r="AF751" s="42"/>
      <c r="AG751" s="42"/>
      <c r="AH751" s="42"/>
      <c r="AI751" s="65"/>
      <c r="AJ751" s="42"/>
      <c r="AK751" s="42"/>
      <c r="AL751" s="42"/>
      <c r="AM751" s="42"/>
      <c r="AN751" s="65"/>
      <c r="AO751" s="42"/>
      <c r="AP751" s="42"/>
      <c r="AQ751" s="42"/>
      <c r="AR751" s="42"/>
      <c r="AS751" s="65"/>
      <c r="AT751" s="42"/>
    </row>
    <row r="752" spans="1:46" x14ac:dyDescent="0.25">
      <c r="A752" s="3"/>
      <c r="B752" s="58"/>
      <c r="C752" s="59"/>
      <c r="D752" s="3"/>
      <c r="E752" s="3"/>
      <c r="F752" s="3"/>
      <c r="G752" s="3"/>
      <c r="H752" s="27"/>
      <c r="I752" s="60"/>
      <c r="J752" s="61"/>
      <c r="K752" s="30"/>
      <c r="L752" s="30"/>
      <c r="M752" s="30"/>
      <c r="N752" s="30"/>
      <c r="O752" s="31"/>
      <c r="P752" s="30"/>
      <c r="Q752" s="62"/>
      <c r="R752" s="62"/>
      <c r="S752" s="62"/>
      <c r="T752" s="62"/>
      <c r="U752" s="62"/>
      <c r="V752" s="63"/>
      <c r="W752" s="42"/>
      <c r="X752" s="63"/>
      <c r="Y752" s="65"/>
      <c r="Z752" s="42"/>
      <c r="AA752" s="42"/>
      <c r="AB752" s="42"/>
      <c r="AC752" s="42"/>
      <c r="AD752" s="65"/>
      <c r="AE752" s="42"/>
      <c r="AF752" s="42"/>
      <c r="AG752" s="42"/>
      <c r="AH752" s="42"/>
      <c r="AI752" s="65"/>
      <c r="AJ752" s="42"/>
      <c r="AK752" s="42"/>
      <c r="AL752" s="42"/>
      <c r="AM752" s="42"/>
      <c r="AN752" s="65"/>
      <c r="AO752" s="42"/>
      <c r="AP752" s="42"/>
      <c r="AQ752" s="42"/>
      <c r="AR752" s="42"/>
      <c r="AS752" s="65"/>
      <c r="AT752" s="42"/>
    </row>
    <row r="753" spans="1:46" x14ac:dyDescent="0.25">
      <c r="A753" s="3"/>
      <c r="B753" s="58"/>
      <c r="C753" s="59"/>
      <c r="D753" s="3"/>
      <c r="E753" s="3"/>
      <c r="F753" s="3"/>
      <c r="G753" s="3"/>
      <c r="H753" s="27"/>
      <c r="I753" s="60"/>
      <c r="J753" s="61"/>
      <c r="K753" s="30"/>
      <c r="L753" s="30"/>
      <c r="M753" s="30"/>
      <c r="N753" s="30"/>
      <c r="O753" s="31"/>
      <c r="P753" s="30"/>
      <c r="Q753" s="62"/>
      <c r="R753" s="62"/>
      <c r="S753" s="62"/>
      <c r="T753" s="62"/>
      <c r="U753" s="62"/>
      <c r="V753" s="63"/>
      <c r="W753" s="42"/>
      <c r="X753" s="63"/>
      <c r="Y753" s="65"/>
      <c r="Z753" s="42"/>
      <c r="AA753" s="42"/>
      <c r="AB753" s="42"/>
      <c r="AC753" s="42"/>
      <c r="AD753" s="65"/>
      <c r="AE753" s="42"/>
      <c r="AF753" s="42"/>
      <c r="AG753" s="42"/>
      <c r="AH753" s="42"/>
      <c r="AI753" s="65"/>
      <c r="AJ753" s="42"/>
      <c r="AK753" s="42"/>
      <c r="AL753" s="42"/>
      <c r="AM753" s="42"/>
      <c r="AN753" s="65"/>
      <c r="AO753" s="42"/>
      <c r="AP753" s="42"/>
      <c r="AQ753" s="42"/>
      <c r="AR753" s="42"/>
      <c r="AS753" s="65"/>
      <c r="AT753" s="42"/>
    </row>
    <row r="754" spans="1:46" x14ac:dyDescent="0.25">
      <c r="A754" s="3"/>
      <c r="B754" s="58"/>
      <c r="C754" s="59"/>
      <c r="D754" s="3"/>
      <c r="E754" s="3"/>
      <c r="F754" s="3"/>
      <c r="G754" s="3"/>
      <c r="H754" s="27"/>
      <c r="I754" s="60"/>
      <c r="J754" s="61"/>
      <c r="K754" s="30"/>
      <c r="L754" s="30"/>
      <c r="M754" s="30"/>
      <c r="N754" s="30"/>
      <c r="O754" s="31"/>
      <c r="P754" s="30"/>
      <c r="Q754" s="62"/>
      <c r="R754" s="62"/>
      <c r="S754" s="62"/>
      <c r="T754" s="62"/>
      <c r="U754" s="62"/>
      <c r="V754" s="63"/>
      <c r="W754" s="42"/>
      <c r="X754" s="63"/>
      <c r="Y754" s="65"/>
      <c r="Z754" s="42"/>
      <c r="AA754" s="42"/>
      <c r="AB754" s="42"/>
      <c r="AC754" s="42"/>
      <c r="AD754" s="65"/>
      <c r="AE754" s="42"/>
      <c r="AF754" s="42"/>
      <c r="AG754" s="42"/>
      <c r="AH754" s="42"/>
      <c r="AI754" s="65"/>
      <c r="AJ754" s="42"/>
      <c r="AK754" s="42"/>
      <c r="AL754" s="42"/>
      <c r="AM754" s="42"/>
      <c r="AN754" s="65"/>
      <c r="AO754" s="42"/>
      <c r="AP754" s="42"/>
      <c r="AQ754" s="42"/>
      <c r="AR754" s="42"/>
      <c r="AS754" s="65"/>
      <c r="AT754" s="42"/>
    </row>
    <row r="755" spans="1:46" x14ac:dyDescent="0.25">
      <c r="A755" s="3"/>
      <c r="B755" s="58"/>
      <c r="C755" s="59"/>
      <c r="D755" s="3"/>
      <c r="E755" s="3"/>
      <c r="F755" s="3"/>
      <c r="G755" s="3"/>
      <c r="H755" s="27"/>
      <c r="I755" s="60"/>
      <c r="J755" s="61"/>
      <c r="K755" s="30"/>
      <c r="L755" s="30"/>
      <c r="M755" s="30"/>
      <c r="N755" s="30"/>
      <c r="O755" s="31"/>
      <c r="P755" s="30"/>
      <c r="Q755" s="62"/>
      <c r="R755" s="62"/>
      <c r="S755" s="62"/>
      <c r="T755" s="62"/>
      <c r="U755" s="62"/>
      <c r="V755" s="63"/>
      <c r="W755" s="42"/>
      <c r="X755" s="63"/>
      <c r="Y755" s="65"/>
      <c r="Z755" s="42"/>
      <c r="AA755" s="42"/>
      <c r="AB755" s="42"/>
      <c r="AC755" s="42"/>
      <c r="AD755" s="65"/>
      <c r="AE755" s="42"/>
      <c r="AF755" s="42"/>
      <c r="AG755" s="42"/>
      <c r="AH755" s="42"/>
      <c r="AI755" s="65"/>
      <c r="AJ755" s="42"/>
      <c r="AK755" s="42"/>
      <c r="AL755" s="42"/>
      <c r="AM755" s="42"/>
      <c r="AN755" s="65"/>
      <c r="AO755" s="42"/>
      <c r="AP755" s="42"/>
      <c r="AQ755" s="42"/>
      <c r="AR755" s="42"/>
      <c r="AS755" s="65"/>
      <c r="AT755" s="42"/>
    </row>
    <row r="756" spans="1:46" x14ac:dyDescent="0.25">
      <c r="A756" s="3"/>
      <c r="B756" s="58"/>
      <c r="C756" s="59"/>
      <c r="D756" s="3"/>
      <c r="E756" s="3"/>
      <c r="F756" s="3"/>
      <c r="G756" s="3"/>
      <c r="H756" s="27"/>
      <c r="I756" s="60"/>
      <c r="J756" s="61"/>
      <c r="K756" s="30"/>
      <c r="L756" s="30"/>
      <c r="M756" s="30"/>
      <c r="N756" s="30"/>
      <c r="O756" s="31"/>
      <c r="P756" s="30"/>
      <c r="Q756" s="62"/>
      <c r="R756" s="62"/>
      <c r="S756" s="62"/>
      <c r="T756" s="62"/>
      <c r="U756" s="62"/>
      <c r="V756" s="63"/>
      <c r="W756" s="42"/>
      <c r="X756" s="63"/>
      <c r="Y756" s="65"/>
      <c r="Z756" s="42"/>
      <c r="AA756" s="42"/>
      <c r="AB756" s="42"/>
      <c r="AC756" s="42"/>
      <c r="AD756" s="65"/>
      <c r="AE756" s="42"/>
      <c r="AF756" s="42"/>
      <c r="AG756" s="42"/>
      <c r="AH756" s="42"/>
      <c r="AI756" s="65"/>
      <c r="AJ756" s="42"/>
      <c r="AK756" s="42"/>
      <c r="AL756" s="42"/>
      <c r="AM756" s="42"/>
      <c r="AN756" s="65"/>
      <c r="AO756" s="42"/>
      <c r="AP756" s="42"/>
      <c r="AQ756" s="42"/>
      <c r="AR756" s="42"/>
      <c r="AS756" s="65"/>
      <c r="AT756" s="42"/>
    </row>
    <row r="757" spans="1:46" x14ac:dyDescent="0.25">
      <c r="A757" s="3"/>
      <c r="B757" s="58"/>
      <c r="C757" s="59"/>
      <c r="D757" s="3"/>
      <c r="E757" s="3"/>
      <c r="F757" s="3"/>
      <c r="G757" s="3"/>
      <c r="H757" s="27"/>
      <c r="I757" s="60"/>
      <c r="J757" s="61"/>
      <c r="K757" s="30"/>
      <c r="L757" s="30"/>
      <c r="M757" s="30"/>
      <c r="N757" s="30"/>
      <c r="O757" s="31"/>
      <c r="P757" s="30"/>
      <c r="Q757" s="62"/>
      <c r="R757" s="62"/>
      <c r="S757" s="62"/>
      <c r="T757" s="62"/>
      <c r="U757" s="62"/>
      <c r="V757" s="63"/>
      <c r="W757" s="42"/>
      <c r="X757" s="63"/>
      <c r="Y757" s="65"/>
      <c r="Z757" s="42"/>
      <c r="AA757" s="42"/>
      <c r="AB757" s="42"/>
      <c r="AC757" s="42"/>
      <c r="AD757" s="65"/>
      <c r="AE757" s="42"/>
      <c r="AF757" s="42"/>
      <c r="AG757" s="42"/>
      <c r="AH757" s="42"/>
      <c r="AI757" s="65"/>
      <c r="AJ757" s="42"/>
      <c r="AK757" s="42"/>
      <c r="AL757" s="42"/>
      <c r="AM757" s="42"/>
      <c r="AN757" s="65"/>
      <c r="AO757" s="42"/>
      <c r="AP757" s="42"/>
      <c r="AQ757" s="42"/>
      <c r="AR757" s="42"/>
      <c r="AS757" s="65"/>
      <c r="AT757" s="42"/>
    </row>
    <row r="758" spans="1:46" x14ac:dyDescent="0.25">
      <c r="A758" s="3"/>
      <c r="B758" s="58"/>
      <c r="C758" s="59"/>
      <c r="D758" s="3"/>
      <c r="E758" s="3"/>
      <c r="F758" s="3"/>
      <c r="G758" s="3"/>
      <c r="H758" s="27"/>
      <c r="I758" s="60"/>
      <c r="J758" s="61"/>
      <c r="K758" s="30"/>
      <c r="L758" s="30"/>
      <c r="M758" s="30"/>
      <c r="N758" s="30"/>
      <c r="O758" s="31"/>
      <c r="P758" s="30"/>
      <c r="Q758" s="62"/>
      <c r="R758" s="62"/>
      <c r="S758" s="62"/>
      <c r="T758" s="62"/>
      <c r="U758" s="62"/>
      <c r="V758" s="63"/>
      <c r="W758" s="42"/>
      <c r="X758" s="63"/>
      <c r="Y758" s="65"/>
      <c r="Z758" s="42"/>
      <c r="AA758" s="42"/>
      <c r="AB758" s="42"/>
      <c r="AC758" s="42"/>
      <c r="AD758" s="65"/>
      <c r="AE758" s="42"/>
      <c r="AF758" s="42"/>
      <c r="AG758" s="42"/>
      <c r="AH758" s="42"/>
      <c r="AI758" s="65"/>
      <c r="AJ758" s="42"/>
      <c r="AK758" s="42"/>
      <c r="AL758" s="42"/>
      <c r="AM758" s="42"/>
      <c r="AN758" s="65"/>
      <c r="AO758" s="42"/>
      <c r="AP758" s="42"/>
      <c r="AQ758" s="42"/>
      <c r="AR758" s="42"/>
      <c r="AS758" s="65"/>
      <c r="AT758" s="42"/>
    </row>
    <row r="759" spans="1:46" x14ac:dyDescent="0.25">
      <c r="A759" s="3"/>
      <c r="B759" s="58"/>
      <c r="C759" s="59"/>
      <c r="D759" s="3"/>
      <c r="E759" s="3"/>
      <c r="F759" s="3"/>
      <c r="G759" s="3"/>
      <c r="H759" s="27"/>
      <c r="I759" s="60"/>
      <c r="J759" s="61"/>
      <c r="K759" s="30"/>
      <c r="L759" s="30"/>
      <c r="M759" s="30"/>
      <c r="N759" s="30"/>
      <c r="O759" s="31"/>
      <c r="P759" s="30"/>
      <c r="Q759" s="62"/>
      <c r="R759" s="62"/>
      <c r="S759" s="62"/>
      <c r="T759" s="62"/>
      <c r="U759" s="62"/>
      <c r="V759" s="63"/>
      <c r="W759" s="42"/>
      <c r="X759" s="63"/>
      <c r="Y759" s="65"/>
      <c r="Z759" s="42"/>
      <c r="AA759" s="42"/>
      <c r="AB759" s="42"/>
      <c r="AC759" s="42"/>
      <c r="AD759" s="65"/>
      <c r="AE759" s="42"/>
      <c r="AF759" s="42"/>
      <c r="AG759" s="42"/>
      <c r="AH759" s="42"/>
      <c r="AI759" s="65"/>
      <c r="AJ759" s="42"/>
      <c r="AK759" s="42"/>
      <c r="AL759" s="42"/>
      <c r="AM759" s="42"/>
      <c r="AN759" s="65"/>
      <c r="AO759" s="42"/>
      <c r="AP759" s="42"/>
      <c r="AQ759" s="42"/>
      <c r="AR759" s="42"/>
      <c r="AS759" s="65"/>
      <c r="AT759" s="42"/>
    </row>
  </sheetData>
  <sheetProtection algorithmName="SHA-512" hashValue="p9MnvG02A530Q1pWXSeAFp25h/vfg/A+3T+7T2hSnvlXKSkkk1K7unOQjBeZehhThL7F9r/5pdmnNA/0lC4Ktw==" saltValue="wXFlcImFQHvNbV8RXppzvQ==" spinCount="100000" sheet="1" objects="1" scenarios="1"/>
  <phoneticPr fontId="6" type="noConversion"/>
  <hyperlinks>
    <hyperlink ref="H1:I1" location="Instructions!A1" display="Return to Menu"/>
  </hyperlinks>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11265" r:id="rId4" name="CommandButton1">
          <controlPr defaultSize="0" autoLine="0" r:id="rId5">
            <anchor moveWithCells="1">
              <from>
                <xdr:col>3</xdr:col>
                <xdr:colOff>541020</xdr:colOff>
                <xdr:row>3</xdr:row>
                <xdr:rowOff>114300</xdr:rowOff>
              </from>
              <to>
                <xdr:col>5</xdr:col>
                <xdr:colOff>350520</xdr:colOff>
                <xdr:row>5</xdr:row>
                <xdr:rowOff>38100</xdr:rowOff>
              </to>
            </anchor>
          </controlPr>
        </control>
      </mc:Choice>
      <mc:Fallback>
        <control shapeId="11265" r:id="rId4" name="CommandButton1"/>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2" tint="-0.249977111117893"/>
  </sheetPr>
  <dimension ref="A1:AA62"/>
  <sheetViews>
    <sheetView workbookViewId="0">
      <selection activeCell="Q31" sqref="Q31"/>
    </sheetView>
  </sheetViews>
  <sheetFormatPr defaultRowHeight="13.2" x14ac:dyDescent="0.25"/>
  <cols>
    <col min="1" max="1" width="12" customWidth="1"/>
    <col min="2" max="2" width="11.33203125" customWidth="1"/>
    <col min="10" max="12" width="8.6640625" customWidth="1"/>
    <col min="13" max="13" width="9.44140625" customWidth="1"/>
    <col min="14" max="14" width="9.33203125" customWidth="1"/>
  </cols>
  <sheetData>
    <row r="1" spans="1:27" ht="22.8" x14ac:dyDescent="0.4">
      <c r="A1" s="56" t="s">
        <v>1061</v>
      </c>
      <c r="B1" s="56"/>
      <c r="C1" s="56"/>
      <c r="D1" s="56"/>
      <c r="E1" s="56"/>
      <c r="F1" s="56"/>
      <c r="G1" s="212"/>
      <c r="H1" s="528"/>
      <c r="AA1" s="354" t="s">
        <v>888</v>
      </c>
    </row>
    <row r="2" spans="1:27" x14ac:dyDescent="0.25">
      <c r="AA2">
        <v>2</v>
      </c>
    </row>
    <row r="3" spans="1:27" x14ac:dyDescent="0.25">
      <c r="A3" s="488" t="s">
        <v>271</v>
      </c>
      <c r="B3" s="488" t="str">
        <f>Weather_Site!D2</f>
        <v>Nicholson Street Melbourne</v>
      </c>
      <c r="C3" s="488"/>
      <c r="D3" s="488"/>
      <c r="E3" s="488"/>
      <c r="AA3">
        <v>3</v>
      </c>
    </row>
    <row r="4" spans="1:27" x14ac:dyDescent="0.25">
      <c r="A4" s="89"/>
      <c r="B4" s="89"/>
      <c r="C4" s="89"/>
      <c r="D4" s="89"/>
      <c r="E4" s="89"/>
      <c r="AA4">
        <v>4</v>
      </c>
    </row>
    <row r="5" spans="1:27" ht="15.75" customHeight="1" x14ac:dyDescent="0.25">
      <c r="A5" s="199" t="s">
        <v>833</v>
      </c>
      <c r="B5" s="200"/>
      <c r="C5" s="200"/>
      <c r="D5" s="201"/>
      <c r="E5" s="548">
        <v>40</v>
      </c>
      <c r="F5" s="532" t="s">
        <v>1076</v>
      </c>
      <c r="AA5">
        <v>5</v>
      </c>
    </row>
    <row r="6" spans="1:27" ht="15.75" customHeight="1" x14ac:dyDescent="0.25">
      <c r="A6" s="199" t="s">
        <v>832</v>
      </c>
      <c r="B6" s="200"/>
      <c r="C6" s="200"/>
      <c r="D6" s="201"/>
      <c r="E6" s="548">
        <v>15</v>
      </c>
      <c r="F6" s="532" t="s">
        <v>1078</v>
      </c>
      <c r="O6" s="29" t="s">
        <v>835</v>
      </c>
      <c r="P6" s="199" t="s">
        <v>836</v>
      </c>
      <c r="Q6" s="492" t="s">
        <v>1079</v>
      </c>
    </row>
    <row r="7" spans="1:27" ht="15.75" customHeight="1" x14ac:dyDescent="0.25">
      <c r="A7" s="199" t="s">
        <v>834</v>
      </c>
      <c r="B7" s="200"/>
      <c r="C7" s="200"/>
      <c r="D7" s="201"/>
      <c r="E7" s="548">
        <v>5</v>
      </c>
      <c r="F7" s="532" t="s">
        <v>1077</v>
      </c>
      <c r="I7" s="520" t="s">
        <v>1080</v>
      </c>
      <c r="J7" s="200"/>
      <c r="K7" s="200"/>
      <c r="L7" s="200"/>
      <c r="M7" s="200"/>
      <c r="N7" s="5"/>
      <c r="O7" s="548">
        <v>12</v>
      </c>
      <c r="P7" s="666">
        <f>2.7744*LN(O7)-0.7471</f>
        <v>6.1470250091718288</v>
      </c>
      <c r="Q7" s="667">
        <f>10.113*LN(O7)+21.347</f>
        <v>46.476860949306044</v>
      </c>
    </row>
    <row r="10" spans="1:27" ht="39.6" x14ac:dyDescent="0.25">
      <c r="A10" s="496" t="s">
        <v>840</v>
      </c>
      <c r="B10" s="492" t="s">
        <v>835</v>
      </c>
      <c r="C10" s="493" t="s">
        <v>844</v>
      </c>
      <c r="D10" s="493" t="s">
        <v>842</v>
      </c>
      <c r="E10" s="493" t="s">
        <v>848</v>
      </c>
      <c r="F10" s="493" t="s">
        <v>843</v>
      </c>
      <c r="G10" s="494" t="s">
        <v>841</v>
      </c>
      <c r="H10" s="493" t="s">
        <v>845</v>
      </c>
      <c r="I10" s="493" t="s">
        <v>127</v>
      </c>
      <c r="J10" s="82"/>
      <c r="L10" s="535" t="s">
        <v>898</v>
      </c>
    </row>
    <row r="11" spans="1:27" ht="17.7" customHeight="1" x14ac:dyDescent="0.25">
      <c r="A11" s="497">
        <v>1</v>
      </c>
      <c r="B11" s="495" t="s">
        <v>846</v>
      </c>
      <c r="C11" s="495" t="s">
        <v>847</v>
      </c>
      <c r="D11" s="312">
        <v>0</v>
      </c>
      <c r="E11" s="495" t="s">
        <v>849</v>
      </c>
      <c r="F11" s="495" t="s">
        <v>850</v>
      </c>
      <c r="G11" s="495" t="s">
        <v>851</v>
      </c>
      <c r="H11" s="495" t="s">
        <v>852</v>
      </c>
      <c r="I11" s="495" t="s">
        <v>853</v>
      </c>
      <c r="L11" s="536" t="s">
        <v>899</v>
      </c>
      <c r="M11" s="537" t="s">
        <v>900</v>
      </c>
      <c r="N11" s="200"/>
      <c r="O11" s="200"/>
      <c r="P11" s="201"/>
    </row>
    <row r="12" spans="1:27" ht="17.7" customHeight="1" x14ac:dyDescent="0.25">
      <c r="A12" s="497">
        <v>2</v>
      </c>
      <c r="B12" s="495" t="s">
        <v>861</v>
      </c>
      <c r="C12" s="495" t="s">
        <v>854</v>
      </c>
      <c r="D12" s="495" t="s">
        <v>855</v>
      </c>
      <c r="E12" s="495" t="s">
        <v>856</v>
      </c>
      <c r="F12" s="495" t="s">
        <v>857</v>
      </c>
      <c r="G12" s="495" t="s">
        <v>858</v>
      </c>
      <c r="H12" s="495" t="s">
        <v>859</v>
      </c>
      <c r="I12" s="495" t="s">
        <v>860</v>
      </c>
      <c r="L12" s="495" t="s">
        <v>901</v>
      </c>
      <c r="M12" s="537" t="s">
        <v>902</v>
      </c>
      <c r="N12" s="200"/>
      <c r="O12" s="200"/>
      <c r="P12" s="201"/>
      <c r="Q12" s="308"/>
    </row>
    <row r="13" spans="1:27" ht="17.7" customHeight="1" x14ac:dyDescent="0.25">
      <c r="A13" s="497">
        <v>3</v>
      </c>
      <c r="B13" s="495" t="s">
        <v>862</v>
      </c>
      <c r="C13" s="495" t="s">
        <v>863</v>
      </c>
      <c r="D13" s="495" t="s">
        <v>856</v>
      </c>
      <c r="E13" s="495" t="s">
        <v>864</v>
      </c>
      <c r="F13" s="495" t="s">
        <v>865</v>
      </c>
      <c r="G13" s="495" t="s">
        <v>865</v>
      </c>
      <c r="H13" s="495" t="s">
        <v>866</v>
      </c>
      <c r="I13" s="495" t="s">
        <v>867</v>
      </c>
      <c r="L13" s="495" t="s">
        <v>903</v>
      </c>
      <c r="M13" s="538" t="s">
        <v>904</v>
      </c>
      <c r="N13" s="200"/>
      <c r="O13" s="200"/>
      <c r="P13" s="201"/>
      <c r="Q13" s="308"/>
    </row>
    <row r="14" spans="1:27" ht="17.7" customHeight="1" x14ac:dyDescent="0.25">
      <c r="A14" s="497">
        <v>4</v>
      </c>
      <c r="B14" s="495" t="s">
        <v>868</v>
      </c>
      <c r="C14" s="495" t="s">
        <v>857</v>
      </c>
      <c r="D14" s="495" t="s">
        <v>869</v>
      </c>
      <c r="E14" s="495" t="s">
        <v>870</v>
      </c>
      <c r="F14" s="495" t="s">
        <v>858</v>
      </c>
      <c r="G14" s="495" t="s">
        <v>857</v>
      </c>
      <c r="H14" s="495" t="s">
        <v>871</v>
      </c>
      <c r="I14" s="495" t="s">
        <v>872</v>
      </c>
      <c r="L14" s="495" t="s">
        <v>905</v>
      </c>
      <c r="M14" s="539" t="s">
        <v>906</v>
      </c>
      <c r="N14" s="200"/>
      <c r="O14" s="200"/>
      <c r="P14" s="201"/>
      <c r="Q14" s="308"/>
    </row>
    <row r="15" spans="1:27" ht="17.7" customHeight="1" x14ac:dyDescent="0.25">
      <c r="A15" s="497">
        <v>5</v>
      </c>
      <c r="B15" s="495" t="s">
        <v>873</v>
      </c>
      <c r="C15" s="495" t="s">
        <v>854</v>
      </c>
      <c r="D15" s="495" t="s">
        <v>854</v>
      </c>
      <c r="E15" s="495" t="s">
        <v>855</v>
      </c>
      <c r="F15" s="495" t="s">
        <v>874</v>
      </c>
      <c r="G15" s="495" t="s">
        <v>854</v>
      </c>
      <c r="H15" s="495" t="s">
        <v>863</v>
      </c>
      <c r="I15" s="495" t="s">
        <v>875</v>
      </c>
      <c r="L15" s="495" t="s">
        <v>692</v>
      </c>
      <c r="M15" s="538" t="s">
        <v>907</v>
      </c>
      <c r="N15" s="200"/>
      <c r="O15" s="200"/>
      <c r="P15" s="201"/>
      <c r="Q15" s="308"/>
    </row>
    <row r="16" spans="1:27" ht="18" customHeight="1" x14ac:dyDescent="0.25">
      <c r="A16" s="491"/>
      <c r="B16" s="491"/>
      <c r="C16" s="491"/>
      <c r="D16" s="491"/>
      <c r="E16" s="491"/>
      <c r="F16" s="491"/>
      <c r="G16" s="491"/>
      <c r="H16" s="491"/>
      <c r="I16" s="308"/>
      <c r="L16" s="495" t="s">
        <v>908</v>
      </c>
      <c r="M16" s="540" t="s">
        <v>909</v>
      </c>
      <c r="N16" s="200"/>
      <c r="O16" s="200"/>
      <c r="P16" s="201"/>
    </row>
    <row r="17" spans="1:21" ht="14.25" customHeight="1" x14ac:dyDescent="0.25">
      <c r="A17" s="354" t="s">
        <v>876</v>
      </c>
      <c r="B17" s="82"/>
      <c r="C17" s="82"/>
      <c r="D17" s="2"/>
      <c r="E17" s="2"/>
      <c r="F17" s="2"/>
      <c r="G17" s="491"/>
      <c r="H17" s="491"/>
      <c r="I17" s="308"/>
      <c r="L17" s="2"/>
      <c r="M17" s="534"/>
    </row>
    <row r="18" spans="1:21" ht="14.25" customHeight="1" x14ac:dyDescent="0.25">
      <c r="A18" s="498" t="s">
        <v>838</v>
      </c>
      <c r="B18" s="499" t="s">
        <v>879</v>
      </c>
      <c r="C18" s="307"/>
      <c r="D18" s="500"/>
      <c r="E18" s="500"/>
      <c r="F18" s="501"/>
      <c r="G18" s="491"/>
      <c r="H18" s="491"/>
      <c r="I18" s="308"/>
      <c r="M18" s="534"/>
      <c r="P18" s="662" t="s">
        <v>1063</v>
      </c>
      <c r="Q18" s="663"/>
      <c r="R18" s="664"/>
      <c r="S18" s="665" t="s">
        <v>1065</v>
      </c>
      <c r="T18" s="665" t="s">
        <v>1066</v>
      </c>
      <c r="U18" s="656"/>
    </row>
    <row r="19" spans="1:21" ht="14.25" customHeight="1" x14ac:dyDescent="0.25">
      <c r="A19" s="502" t="s">
        <v>877</v>
      </c>
      <c r="B19" s="503" t="s">
        <v>878</v>
      </c>
      <c r="C19" s="504"/>
      <c r="D19" s="504"/>
      <c r="E19" s="504"/>
      <c r="F19" s="505"/>
      <c r="G19" s="2"/>
      <c r="H19" s="2"/>
      <c r="P19" s="658" t="s">
        <v>1064</v>
      </c>
      <c r="Q19" s="659"/>
      <c r="R19" s="660"/>
      <c r="S19" s="657">
        <v>0</v>
      </c>
      <c r="T19" s="657">
        <v>36</v>
      </c>
      <c r="U19" s="656" t="s">
        <v>1067</v>
      </c>
    </row>
    <row r="20" spans="1:21" ht="14.25" customHeight="1" x14ac:dyDescent="0.25">
      <c r="A20" s="506" t="s">
        <v>868</v>
      </c>
      <c r="B20" s="507" t="s">
        <v>880</v>
      </c>
      <c r="C20" s="508"/>
      <c r="D20" s="508"/>
      <c r="E20" s="508"/>
      <c r="F20" s="509"/>
      <c r="G20" s="2"/>
      <c r="H20" s="2"/>
      <c r="P20" s="658" t="s">
        <v>1070</v>
      </c>
      <c r="Q20" s="659"/>
      <c r="R20" s="660"/>
      <c r="S20" s="657">
        <v>18</v>
      </c>
      <c r="T20" s="657">
        <v>50</v>
      </c>
      <c r="U20" s="656" t="s">
        <v>1071</v>
      </c>
    </row>
    <row r="21" spans="1:21" ht="14.25" customHeight="1" x14ac:dyDescent="0.25">
      <c r="A21" s="510" t="s">
        <v>881</v>
      </c>
      <c r="B21" s="511" t="s">
        <v>882</v>
      </c>
      <c r="C21" s="512"/>
      <c r="D21" s="512"/>
      <c r="E21" s="512"/>
      <c r="F21" s="513"/>
      <c r="G21" s="2"/>
      <c r="H21" s="2"/>
      <c r="P21" s="661" t="s">
        <v>19</v>
      </c>
      <c r="Q21" s="659"/>
      <c r="R21" s="660"/>
      <c r="S21" s="657">
        <v>5</v>
      </c>
      <c r="T21" s="657">
        <v>50</v>
      </c>
      <c r="U21" s="656" t="s">
        <v>1068</v>
      </c>
    </row>
    <row r="22" spans="1:21" ht="14.25" customHeight="1" x14ac:dyDescent="0.25">
      <c r="A22" s="514" t="s">
        <v>883</v>
      </c>
      <c r="B22" s="515" t="s">
        <v>884</v>
      </c>
      <c r="C22" s="516"/>
      <c r="D22" s="516"/>
      <c r="E22" s="516"/>
      <c r="F22" s="517"/>
      <c r="G22" s="2"/>
      <c r="H22" s="2"/>
      <c r="P22" s="661" t="s">
        <v>129</v>
      </c>
      <c r="Q22" s="659"/>
      <c r="R22" s="660"/>
      <c r="S22" s="657">
        <v>12</v>
      </c>
      <c r="T22" s="657">
        <v>32</v>
      </c>
      <c r="U22" s="656" t="s">
        <v>1068</v>
      </c>
    </row>
    <row r="23" spans="1:21" ht="14.25" customHeight="1" x14ac:dyDescent="0.25">
      <c r="P23" s="661" t="s">
        <v>127</v>
      </c>
      <c r="Q23" s="659"/>
      <c r="R23" s="660"/>
      <c r="S23" s="657">
        <v>1.1000000000000001</v>
      </c>
      <c r="T23" s="657">
        <v>17.7</v>
      </c>
      <c r="U23" s="656" t="s">
        <v>1069</v>
      </c>
    </row>
    <row r="24" spans="1:21" ht="14.25" customHeight="1" x14ac:dyDescent="0.25">
      <c r="A24" s="521" t="s">
        <v>837</v>
      </c>
      <c r="B24" s="522"/>
      <c r="C24" s="522"/>
      <c r="D24" s="522"/>
      <c r="E24" s="523"/>
      <c r="F24" s="29" t="s">
        <v>839</v>
      </c>
      <c r="G24" s="29" t="s">
        <v>838</v>
      </c>
      <c r="H24" s="354" t="s">
        <v>892</v>
      </c>
      <c r="P24" s="658" t="s">
        <v>125</v>
      </c>
      <c r="Q24" s="659"/>
      <c r="R24" s="660"/>
      <c r="S24" s="657">
        <v>5</v>
      </c>
      <c r="T24" s="657">
        <v>84</v>
      </c>
      <c r="U24" s="656" t="s">
        <v>1068</v>
      </c>
    </row>
    <row r="25" spans="1:21" ht="14.25" customHeight="1" x14ac:dyDescent="0.3">
      <c r="A25" s="524" t="s">
        <v>889</v>
      </c>
      <c r="B25" s="525"/>
      <c r="C25" s="525"/>
      <c r="D25" s="525"/>
      <c r="E25" s="526"/>
      <c r="F25" s="548">
        <v>0.2</v>
      </c>
      <c r="G25" s="490">
        <f>40*F25+13</f>
        <v>21</v>
      </c>
      <c r="H25" s="354" t="s">
        <v>890</v>
      </c>
      <c r="J25" s="527" t="s">
        <v>891</v>
      </c>
      <c r="P25" s="658" t="s">
        <v>1072</v>
      </c>
      <c r="Q25" s="659"/>
      <c r="R25" s="660"/>
      <c r="S25" s="657">
        <v>11</v>
      </c>
      <c r="T25" s="657">
        <v>56</v>
      </c>
      <c r="U25" s="656" t="s">
        <v>1073</v>
      </c>
    </row>
    <row r="26" spans="1:21" ht="14.25" customHeight="1" x14ac:dyDescent="0.25">
      <c r="P26" s="658" t="s">
        <v>90</v>
      </c>
      <c r="Q26" s="659"/>
      <c r="R26" s="660"/>
      <c r="S26" s="657" t="s">
        <v>1075</v>
      </c>
      <c r="T26" s="657">
        <v>5526</v>
      </c>
      <c r="U26" s="656" t="s">
        <v>792</v>
      </c>
    </row>
    <row r="27" spans="1:21" ht="14.25" customHeight="1" x14ac:dyDescent="0.25">
      <c r="A27" s="354" t="s">
        <v>885</v>
      </c>
      <c r="P27" s="658" t="s">
        <v>212</v>
      </c>
      <c r="Q27" s="659"/>
      <c r="R27" s="660"/>
      <c r="S27" s="657" t="s">
        <v>1074</v>
      </c>
      <c r="T27" s="657">
        <v>6.2</v>
      </c>
      <c r="U27" s="656" t="s">
        <v>792</v>
      </c>
    </row>
    <row r="28" spans="1:21" ht="14.25" customHeight="1" x14ac:dyDescent="0.25">
      <c r="A28" s="520" t="s">
        <v>840</v>
      </c>
      <c r="B28" s="201"/>
      <c r="C28" s="548">
        <v>3</v>
      </c>
      <c r="P28" s="654"/>
      <c r="Q28" s="654"/>
      <c r="R28" s="654"/>
      <c r="S28" s="655"/>
      <c r="T28" s="655"/>
      <c r="U28" s="654"/>
    </row>
    <row r="29" spans="1:21" ht="14.25" customHeight="1" x14ac:dyDescent="0.25">
      <c r="A29" s="518" t="s">
        <v>886</v>
      </c>
      <c r="B29" s="201"/>
      <c r="C29" s="548">
        <v>14</v>
      </c>
      <c r="P29" s="654"/>
      <c r="Q29" s="654"/>
      <c r="R29" s="654"/>
      <c r="S29" s="654"/>
      <c r="T29" s="654"/>
      <c r="U29" s="654"/>
    </row>
    <row r="30" spans="1:21" ht="14.25" customHeight="1" x14ac:dyDescent="0.25">
      <c r="A30" s="519" t="s">
        <v>19</v>
      </c>
      <c r="B30" s="201"/>
      <c r="C30" s="548">
        <v>25</v>
      </c>
      <c r="P30" s="654"/>
      <c r="Q30" s="654"/>
      <c r="R30" s="654"/>
      <c r="S30" s="654"/>
      <c r="T30" s="654"/>
      <c r="U30" s="654"/>
    </row>
    <row r="31" spans="1:21" ht="14.25" customHeight="1" x14ac:dyDescent="0.25">
      <c r="A31" s="519" t="s">
        <v>887</v>
      </c>
      <c r="B31" s="201"/>
      <c r="C31" s="489">
        <f>IF(C28=2,MAX(IF(C28=2,C29,(C29-(1/(0.03*C30))*(1))),12),IF(C28=3,MAX(IF(C28=2,C29,(C29-(1/(0.03*C30))*(C28-1.5))),11),IF(C28=4,MAX(IF(C28=2,C29,(C29-(1/(0.03*C30))*(C28-1.5))),10),IF(C28=5,MAX(IF(C28=2,C29,(C29-(1/(0.03*C30))*(C28-1.5))),9)))))</f>
        <v>12</v>
      </c>
    </row>
    <row r="32" spans="1:21" ht="14.25" customHeight="1" x14ac:dyDescent="0.25"/>
    <row r="34" spans="1:15" ht="66" x14ac:dyDescent="0.25">
      <c r="A34" s="26" t="s">
        <v>28</v>
      </c>
      <c r="B34" s="26" t="s">
        <v>32</v>
      </c>
      <c r="C34" s="26" t="s">
        <v>27</v>
      </c>
      <c r="D34" s="26" t="s">
        <v>18</v>
      </c>
      <c r="E34" s="26" t="s">
        <v>19</v>
      </c>
      <c r="F34" s="26" t="s">
        <v>24</v>
      </c>
      <c r="G34" s="26" t="s">
        <v>20</v>
      </c>
      <c r="H34" s="57" t="s">
        <v>113</v>
      </c>
      <c r="I34" s="26" t="s">
        <v>894</v>
      </c>
      <c r="J34" s="387" t="s">
        <v>721</v>
      </c>
      <c r="K34" s="386" t="s">
        <v>893</v>
      </c>
      <c r="L34" s="386" t="s">
        <v>1062</v>
      </c>
      <c r="M34" s="388" t="s">
        <v>895</v>
      </c>
      <c r="N34" s="388" t="s">
        <v>896</v>
      </c>
      <c r="O34" s="388" t="s">
        <v>897</v>
      </c>
    </row>
    <row r="35" spans="1:15" x14ac:dyDescent="0.25">
      <c r="A35" s="529" t="str">
        <f>Weather_Site!A12</f>
        <v>Sun</v>
      </c>
      <c r="B35" s="530">
        <f>Weather_Site!B12</f>
        <v>44549</v>
      </c>
      <c r="C35" s="531">
        <f>Weather_Site!C12</f>
        <v>0.16666666666666666</v>
      </c>
      <c r="D35" s="529">
        <f>Weather_Site!D12</f>
        <v>23.9</v>
      </c>
      <c r="E35" s="529">
        <f>Weather_Site!E12</f>
        <v>24.2</v>
      </c>
      <c r="F35" s="529">
        <f>Weather_Site!F12</f>
        <v>36</v>
      </c>
      <c r="G35" s="529">
        <f>Weather_Site!G12</f>
        <v>16</v>
      </c>
      <c r="H35" s="27">
        <f>IF(Weather_Site!M12&lt;180,Weather_Site!M12+180,Weather_Site!M12-180)</f>
        <v>216</v>
      </c>
      <c r="I35" s="33">
        <f>G35/1.35</f>
        <v>11.851851851851851</v>
      </c>
      <c r="J35" s="548"/>
      <c r="K35" s="32">
        <f>IF(J35&gt;0,(0.412*J35+0.311*$E$5-0.676*$E$6-4.073),(0.412*I35+0.311*$E$5-0.676*$E$6-4.073))</f>
        <v>3.1099629629629604</v>
      </c>
      <c r="L35" s="32">
        <f>IF(K35&gt;0,(1/(1+EXP(-K35))),0)</f>
        <v>0.9573018419174979</v>
      </c>
      <c r="M35" s="533">
        <f>MAX((IF(L35&gt;0.5,IF(J35&gt;0,(40.982*(J35^1.399*$E$5^1.201)/$E$6^1.699),(40.982*(I35^1.399*$E$5^1.201)/$E$6^1.699)),0)),0)</f>
        <v>1098.2850274328032</v>
      </c>
      <c r="N35" s="32">
        <f>IF(M35&gt;0,((0.097*M35^0.424)+0.102*$E$7),0)</f>
        <v>2.3981431658791421</v>
      </c>
      <c r="O35" s="402">
        <f>M35/1000*$E$7*516.7</f>
        <v>2837.4193683726471</v>
      </c>
    </row>
    <row r="36" spans="1:15" x14ac:dyDescent="0.25">
      <c r="A36" s="529" t="str">
        <f>Weather_Site!A13</f>
        <v>Sun</v>
      </c>
      <c r="B36" s="530">
        <f>Weather_Site!B13</f>
        <v>44549</v>
      </c>
      <c r="C36" s="531">
        <f>Weather_Site!C13</f>
        <v>0.20833333333333334</v>
      </c>
      <c r="D36" s="529">
        <f>Weather_Site!D13</f>
        <v>23.6</v>
      </c>
      <c r="E36" s="529">
        <f>Weather_Site!E13</f>
        <v>24.4</v>
      </c>
      <c r="F36" s="529">
        <f>Weather_Site!F13</f>
        <v>312</v>
      </c>
      <c r="G36" s="529">
        <f>Weather_Site!G13</f>
        <v>13</v>
      </c>
      <c r="H36" s="27">
        <f>IF(Weather_Site!M13&lt;180,Weather_Site!M13+180,Weather_Site!M13-180)</f>
        <v>132</v>
      </c>
      <c r="I36" s="33">
        <f t="shared" ref="I36:I40" si="0">G36/1.35</f>
        <v>9.6296296296296298</v>
      </c>
      <c r="J36" s="548"/>
      <c r="K36" s="32">
        <f t="shared" ref="K36:K40" si="1">IF(J36&gt;0,(0.412*J36+0.311*$E$5-0.676*$E$6-4.073),(0.412*I36+0.311*$E$5-0.676*$E$6-4.073))</f>
        <v>2.1944074074074038</v>
      </c>
      <c r="L36" s="32">
        <f t="shared" ref="L36:L40" si="2">IF(K36&gt;0,(1/(1+EXP(-K36))),0)</f>
        <v>0.89974616884007863</v>
      </c>
      <c r="M36" s="533">
        <f t="shared" ref="M36:M40" si="3">MAX((IF(L36&gt;0.5,IF(J36&gt;0,(40.982*(J36^1.399*$E$5^1.201)/$E$6^1.699),(40.982*(I36^1.399*$E$5^1.201)/$E$6^1.699)),0)),0)</f>
        <v>821.40616328387352</v>
      </c>
      <c r="N36" s="32">
        <f t="shared" ref="N36:N40" si="4">IF(M36&gt;0,((0.097*M36^0.424)+0.102*$E$7),0)</f>
        <v>2.1793381097404616</v>
      </c>
      <c r="O36" s="402">
        <f t="shared" ref="O36:O40" si="5">M36/1000*$E$7*516.7</f>
        <v>2122.1028228438872</v>
      </c>
    </row>
    <row r="37" spans="1:15" x14ac:dyDescent="0.25">
      <c r="A37" s="529" t="str">
        <f>Weather_Site!A14</f>
        <v>Sun</v>
      </c>
      <c r="B37" s="530">
        <f>Weather_Site!B14</f>
        <v>44549</v>
      </c>
      <c r="C37" s="531">
        <f>Weather_Site!C14</f>
        <v>0.25</v>
      </c>
      <c r="D37" s="529">
        <f>Weather_Site!D14</f>
        <v>22.7</v>
      </c>
      <c r="E37" s="529">
        <f>Weather_Site!E14</f>
        <v>27.3</v>
      </c>
      <c r="F37" s="529">
        <f>Weather_Site!F14</f>
        <v>336</v>
      </c>
      <c r="G37" s="529">
        <f>Weather_Site!G14</f>
        <v>16</v>
      </c>
      <c r="H37" s="27">
        <f>IF(Weather_Site!M14&lt;180,Weather_Site!M14+180,Weather_Site!M14-180)</f>
        <v>156</v>
      </c>
      <c r="I37" s="33">
        <f t="shared" si="0"/>
        <v>11.851851851851851</v>
      </c>
      <c r="J37" s="548"/>
      <c r="K37" s="32">
        <f t="shared" si="1"/>
        <v>3.1099629629629604</v>
      </c>
      <c r="L37" s="32">
        <f t="shared" si="2"/>
        <v>0.9573018419174979</v>
      </c>
      <c r="M37" s="533">
        <f t="shared" si="3"/>
        <v>1098.2850274328032</v>
      </c>
      <c r="N37" s="32">
        <f t="shared" si="4"/>
        <v>2.3981431658791421</v>
      </c>
      <c r="O37" s="402">
        <f t="shared" si="5"/>
        <v>2837.4193683726471</v>
      </c>
    </row>
    <row r="38" spans="1:15" x14ac:dyDescent="0.25">
      <c r="A38" s="529" t="str">
        <f>Weather_Site!A15</f>
        <v>Sun</v>
      </c>
      <c r="B38" s="530">
        <f>Weather_Site!B15</f>
        <v>44549</v>
      </c>
      <c r="C38" s="531">
        <f>Weather_Site!C15</f>
        <v>0.29166666666666669</v>
      </c>
      <c r="D38" s="529">
        <f>Weather_Site!D15</f>
        <v>23</v>
      </c>
      <c r="E38" s="529">
        <f>Weather_Site!E15</f>
        <v>28.2</v>
      </c>
      <c r="F38" s="529">
        <f>Weather_Site!F15</f>
        <v>2</v>
      </c>
      <c r="G38" s="529">
        <f>Weather_Site!G15</f>
        <v>25</v>
      </c>
      <c r="H38" s="27">
        <f>IF(Weather_Site!M15&lt;180,Weather_Site!M15+180,Weather_Site!M15-180)</f>
        <v>182</v>
      </c>
      <c r="I38" s="33">
        <f t="shared" si="0"/>
        <v>18.518518518518519</v>
      </c>
      <c r="J38" s="548"/>
      <c r="K38" s="32">
        <f t="shared" si="1"/>
        <v>5.8566296296296301</v>
      </c>
      <c r="L38" s="32">
        <f t="shared" si="2"/>
        <v>0.99714729158458515</v>
      </c>
      <c r="M38" s="533">
        <f t="shared" si="3"/>
        <v>2050.5448817394213</v>
      </c>
      <c r="N38" s="32">
        <f t="shared" si="4"/>
        <v>2.9703920142193212</v>
      </c>
      <c r="O38" s="402">
        <f t="shared" si="5"/>
        <v>5297.5827019737953</v>
      </c>
    </row>
    <row r="39" spans="1:15" x14ac:dyDescent="0.25">
      <c r="A39" s="529" t="str">
        <f>Weather_Site!A16</f>
        <v>Sun</v>
      </c>
      <c r="B39" s="530">
        <f>Weather_Site!B16</f>
        <v>44549</v>
      </c>
      <c r="C39" s="531">
        <f>Weather_Site!C16</f>
        <v>0.33333333333333331</v>
      </c>
      <c r="D39" s="529">
        <f>Weather_Site!D16</f>
        <v>25.3</v>
      </c>
      <c r="E39" s="529">
        <f>Weather_Site!E16</f>
        <v>26</v>
      </c>
      <c r="F39" s="529">
        <f>Weather_Site!F16</f>
        <v>0</v>
      </c>
      <c r="G39" s="529">
        <f>Weather_Site!G16</f>
        <v>32</v>
      </c>
      <c r="H39" s="27">
        <f>IF(Weather_Site!M16&lt;180,Weather_Site!M16+180,Weather_Site!M16-180)</f>
        <v>180</v>
      </c>
      <c r="I39" s="33">
        <f t="shared" si="0"/>
        <v>23.703703703703702</v>
      </c>
      <c r="J39" s="548"/>
      <c r="K39" s="32">
        <f t="shared" si="1"/>
        <v>7.992925925925924</v>
      </c>
      <c r="L39" s="32">
        <f t="shared" si="2"/>
        <v>0.99966226997120011</v>
      </c>
      <c r="M39" s="533">
        <f t="shared" si="3"/>
        <v>2896.3832481309346</v>
      </c>
      <c r="N39" s="32">
        <f t="shared" si="4"/>
        <v>3.3583849977546594</v>
      </c>
      <c r="O39" s="402">
        <f t="shared" si="5"/>
        <v>7482.8061215462703</v>
      </c>
    </row>
    <row r="40" spans="1:15" x14ac:dyDescent="0.25">
      <c r="A40" s="544" t="str">
        <f>Weather_Site!A17</f>
        <v>Sun</v>
      </c>
      <c r="B40" s="545">
        <f>Weather_Site!B17</f>
        <v>44549</v>
      </c>
      <c r="C40" s="546">
        <f>Weather_Site!C17</f>
        <v>0.375</v>
      </c>
      <c r="D40" s="544">
        <f>Weather_Site!D17</f>
        <v>27.7</v>
      </c>
      <c r="E40" s="544">
        <f>Weather_Site!E17</f>
        <v>28</v>
      </c>
      <c r="F40" s="544">
        <f>Weather_Site!F17</f>
        <v>328</v>
      </c>
      <c r="G40" s="544">
        <f>Weather_Site!G17</f>
        <v>27</v>
      </c>
      <c r="H40" s="547">
        <f>IF(Weather_Site!M17&lt;180,Weather_Site!M17+180,Weather_Site!M17-180)</f>
        <v>148</v>
      </c>
      <c r="I40" s="541">
        <f t="shared" si="0"/>
        <v>20</v>
      </c>
      <c r="J40" s="548"/>
      <c r="K40" s="481">
        <f t="shared" si="1"/>
        <v>6.4669999999999987</v>
      </c>
      <c r="L40" s="481">
        <f t="shared" si="2"/>
        <v>0.9984485304095515</v>
      </c>
      <c r="M40" s="542">
        <f t="shared" si="3"/>
        <v>2283.6477397159192</v>
      </c>
      <c r="N40" s="481">
        <f t="shared" si="4"/>
        <v>3.0853157170403014</v>
      </c>
      <c r="O40" s="543">
        <f t="shared" si="5"/>
        <v>5899.8039355560777</v>
      </c>
    </row>
    <row r="41" spans="1:15" x14ac:dyDescent="0.25">
      <c r="A41" s="544"/>
      <c r="B41" s="545"/>
      <c r="C41" s="546"/>
      <c r="D41" s="544"/>
      <c r="E41" s="544"/>
      <c r="F41" s="544"/>
      <c r="G41" s="544"/>
      <c r="H41" s="547"/>
      <c r="I41" s="541"/>
      <c r="J41" s="548"/>
      <c r="K41" s="481"/>
      <c r="L41" s="481"/>
      <c r="M41" s="542"/>
      <c r="N41" s="481"/>
      <c r="O41" s="543"/>
    </row>
    <row r="42" spans="1:15" x14ac:dyDescent="0.25">
      <c r="A42" s="544"/>
      <c r="B42" s="545"/>
      <c r="C42" s="546"/>
      <c r="D42" s="544"/>
      <c r="E42" s="544"/>
      <c r="F42" s="544"/>
      <c r="G42" s="544"/>
      <c r="H42" s="547"/>
      <c r="I42" s="541"/>
      <c r="J42" s="548"/>
      <c r="K42" s="481"/>
      <c r="L42" s="481"/>
      <c r="M42" s="542"/>
      <c r="N42" s="481"/>
      <c r="O42" s="543"/>
    </row>
    <row r="43" spans="1:15" x14ac:dyDescent="0.25">
      <c r="A43" s="544"/>
      <c r="B43" s="545"/>
      <c r="C43" s="546"/>
      <c r="D43" s="544"/>
      <c r="E43" s="544"/>
      <c r="F43" s="544"/>
      <c r="G43" s="544"/>
      <c r="H43" s="547"/>
      <c r="I43" s="541"/>
      <c r="J43" s="548"/>
      <c r="K43" s="481"/>
      <c r="L43" s="481"/>
      <c r="M43" s="542"/>
      <c r="N43" s="481"/>
      <c r="O43" s="543"/>
    </row>
    <row r="44" spans="1:15" x14ac:dyDescent="0.25">
      <c r="A44" s="544"/>
      <c r="B44" s="545"/>
      <c r="C44" s="546"/>
      <c r="D44" s="544"/>
      <c r="E44" s="544"/>
      <c r="F44" s="544"/>
      <c r="G44" s="544"/>
      <c r="H44" s="547"/>
      <c r="I44" s="541"/>
      <c r="J44" s="548"/>
      <c r="K44" s="481"/>
      <c r="L44" s="481"/>
      <c r="M44" s="542"/>
      <c r="N44" s="481"/>
      <c r="O44" s="543"/>
    </row>
    <row r="45" spans="1:15" x14ac:dyDescent="0.25">
      <c r="A45" s="529"/>
      <c r="B45" s="530"/>
      <c r="C45" s="531"/>
      <c r="D45" s="529"/>
      <c r="E45" s="529"/>
      <c r="F45" s="529"/>
      <c r="G45" s="529"/>
      <c r="H45" s="27"/>
      <c r="I45" s="33"/>
      <c r="J45" s="548"/>
      <c r="K45" s="32"/>
      <c r="L45" s="32"/>
      <c r="M45" s="533"/>
      <c r="N45" s="32"/>
      <c r="O45" s="402"/>
    </row>
    <row r="46" spans="1:15" x14ac:dyDescent="0.25">
      <c r="A46" s="529"/>
      <c r="B46" s="530"/>
      <c r="C46" s="531"/>
      <c r="D46" s="529"/>
      <c r="E46" s="529"/>
      <c r="F46" s="529"/>
      <c r="G46" s="529"/>
      <c r="H46" s="27"/>
      <c r="I46" s="33"/>
      <c r="J46" s="548"/>
      <c r="K46" s="32"/>
      <c r="L46" s="32"/>
      <c r="M46" s="533"/>
      <c r="N46" s="32"/>
      <c r="O46" s="402"/>
    </row>
    <row r="47" spans="1:15" x14ac:dyDescent="0.25">
      <c r="A47" s="529"/>
      <c r="B47" s="530"/>
      <c r="C47" s="531"/>
      <c r="D47" s="529"/>
      <c r="E47" s="529"/>
      <c r="F47" s="529"/>
      <c r="G47" s="529"/>
      <c r="H47" s="27"/>
      <c r="I47" s="33"/>
      <c r="J47" s="548"/>
      <c r="K47" s="32"/>
      <c r="L47" s="32"/>
      <c r="M47" s="533"/>
      <c r="N47" s="32"/>
      <c r="O47" s="402"/>
    </row>
    <row r="48" spans="1:15" x14ac:dyDescent="0.25">
      <c r="A48" s="529"/>
      <c r="B48" s="530"/>
      <c r="C48" s="531"/>
      <c r="D48" s="529"/>
      <c r="E48" s="529"/>
      <c r="F48" s="529"/>
      <c r="G48" s="529"/>
      <c r="H48" s="27"/>
      <c r="I48" s="33"/>
      <c r="J48" s="548"/>
      <c r="K48" s="32"/>
      <c r="L48" s="32"/>
      <c r="M48" s="533"/>
      <c r="N48" s="32"/>
      <c r="O48" s="402"/>
    </row>
    <row r="49" spans="1:15" x14ac:dyDescent="0.25">
      <c r="A49" s="529"/>
      <c r="B49" s="530"/>
      <c r="C49" s="531"/>
      <c r="D49" s="529"/>
      <c r="E49" s="529"/>
      <c r="F49" s="529"/>
      <c r="G49" s="529"/>
      <c r="H49" s="27"/>
      <c r="I49" s="33"/>
      <c r="J49" s="548"/>
      <c r="K49" s="32"/>
      <c r="L49" s="32"/>
      <c r="M49" s="533"/>
      <c r="N49" s="32"/>
      <c r="O49" s="402"/>
    </row>
    <row r="50" spans="1:15" x14ac:dyDescent="0.25">
      <c r="A50" s="544"/>
      <c r="B50" s="545"/>
      <c r="C50" s="546"/>
      <c r="D50" s="544"/>
      <c r="E50" s="544"/>
      <c r="F50" s="544"/>
      <c r="G50" s="544"/>
      <c r="H50" s="547"/>
      <c r="I50" s="541"/>
      <c r="J50" s="548"/>
      <c r="K50" s="481"/>
      <c r="L50" s="481"/>
      <c r="M50" s="542"/>
      <c r="N50" s="481"/>
      <c r="O50" s="543"/>
    </row>
    <row r="51" spans="1:15" x14ac:dyDescent="0.25">
      <c r="A51" s="544"/>
      <c r="B51" s="545"/>
      <c r="C51" s="546"/>
      <c r="D51" s="544"/>
      <c r="E51" s="544"/>
      <c r="F51" s="544"/>
      <c r="G51" s="544"/>
      <c r="H51" s="547"/>
      <c r="I51" s="541"/>
      <c r="J51" s="548"/>
      <c r="K51" s="481"/>
      <c r="L51" s="481"/>
      <c r="M51" s="542"/>
      <c r="N51" s="481"/>
      <c r="O51" s="543"/>
    </row>
    <row r="52" spans="1:15" x14ac:dyDescent="0.25">
      <c r="A52" s="544"/>
      <c r="B52" s="545"/>
      <c r="C52" s="546"/>
      <c r="D52" s="544"/>
      <c r="E52" s="544"/>
      <c r="F52" s="544"/>
      <c r="G52" s="544"/>
      <c r="H52" s="547"/>
      <c r="I52" s="541"/>
      <c r="J52" s="548"/>
      <c r="K52" s="481"/>
      <c r="L52" s="481"/>
      <c r="M52" s="542"/>
      <c r="N52" s="481"/>
      <c r="O52" s="543"/>
    </row>
    <row r="53" spans="1:15" x14ac:dyDescent="0.25">
      <c r="A53" s="544"/>
      <c r="B53" s="545"/>
      <c r="C53" s="546"/>
      <c r="D53" s="544"/>
      <c r="E53" s="544"/>
      <c r="F53" s="544"/>
      <c r="G53" s="544"/>
      <c r="H53" s="547"/>
      <c r="I53" s="541"/>
      <c r="J53" s="548"/>
      <c r="K53" s="481"/>
      <c r="L53" s="481"/>
      <c r="M53" s="542"/>
      <c r="N53" s="481"/>
      <c r="O53" s="543"/>
    </row>
    <row r="54" spans="1:15" x14ac:dyDescent="0.25">
      <c r="A54" s="544"/>
      <c r="B54" s="545"/>
      <c r="C54" s="546"/>
      <c r="D54" s="544"/>
      <c r="E54" s="544"/>
      <c r="F54" s="544"/>
      <c r="G54" s="544"/>
      <c r="H54" s="547"/>
      <c r="I54" s="541"/>
      <c r="J54" s="548"/>
      <c r="K54" s="481"/>
      <c r="L54" s="481"/>
      <c r="M54" s="542"/>
      <c r="N54" s="481"/>
      <c r="O54" s="543"/>
    </row>
    <row r="55" spans="1:15" x14ac:dyDescent="0.25">
      <c r="A55" s="529"/>
      <c r="B55" s="530"/>
      <c r="C55" s="531"/>
      <c r="D55" s="529"/>
      <c r="E55" s="529"/>
      <c r="F55" s="529"/>
      <c r="G55" s="529"/>
      <c r="H55" s="27"/>
      <c r="I55" s="33"/>
      <c r="J55" s="548"/>
      <c r="K55" s="32"/>
      <c r="L55" s="32"/>
      <c r="M55" s="533"/>
      <c r="N55" s="32"/>
      <c r="O55" s="402"/>
    </row>
    <row r="56" spans="1:15" x14ac:dyDescent="0.25">
      <c r="A56" s="529"/>
      <c r="B56" s="530"/>
      <c r="C56" s="531"/>
      <c r="D56" s="529"/>
      <c r="E56" s="529"/>
      <c r="F56" s="529"/>
      <c r="G56" s="529"/>
      <c r="H56" s="27"/>
      <c r="I56" s="33"/>
      <c r="J56" s="548"/>
      <c r="K56" s="32"/>
      <c r="L56" s="32"/>
      <c r="M56" s="533"/>
      <c r="N56" s="32"/>
      <c r="O56" s="402"/>
    </row>
    <row r="57" spans="1:15" x14ac:dyDescent="0.25">
      <c r="A57" s="529"/>
      <c r="B57" s="530"/>
      <c r="C57" s="531"/>
      <c r="D57" s="529"/>
      <c r="E57" s="529"/>
      <c r="F57" s="529"/>
      <c r="G57" s="529"/>
      <c r="H57" s="27"/>
      <c r="I57" s="33"/>
      <c r="J57" s="548"/>
      <c r="K57" s="32"/>
      <c r="L57" s="32"/>
      <c r="M57" s="533"/>
      <c r="N57" s="32"/>
      <c r="O57" s="402"/>
    </row>
    <row r="58" spans="1:15" x14ac:dyDescent="0.25">
      <c r="A58" s="529"/>
      <c r="B58" s="530"/>
      <c r="C58" s="531"/>
      <c r="D58" s="529"/>
      <c r="E58" s="529"/>
      <c r="F58" s="529"/>
      <c r="G58" s="529"/>
      <c r="H58" s="27"/>
      <c r="I58" s="33"/>
      <c r="J58" s="548"/>
      <c r="K58" s="32"/>
      <c r="L58" s="32"/>
      <c r="M58" s="533"/>
      <c r="N58" s="32"/>
      <c r="O58" s="402"/>
    </row>
    <row r="59" spans="1:15" x14ac:dyDescent="0.25">
      <c r="A59" s="529"/>
      <c r="B59" s="530"/>
      <c r="C59" s="531"/>
      <c r="D59" s="529"/>
      <c r="E59" s="529"/>
      <c r="F59" s="529"/>
      <c r="G59" s="529"/>
      <c r="H59" s="27"/>
      <c r="I59" s="33"/>
      <c r="J59" s="548"/>
      <c r="K59" s="32"/>
      <c r="L59" s="32"/>
      <c r="M59" s="533"/>
      <c r="N59" s="32"/>
      <c r="O59" s="402"/>
    </row>
    <row r="60" spans="1:15" x14ac:dyDescent="0.25">
      <c r="A60" s="544"/>
      <c r="B60" s="545"/>
      <c r="C60" s="546"/>
      <c r="D60" s="544"/>
      <c r="E60" s="544"/>
      <c r="F60" s="544"/>
      <c r="G60" s="544"/>
      <c r="H60" s="547"/>
      <c r="I60" s="541"/>
      <c r="J60" s="548"/>
      <c r="K60" s="481"/>
      <c r="L60" s="481"/>
      <c r="M60" s="542"/>
      <c r="N60" s="481"/>
      <c r="O60" s="543"/>
    </row>
    <row r="61" spans="1:15" x14ac:dyDescent="0.25">
      <c r="A61" s="544"/>
      <c r="B61" s="545"/>
      <c r="C61" s="546"/>
      <c r="D61" s="544"/>
      <c r="E61" s="544"/>
      <c r="F61" s="544"/>
      <c r="G61" s="544"/>
      <c r="H61" s="547"/>
      <c r="I61" s="541"/>
      <c r="J61" s="548"/>
      <c r="K61" s="481"/>
      <c r="L61" s="481"/>
      <c r="M61" s="542"/>
      <c r="N61" s="481"/>
      <c r="O61" s="543"/>
    </row>
    <row r="62" spans="1:15" x14ac:dyDescent="0.25">
      <c r="A62" s="544"/>
      <c r="B62" s="545"/>
      <c r="C62" s="546"/>
      <c r="D62" s="544"/>
      <c r="E62" s="544"/>
      <c r="F62" s="544"/>
      <c r="G62" s="544"/>
      <c r="H62" s="547"/>
      <c r="I62" s="541"/>
      <c r="J62" s="548"/>
      <c r="K62" s="481"/>
      <c r="L62" s="481"/>
      <c r="M62" s="542"/>
      <c r="N62" s="481"/>
      <c r="O62" s="543"/>
    </row>
  </sheetData>
  <sheetProtection algorithmName="SHA-512" hashValue="voy2P1PNVVLH0GqHd079ZZam/f3Na35TTqbniMuWKUXOf4UsjKyB85vObrL7AJNgLQE2DtNtcpHho17zlhhYkg==" saltValue="tqWFv8WGjMxpNnXXuak4NA==" spinCount="100000" sheet="1" objects="1" scenarios="1"/>
  <dataValidations count="1">
    <dataValidation type="list" allowBlank="1" showInputMessage="1" showErrorMessage="1" sqref="C28">
      <formula1>Fuel_Classes</formula1>
    </dataValidation>
  </dataValidations>
  <hyperlinks>
    <hyperlink ref="J25" r:id="rId1"/>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46"/>
  </sheetPr>
  <dimension ref="A1:M759"/>
  <sheetViews>
    <sheetView zoomScale="85" workbookViewId="0">
      <selection activeCell="Q23" sqref="Q23"/>
    </sheetView>
  </sheetViews>
  <sheetFormatPr defaultRowHeight="13.2" x14ac:dyDescent="0.25"/>
  <cols>
    <col min="1" max="1" width="11" customWidth="1"/>
    <col min="2" max="2" width="13.33203125" customWidth="1"/>
    <col min="8" max="13" width="10.6640625" customWidth="1"/>
  </cols>
  <sheetData>
    <row r="1" spans="1:13" ht="15.6" x14ac:dyDescent="0.3">
      <c r="A1" s="56" t="s">
        <v>815</v>
      </c>
    </row>
    <row r="2" spans="1:13" ht="16.8" x14ac:dyDescent="0.3">
      <c r="A2" s="80" t="s">
        <v>94</v>
      </c>
      <c r="B2" s="81" t="str">
        <f>Weather_Site!D2</f>
        <v>Nicholson Street Melbourne</v>
      </c>
      <c r="C2" s="81"/>
      <c r="D2" s="81"/>
      <c r="E2" s="81"/>
      <c r="H2" s="170" t="s">
        <v>202</v>
      </c>
      <c r="I2" s="169"/>
    </row>
    <row r="4" spans="1:13" x14ac:dyDescent="0.25">
      <c r="A4" s="280" t="s">
        <v>88</v>
      </c>
      <c r="B4" s="651"/>
      <c r="C4" s="652">
        <v>1</v>
      </c>
      <c r="D4" s="34"/>
      <c r="E4">
        <f>C4*2.5+2</f>
        <v>4.5</v>
      </c>
    </row>
    <row r="5" spans="1:13" x14ac:dyDescent="0.25">
      <c r="A5" s="107" t="s">
        <v>89</v>
      </c>
      <c r="B5" s="649"/>
      <c r="C5" s="653" t="s">
        <v>1047</v>
      </c>
      <c r="D5" s="34"/>
    </row>
    <row r="7" spans="1:13" x14ac:dyDescent="0.25">
      <c r="H7" s="486" t="s">
        <v>813</v>
      </c>
      <c r="I7" s="486"/>
      <c r="J7" s="486"/>
      <c r="K7" s="487" t="s">
        <v>814</v>
      </c>
      <c r="L7" s="487"/>
      <c r="M7" s="487"/>
    </row>
    <row r="8" spans="1:13" ht="52.8" x14ac:dyDescent="0.25">
      <c r="A8" s="26" t="s">
        <v>28</v>
      </c>
      <c r="B8" s="26" t="s">
        <v>32</v>
      </c>
      <c r="C8" s="26" t="s">
        <v>27</v>
      </c>
      <c r="D8" s="26" t="s">
        <v>18</v>
      </c>
      <c r="E8" s="26" t="s">
        <v>19</v>
      </c>
      <c r="F8" s="26" t="s">
        <v>24</v>
      </c>
      <c r="G8" s="26" t="s">
        <v>20</v>
      </c>
      <c r="H8" s="57" t="s">
        <v>113</v>
      </c>
      <c r="I8" s="57" t="s">
        <v>90</v>
      </c>
      <c r="J8" s="57" t="s">
        <v>686</v>
      </c>
      <c r="K8" s="57" t="s">
        <v>824</v>
      </c>
      <c r="L8" s="57" t="s">
        <v>822</v>
      </c>
      <c r="M8" s="57" t="s">
        <v>823</v>
      </c>
    </row>
    <row r="9" spans="1:13" x14ac:dyDescent="0.25">
      <c r="A9" s="29" t="str">
        <f>Weather_Site!A12</f>
        <v>Sun</v>
      </c>
      <c r="B9" s="74">
        <f>Weather_Site!B12</f>
        <v>44549</v>
      </c>
      <c r="C9" s="75">
        <f>Weather_Site!C12</f>
        <v>0.16666666666666666</v>
      </c>
      <c r="D9" s="29">
        <f>Weather_Site!D12</f>
        <v>23.9</v>
      </c>
      <c r="E9" s="29">
        <f>Weather_Site!E12</f>
        <v>24.2</v>
      </c>
      <c r="F9" s="29">
        <f>Weather_Site!F12</f>
        <v>36</v>
      </c>
      <c r="G9" s="29">
        <f>Weather_Site!G12</f>
        <v>16</v>
      </c>
      <c r="H9" s="27">
        <f>IF(Weather_Site!M12&lt;180,Weather_Site!M12+180,Weather_Site!M12-180)</f>
        <v>216</v>
      </c>
      <c r="I9" s="42">
        <f>49*(G9*0.67)^1.21*$C$4^0.54</f>
        <v>864.43386077187165</v>
      </c>
      <c r="J9" s="484">
        <f>516*I9/1000*(2.5*C$4+2)</f>
        <v>2007.215424712286</v>
      </c>
      <c r="K9" s="32">
        <f>4.37+0.161*E9-0.1*(D9-25)-(0.027*E9*(IF(AND(AND(C9&gt;0.49,C9&lt;0.7),OR(MONTH(B9&gt;9),MONTH(B9&lt;4))),1,0)))</f>
        <v>8.376199999999999</v>
      </c>
      <c r="L9" s="63">
        <f>IF(G9&gt;=5,(5.67*(0.67*G9)^0.91*$C$4^0.22*EXP(-0.076*K9)),((5+0.2*(5.67*(5*0.67)^0.91-5)*G9)*$C$4^0.22*EXP(-0.076*K9)))*60</f>
        <v>1558.6317492970104</v>
      </c>
      <c r="M9" s="63">
        <f>IF(G9&gt;=5,(5.67*(0.35*G9)^0.91*$C$4^0.22*EXP(-0.076*K9)),((5+0.2*(5.67*(5*0.35)^0.91-5)*G9)*$C$4^0.22*EXP(-0.076*K9)))*60</f>
        <v>863.21179999205879</v>
      </c>
    </row>
    <row r="10" spans="1:13" x14ac:dyDescent="0.25">
      <c r="A10" s="29" t="str">
        <f>Weather_Site!A13</f>
        <v>Sun</v>
      </c>
      <c r="B10" s="74">
        <f>Weather_Site!B13</f>
        <v>44549</v>
      </c>
      <c r="C10" s="75">
        <f>Weather_Site!C13</f>
        <v>0.20833333333333334</v>
      </c>
      <c r="D10" s="29">
        <f>Weather_Site!D13</f>
        <v>23.6</v>
      </c>
      <c r="E10" s="29">
        <f>Weather_Site!E13</f>
        <v>24.4</v>
      </c>
      <c r="F10" s="29">
        <f>Weather_Site!F13</f>
        <v>312</v>
      </c>
      <c r="G10" s="29">
        <f>Weather_Site!G13</f>
        <v>13</v>
      </c>
      <c r="H10" s="27">
        <f>IF(Weather_Site!M13&lt;180,Weather_Site!M13+180,Weather_Site!M13-180)</f>
        <v>132</v>
      </c>
      <c r="I10" s="42">
        <f t="shared" ref="I10:I14" si="0">49*(G10*0.67)^1.21*$C$4^0.54</f>
        <v>672.38504835849926</v>
      </c>
      <c r="J10" s="484">
        <f t="shared" ref="J10:J14" si="1">516*I10/1000*(2.5*C$4+2)</f>
        <v>1561.2780822884354</v>
      </c>
      <c r="K10" s="32">
        <f t="shared" ref="K10:K14" si="2">4.37+0.161*E10-0.1*(D10-25)-(0.027*E10*(IF(AND(AND(C10&gt;0.49,C10&lt;0.7),OR(MONTH(B10&gt;9),MONTH(B10&lt;4))),1,0)))</f>
        <v>8.4384000000000015</v>
      </c>
      <c r="L10" s="63">
        <f t="shared" ref="L10:L14" si="3">IF(G10&gt;=5,(5.67*(0.67*G10)^0.91*$C$4^0.22*EXP(-0.076*K10)),((5+0.2*(5.67*(5*0.67)^0.91-5)*G10)*$C$4^0.22*EXP(-0.076*K10)))*60</f>
        <v>1284.1914912893872</v>
      </c>
      <c r="M10" s="63">
        <f t="shared" ref="M10:M14" si="4">IF(G10&gt;=5,(5.67*(0.35*G10)^0.91*$C$4^0.22*EXP(-0.076*K10)),((5+0.2*(5.67*(5*0.35)^0.91-5)*G10)*$C$4^0.22*EXP(-0.076*K10)))*60</f>
        <v>711.21947132821992</v>
      </c>
    </row>
    <row r="11" spans="1:13" x14ac:dyDescent="0.25">
      <c r="A11" s="29" t="str">
        <f>Weather_Site!A14</f>
        <v>Sun</v>
      </c>
      <c r="B11" s="74">
        <f>Weather_Site!B14</f>
        <v>44549</v>
      </c>
      <c r="C11" s="75">
        <f>Weather_Site!C14</f>
        <v>0.25</v>
      </c>
      <c r="D11" s="29">
        <f>Weather_Site!D14</f>
        <v>22.7</v>
      </c>
      <c r="E11" s="29">
        <f>Weather_Site!E14</f>
        <v>27.3</v>
      </c>
      <c r="F11" s="29">
        <f>Weather_Site!F14</f>
        <v>336</v>
      </c>
      <c r="G11" s="29">
        <f>Weather_Site!G14</f>
        <v>16</v>
      </c>
      <c r="H11" s="27">
        <f>IF(Weather_Site!M14&lt;180,Weather_Site!M14+180,Weather_Site!M14-180)</f>
        <v>156</v>
      </c>
      <c r="I11" s="42">
        <f t="shared" si="0"/>
        <v>864.43386077187165</v>
      </c>
      <c r="J11" s="484">
        <f t="shared" si="1"/>
        <v>2007.215424712286</v>
      </c>
      <c r="K11" s="32">
        <f t="shared" si="2"/>
        <v>8.9953000000000003</v>
      </c>
      <c r="L11" s="63">
        <f t="shared" si="3"/>
        <v>1486.9941786092566</v>
      </c>
      <c r="M11" s="63">
        <f t="shared" si="4"/>
        <v>823.5370042179286</v>
      </c>
    </row>
    <row r="12" spans="1:13" x14ac:dyDescent="0.25">
      <c r="A12" s="29" t="str">
        <f>Weather_Site!A15</f>
        <v>Sun</v>
      </c>
      <c r="B12" s="74">
        <f>Weather_Site!B15</f>
        <v>44549</v>
      </c>
      <c r="C12" s="75">
        <f>Weather_Site!C15</f>
        <v>0.29166666666666669</v>
      </c>
      <c r="D12" s="29">
        <f>Weather_Site!D15</f>
        <v>23</v>
      </c>
      <c r="E12" s="29">
        <f>Weather_Site!E15</f>
        <v>28.2</v>
      </c>
      <c r="F12" s="29">
        <f>Weather_Site!F15</f>
        <v>2</v>
      </c>
      <c r="G12" s="29">
        <f>Weather_Site!G15</f>
        <v>25</v>
      </c>
      <c r="H12" s="27">
        <f>IF(Weather_Site!M15&lt;180,Weather_Site!M15+180,Weather_Site!M15-180)</f>
        <v>182</v>
      </c>
      <c r="I12" s="42">
        <f t="shared" si="0"/>
        <v>1483.3854053682026</v>
      </c>
      <c r="J12" s="484">
        <f t="shared" si="1"/>
        <v>3444.4209112649664</v>
      </c>
      <c r="K12" s="32">
        <f t="shared" si="2"/>
        <v>9.110199999999999</v>
      </c>
      <c r="L12" s="63">
        <f t="shared" si="3"/>
        <v>2212.5498218712564</v>
      </c>
      <c r="M12" s="63">
        <f t="shared" si="4"/>
        <v>1225.3690553724564</v>
      </c>
    </row>
    <row r="13" spans="1:13" x14ac:dyDescent="0.25">
      <c r="A13" s="29" t="str">
        <f>Weather_Site!A16</f>
        <v>Sun</v>
      </c>
      <c r="B13" s="74">
        <f>Weather_Site!B16</f>
        <v>44549</v>
      </c>
      <c r="C13" s="75">
        <f>Weather_Site!C16</f>
        <v>0.33333333333333331</v>
      </c>
      <c r="D13" s="29">
        <f>Weather_Site!D16</f>
        <v>25.3</v>
      </c>
      <c r="E13" s="29">
        <f>Weather_Site!E16</f>
        <v>26</v>
      </c>
      <c r="F13" s="29">
        <f>Weather_Site!F16</f>
        <v>0</v>
      </c>
      <c r="G13" s="29">
        <f>Weather_Site!G16</f>
        <v>32</v>
      </c>
      <c r="H13" s="27">
        <f>IF(Weather_Site!M16&lt;180,Weather_Site!M16+180,Weather_Site!M16-180)</f>
        <v>180</v>
      </c>
      <c r="I13" s="42">
        <f t="shared" si="0"/>
        <v>1999.7608650449051</v>
      </c>
      <c r="J13" s="484">
        <f t="shared" si="1"/>
        <v>4643.4447286342693</v>
      </c>
      <c r="K13" s="32">
        <f t="shared" si="2"/>
        <v>8.5260000000000016</v>
      </c>
      <c r="L13" s="63">
        <f t="shared" si="3"/>
        <v>2895.5859375155169</v>
      </c>
      <c r="M13" s="63">
        <f t="shared" si="4"/>
        <v>1603.6526589951814</v>
      </c>
    </row>
    <row r="14" spans="1:13" x14ac:dyDescent="0.25">
      <c r="A14" s="50" t="str">
        <f>Weather_Site!A17</f>
        <v>Sun</v>
      </c>
      <c r="B14" s="76">
        <f>Weather_Site!B17</f>
        <v>44549</v>
      </c>
      <c r="C14" s="77">
        <f>Weather_Site!C17</f>
        <v>0.375</v>
      </c>
      <c r="D14" s="50">
        <f>Weather_Site!D17</f>
        <v>27.7</v>
      </c>
      <c r="E14" s="50">
        <f>Weather_Site!E17</f>
        <v>28</v>
      </c>
      <c r="F14" s="50">
        <f>Weather_Site!F17</f>
        <v>328</v>
      </c>
      <c r="G14" s="50">
        <f>Weather_Site!G17</f>
        <v>27</v>
      </c>
      <c r="H14" s="48">
        <f>IF(Weather_Site!M17&lt;180,Weather_Site!M17+180,Weather_Site!M17-180)</f>
        <v>148</v>
      </c>
      <c r="I14" s="480">
        <f t="shared" si="0"/>
        <v>1628.1587439755833</v>
      </c>
      <c r="J14" s="485">
        <f t="shared" si="1"/>
        <v>3780.584603511305</v>
      </c>
      <c r="K14" s="481">
        <f t="shared" si="2"/>
        <v>8.6080000000000005</v>
      </c>
      <c r="L14" s="482">
        <f t="shared" si="3"/>
        <v>2465.3834752308758</v>
      </c>
      <c r="M14" s="482">
        <f t="shared" si="4"/>
        <v>1365.395070570441</v>
      </c>
    </row>
    <row r="15" spans="1:13" x14ac:dyDescent="0.25">
      <c r="A15" s="50"/>
      <c r="B15" s="76"/>
      <c r="C15" s="77"/>
      <c r="D15" s="50"/>
      <c r="E15" s="50"/>
      <c r="F15" s="50"/>
      <c r="G15" s="50"/>
      <c r="H15" s="48"/>
      <c r="I15" s="480"/>
      <c r="J15" s="485"/>
      <c r="K15" s="481"/>
      <c r="L15" s="482"/>
      <c r="M15" s="482"/>
    </row>
    <row r="16" spans="1:13" x14ac:dyDescent="0.25">
      <c r="A16" s="50"/>
      <c r="B16" s="76"/>
      <c r="C16" s="77"/>
      <c r="D16" s="50"/>
      <c r="E16" s="50"/>
      <c r="F16" s="50"/>
      <c r="G16" s="50"/>
      <c r="H16" s="48"/>
      <c r="I16" s="480"/>
      <c r="J16" s="485"/>
      <c r="K16" s="481"/>
      <c r="L16" s="482"/>
      <c r="M16" s="482"/>
    </row>
    <row r="17" spans="1:13" x14ac:dyDescent="0.25">
      <c r="A17" s="50"/>
      <c r="B17" s="76"/>
      <c r="C17" s="77"/>
      <c r="D17" s="50"/>
      <c r="E17" s="50"/>
      <c r="F17" s="50"/>
      <c r="G17" s="50"/>
      <c r="H17" s="48"/>
      <c r="I17" s="480"/>
      <c r="J17" s="485"/>
      <c r="K17" s="481"/>
      <c r="L17" s="482"/>
      <c r="M17" s="482"/>
    </row>
    <row r="18" spans="1:13" x14ac:dyDescent="0.25">
      <c r="A18" s="50"/>
      <c r="B18" s="76"/>
      <c r="C18" s="77"/>
      <c r="D18" s="50"/>
      <c r="E18" s="50"/>
      <c r="F18" s="50"/>
      <c r="G18" s="50"/>
      <c r="H18" s="48"/>
      <c r="I18" s="480"/>
      <c r="J18" s="485"/>
      <c r="K18" s="481"/>
      <c r="L18" s="482"/>
      <c r="M18" s="482"/>
    </row>
    <row r="19" spans="1:13" x14ac:dyDescent="0.25">
      <c r="A19" s="29"/>
      <c r="B19" s="74"/>
      <c r="C19" s="75"/>
      <c r="D19" s="29"/>
      <c r="E19" s="29"/>
      <c r="F19" s="29"/>
      <c r="G19" s="29"/>
      <c r="H19" s="27"/>
      <c r="I19" s="42"/>
      <c r="J19" s="484"/>
      <c r="K19" s="32"/>
      <c r="L19" s="63"/>
      <c r="M19" s="63"/>
    </row>
    <row r="20" spans="1:13" x14ac:dyDescent="0.25">
      <c r="A20" s="29"/>
      <c r="B20" s="74"/>
      <c r="C20" s="75"/>
      <c r="D20" s="29"/>
      <c r="E20" s="29"/>
      <c r="F20" s="29"/>
      <c r="G20" s="29"/>
      <c r="H20" s="27"/>
      <c r="I20" s="42"/>
      <c r="J20" s="484"/>
      <c r="K20" s="32"/>
      <c r="L20" s="63"/>
      <c r="M20" s="63"/>
    </row>
    <row r="21" spans="1:13" x14ac:dyDescent="0.25">
      <c r="A21" s="29"/>
      <c r="B21" s="74"/>
      <c r="C21" s="75"/>
      <c r="D21" s="29"/>
      <c r="E21" s="29"/>
      <c r="F21" s="29"/>
      <c r="G21" s="29"/>
      <c r="H21" s="27"/>
      <c r="I21" s="33"/>
      <c r="J21" s="322"/>
      <c r="K21" s="5"/>
      <c r="L21" s="5"/>
      <c r="M21" s="5"/>
    </row>
    <row r="22" spans="1:13" x14ac:dyDescent="0.25">
      <c r="A22" s="29"/>
      <c r="B22" s="74"/>
      <c r="C22" s="75"/>
      <c r="D22" s="29"/>
      <c r="E22" s="29"/>
      <c r="F22" s="29"/>
      <c r="G22" s="29"/>
      <c r="H22" s="27"/>
      <c r="I22" s="33"/>
      <c r="J22" s="322"/>
      <c r="K22" s="5"/>
      <c r="L22" s="5"/>
      <c r="M22" s="5"/>
    </row>
    <row r="23" spans="1:13" x14ac:dyDescent="0.25">
      <c r="A23" s="29"/>
      <c r="B23" s="74"/>
      <c r="C23" s="75"/>
      <c r="D23" s="29"/>
      <c r="E23" s="29"/>
      <c r="F23" s="29"/>
      <c r="G23" s="29"/>
      <c r="H23" s="27"/>
      <c r="I23" s="33"/>
      <c r="J23" s="322"/>
      <c r="K23" s="5"/>
      <c r="L23" s="5"/>
      <c r="M23" s="5"/>
    </row>
    <row r="24" spans="1:13" x14ac:dyDescent="0.25">
      <c r="A24" s="50"/>
      <c r="B24" s="76"/>
      <c r="C24" s="77"/>
      <c r="D24" s="50"/>
      <c r="E24" s="50"/>
      <c r="F24" s="50"/>
      <c r="G24" s="50"/>
      <c r="H24" s="48"/>
      <c r="I24" s="52"/>
      <c r="J24" s="353"/>
      <c r="K24" s="483"/>
      <c r="L24" s="483"/>
      <c r="M24" s="483"/>
    </row>
    <row r="25" spans="1:13" x14ac:dyDescent="0.25">
      <c r="A25" s="50"/>
      <c r="B25" s="76"/>
      <c r="C25" s="77"/>
      <c r="D25" s="50"/>
      <c r="E25" s="50"/>
      <c r="F25" s="50"/>
      <c r="G25" s="50"/>
      <c r="H25" s="48"/>
      <c r="I25" s="52"/>
      <c r="J25" s="353"/>
      <c r="K25" s="483"/>
      <c r="L25" s="483"/>
      <c r="M25" s="483"/>
    </row>
    <row r="26" spans="1:13" x14ac:dyDescent="0.25">
      <c r="A26" s="50"/>
      <c r="B26" s="76"/>
      <c r="C26" s="77"/>
      <c r="D26" s="50"/>
      <c r="E26" s="50"/>
      <c r="F26" s="50"/>
      <c r="G26" s="50"/>
      <c r="H26" s="48"/>
      <c r="I26" s="52"/>
      <c r="J26" s="353"/>
      <c r="K26" s="483"/>
      <c r="L26" s="483"/>
      <c r="M26" s="483"/>
    </row>
    <row r="27" spans="1:13" x14ac:dyDescent="0.25">
      <c r="A27" s="50"/>
      <c r="B27" s="76"/>
      <c r="C27" s="77"/>
      <c r="D27" s="50"/>
      <c r="E27" s="50"/>
      <c r="F27" s="50"/>
      <c r="G27" s="50"/>
      <c r="H27" s="48"/>
      <c r="I27" s="52"/>
      <c r="J27" s="353"/>
      <c r="K27" s="483"/>
      <c r="L27" s="483"/>
      <c r="M27" s="483"/>
    </row>
    <row r="28" spans="1:13" x14ac:dyDescent="0.25">
      <c r="A28" s="50"/>
      <c r="B28" s="76"/>
      <c r="C28" s="77"/>
      <c r="D28" s="50"/>
      <c r="E28" s="50"/>
      <c r="F28" s="50"/>
      <c r="G28" s="50"/>
      <c r="H28" s="48"/>
      <c r="I28" s="52"/>
      <c r="J28" s="353"/>
      <c r="K28" s="483"/>
      <c r="L28" s="483"/>
      <c r="M28" s="483"/>
    </row>
    <row r="29" spans="1:13" x14ac:dyDescent="0.25">
      <c r="A29" s="29"/>
      <c r="B29" s="74"/>
      <c r="C29" s="75"/>
      <c r="D29" s="29"/>
      <c r="E29" s="29"/>
      <c r="F29" s="29"/>
      <c r="G29" s="29"/>
      <c r="H29" s="27"/>
      <c r="I29" s="33"/>
      <c r="J29" s="322"/>
      <c r="K29" s="5"/>
      <c r="L29" s="5"/>
      <c r="M29" s="5"/>
    </row>
    <row r="30" spans="1:13" x14ac:dyDescent="0.25">
      <c r="A30" s="29"/>
      <c r="B30" s="74"/>
      <c r="C30" s="75"/>
      <c r="D30" s="29"/>
      <c r="E30" s="29"/>
      <c r="F30" s="29"/>
      <c r="G30" s="29"/>
      <c r="H30" s="27"/>
      <c r="I30" s="33"/>
      <c r="J30" s="322"/>
      <c r="K30" s="5"/>
      <c r="L30" s="5"/>
      <c r="M30" s="5"/>
    </row>
    <row r="31" spans="1:13" x14ac:dyDescent="0.25">
      <c r="A31" s="29"/>
      <c r="B31" s="74"/>
      <c r="C31" s="75"/>
      <c r="D31" s="29"/>
      <c r="E31" s="29"/>
      <c r="F31" s="29"/>
      <c r="G31" s="29"/>
      <c r="H31" s="27"/>
      <c r="I31" s="33"/>
      <c r="J31" s="322"/>
      <c r="K31" s="5"/>
      <c r="L31" s="5"/>
      <c r="M31" s="5"/>
    </row>
    <row r="32" spans="1:13" x14ac:dyDescent="0.25">
      <c r="A32" s="29"/>
      <c r="B32" s="74"/>
      <c r="C32" s="75"/>
      <c r="D32" s="29"/>
      <c r="E32" s="29"/>
      <c r="F32" s="29"/>
      <c r="G32" s="29"/>
      <c r="H32" s="27"/>
      <c r="I32" s="33"/>
      <c r="J32" s="322"/>
      <c r="K32" s="5"/>
      <c r="L32" s="5"/>
      <c r="M32" s="5"/>
    </row>
    <row r="33" spans="1:13" x14ac:dyDescent="0.25">
      <c r="A33" s="29"/>
      <c r="B33" s="74"/>
      <c r="C33" s="75"/>
      <c r="D33" s="29"/>
      <c r="E33" s="29"/>
      <c r="F33" s="29"/>
      <c r="G33" s="29"/>
      <c r="H33" s="27"/>
      <c r="I33" s="33"/>
      <c r="J33" s="322"/>
      <c r="K33" s="5"/>
      <c r="L33" s="5"/>
      <c r="M33" s="5"/>
    </row>
    <row r="34" spans="1:13" x14ac:dyDescent="0.25">
      <c r="A34" s="50"/>
      <c r="B34" s="76"/>
      <c r="C34" s="77"/>
      <c r="D34" s="50"/>
      <c r="E34" s="50"/>
      <c r="F34" s="50"/>
      <c r="G34" s="50"/>
      <c r="H34" s="48"/>
      <c r="I34" s="52"/>
      <c r="J34" s="353"/>
      <c r="K34" s="483"/>
      <c r="L34" s="483"/>
      <c r="M34" s="483"/>
    </row>
    <row r="35" spans="1:13" x14ac:dyDescent="0.25">
      <c r="A35" s="50"/>
      <c r="B35" s="76"/>
      <c r="C35" s="77"/>
      <c r="D35" s="50"/>
      <c r="E35" s="50"/>
      <c r="F35" s="50"/>
      <c r="G35" s="50"/>
      <c r="H35" s="48"/>
      <c r="I35" s="52"/>
      <c r="J35" s="353"/>
      <c r="K35" s="483"/>
      <c r="L35" s="483"/>
      <c r="M35" s="483"/>
    </row>
    <row r="36" spans="1:13" x14ac:dyDescent="0.25">
      <c r="A36" s="50"/>
      <c r="B36" s="76"/>
      <c r="C36" s="77"/>
      <c r="D36" s="50"/>
      <c r="E36" s="50"/>
      <c r="F36" s="50"/>
      <c r="G36" s="50"/>
      <c r="H36" s="48"/>
      <c r="I36" s="52"/>
      <c r="J36" s="353"/>
      <c r="K36" s="483"/>
      <c r="L36" s="483"/>
      <c r="M36" s="483"/>
    </row>
    <row r="37" spans="1:13" x14ac:dyDescent="0.25">
      <c r="A37" s="50"/>
      <c r="B37" s="76"/>
      <c r="C37" s="77"/>
      <c r="D37" s="50"/>
      <c r="E37" s="50"/>
      <c r="F37" s="50"/>
      <c r="G37" s="50"/>
      <c r="H37" s="48"/>
      <c r="I37" s="52"/>
      <c r="J37" s="353"/>
      <c r="K37" s="483"/>
      <c r="L37" s="483"/>
      <c r="M37" s="483"/>
    </row>
    <row r="38" spans="1:13" x14ac:dyDescent="0.25">
      <c r="A38" s="50"/>
      <c r="B38" s="76"/>
      <c r="C38" s="77"/>
      <c r="D38" s="50"/>
      <c r="E38" s="50"/>
      <c r="F38" s="50"/>
      <c r="G38" s="50"/>
      <c r="H38" s="48"/>
      <c r="I38" s="52"/>
      <c r="J38" s="353"/>
      <c r="K38" s="483"/>
      <c r="L38" s="483"/>
      <c r="M38" s="483"/>
    </row>
    <row r="39" spans="1:13" x14ac:dyDescent="0.25">
      <c r="A39" s="29"/>
      <c r="B39" s="74"/>
      <c r="C39" s="75"/>
      <c r="D39" s="29"/>
      <c r="E39" s="29"/>
      <c r="F39" s="29"/>
      <c r="G39" s="29"/>
      <c r="H39" s="27"/>
      <c r="I39" s="33"/>
      <c r="J39" s="322"/>
      <c r="K39" s="5"/>
      <c r="L39" s="5"/>
      <c r="M39" s="5"/>
    </row>
    <row r="40" spans="1:13" x14ac:dyDescent="0.25">
      <c r="A40" s="29"/>
      <c r="B40" s="74"/>
      <c r="C40" s="75"/>
      <c r="D40" s="29"/>
      <c r="E40" s="29"/>
      <c r="F40" s="29"/>
      <c r="G40" s="29"/>
      <c r="H40" s="27"/>
      <c r="I40" s="33"/>
      <c r="J40" s="322"/>
      <c r="K40" s="5"/>
      <c r="L40" s="5"/>
      <c r="M40" s="5"/>
    </row>
    <row r="41" spans="1:13" x14ac:dyDescent="0.25">
      <c r="A41" s="29"/>
      <c r="B41" s="74"/>
      <c r="C41" s="75"/>
      <c r="D41" s="29"/>
      <c r="E41" s="29"/>
      <c r="F41" s="29"/>
      <c r="G41" s="29"/>
      <c r="H41" s="27"/>
      <c r="I41" s="33"/>
      <c r="J41" s="322"/>
      <c r="K41" s="5"/>
      <c r="L41" s="5"/>
      <c r="M41" s="5"/>
    </row>
    <row r="42" spans="1:13" x14ac:dyDescent="0.25">
      <c r="A42" s="29"/>
      <c r="B42" s="74"/>
      <c r="C42" s="75"/>
      <c r="D42" s="29"/>
      <c r="E42" s="29"/>
      <c r="F42" s="29"/>
      <c r="G42" s="29"/>
      <c r="H42" s="27"/>
      <c r="I42" s="33"/>
      <c r="J42" s="322"/>
      <c r="K42" s="5"/>
      <c r="L42" s="5"/>
      <c r="M42" s="5"/>
    </row>
    <row r="43" spans="1:13" x14ac:dyDescent="0.25">
      <c r="A43" s="29"/>
      <c r="B43" s="74"/>
      <c r="C43" s="75"/>
      <c r="D43" s="29"/>
      <c r="E43" s="29"/>
      <c r="F43" s="29"/>
      <c r="G43" s="29"/>
      <c r="H43" s="27"/>
      <c r="I43" s="33"/>
      <c r="J43" s="322"/>
      <c r="K43" s="5"/>
      <c r="L43" s="5"/>
      <c r="M43" s="5"/>
    </row>
    <row r="44" spans="1:13" x14ac:dyDescent="0.25">
      <c r="A44" s="50"/>
      <c r="B44" s="76"/>
      <c r="C44" s="77"/>
      <c r="D44" s="50"/>
      <c r="E44" s="50"/>
      <c r="F44" s="50"/>
      <c r="G44" s="50"/>
      <c r="H44" s="48"/>
      <c r="I44" s="52"/>
      <c r="J44" s="353"/>
      <c r="K44" s="483"/>
      <c r="L44" s="483"/>
      <c r="M44" s="483"/>
    </row>
    <row r="45" spans="1:13" x14ac:dyDescent="0.25">
      <c r="A45" s="50"/>
      <c r="B45" s="76"/>
      <c r="C45" s="77"/>
      <c r="D45" s="50"/>
      <c r="E45" s="50"/>
      <c r="F45" s="50"/>
      <c r="G45" s="50"/>
      <c r="H45" s="48"/>
      <c r="I45" s="52"/>
      <c r="J45" s="353"/>
      <c r="K45" s="483"/>
      <c r="L45" s="483"/>
      <c r="M45" s="483"/>
    </row>
    <row r="46" spans="1:13" x14ac:dyDescent="0.25">
      <c r="A46" s="50"/>
      <c r="B46" s="76"/>
      <c r="C46" s="77"/>
      <c r="D46" s="50"/>
      <c r="E46" s="50"/>
      <c r="F46" s="50"/>
      <c r="G46" s="50"/>
      <c r="H46" s="48"/>
      <c r="I46" s="52"/>
      <c r="J46" s="353"/>
      <c r="K46" s="483"/>
      <c r="L46" s="483"/>
      <c r="M46" s="483"/>
    </row>
    <row r="47" spans="1:13" x14ac:dyDescent="0.25">
      <c r="A47" s="50"/>
      <c r="B47" s="76"/>
      <c r="C47" s="77"/>
      <c r="D47" s="50"/>
      <c r="E47" s="50"/>
      <c r="F47" s="50"/>
      <c r="G47" s="50"/>
      <c r="H47" s="48"/>
      <c r="I47" s="52"/>
      <c r="J47" s="353"/>
      <c r="K47" s="483"/>
      <c r="L47" s="483"/>
      <c r="M47" s="483"/>
    </row>
    <row r="48" spans="1:13" x14ac:dyDescent="0.25">
      <c r="A48" s="50"/>
      <c r="B48" s="76"/>
      <c r="C48" s="77"/>
      <c r="D48" s="50"/>
      <c r="E48" s="50"/>
      <c r="F48" s="50"/>
      <c r="G48" s="50"/>
      <c r="H48" s="48"/>
      <c r="I48" s="52"/>
      <c r="J48" s="353"/>
      <c r="K48" s="483"/>
      <c r="L48" s="483"/>
      <c r="M48" s="483"/>
    </row>
    <row r="49" spans="1:13" x14ac:dyDescent="0.25">
      <c r="A49" s="29"/>
      <c r="B49" s="74"/>
      <c r="C49" s="75"/>
      <c r="D49" s="29"/>
      <c r="E49" s="29"/>
      <c r="F49" s="29"/>
      <c r="G49" s="29"/>
      <c r="H49" s="27"/>
      <c r="I49" s="33"/>
      <c r="J49" s="322"/>
      <c r="K49" s="5"/>
      <c r="L49" s="5"/>
      <c r="M49" s="5"/>
    </row>
    <row r="50" spans="1:13" x14ac:dyDescent="0.25">
      <c r="A50" s="29"/>
      <c r="B50" s="74"/>
      <c r="C50" s="75"/>
      <c r="D50" s="29"/>
      <c r="E50" s="29"/>
      <c r="F50" s="29"/>
      <c r="G50" s="29"/>
      <c r="H50" s="27"/>
      <c r="I50" s="33"/>
      <c r="J50" s="322"/>
      <c r="K50" s="5"/>
      <c r="L50" s="5"/>
      <c r="M50" s="5"/>
    </row>
    <row r="51" spans="1:13" x14ac:dyDescent="0.25">
      <c r="A51" s="29"/>
      <c r="B51" s="74"/>
      <c r="C51" s="75"/>
      <c r="D51" s="29"/>
      <c r="E51" s="29"/>
      <c r="F51" s="29"/>
      <c r="G51" s="29"/>
      <c r="H51" s="27"/>
      <c r="I51" s="33"/>
      <c r="J51" s="322"/>
      <c r="K51" s="5"/>
      <c r="L51" s="5"/>
      <c r="M51" s="5"/>
    </row>
    <row r="52" spans="1:13" x14ac:dyDescent="0.25">
      <c r="A52" s="29"/>
      <c r="B52" s="74"/>
      <c r="C52" s="75"/>
      <c r="D52" s="29"/>
      <c r="E52" s="29"/>
      <c r="F52" s="29"/>
      <c r="G52" s="29"/>
      <c r="H52" s="27"/>
      <c r="I52" s="33"/>
      <c r="J52" s="322"/>
      <c r="K52" s="5"/>
      <c r="L52" s="5"/>
      <c r="M52" s="5"/>
    </row>
    <row r="53" spans="1:13" x14ac:dyDescent="0.25">
      <c r="A53" s="29"/>
      <c r="B53" s="74"/>
      <c r="C53" s="75"/>
      <c r="D53" s="29"/>
      <c r="E53" s="29"/>
      <c r="F53" s="29"/>
      <c r="G53" s="29"/>
      <c r="H53" s="27"/>
      <c r="I53" s="33"/>
      <c r="J53" s="322"/>
      <c r="K53" s="5"/>
      <c r="L53" s="5"/>
      <c r="M53" s="5"/>
    </row>
    <row r="54" spans="1:13" x14ac:dyDescent="0.25">
      <c r="A54" s="50"/>
      <c r="B54" s="76"/>
      <c r="C54" s="77"/>
      <c r="D54" s="50"/>
      <c r="E54" s="50"/>
      <c r="F54" s="50"/>
      <c r="G54" s="50"/>
      <c r="H54" s="48"/>
      <c r="I54" s="52"/>
      <c r="J54" s="353"/>
      <c r="K54" s="483"/>
      <c r="L54" s="483"/>
      <c r="M54" s="483"/>
    </row>
    <row r="55" spans="1:13" x14ac:dyDescent="0.25">
      <c r="A55" s="50"/>
      <c r="B55" s="76"/>
      <c r="C55" s="77"/>
      <c r="D55" s="50"/>
      <c r="E55" s="50"/>
      <c r="F55" s="50"/>
      <c r="G55" s="50"/>
      <c r="H55" s="48"/>
      <c r="I55" s="52"/>
      <c r="J55" s="353"/>
      <c r="K55" s="483"/>
      <c r="L55" s="483"/>
      <c r="M55" s="483"/>
    </row>
    <row r="56" spans="1:13" x14ac:dyDescent="0.25">
      <c r="A56" s="50"/>
      <c r="B56" s="76"/>
      <c r="C56" s="77"/>
      <c r="D56" s="50"/>
      <c r="E56" s="50"/>
      <c r="F56" s="50"/>
      <c r="G56" s="50"/>
      <c r="H56" s="48"/>
      <c r="I56" s="52"/>
      <c r="J56" s="353"/>
      <c r="K56" s="483"/>
      <c r="L56" s="483"/>
      <c r="M56" s="483"/>
    </row>
    <row r="57" spans="1:13" x14ac:dyDescent="0.25">
      <c r="A57" s="50"/>
      <c r="B57" s="76"/>
      <c r="C57" s="77"/>
      <c r="D57" s="50"/>
      <c r="E57" s="50"/>
      <c r="F57" s="50"/>
      <c r="G57" s="50"/>
      <c r="H57" s="48"/>
      <c r="I57" s="52"/>
      <c r="J57" s="353"/>
      <c r="K57" s="483"/>
      <c r="L57" s="483"/>
      <c r="M57" s="483"/>
    </row>
    <row r="58" spans="1:13" x14ac:dyDescent="0.25">
      <c r="A58" s="50"/>
      <c r="B58" s="76"/>
      <c r="C58" s="77"/>
      <c r="D58" s="50"/>
      <c r="E58" s="50"/>
      <c r="F58" s="50"/>
      <c r="G58" s="50"/>
      <c r="H58" s="48"/>
      <c r="I58" s="52"/>
      <c r="J58" s="353"/>
      <c r="K58" s="483"/>
      <c r="L58" s="483"/>
      <c r="M58" s="483"/>
    </row>
    <row r="59" spans="1:13" x14ac:dyDescent="0.25">
      <c r="A59" s="29"/>
      <c r="B59" s="74"/>
      <c r="C59" s="75"/>
      <c r="D59" s="29"/>
      <c r="E59" s="29"/>
      <c r="F59" s="29"/>
      <c r="G59" s="29"/>
      <c r="H59" s="27"/>
      <c r="I59" s="33"/>
      <c r="J59" s="322"/>
      <c r="K59" s="5"/>
      <c r="L59" s="5"/>
      <c r="M59" s="5"/>
    </row>
    <row r="60" spans="1:13" x14ac:dyDescent="0.25">
      <c r="A60" s="29"/>
      <c r="B60" s="74"/>
      <c r="C60" s="75"/>
      <c r="D60" s="29"/>
      <c r="E60" s="29"/>
      <c r="F60" s="29"/>
      <c r="G60" s="29"/>
      <c r="H60" s="27"/>
      <c r="I60" s="33"/>
      <c r="J60" s="322"/>
      <c r="K60" s="5"/>
      <c r="L60" s="5"/>
      <c r="M60" s="5"/>
    </row>
    <row r="61" spans="1:13" x14ac:dyDescent="0.25">
      <c r="A61" s="29"/>
      <c r="B61" s="74"/>
      <c r="C61" s="75"/>
      <c r="D61" s="29"/>
      <c r="E61" s="29"/>
      <c r="F61" s="29"/>
      <c r="G61" s="29"/>
      <c r="H61" s="27"/>
      <c r="I61" s="33"/>
      <c r="J61" s="322"/>
      <c r="K61" s="5"/>
      <c r="L61" s="5"/>
      <c r="M61" s="5"/>
    </row>
    <row r="62" spans="1:13" x14ac:dyDescent="0.25">
      <c r="A62" s="29"/>
      <c r="B62" s="74"/>
      <c r="C62" s="75"/>
      <c r="D62" s="29"/>
      <c r="E62" s="29"/>
      <c r="F62" s="29"/>
      <c r="G62" s="29"/>
      <c r="H62" s="27"/>
      <c r="I62" s="33"/>
      <c r="J62" s="322"/>
      <c r="K62" s="5"/>
      <c r="L62" s="5"/>
      <c r="M62" s="5"/>
    </row>
    <row r="63" spans="1:13" x14ac:dyDescent="0.25">
      <c r="A63" s="29"/>
      <c r="B63" s="74"/>
      <c r="C63" s="75"/>
      <c r="D63" s="29"/>
      <c r="E63" s="29"/>
      <c r="F63" s="29"/>
      <c r="G63" s="29"/>
      <c r="H63" s="27"/>
      <c r="I63" s="33"/>
      <c r="J63" s="322"/>
      <c r="K63" s="5"/>
      <c r="L63" s="5"/>
      <c r="M63" s="5"/>
    </row>
    <row r="64" spans="1:13" x14ac:dyDescent="0.25">
      <c r="A64" s="50"/>
      <c r="B64" s="76"/>
      <c r="C64" s="77"/>
      <c r="D64" s="50"/>
      <c r="E64" s="50"/>
      <c r="F64" s="50"/>
      <c r="G64" s="50"/>
      <c r="H64" s="48"/>
      <c r="I64" s="52"/>
      <c r="J64" s="353"/>
      <c r="K64" s="483"/>
      <c r="L64" s="483"/>
      <c r="M64" s="483"/>
    </row>
    <row r="65" spans="1:13" x14ac:dyDescent="0.25">
      <c r="A65" s="50"/>
      <c r="B65" s="76"/>
      <c r="C65" s="77"/>
      <c r="D65" s="50"/>
      <c r="E65" s="50"/>
      <c r="F65" s="50"/>
      <c r="G65" s="50"/>
      <c r="H65" s="48"/>
      <c r="I65" s="52"/>
      <c r="J65" s="353"/>
      <c r="K65" s="483"/>
      <c r="L65" s="483"/>
      <c r="M65" s="483"/>
    </row>
    <row r="66" spans="1:13" x14ac:dyDescent="0.25">
      <c r="A66" s="50"/>
      <c r="B66" s="76"/>
      <c r="C66" s="77"/>
      <c r="D66" s="50"/>
      <c r="E66" s="50"/>
      <c r="F66" s="50"/>
      <c r="G66" s="50"/>
      <c r="H66" s="48"/>
      <c r="I66" s="52"/>
      <c r="J66" s="353"/>
      <c r="K66" s="483"/>
      <c r="L66" s="483"/>
      <c r="M66" s="483"/>
    </row>
    <row r="67" spans="1:13" x14ac:dyDescent="0.25">
      <c r="A67" s="50"/>
      <c r="B67" s="76"/>
      <c r="C67" s="77"/>
      <c r="D67" s="50"/>
      <c r="E67" s="50"/>
      <c r="F67" s="50"/>
      <c r="G67" s="50"/>
      <c r="H67" s="48"/>
      <c r="I67" s="52"/>
      <c r="J67" s="353"/>
      <c r="K67" s="483"/>
      <c r="L67" s="483"/>
      <c r="M67" s="483"/>
    </row>
    <row r="68" spans="1:13" x14ac:dyDescent="0.25">
      <c r="A68" s="50"/>
      <c r="B68" s="76"/>
      <c r="C68" s="77"/>
      <c r="D68" s="50"/>
      <c r="E68" s="50"/>
      <c r="F68" s="50"/>
      <c r="G68" s="50"/>
      <c r="H68" s="48"/>
      <c r="I68" s="52"/>
      <c r="J68" s="353"/>
      <c r="K68" s="483"/>
      <c r="L68" s="483"/>
      <c r="M68" s="483"/>
    </row>
    <row r="69" spans="1:13" x14ac:dyDescent="0.25">
      <c r="A69" s="29"/>
      <c r="B69" s="74"/>
      <c r="C69" s="75"/>
      <c r="D69" s="29"/>
      <c r="E69" s="29"/>
      <c r="F69" s="29"/>
      <c r="G69" s="29"/>
      <c r="H69" s="27"/>
      <c r="I69" s="33"/>
      <c r="J69" s="322"/>
      <c r="K69" s="5"/>
      <c r="L69" s="5"/>
      <c r="M69" s="5"/>
    </row>
    <row r="70" spans="1:13" x14ac:dyDescent="0.25">
      <c r="A70" s="29"/>
      <c r="B70" s="74"/>
      <c r="C70" s="75"/>
      <c r="D70" s="29"/>
      <c r="E70" s="29"/>
      <c r="F70" s="29"/>
      <c r="G70" s="29"/>
      <c r="H70" s="27"/>
      <c r="I70" s="33"/>
      <c r="J70" s="322"/>
      <c r="K70" s="5"/>
      <c r="L70" s="5"/>
      <c r="M70" s="5"/>
    </row>
    <row r="71" spans="1:13" x14ac:dyDescent="0.25">
      <c r="A71" s="29"/>
      <c r="B71" s="74"/>
      <c r="C71" s="75"/>
      <c r="D71" s="29"/>
      <c r="E71" s="29"/>
      <c r="F71" s="29"/>
      <c r="G71" s="29"/>
      <c r="H71" s="27"/>
      <c r="I71" s="33"/>
      <c r="J71" s="322"/>
      <c r="K71" s="5"/>
      <c r="L71" s="5"/>
      <c r="M71" s="5"/>
    </row>
    <row r="72" spans="1:13" x14ac:dyDescent="0.25">
      <c r="A72" s="29"/>
      <c r="B72" s="74"/>
      <c r="C72" s="75"/>
      <c r="D72" s="29"/>
      <c r="E72" s="29"/>
      <c r="F72" s="29"/>
      <c r="G72" s="29"/>
      <c r="H72" s="27"/>
      <c r="I72" s="33"/>
      <c r="J72" s="322"/>
      <c r="K72" s="5"/>
      <c r="L72" s="5"/>
      <c r="M72" s="5"/>
    </row>
    <row r="73" spans="1:13" x14ac:dyDescent="0.25">
      <c r="A73" s="29"/>
      <c r="B73" s="74"/>
      <c r="C73" s="75"/>
      <c r="D73" s="29"/>
      <c r="E73" s="29"/>
      <c r="F73" s="29"/>
      <c r="G73" s="29"/>
      <c r="H73" s="27"/>
      <c r="I73" s="33"/>
      <c r="J73" s="322"/>
      <c r="K73" s="5"/>
      <c r="L73" s="5"/>
      <c r="M73" s="5"/>
    </row>
    <row r="74" spans="1:13" x14ac:dyDescent="0.25">
      <c r="A74" s="50"/>
      <c r="B74" s="76"/>
      <c r="C74" s="77"/>
      <c r="D74" s="50"/>
      <c r="E74" s="50"/>
      <c r="F74" s="50"/>
      <c r="G74" s="50"/>
      <c r="H74" s="48"/>
      <c r="I74" s="52"/>
      <c r="J74" s="353"/>
      <c r="K74" s="483"/>
      <c r="L74" s="483"/>
      <c r="M74" s="483"/>
    </row>
    <row r="75" spans="1:13" x14ac:dyDescent="0.25">
      <c r="A75" s="50"/>
      <c r="B75" s="76"/>
      <c r="C75" s="77"/>
      <c r="D75" s="50"/>
      <c r="E75" s="50"/>
      <c r="F75" s="50"/>
      <c r="G75" s="50"/>
      <c r="H75" s="48"/>
      <c r="I75" s="52"/>
      <c r="J75" s="353"/>
      <c r="K75" s="483"/>
      <c r="L75" s="483"/>
      <c r="M75" s="483"/>
    </row>
    <row r="76" spans="1:13" x14ac:dyDescent="0.25">
      <c r="A76" s="50"/>
      <c r="B76" s="76"/>
      <c r="C76" s="77"/>
      <c r="D76" s="50"/>
      <c r="E76" s="50"/>
      <c r="F76" s="50"/>
      <c r="G76" s="50"/>
      <c r="H76" s="48"/>
      <c r="I76" s="52"/>
      <c r="J76" s="353"/>
      <c r="K76" s="483"/>
      <c r="L76" s="483"/>
      <c r="M76" s="483"/>
    </row>
    <row r="77" spans="1:13" x14ac:dyDescent="0.25">
      <c r="A77" s="50"/>
      <c r="B77" s="76"/>
      <c r="C77" s="77"/>
      <c r="D77" s="50"/>
      <c r="E77" s="50"/>
      <c r="F77" s="50"/>
      <c r="G77" s="50"/>
      <c r="H77" s="48"/>
      <c r="I77" s="52"/>
      <c r="J77" s="353"/>
      <c r="K77" s="483"/>
      <c r="L77" s="483"/>
      <c r="M77" s="483"/>
    </row>
    <row r="78" spans="1:13" x14ac:dyDescent="0.25">
      <c r="A78" s="50"/>
      <c r="B78" s="76"/>
      <c r="C78" s="77"/>
      <c r="D78" s="50"/>
      <c r="E78" s="50"/>
      <c r="F78" s="50"/>
      <c r="G78" s="50"/>
      <c r="H78" s="48"/>
      <c r="I78" s="52"/>
      <c r="J78" s="353"/>
      <c r="K78" s="483"/>
      <c r="L78" s="483"/>
      <c r="M78" s="483"/>
    </row>
    <row r="79" spans="1:13" x14ac:dyDescent="0.25">
      <c r="A79" s="29"/>
      <c r="B79" s="74"/>
      <c r="C79" s="75"/>
      <c r="D79" s="29"/>
      <c r="E79" s="29"/>
      <c r="F79" s="29"/>
      <c r="G79" s="29"/>
      <c r="H79" s="27"/>
      <c r="I79" s="33"/>
      <c r="J79" s="322"/>
      <c r="K79" s="5"/>
      <c r="L79" s="5"/>
      <c r="M79" s="5"/>
    </row>
    <row r="80" spans="1:13" x14ac:dyDescent="0.25">
      <c r="A80" s="29"/>
      <c r="B80" s="74"/>
      <c r="C80" s="75"/>
      <c r="D80" s="29"/>
      <c r="E80" s="29"/>
      <c r="F80" s="29"/>
      <c r="G80" s="29"/>
      <c r="H80" s="27"/>
      <c r="I80" s="33"/>
      <c r="J80" s="322"/>
      <c r="K80" s="5"/>
      <c r="L80" s="5"/>
      <c r="M80" s="5"/>
    </row>
    <row r="81" spans="1:13" x14ac:dyDescent="0.25">
      <c r="A81" s="29"/>
      <c r="B81" s="74"/>
      <c r="C81" s="75"/>
      <c r="D81" s="29"/>
      <c r="E81" s="29"/>
      <c r="F81" s="29"/>
      <c r="G81" s="29"/>
      <c r="H81" s="27"/>
      <c r="I81" s="33"/>
      <c r="J81" s="322"/>
      <c r="K81" s="5"/>
      <c r="L81" s="5"/>
      <c r="M81" s="5"/>
    </row>
    <row r="82" spans="1:13" x14ac:dyDescent="0.25">
      <c r="A82" s="29"/>
      <c r="B82" s="74"/>
      <c r="C82" s="75"/>
      <c r="D82" s="29"/>
      <c r="E82" s="29"/>
      <c r="F82" s="29"/>
      <c r="G82" s="29"/>
      <c r="H82" s="27"/>
      <c r="I82" s="33"/>
      <c r="J82" s="322"/>
      <c r="K82" s="5"/>
      <c r="L82" s="5"/>
      <c r="M82" s="5"/>
    </row>
    <row r="83" spans="1:13" x14ac:dyDescent="0.25">
      <c r="A83" s="29"/>
      <c r="B83" s="74"/>
      <c r="C83" s="75"/>
      <c r="D83" s="29"/>
      <c r="E83" s="29"/>
      <c r="F83" s="29"/>
      <c r="G83" s="29"/>
      <c r="H83" s="27"/>
      <c r="I83" s="33"/>
      <c r="J83" s="322"/>
      <c r="K83" s="5"/>
      <c r="L83" s="5"/>
      <c r="M83" s="5"/>
    </row>
    <row r="84" spans="1:13" x14ac:dyDescent="0.25">
      <c r="A84" s="50"/>
      <c r="B84" s="76"/>
      <c r="C84" s="77"/>
      <c r="D84" s="50"/>
      <c r="E84" s="50"/>
      <c r="F84" s="50"/>
      <c r="G84" s="50"/>
      <c r="H84" s="48"/>
      <c r="I84" s="52"/>
      <c r="J84" s="353"/>
      <c r="K84" s="483"/>
      <c r="L84" s="483"/>
      <c r="M84" s="483"/>
    </row>
    <row r="85" spans="1:13" x14ac:dyDescent="0.25">
      <c r="A85" s="50"/>
      <c r="B85" s="76"/>
      <c r="C85" s="77"/>
      <c r="D85" s="50"/>
      <c r="E85" s="50"/>
      <c r="F85" s="50"/>
      <c r="G85" s="50"/>
      <c r="H85" s="48"/>
      <c r="I85" s="52"/>
      <c r="J85" s="353"/>
      <c r="K85" s="483"/>
      <c r="L85" s="483"/>
      <c r="M85" s="483"/>
    </row>
    <row r="86" spans="1:13" x14ac:dyDescent="0.25">
      <c r="A86" s="50"/>
      <c r="B86" s="76"/>
      <c r="C86" s="77"/>
      <c r="D86" s="50"/>
      <c r="E86" s="50"/>
      <c r="F86" s="50"/>
      <c r="G86" s="50"/>
      <c r="H86" s="48"/>
      <c r="I86" s="52"/>
      <c r="J86" s="353"/>
      <c r="K86" s="483"/>
      <c r="L86" s="483"/>
      <c r="M86" s="483"/>
    </row>
    <row r="87" spans="1:13" x14ac:dyDescent="0.25">
      <c r="A87" s="50"/>
      <c r="B87" s="76"/>
      <c r="C87" s="77"/>
      <c r="D87" s="50"/>
      <c r="E87" s="50"/>
      <c r="F87" s="50"/>
      <c r="G87" s="50"/>
      <c r="H87" s="48"/>
      <c r="I87" s="52"/>
      <c r="J87" s="353"/>
      <c r="K87" s="483"/>
      <c r="L87" s="483"/>
      <c r="M87" s="483"/>
    </row>
    <row r="88" spans="1:13" x14ac:dyDescent="0.25">
      <c r="A88" s="50"/>
      <c r="B88" s="76"/>
      <c r="C88" s="77"/>
      <c r="D88" s="50"/>
      <c r="E88" s="50"/>
      <c r="F88" s="50"/>
      <c r="G88" s="50"/>
      <c r="H88" s="48"/>
      <c r="I88" s="52"/>
      <c r="J88" s="353"/>
      <c r="K88" s="483"/>
      <c r="L88" s="483"/>
      <c r="M88" s="483"/>
    </row>
    <row r="89" spans="1:13" x14ac:dyDescent="0.25">
      <c r="A89" s="29"/>
      <c r="B89" s="74"/>
      <c r="C89" s="75"/>
      <c r="D89" s="29"/>
      <c r="E89" s="29"/>
      <c r="F89" s="29"/>
      <c r="G89" s="29"/>
      <c r="H89" s="27"/>
      <c r="I89" s="33"/>
      <c r="J89" s="322"/>
      <c r="K89" s="5"/>
      <c r="L89" s="5"/>
      <c r="M89" s="5"/>
    </row>
    <row r="90" spans="1:13" x14ac:dyDescent="0.25">
      <c r="A90" s="29"/>
      <c r="B90" s="74"/>
      <c r="C90" s="75"/>
      <c r="D90" s="29"/>
      <c r="E90" s="29"/>
      <c r="F90" s="29"/>
      <c r="G90" s="29"/>
      <c r="H90" s="27"/>
      <c r="I90" s="33"/>
      <c r="J90" s="322"/>
      <c r="K90" s="5"/>
      <c r="L90" s="5"/>
      <c r="M90" s="5"/>
    </row>
    <row r="91" spans="1:13" x14ac:dyDescent="0.25">
      <c r="A91" s="29"/>
      <c r="B91" s="74"/>
      <c r="C91" s="75"/>
      <c r="D91" s="29"/>
      <c r="E91" s="29"/>
      <c r="F91" s="29"/>
      <c r="G91" s="29"/>
      <c r="H91" s="27"/>
      <c r="I91" s="33"/>
      <c r="J91" s="322"/>
      <c r="K91" s="5"/>
      <c r="L91" s="5"/>
      <c r="M91" s="5"/>
    </row>
    <row r="92" spans="1:13" x14ac:dyDescent="0.25">
      <c r="A92" s="29"/>
      <c r="B92" s="74"/>
      <c r="C92" s="75"/>
      <c r="D92" s="29"/>
      <c r="E92" s="29"/>
      <c r="F92" s="29"/>
      <c r="G92" s="29"/>
      <c r="H92" s="27"/>
      <c r="I92" s="33"/>
      <c r="J92" s="322"/>
      <c r="K92" s="5"/>
      <c r="L92" s="5"/>
      <c r="M92" s="5"/>
    </row>
    <row r="93" spans="1:13" x14ac:dyDescent="0.25">
      <c r="A93" s="29"/>
      <c r="B93" s="74"/>
      <c r="C93" s="75"/>
      <c r="D93" s="29"/>
      <c r="E93" s="29"/>
      <c r="F93" s="29"/>
      <c r="G93" s="29"/>
      <c r="H93" s="27"/>
      <c r="I93" s="33"/>
      <c r="J93" s="322"/>
      <c r="K93" s="5"/>
      <c r="L93" s="5"/>
      <c r="M93" s="5"/>
    </row>
    <row r="94" spans="1:13" x14ac:dyDescent="0.25">
      <c r="A94" s="50"/>
      <c r="B94" s="76"/>
      <c r="C94" s="77"/>
      <c r="D94" s="50"/>
      <c r="E94" s="50"/>
      <c r="F94" s="50"/>
      <c r="G94" s="50"/>
      <c r="H94" s="48"/>
      <c r="I94" s="52"/>
      <c r="J94" s="353"/>
      <c r="K94" s="483"/>
      <c r="L94" s="483"/>
      <c r="M94" s="483"/>
    </row>
    <row r="95" spans="1:13" x14ac:dyDescent="0.25">
      <c r="A95" s="50"/>
      <c r="B95" s="76"/>
      <c r="C95" s="77"/>
      <c r="D95" s="50"/>
      <c r="E95" s="50"/>
      <c r="F95" s="50"/>
      <c r="G95" s="50"/>
      <c r="H95" s="48"/>
      <c r="I95" s="52"/>
      <c r="J95" s="353"/>
      <c r="K95" s="483"/>
      <c r="L95" s="483"/>
      <c r="M95" s="483"/>
    </row>
    <row r="96" spans="1:13" x14ac:dyDescent="0.25">
      <c r="A96" s="50"/>
      <c r="B96" s="76"/>
      <c r="C96" s="77"/>
      <c r="D96" s="50"/>
      <c r="E96" s="50"/>
      <c r="F96" s="50"/>
      <c r="G96" s="50"/>
      <c r="H96" s="48"/>
      <c r="I96" s="52"/>
      <c r="J96" s="353"/>
      <c r="K96" s="483"/>
      <c r="L96" s="483"/>
      <c r="M96" s="483"/>
    </row>
    <row r="97" spans="1:13" x14ac:dyDescent="0.25">
      <c r="A97" s="50"/>
      <c r="B97" s="76"/>
      <c r="C97" s="77"/>
      <c r="D97" s="50"/>
      <c r="E97" s="50"/>
      <c r="F97" s="50"/>
      <c r="G97" s="50"/>
      <c r="H97" s="48"/>
      <c r="I97" s="52"/>
      <c r="J97" s="353"/>
      <c r="K97" s="483"/>
      <c r="L97" s="483"/>
      <c r="M97" s="483"/>
    </row>
    <row r="98" spans="1:13" x14ac:dyDescent="0.25">
      <c r="A98" s="50"/>
      <c r="B98" s="76"/>
      <c r="C98" s="77"/>
      <c r="D98" s="50"/>
      <c r="E98" s="50"/>
      <c r="F98" s="50"/>
      <c r="G98" s="50"/>
      <c r="H98" s="48"/>
      <c r="I98" s="52"/>
      <c r="J98" s="353"/>
      <c r="K98" s="483"/>
      <c r="L98" s="483"/>
      <c r="M98" s="483"/>
    </row>
    <row r="99" spans="1:13" x14ac:dyDescent="0.25">
      <c r="A99" s="29"/>
      <c r="B99" s="74"/>
      <c r="C99" s="75"/>
      <c r="D99" s="29"/>
      <c r="E99" s="29"/>
      <c r="F99" s="29"/>
      <c r="G99" s="29"/>
      <c r="H99" s="27"/>
      <c r="I99" s="33"/>
      <c r="J99" s="322"/>
      <c r="K99" s="5"/>
      <c r="L99" s="5"/>
      <c r="M99" s="5"/>
    </row>
    <row r="100" spans="1:13" x14ac:dyDescent="0.25">
      <c r="A100" s="29"/>
      <c r="B100" s="74"/>
      <c r="C100" s="75"/>
      <c r="D100" s="29"/>
      <c r="E100" s="29"/>
      <c r="F100" s="29"/>
      <c r="G100" s="29"/>
      <c r="H100" s="27"/>
      <c r="I100" s="33"/>
      <c r="J100" s="322"/>
      <c r="K100" s="5"/>
      <c r="L100" s="5"/>
      <c r="M100" s="5"/>
    </row>
    <row r="101" spans="1:13" x14ac:dyDescent="0.25">
      <c r="A101" s="29"/>
      <c r="B101" s="74"/>
      <c r="C101" s="75"/>
      <c r="D101" s="29"/>
      <c r="E101" s="29"/>
      <c r="F101" s="29"/>
      <c r="G101" s="29"/>
      <c r="H101" s="27"/>
      <c r="I101" s="33"/>
      <c r="J101" s="322"/>
      <c r="K101" s="5"/>
      <c r="L101" s="5"/>
      <c r="M101" s="5"/>
    </row>
    <row r="102" spans="1:13" x14ac:dyDescent="0.25">
      <c r="A102" s="29"/>
      <c r="B102" s="74"/>
      <c r="C102" s="75"/>
      <c r="D102" s="29"/>
      <c r="E102" s="29"/>
      <c r="F102" s="29"/>
      <c r="G102" s="29"/>
      <c r="H102" s="27"/>
      <c r="I102" s="33"/>
      <c r="J102" s="322"/>
      <c r="K102" s="5"/>
      <c r="L102" s="5"/>
      <c r="M102" s="5"/>
    </row>
    <row r="103" spans="1:13" x14ac:dyDescent="0.25">
      <c r="A103" s="29"/>
      <c r="B103" s="74"/>
      <c r="C103" s="75"/>
      <c r="D103" s="29"/>
      <c r="E103" s="29"/>
      <c r="F103" s="29"/>
      <c r="G103" s="29"/>
      <c r="H103" s="27"/>
      <c r="I103" s="33"/>
      <c r="J103" s="322"/>
      <c r="K103" s="5"/>
      <c r="L103" s="5"/>
      <c r="M103" s="5"/>
    </row>
    <row r="104" spans="1:13" x14ac:dyDescent="0.25">
      <c r="A104" s="50"/>
      <c r="B104" s="76"/>
      <c r="C104" s="77"/>
      <c r="D104" s="50"/>
      <c r="E104" s="50"/>
      <c r="F104" s="50"/>
      <c r="G104" s="50"/>
      <c r="H104" s="48"/>
      <c r="I104" s="52"/>
      <c r="J104" s="353"/>
      <c r="K104" s="483"/>
      <c r="L104" s="483"/>
      <c r="M104" s="483"/>
    </row>
    <row r="105" spans="1:13" x14ac:dyDescent="0.25">
      <c r="A105" s="50"/>
      <c r="B105" s="76"/>
      <c r="C105" s="77"/>
      <c r="D105" s="50"/>
      <c r="E105" s="50"/>
      <c r="F105" s="50"/>
      <c r="G105" s="50"/>
      <c r="H105" s="48"/>
      <c r="I105" s="52"/>
      <c r="J105" s="353"/>
      <c r="K105" s="483"/>
      <c r="L105" s="483"/>
      <c r="M105" s="483"/>
    </row>
    <row r="106" spans="1:13" x14ac:dyDescent="0.25">
      <c r="A106" s="50"/>
      <c r="B106" s="76"/>
      <c r="C106" s="77"/>
      <c r="D106" s="50"/>
      <c r="E106" s="50"/>
      <c r="F106" s="50"/>
      <c r="G106" s="50"/>
      <c r="H106" s="48"/>
      <c r="I106" s="52"/>
      <c r="J106" s="353"/>
      <c r="K106" s="483"/>
      <c r="L106" s="483"/>
      <c r="M106" s="483"/>
    </row>
    <row r="107" spans="1:13" x14ac:dyDescent="0.25">
      <c r="A107" s="50"/>
      <c r="B107" s="76"/>
      <c r="C107" s="77"/>
      <c r="D107" s="50"/>
      <c r="E107" s="50"/>
      <c r="F107" s="50"/>
      <c r="G107" s="50"/>
      <c r="H107" s="48"/>
      <c r="I107" s="52"/>
      <c r="J107" s="353"/>
      <c r="K107" s="483"/>
      <c r="L107" s="483"/>
      <c r="M107" s="483"/>
    </row>
    <row r="108" spans="1:13" x14ac:dyDescent="0.25">
      <c r="A108" s="50"/>
      <c r="B108" s="76"/>
      <c r="C108" s="77"/>
      <c r="D108" s="50"/>
      <c r="E108" s="50"/>
      <c r="F108" s="50"/>
      <c r="G108" s="50"/>
      <c r="H108" s="48"/>
      <c r="I108" s="52"/>
      <c r="J108" s="353"/>
      <c r="K108" s="483"/>
      <c r="L108" s="483"/>
      <c r="M108" s="483"/>
    </row>
    <row r="109" spans="1:13" x14ac:dyDescent="0.25">
      <c r="A109" s="29"/>
      <c r="B109" s="74"/>
      <c r="C109" s="75"/>
      <c r="D109" s="29"/>
      <c r="E109" s="29"/>
      <c r="F109" s="29"/>
      <c r="G109" s="29"/>
      <c r="H109" s="27"/>
      <c r="I109" s="33"/>
      <c r="J109" s="322"/>
      <c r="K109" s="5"/>
      <c r="L109" s="5"/>
      <c r="M109" s="5"/>
    </row>
    <row r="110" spans="1:13" x14ac:dyDescent="0.25">
      <c r="A110" s="29"/>
      <c r="B110" s="74"/>
      <c r="C110" s="75"/>
      <c r="D110" s="29"/>
      <c r="E110" s="29"/>
      <c r="F110" s="29"/>
      <c r="G110" s="29"/>
      <c r="H110" s="27"/>
      <c r="I110" s="33"/>
      <c r="J110" s="322"/>
      <c r="K110" s="5"/>
      <c r="L110" s="5"/>
      <c r="M110" s="5"/>
    </row>
    <row r="111" spans="1:13" x14ac:dyDescent="0.25">
      <c r="A111" s="29"/>
      <c r="B111" s="74"/>
      <c r="C111" s="75"/>
      <c r="D111" s="29"/>
      <c r="E111" s="29"/>
      <c r="F111" s="29"/>
      <c r="G111" s="29"/>
      <c r="H111" s="27"/>
      <c r="I111" s="33"/>
      <c r="J111" s="322"/>
      <c r="K111" s="5"/>
      <c r="L111" s="5"/>
      <c r="M111" s="5"/>
    </row>
    <row r="112" spans="1:13" x14ac:dyDescent="0.25">
      <c r="A112" s="29"/>
      <c r="B112" s="74"/>
      <c r="C112" s="75"/>
      <c r="D112" s="29"/>
      <c r="E112" s="29"/>
      <c r="F112" s="29"/>
      <c r="G112" s="29"/>
      <c r="H112" s="27"/>
      <c r="I112" s="33"/>
      <c r="J112" s="322"/>
      <c r="K112" s="5"/>
      <c r="L112" s="5"/>
      <c r="M112" s="5"/>
    </row>
    <row r="113" spans="1:13" x14ac:dyDescent="0.25">
      <c r="A113" s="29"/>
      <c r="B113" s="74"/>
      <c r="C113" s="75"/>
      <c r="D113" s="29"/>
      <c r="E113" s="29"/>
      <c r="F113" s="29"/>
      <c r="G113" s="29"/>
      <c r="H113" s="27"/>
      <c r="I113" s="33"/>
      <c r="J113" s="322"/>
      <c r="K113" s="5"/>
      <c r="L113" s="5"/>
      <c r="M113" s="5"/>
    </row>
    <row r="114" spans="1:13" x14ac:dyDescent="0.25">
      <c r="A114" s="50"/>
      <c r="B114" s="76"/>
      <c r="C114" s="77"/>
      <c r="D114" s="50"/>
      <c r="E114" s="50"/>
      <c r="F114" s="50"/>
      <c r="G114" s="50"/>
      <c r="H114" s="48"/>
      <c r="I114" s="52"/>
      <c r="J114" s="353"/>
      <c r="K114" s="483"/>
      <c r="L114" s="483"/>
      <c r="M114" s="483"/>
    </row>
    <row r="115" spans="1:13" x14ac:dyDescent="0.25">
      <c r="A115" s="50"/>
      <c r="B115" s="76"/>
      <c r="C115" s="77"/>
      <c r="D115" s="50"/>
      <c r="E115" s="50"/>
      <c r="F115" s="50"/>
      <c r="G115" s="50"/>
      <c r="H115" s="48"/>
      <c r="I115" s="52"/>
      <c r="J115" s="353"/>
      <c r="K115" s="483"/>
      <c r="L115" s="483"/>
      <c r="M115" s="483"/>
    </row>
    <row r="116" spans="1:13" x14ac:dyDescent="0.25">
      <c r="A116" s="50"/>
      <c r="B116" s="76"/>
      <c r="C116" s="77"/>
      <c r="D116" s="50"/>
      <c r="E116" s="50"/>
      <c r="F116" s="50"/>
      <c r="G116" s="50"/>
      <c r="H116" s="48"/>
      <c r="I116" s="52"/>
      <c r="J116" s="353"/>
      <c r="K116" s="483"/>
      <c r="L116" s="483"/>
      <c r="M116" s="483"/>
    </row>
    <row r="117" spans="1:13" x14ac:dyDescent="0.25">
      <c r="A117" s="50"/>
      <c r="B117" s="76"/>
      <c r="C117" s="77"/>
      <c r="D117" s="50"/>
      <c r="E117" s="50"/>
      <c r="F117" s="50"/>
      <c r="G117" s="50"/>
      <c r="H117" s="48"/>
      <c r="I117" s="52"/>
      <c r="J117" s="353"/>
      <c r="K117" s="483"/>
      <c r="L117" s="483"/>
      <c r="M117" s="483"/>
    </row>
    <row r="118" spans="1:13" x14ac:dyDescent="0.25">
      <c r="A118" s="50"/>
      <c r="B118" s="76"/>
      <c r="C118" s="77"/>
      <c r="D118" s="50"/>
      <c r="E118" s="50"/>
      <c r="F118" s="50"/>
      <c r="G118" s="50"/>
      <c r="H118" s="48"/>
      <c r="I118" s="52"/>
      <c r="J118" s="353"/>
      <c r="K118" s="483"/>
      <c r="L118" s="483"/>
      <c r="M118" s="483"/>
    </row>
    <row r="119" spans="1:13" x14ac:dyDescent="0.25">
      <c r="A119" s="29"/>
      <c r="B119" s="74"/>
      <c r="C119" s="75"/>
      <c r="D119" s="29"/>
      <c r="E119" s="29"/>
      <c r="F119" s="29"/>
      <c r="G119" s="29"/>
      <c r="H119" s="27"/>
      <c r="I119" s="33"/>
      <c r="J119" s="322"/>
      <c r="K119" s="5"/>
      <c r="L119" s="5"/>
      <c r="M119" s="5"/>
    </row>
    <row r="120" spans="1:13" x14ac:dyDescent="0.25">
      <c r="A120" s="29"/>
      <c r="B120" s="74"/>
      <c r="C120" s="75"/>
      <c r="D120" s="29"/>
      <c r="E120" s="29"/>
      <c r="F120" s="29"/>
      <c r="G120" s="29"/>
      <c r="H120" s="27"/>
      <c r="I120" s="33"/>
      <c r="J120" s="322"/>
      <c r="K120" s="5"/>
      <c r="L120" s="5"/>
      <c r="M120" s="5"/>
    </row>
    <row r="121" spans="1:13" x14ac:dyDescent="0.25">
      <c r="A121" s="29"/>
      <c r="B121" s="74"/>
      <c r="C121" s="75"/>
      <c r="D121" s="29"/>
      <c r="E121" s="29"/>
      <c r="F121" s="29"/>
      <c r="G121" s="29"/>
      <c r="H121" s="27"/>
      <c r="I121" s="33"/>
      <c r="J121" s="322"/>
      <c r="K121" s="5"/>
      <c r="L121" s="5"/>
      <c r="M121" s="5"/>
    </row>
    <row r="122" spans="1:13" x14ac:dyDescent="0.25">
      <c r="A122" s="29"/>
      <c r="B122" s="74"/>
      <c r="C122" s="75"/>
      <c r="D122" s="29"/>
      <c r="E122" s="29"/>
      <c r="F122" s="29"/>
      <c r="G122" s="29"/>
      <c r="H122" s="27"/>
      <c r="I122" s="33"/>
      <c r="J122" s="322"/>
      <c r="K122" s="5"/>
      <c r="L122" s="5"/>
      <c r="M122" s="5"/>
    </row>
    <row r="123" spans="1:13" x14ac:dyDescent="0.25">
      <c r="A123" s="29"/>
      <c r="B123" s="74"/>
      <c r="C123" s="75"/>
      <c r="D123" s="29"/>
      <c r="E123" s="29"/>
      <c r="F123" s="29"/>
      <c r="G123" s="29"/>
      <c r="H123" s="27"/>
      <c r="I123" s="33"/>
      <c r="J123" s="322"/>
      <c r="K123" s="5"/>
      <c r="L123" s="5"/>
      <c r="M123" s="5"/>
    </row>
    <row r="124" spans="1:13" x14ac:dyDescent="0.25">
      <c r="A124" s="50"/>
      <c r="B124" s="76"/>
      <c r="C124" s="77"/>
      <c r="D124" s="50"/>
      <c r="E124" s="50"/>
      <c r="F124" s="50"/>
      <c r="G124" s="50"/>
      <c r="H124" s="48"/>
      <c r="I124" s="52"/>
      <c r="J124" s="353"/>
      <c r="K124" s="483"/>
      <c r="L124" s="483"/>
      <c r="M124" s="483"/>
    </row>
    <row r="125" spans="1:13" x14ac:dyDescent="0.25">
      <c r="A125" s="50"/>
      <c r="B125" s="76"/>
      <c r="C125" s="77"/>
      <c r="D125" s="50"/>
      <c r="E125" s="50"/>
      <c r="F125" s="50"/>
      <c r="G125" s="50"/>
      <c r="H125" s="48"/>
      <c r="I125" s="52"/>
      <c r="J125" s="353"/>
      <c r="K125" s="483"/>
      <c r="L125" s="483"/>
      <c r="M125" s="483"/>
    </row>
    <row r="126" spans="1:13" x14ac:dyDescent="0.25">
      <c r="A126" s="50"/>
      <c r="B126" s="76"/>
      <c r="C126" s="77"/>
      <c r="D126" s="50"/>
      <c r="E126" s="50"/>
      <c r="F126" s="50"/>
      <c r="G126" s="50"/>
      <c r="H126" s="48"/>
      <c r="I126" s="52"/>
      <c r="J126" s="353"/>
      <c r="K126" s="483"/>
      <c r="L126" s="483"/>
      <c r="M126" s="483"/>
    </row>
    <row r="127" spans="1:13" x14ac:dyDescent="0.25">
      <c r="A127" s="50"/>
      <c r="B127" s="76"/>
      <c r="C127" s="77"/>
      <c r="D127" s="50"/>
      <c r="E127" s="50"/>
      <c r="F127" s="50"/>
      <c r="G127" s="50"/>
      <c r="H127" s="48"/>
      <c r="I127" s="52"/>
      <c r="J127" s="353"/>
      <c r="K127" s="483"/>
      <c r="L127" s="483"/>
      <c r="M127" s="483"/>
    </row>
    <row r="128" spans="1:13" x14ac:dyDescent="0.25">
      <c r="A128" s="50"/>
      <c r="B128" s="76"/>
      <c r="C128" s="77"/>
      <c r="D128" s="50"/>
      <c r="E128" s="50"/>
      <c r="F128" s="50"/>
      <c r="G128" s="50"/>
      <c r="H128" s="48"/>
      <c r="I128" s="52"/>
      <c r="J128" s="353"/>
      <c r="K128" s="483"/>
      <c r="L128" s="483"/>
      <c r="M128" s="483"/>
    </row>
    <row r="129" spans="1:13" x14ac:dyDescent="0.25">
      <c r="A129" s="29"/>
      <c r="B129" s="74"/>
      <c r="C129" s="75"/>
      <c r="D129" s="29"/>
      <c r="E129" s="29"/>
      <c r="F129" s="29"/>
      <c r="G129" s="29"/>
      <c r="H129" s="27"/>
      <c r="I129" s="33"/>
      <c r="J129" s="322"/>
      <c r="K129" s="5"/>
      <c r="L129" s="5"/>
      <c r="M129" s="5"/>
    </row>
    <row r="130" spans="1:13" x14ac:dyDescent="0.25">
      <c r="A130" s="29"/>
      <c r="B130" s="74"/>
      <c r="C130" s="75"/>
      <c r="D130" s="29"/>
      <c r="E130" s="29"/>
      <c r="F130" s="29"/>
      <c r="G130" s="29"/>
      <c r="H130" s="27"/>
      <c r="I130" s="33"/>
      <c r="J130" s="322"/>
      <c r="K130" s="5"/>
      <c r="L130" s="5"/>
      <c r="M130" s="5"/>
    </row>
    <row r="131" spans="1:13" x14ac:dyDescent="0.25">
      <c r="A131" s="29"/>
      <c r="B131" s="74"/>
      <c r="C131" s="75"/>
      <c r="D131" s="29"/>
      <c r="E131" s="29"/>
      <c r="F131" s="29"/>
      <c r="G131" s="29"/>
      <c r="H131" s="27"/>
      <c r="I131" s="33"/>
      <c r="J131" s="322"/>
      <c r="K131" s="5"/>
      <c r="L131" s="5"/>
      <c r="M131" s="5"/>
    </row>
    <row r="132" spans="1:13" x14ac:dyDescent="0.25">
      <c r="A132" s="29"/>
      <c r="B132" s="74"/>
      <c r="C132" s="75"/>
      <c r="D132" s="29"/>
      <c r="E132" s="29"/>
      <c r="F132" s="29"/>
      <c r="G132" s="29"/>
      <c r="H132" s="27"/>
      <c r="I132" s="33"/>
      <c r="J132" s="322"/>
      <c r="K132" s="5"/>
      <c r="L132" s="5"/>
      <c r="M132" s="5"/>
    </row>
    <row r="133" spans="1:13" x14ac:dyDescent="0.25">
      <c r="A133" s="29"/>
      <c r="B133" s="74"/>
      <c r="C133" s="75"/>
      <c r="D133" s="29"/>
      <c r="E133" s="29"/>
      <c r="F133" s="29"/>
      <c r="G133" s="29"/>
      <c r="H133" s="27"/>
      <c r="I133" s="33"/>
      <c r="J133" s="322"/>
      <c r="K133" s="5"/>
      <c r="L133" s="5"/>
      <c r="M133" s="5"/>
    </row>
    <row r="134" spans="1:13" x14ac:dyDescent="0.25">
      <c r="A134" s="50"/>
      <c r="B134" s="76"/>
      <c r="C134" s="77"/>
      <c r="D134" s="50"/>
      <c r="E134" s="50"/>
      <c r="F134" s="50"/>
      <c r="G134" s="50"/>
      <c r="H134" s="48"/>
      <c r="I134" s="52"/>
      <c r="J134" s="353"/>
      <c r="K134" s="483"/>
      <c r="L134" s="483"/>
      <c r="M134" s="483"/>
    </row>
    <row r="135" spans="1:13" x14ac:dyDescent="0.25">
      <c r="A135" s="50"/>
      <c r="B135" s="76"/>
      <c r="C135" s="77"/>
      <c r="D135" s="50"/>
      <c r="E135" s="50"/>
      <c r="F135" s="50"/>
      <c r="G135" s="50"/>
      <c r="H135" s="48"/>
      <c r="I135" s="52"/>
      <c r="J135" s="353"/>
      <c r="K135" s="483"/>
      <c r="L135" s="483"/>
      <c r="M135" s="483"/>
    </row>
    <row r="136" spans="1:13" x14ac:dyDescent="0.25">
      <c r="A136" s="50"/>
      <c r="B136" s="76"/>
      <c r="C136" s="77"/>
      <c r="D136" s="50"/>
      <c r="E136" s="50"/>
      <c r="F136" s="50"/>
      <c r="G136" s="50"/>
      <c r="H136" s="48"/>
      <c r="I136" s="52"/>
      <c r="J136" s="353"/>
      <c r="K136" s="483"/>
      <c r="L136" s="483"/>
      <c r="M136" s="483"/>
    </row>
    <row r="137" spans="1:13" x14ac:dyDescent="0.25">
      <c r="A137" s="50"/>
      <c r="B137" s="76"/>
      <c r="C137" s="77"/>
      <c r="D137" s="50"/>
      <c r="E137" s="50"/>
      <c r="F137" s="50"/>
      <c r="G137" s="50"/>
      <c r="H137" s="48"/>
      <c r="I137" s="52"/>
      <c r="J137" s="353"/>
      <c r="K137" s="483"/>
      <c r="L137" s="483"/>
      <c r="M137" s="483"/>
    </row>
    <row r="138" spans="1:13" x14ac:dyDescent="0.25">
      <c r="A138" s="50"/>
      <c r="B138" s="76"/>
      <c r="C138" s="77"/>
      <c r="D138" s="50"/>
      <c r="E138" s="50"/>
      <c r="F138" s="50"/>
      <c r="G138" s="50"/>
      <c r="H138" s="48"/>
      <c r="I138" s="52"/>
      <c r="J138" s="353"/>
      <c r="K138" s="483"/>
      <c r="L138" s="483"/>
      <c r="M138" s="483"/>
    </row>
    <row r="139" spans="1:13" x14ac:dyDescent="0.25">
      <c r="A139" s="29"/>
      <c r="B139" s="74"/>
      <c r="C139" s="75"/>
      <c r="D139" s="29"/>
      <c r="E139" s="29"/>
      <c r="F139" s="29"/>
      <c r="G139" s="29"/>
      <c r="H139" s="27"/>
      <c r="I139" s="33"/>
      <c r="J139" s="322"/>
      <c r="K139" s="5"/>
      <c r="L139" s="5"/>
      <c r="M139" s="5"/>
    </row>
    <row r="140" spans="1:13" x14ac:dyDescent="0.25">
      <c r="A140" s="29"/>
      <c r="B140" s="74"/>
      <c r="C140" s="75"/>
      <c r="D140" s="29"/>
      <c r="E140" s="29"/>
      <c r="F140" s="29"/>
      <c r="G140" s="29"/>
      <c r="H140" s="27"/>
      <c r="I140" s="33"/>
      <c r="J140" s="322"/>
      <c r="K140" s="5"/>
      <c r="L140" s="5"/>
      <c r="M140" s="5"/>
    </row>
    <row r="141" spans="1:13" x14ac:dyDescent="0.25">
      <c r="A141" s="29"/>
      <c r="B141" s="74"/>
      <c r="C141" s="75"/>
      <c r="D141" s="29"/>
      <c r="E141" s="29"/>
      <c r="F141" s="29"/>
      <c r="G141" s="29"/>
      <c r="H141" s="27"/>
      <c r="I141" s="33"/>
      <c r="J141" s="322"/>
      <c r="K141" s="5"/>
      <c r="L141" s="5"/>
      <c r="M141" s="5"/>
    </row>
    <row r="142" spans="1:13" x14ac:dyDescent="0.25">
      <c r="A142" s="29"/>
      <c r="B142" s="74"/>
      <c r="C142" s="75"/>
      <c r="D142" s="29"/>
      <c r="E142" s="29"/>
      <c r="F142" s="29"/>
      <c r="G142" s="29"/>
      <c r="H142" s="27"/>
      <c r="I142" s="33"/>
      <c r="J142" s="322"/>
      <c r="K142" s="5"/>
      <c r="L142" s="5"/>
      <c r="M142" s="5"/>
    </row>
    <row r="143" spans="1:13" x14ac:dyDescent="0.25">
      <c r="A143" s="29"/>
      <c r="B143" s="74"/>
      <c r="C143" s="75"/>
      <c r="D143" s="29"/>
      <c r="E143" s="29"/>
      <c r="F143" s="29"/>
      <c r="G143" s="29"/>
      <c r="H143" s="27"/>
      <c r="I143" s="33"/>
      <c r="J143" s="322"/>
      <c r="K143" s="5"/>
      <c r="L143" s="5"/>
      <c r="M143" s="5"/>
    </row>
    <row r="144" spans="1:13" x14ac:dyDescent="0.25">
      <c r="A144" s="50"/>
      <c r="B144" s="76"/>
      <c r="C144" s="77"/>
      <c r="D144" s="50"/>
      <c r="E144" s="50"/>
      <c r="F144" s="50"/>
      <c r="G144" s="50"/>
      <c r="H144" s="48"/>
      <c r="I144" s="52"/>
      <c r="J144" s="353"/>
      <c r="K144" s="483"/>
      <c r="L144" s="483"/>
      <c r="M144" s="483"/>
    </row>
    <row r="145" spans="1:13" x14ac:dyDescent="0.25">
      <c r="A145" s="50"/>
      <c r="B145" s="76"/>
      <c r="C145" s="77"/>
      <c r="D145" s="50"/>
      <c r="E145" s="50"/>
      <c r="F145" s="50"/>
      <c r="G145" s="50"/>
      <c r="H145" s="48"/>
      <c r="I145" s="52"/>
      <c r="J145" s="353"/>
      <c r="K145" s="483"/>
      <c r="L145" s="483"/>
      <c r="M145" s="483"/>
    </row>
    <row r="146" spans="1:13" x14ac:dyDescent="0.25">
      <c r="A146" s="50"/>
      <c r="B146" s="76"/>
      <c r="C146" s="77"/>
      <c r="D146" s="50"/>
      <c r="E146" s="50"/>
      <c r="F146" s="50"/>
      <c r="G146" s="50"/>
      <c r="H146" s="48"/>
      <c r="I146" s="52"/>
      <c r="J146" s="353"/>
      <c r="K146" s="483"/>
      <c r="L146" s="483"/>
      <c r="M146" s="483"/>
    </row>
    <row r="147" spans="1:13" x14ac:dyDescent="0.25">
      <c r="A147" s="50"/>
      <c r="B147" s="76"/>
      <c r="C147" s="77"/>
      <c r="D147" s="50"/>
      <c r="E147" s="50"/>
      <c r="F147" s="50"/>
      <c r="G147" s="50"/>
      <c r="H147" s="48"/>
      <c r="I147" s="52"/>
      <c r="J147" s="353"/>
      <c r="K147" s="483"/>
      <c r="L147" s="483"/>
      <c r="M147" s="483"/>
    </row>
    <row r="148" spans="1:13" x14ac:dyDescent="0.25">
      <c r="A148" s="50"/>
      <c r="B148" s="76"/>
      <c r="C148" s="77"/>
      <c r="D148" s="50"/>
      <c r="E148" s="50"/>
      <c r="F148" s="50"/>
      <c r="G148" s="50"/>
      <c r="H148" s="48"/>
      <c r="I148" s="52"/>
      <c r="J148" s="353"/>
      <c r="K148" s="483"/>
      <c r="L148" s="483"/>
      <c r="M148" s="483"/>
    </row>
    <row r="149" spans="1:13" x14ac:dyDescent="0.25">
      <c r="A149" s="29"/>
      <c r="B149" s="74"/>
      <c r="C149" s="75"/>
      <c r="D149" s="29"/>
      <c r="E149" s="29"/>
      <c r="F149" s="29"/>
      <c r="G149" s="29"/>
      <c r="H149" s="27"/>
      <c r="I149" s="33"/>
      <c r="J149" s="322"/>
      <c r="K149" s="5"/>
      <c r="L149" s="5"/>
      <c r="M149" s="5"/>
    </row>
    <row r="150" spans="1:13" x14ac:dyDescent="0.25">
      <c r="A150" s="29"/>
      <c r="B150" s="74"/>
      <c r="C150" s="75"/>
      <c r="D150" s="29"/>
      <c r="E150" s="29"/>
      <c r="F150" s="29"/>
      <c r="G150" s="29"/>
      <c r="H150" s="27"/>
      <c r="I150" s="33"/>
      <c r="J150" s="322"/>
      <c r="K150" s="5"/>
      <c r="L150" s="5"/>
      <c r="M150" s="5"/>
    </row>
    <row r="151" spans="1:13" x14ac:dyDescent="0.25">
      <c r="A151" s="29"/>
      <c r="B151" s="74"/>
      <c r="C151" s="75"/>
      <c r="D151" s="29"/>
      <c r="E151" s="29"/>
      <c r="F151" s="29"/>
      <c r="G151" s="29"/>
      <c r="H151" s="27"/>
      <c r="I151" s="33"/>
      <c r="J151" s="322"/>
      <c r="K151" s="5"/>
      <c r="L151" s="5"/>
      <c r="M151" s="5"/>
    </row>
    <row r="152" spans="1:13" x14ac:dyDescent="0.25">
      <c r="A152" s="29"/>
      <c r="B152" s="74"/>
      <c r="C152" s="75"/>
      <c r="D152" s="29"/>
      <c r="E152" s="29"/>
      <c r="F152" s="29"/>
      <c r="G152" s="29"/>
      <c r="H152" s="27"/>
      <c r="I152" s="33"/>
      <c r="J152" s="322"/>
      <c r="K152" s="5"/>
      <c r="L152" s="5"/>
      <c r="M152" s="5"/>
    </row>
    <row r="153" spans="1:13" x14ac:dyDescent="0.25">
      <c r="A153" s="29"/>
      <c r="B153" s="74"/>
      <c r="C153" s="75"/>
      <c r="D153" s="29"/>
      <c r="E153" s="29"/>
      <c r="F153" s="29"/>
      <c r="G153" s="29"/>
      <c r="H153" s="27"/>
      <c r="I153" s="33"/>
      <c r="J153" s="322"/>
      <c r="K153" s="5"/>
      <c r="L153" s="5"/>
      <c r="M153" s="5"/>
    </row>
    <row r="154" spans="1:13" x14ac:dyDescent="0.25">
      <c r="A154" s="50"/>
      <c r="B154" s="76"/>
      <c r="C154" s="77"/>
      <c r="D154" s="50"/>
      <c r="E154" s="50"/>
      <c r="F154" s="50"/>
      <c r="G154" s="50"/>
      <c r="H154" s="48"/>
      <c r="I154" s="52"/>
      <c r="J154" s="243"/>
      <c r="K154" s="483"/>
      <c r="L154" s="483"/>
      <c r="M154" s="483"/>
    </row>
    <row r="155" spans="1:13" x14ac:dyDescent="0.25">
      <c r="A155" s="50"/>
      <c r="B155" s="76"/>
      <c r="C155" s="77"/>
      <c r="D155" s="50"/>
      <c r="E155" s="50"/>
      <c r="F155" s="50"/>
      <c r="G155" s="50"/>
      <c r="H155" s="48"/>
      <c r="I155" s="52"/>
      <c r="J155" s="243"/>
      <c r="K155" s="483"/>
      <c r="L155" s="483"/>
      <c r="M155" s="483"/>
    </row>
    <row r="156" spans="1:13" x14ac:dyDescent="0.25">
      <c r="A156" s="50"/>
      <c r="B156" s="76"/>
      <c r="C156" s="77"/>
      <c r="D156" s="50"/>
      <c r="E156" s="50"/>
      <c r="F156" s="50"/>
      <c r="G156" s="50"/>
      <c r="H156" s="48"/>
      <c r="I156" s="52"/>
      <c r="J156" s="243"/>
      <c r="K156" s="483"/>
      <c r="L156" s="483"/>
      <c r="M156" s="483"/>
    </row>
    <row r="157" spans="1:13" x14ac:dyDescent="0.25">
      <c r="A157" s="50"/>
      <c r="B157" s="76"/>
      <c r="C157" s="77"/>
      <c r="D157" s="50"/>
      <c r="E157" s="50"/>
      <c r="F157" s="50"/>
      <c r="G157" s="50"/>
      <c r="H157" s="48"/>
      <c r="I157" s="52"/>
      <c r="J157" s="243"/>
      <c r="K157" s="483"/>
      <c r="L157" s="483"/>
      <c r="M157" s="483"/>
    </row>
    <row r="158" spans="1:13" x14ac:dyDescent="0.25">
      <c r="A158" s="50"/>
      <c r="B158" s="76"/>
      <c r="C158" s="77"/>
      <c r="D158" s="50"/>
      <c r="E158" s="50"/>
      <c r="F158" s="50"/>
      <c r="G158" s="50"/>
      <c r="H158" s="48"/>
      <c r="I158" s="52"/>
      <c r="J158" s="243"/>
      <c r="K158" s="483"/>
      <c r="L158" s="483"/>
      <c r="M158" s="483"/>
    </row>
    <row r="159" spans="1:13" x14ac:dyDescent="0.25">
      <c r="A159" s="29"/>
      <c r="B159" s="74"/>
      <c r="C159" s="75"/>
      <c r="D159" s="29"/>
      <c r="E159" s="29"/>
      <c r="F159" s="29"/>
      <c r="G159" s="29"/>
      <c r="H159" s="27"/>
      <c r="I159" s="33"/>
      <c r="J159" s="5"/>
      <c r="K159" s="5"/>
      <c r="L159" s="5"/>
      <c r="M159" s="5"/>
    </row>
    <row r="160" spans="1:13" x14ac:dyDescent="0.25">
      <c r="A160" s="29"/>
      <c r="B160" s="74"/>
      <c r="C160" s="75"/>
      <c r="D160" s="29"/>
      <c r="E160" s="29"/>
      <c r="F160" s="29"/>
      <c r="G160" s="29"/>
      <c r="H160" s="27"/>
      <c r="I160" s="33"/>
      <c r="J160" s="5"/>
      <c r="K160" s="5"/>
      <c r="L160" s="5"/>
      <c r="M160" s="5"/>
    </row>
    <row r="161" spans="1:13" x14ac:dyDescent="0.25">
      <c r="A161" s="29"/>
      <c r="B161" s="74"/>
      <c r="C161" s="75"/>
      <c r="D161" s="29"/>
      <c r="E161" s="29"/>
      <c r="F161" s="29"/>
      <c r="G161" s="29"/>
      <c r="H161" s="27"/>
      <c r="I161" s="33"/>
      <c r="J161" s="5"/>
      <c r="K161" s="5"/>
      <c r="L161" s="5"/>
      <c r="M161" s="5"/>
    </row>
    <row r="162" spans="1:13" x14ac:dyDescent="0.25">
      <c r="A162" s="29"/>
      <c r="B162" s="74"/>
      <c r="C162" s="75"/>
      <c r="D162" s="29"/>
      <c r="E162" s="29"/>
      <c r="F162" s="29"/>
      <c r="G162" s="29"/>
      <c r="H162" s="27"/>
      <c r="I162" s="33"/>
      <c r="J162" s="5"/>
      <c r="K162" s="5"/>
      <c r="L162" s="5"/>
      <c r="M162" s="5"/>
    </row>
    <row r="163" spans="1:13" x14ac:dyDescent="0.25">
      <c r="A163" s="29"/>
      <c r="B163" s="74"/>
      <c r="C163" s="75"/>
      <c r="D163" s="29"/>
      <c r="E163" s="29"/>
      <c r="F163" s="29"/>
      <c r="G163" s="29"/>
      <c r="H163" s="27"/>
      <c r="I163" s="33"/>
      <c r="J163" s="5"/>
      <c r="K163" s="5"/>
      <c r="L163" s="5"/>
      <c r="M163" s="5"/>
    </row>
    <row r="164" spans="1:13" x14ac:dyDescent="0.25">
      <c r="A164" s="50"/>
      <c r="B164" s="76"/>
      <c r="C164" s="77"/>
      <c r="D164" s="50"/>
      <c r="E164" s="50"/>
      <c r="F164" s="50"/>
      <c r="G164" s="50"/>
      <c r="H164" s="48"/>
      <c r="I164" s="52"/>
      <c r="J164" s="243"/>
      <c r="K164" s="483"/>
      <c r="L164" s="483"/>
      <c r="M164" s="483"/>
    </row>
    <row r="165" spans="1:13" x14ac:dyDescent="0.25">
      <c r="A165" s="50"/>
      <c r="B165" s="76"/>
      <c r="C165" s="77"/>
      <c r="D165" s="50"/>
      <c r="E165" s="50"/>
      <c r="F165" s="50"/>
      <c r="G165" s="50"/>
      <c r="H165" s="48"/>
      <c r="I165" s="52"/>
      <c r="J165" s="243"/>
      <c r="K165" s="483"/>
      <c r="L165" s="483"/>
      <c r="M165" s="483"/>
    </row>
    <row r="166" spans="1:13" x14ac:dyDescent="0.25">
      <c r="A166" s="50"/>
      <c r="B166" s="76"/>
      <c r="C166" s="77"/>
      <c r="D166" s="50"/>
      <c r="E166" s="50"/>
      <c r="F166" s="50"/>
      <c r="G166" s="50"/>
      <c r="H166" s="48"/>
      <c r="I166" s="52"/>
      <c r="J166" s="243"/>
      <c r="K166" s="483"/>
      <c r="L166" s="483"/>
      <c r="M166" s="483"/>
    </row>
    <row r="167" spans="1:13" x14ac:dyDescent="0.25">
      <c r="A167" s="50"/>
      <c r="B167" s="76"/>
      <c r="C167" s="77"/>
      <c r="D167" s="50"/>
      <c r="E167" s="50"/>
      <c r="F167" s="50"/>
      <c r="G167" s="50"/>
      <c r="H167" s="48"/>
      <c r="I167" s="52"/>
      <c r="J167" s="243"/>
      <c r="K167" s="483"/>
      <c r="L167" s="483"/>
      <c r="M167" s="483"/>
    </row>
    <row r="168" spans="1:13" x14ac:dyDescent="0.25">
      <c r="A168" s="50"/>
      <c r="B168" s="76"/>
      <c r="C168" s="77"/>
      <c r="D168" s="50"/>
      <c r="E168" s="50"/>
      <c r="F168" s="50"/>
      <c r="G168" s="50"/>
      <c r="H168" s="48"/>
      <c r="I168" s="52"/>
      <c r="J168" s="243"/>
      <c r="K168" s="483"/>
      <c r="L168" s="483"/>
      <c r="M168" s="483"/>
    </row>
    <row r="169" spans="1:13" x14ac:dyDescent="0.25">
      <c r="A169" s="29"/>
      <c r="B169" s="74"/>
      <c r="C169" s="75"/>
      <c r="D169" s="29"/>
      <c r="E169" s="29"/>
      <c r="F169" s="29"/>
      <c r="G169" s="29"/>
      <c r="H169" s="27"/>
      <c r="I169" s="33"/>
      <c r="J169" s="5"/>
      <c r="K169" s="5"/>
      <c r="L169" s="5"/>
      <c r="M169" s="5"/>
    </row>
    <row r="170" spans="1:13" x14ac:dyDescent="0.25">
      <c r="A170" s="29"/>
      <c r="B170" s="74"/>
      <c r="C170" s="75"/>
      <c r="D170" s="29"/>
      <c r="E170" s="29"/>
      <c r="F170" s="29"/>
      <c r="G170" s="29"/>
      <c r="H170" s="27"/>
      <c r="I170" s="33"/>
      <c r="J170" s="5"/>
      <c r="K170" s="5"/>
      <c r="L170" s="5"/>
      <c r="M170" s="5"/>
    </row>
    <row r="171" spans="1:13" x14ac:dyDescent="0.25">
      <c r="A171" s="29"/>
      <c r="B171" s="74"/>
      <c r="C171" s="75"/>
      <c r="D171" s="29"/>
      <c r="E171" s="29"/>
      <c r="F171" s="29"/>
      <c r="G171" s="29"/>
      <c r="H171" s="27"/>
      <c r="I171" s="33"/>
      <c r="J171" s="5"/>
      <c r="K171" s="5"/>
      <c r="L171" s="5"/>
      <c r="M171" s="5"/>
    </row>
    <row r="172" spans="1:13" x14ac:dyDescent="0.25">
      <c r="A172" s="29"/>
      <c r="B172" s="74"/>
      <c r="C172" s="75"/>
      <c r="D172" s="29"/>
      <c r="E172" s="29"/>
      <c r="F172" s="29"/>
      <c r="G172" s="29"/>
      <c r="H172" s="27"/>
      <c r="I172" s="33"/>
      <c r="J172" s="5"/>
      <c r="K172" s="5"/>
      <c r="L172" s="5"/>
      <c r="M172" s="5"/>
    </row>
    <row r="173" spans="1:13" x14ac:dyDescent="0.25">
      <c r="A173" s="29"/>
      <c r="B173" s="74"/>
      <c r="C173" s="75"/>
      <c r="D173" s="29"/>
      <c r="E173" s="29"/>
      <c r="F173" s="29"/>
      <c r="G173" s="29"/>
      <c r="H173" s="27"/>
      <c r="I173" s="33"/>
      <c r="J173" s="5"/>
      <c r="K173" s="5"/>
      <c r="L173" s="5"/>
      <c r="M173" s="5"/>
    </row>
    <row r="174" spans="1:13" x14ac:dyDescent="0.25">
      <c r="A174" s="50"/>
      <c r="B174" s="76"/>
      <c r="C174" s="77"/>
      <c r="D174" s="50"/>
      <c r="E174" s="50"/>
      <c r="F174" s="50"/>
      <c r="G174" s="50"/>
      <c r="H174" s="48"/>
      <c r="I174" s="52"/>
      <c r="J174" s="243"/>
      <c r="K174" s="483"/>
      <c r="L174" s="483"/>
      <c r="M174" s="483"/>
    </row>
    <row r="175" spans="1:13" x14ac:dyDescent="0.25">
      <c r="A175" s="50"/>
      <c r="B175" s="76"/>
      <c r="C175" s="77"/>
      <c r="D175" s="50"/>
      <c r="E175" s="50"/>
      <c r="F175" s="50"/>
      <c r="G175" s="50"/>
      <c r="H175" s="48"/>
      <c r="I175" s="52"/>
      <c r="J175" s="243"/>
      <c r="K175" s="483"/>
      <c r="L175" s="483"/>
      <c r="M175" s="483"/>
    </row>
    <row r="176" spans="1:13" x14ac:dyDescent="0.25">
      <c r="A176" s="50"/>
      <c r="B176" s="76"/>
      <c r="C176" s="77"/>
      <c r="D176" s="50"/>
      <c r="E176" s="50"/>
      <c r="F176" s="50"/>
      <c r="G176" s="50"/>
      <c r="H176" s="48"/>
      <c r="I176" s="52"/>
      <c r="J176" s="243"/>
      <c r="K176" s="483"/>
      <c r="L176" s="483"/>
      <c r="M176" s="483"/>
    </row>
    <row r="177" spans="1:13" x14ac:dyDescent="0.25">
      <c r="A177" s="50"/>
      <c r="B177" s="76"/>
      <c r="C177" s="77"/>
      <c r="D177" s="50"/>
      <c r="E177" s="50"/>
      <c r="F177" s="50"/>
      <c r="G177" s="50"/>
      <c r="H177" s="48"/>
      <c r="I177" s="52"/>
      <c r="J177" s="243"/>
      <c r="K177" s="483"/>
      <c r="L177" s="483"/>
      <c r="M177" s="483"/>
    </row>
    <row r="178" spans="1:13" x14ac:dyDescent="0.25">
      <c r="A178" s="50"/>
      <c r="B178" s="76"/>
      <c r="C178" s="77"/>
      <c r="D178" s="50"/>
      <c r="E178" s="50"/>
      <c r="F178" s="50"/>
      <c r="G178" s="50"/>
      <c r="H178" s="48"/>
      <c r="I178" s="52"/>
      <c r="J178" s="243"/>
      <c r="K178" s="483"/>
      <c r="L178" s="483"/>
      <c r="M178" s="483"/>
    </row>
    <row r="179" spans="1:13" x14ac:dyDescent="0.25">
      <c r="A179" s="29"/>
      <c r="B179" s="74"/>
      <c r="C179" s="75"/>
      <c r="D179" s="29"/>
      <c r="E179" s="29"/>
      <c r="F179" s="29"/>
      <c r="G179" s="29"/>
      <c r="H179" s="27"/>
      <c r="I179" s="33"/>
      <c r="J179" s="5"/>
      <c r="K179" s="5"/>
      <c r="L179" s="5"/>
      <c r="M179" s="5"/>
    </row>
    <row r="180" spans="1:13" x14ac:dyDescent="0.25">
      <c r="A180" s="29"/>
      <c r="B180" s="74"/>
      <c r="C180" s="75"/>
      <c r="D180" s="29"/>
      <c r="E180" s="29"/>
      <c r="F180" s="29"/>
      <c r="G180" s="29"/>
      <c r="H180" s="27"/>
      <c r="I180" s="33"/>
      <c r="J180" s="5"/>
      <c r="K180" s="5"/>
      <c r="L180" s="5"/>
      <c r="M180" s="5"/>
    </row>
    <row r="181" spans="1:13" x14ac:dyDescent="0.25">
      <c r="A181" s="29"/>
      <c r="B181" s="74"/>
      <c r="C181" s="75"/>
      <c r="D181" s="29"/>
      <c r="E181" s="29"/>
      <c r="F181" s="29"/>
      <c r="G181" s="29"/>
      <c r="H181" s="27"/>
      <c r="I181" s="33"/>
      <c r="J181" s="5"/>
      <c r="K181" s="5"/>
      <c r="L181" s="5"/>
      <c r="M181" s="5"/>
    </row>
    <row r="182" spans="1:13" x14ac:dyDescent="0.25">
      <c r="A182" s="29"/>
      <c r="B182" s="74"/>
      <c r="C182" s="75"/>
      <c r="D182" s="29"/>
      <c r="E182" s="29"/>
      <c r="F182" s="29"/>
      <c r="G182" s="29"/>
      <c r="H182" s="27"/>
      <c r="I182" s="33"/>
      <c r="J182" s="5"/>
      <c r="K182" s="5"/>
      <c r="L182" s="5"/>
      <c r="M182" s="5"/>
    </row>
    <row r="183" spans="1:13" x14ac:dyDescent="0.25">
      <c r="A183" s="29"/>
      <c r="B183" s="74"/>
      <c r="C183" s="75"/>
      <c r="D183" s="29"/>
      <c r="E183" s="29"/>
      <c r="F183" s="29"/>
      <c r="G183" s="29"/>
      <c r="H183" s="27"/>
      <c r="I183" s="33"/>
      <c r="J183" s="5"/>
      <c r="K183" s="5"/>
      <c r="L183" s="5"/>
      <c r="M183" s="5"/>
    </row>
    <row r="184" spans="1:13" x14ac:dyDescent="0.25">
      <c r="A184" s="50"/>
      <c r="B184" s="76"/>
      <c r="C184" s="77"/>
      <c r="D184" s="50"/>
      <c r="E184" s="50"/>
      <c r="F184" s="50"/>
      <c r="G184" s="50"/>
      <c r="H184" s="48"/>
      <c r="I184" s="52"/>
      <c r="J184" s="243"/>
      <c r="K184" s="483"/>
      <c r="L184" s="483"/>
      <c r="M184" s="483"/>
    </row>
    <row r="185" spans="1:13" x14ac:dyDescent="0.25">
      <c r="A185" s="50"/>
      <c r="B185" s="76"/>
      <c r="C185" s="77"/>
      <c r="D185" s="50"/>
      <c r="E185" s="50"/>
      <c r="F185" s="50"/>
      <c r="G185" s="50"/>
      <c r="H185" s="48"/>
      <c r="I185" s="52"/>
      <c r="J185" s="243"/>
      <c r="K185" s="483"/>
      <c r="L185" s="483"/>
      <c r="M185" s="483"/>
    </row>
    <row r="186" spans="1:13" x14ac:dyDescent="0.25">
      <c r="A186" s="50"/>
      <c r="B186" s="76"/>
      <c r="C186" s="77"/>
      <c r="D186" s="50"/>
      <c r="E186" s="50"/>
      <c r="F186" s="50"/>
      <c r="G186" s="50"/>
      <c r="H186" s="48"/>
      <c r="I186" s="52"/>
      <c r="J186" s="243"/>
      <c r="K186" s="483"/>
      <c r="L186" s="483"/>
      <c r="M186" s="483"/>
    </row>
    <row r="187" spans="1:13" x14ac:dyDescent="0.25">
      <c r="A187" s="50"/>
      <c r="B187" s="76"/>
      <c r="C187" s="77"/>
      <c r="D187" s="50"/>
      <c r="E187" s="50"/>
      <c r="F187" s="50"/>
      <c r="G187" s="50"/>
      <c r="H187" s="48"/>
      <c r="I187" s="52"/>
      <c r="J187" s="243"/>
      <c r="K187" s="483"/>
      <c r="L187" s="483"/>
      <c r="M187" s="483"/>
    </row>
    <row r="188" spans="1:13" x14ac:dyDescent="0.25">
      <c r="A188" s="50"/>
      <c r="B188" s="76"/>
      <c r="C188" s="77"/>
      <c r="D188" s="50"/>
      <c r="E188" s="50"/>
      <c r="F188" s="50"/>
      <c r="G188" s="50"/>
      <c r="H188" s="48"/>
      <c r="I188" s="52"/>
      <c r="J188" s="243"/>
      <c r="K188" s="483"/>
      <c r="L188" s="483"/>
      <c r="M188" s="483"/>
    </row>
    <row r="189" spans="1:13" x14ac:dyDescent="0.25">
      <c r="A189" s="29"/>
      <c r="B189" s="74"/>
      <c r="C189" s="75"/>
      <c r="D189" s="29"/>
      <c r="E189" s="29"/>
      <c r="F189" s="29"/>
      <c r="G189" s="29"/>
      <c r="H189" s="27"/>
      <c r="I189" s="33"/>
      <c r="J189" s="5"/>
      <c r="K189" s="5"/>
      <c r="L189" s="5"/>
      <c r="M189" s="5"/>
    </row>
    <row r="190" spans="1:13" x14ac:dyDescent="0.25">
      <c r="A190" s="29"/>
      <c r="B190" s="74"/>
      <c r="C190" s="75"/>
      <c r="D190" s="29"/>
      <c r="E190" s="29"/>
      <c r="F190" s="29"/>
      <c r="G190" s="29"/>
      <c r="H190" s="27"/>
      <c r="I190" s="33"/>
      <c r="J190" s="5"/>
      <c r="K190" s="5"/>
      <c r="L190" s="5"/>
      <c r="M190" s="5"/>
    </row>
    <row r="191" spans="1:13" x14ac:dyDescent="0.25">
      <c r="A191" s="29"/>
      <c r="B191" s="74"/>
      <c r="C191" s="75"/>
      <c r="D191" s="29"/>
      <c r="E191" s="29"/>
      <c r="F191" s="29"/>
      <c r="G191" s="29"/>
      <c r="H191" s="27"/>
      <c r="I191" s="33"/>
      <c r="J191" s="5"/>
      <c r="K191" s="5"/>
      <c r="L191" s="5"/>
      <c r="M191" s="5"/>
    </row>
    <row r="192" spans="1:13" x14ac:dyDescent="0.25">
      <c r="A192" s="29"/>
      <c r="B192" s="74"/>
      <c r="C192" s="75"/>
      <c r="D192" s="29"/>
      <c r="E192" s="29"/>
      <c r="F192" s="29"/>
      <c r="G192" s="29"/>
      <c r="H192" s="27"/>
      <c r="I192" s="33"/>
      <c r="J192" s="5"/>
      <c r="K192" s="5"/>
      <c r="L192" s="5"/>
      <c r="M192" s="5"/>
    </row>
    <row r="193" spans="1:13" x14ac:dyDescent="0.25">
      <c r="A193" s="29"/>
      <c r="B193" s="74"/>
      <c r="C193" s="75"/>
      <c r="D193" s="29"/>
      <c r="E193" s="29"/>
      <c r="F193" s="29"/>
      <c r="G193" s="29"/>
      <c r="H193" s="27"/>
      <c r="I193" s="33"/>
      <c r="J193" s="5"/>
      <c r="K193" s="5"/>
      <c r="L193" s="5"/>
      <c r="M193" s="5"/>
    </row>
    <row r="194" spans="1:13" x14ac:dyDescent="0.25">
      <c r="A194" s="50"/>
      <c r="B194" s="76"/>
      <c r="C194" s="77"/>
      <c r="D194" s="50"/>
      <c r="E194" s="50"/>
      <c r="F194" s="50"/>
      <c r="G194" s="50"/>
      <c r="H194" s="48"/>
      <c r="I194" s="52"/>
      <c r="J194" s="243"/>
      <c r="K194" s="483"/>
      <c r="L194" s="483"/>
      <c r="M194" s="483"/>
    </row>
    <row r="195" spans="1:13" x14ac:dyDescent="0.25">
      <c r="A195" s="50"/>
      <c r="B195" s="76"/>
      <c r="C195" s="77"/>
      <c r="D195" s="50"/>
      <c r="E195" s="50"/>
      <c r="F195" s="50"/>
      <c r="G195" s="50"/>
      <c r="H195" s="48"/>
      <c r="I195" s="52"/>
      <c r="J195" s="243"/>
      <c r="K195" s="483"/>
      <c r="L195" s="483"/>
      <c r="M195" s="483"/>
    </row>
    <row r="196" spans="1:13" x14ac:dyDescent="0.25">
      <c r="A196" s="50"/>
      <c r="B196" s="76"/>
      <c r="C196" s="77"/>
      <c r="D196" s="50"/>
      <c r="E196" s="50"/>
      <c r="F196" s="50"/>
      <c r="G196" s="50"/>
      <c r="H196" s="48"/>
      <c r="I196" s="52"/>
      <c r="J196" s="243"/>
      <c r="K196" s="483"/>
      <c r="L196" s="483"/>
      <c r="M196" s="483"/>
    </row>
    <row r="197" spans="1:13" x14ac:dyDescent="0.25">
      <c r="A197" s="50"/>
      <c r="B197" s="76"/>
      <c r="C197" s="77"/>
      <c r="D197" s="50"/>
      <c r="E197" s="50"/>
      <c r="F197" s="50"/>
      <c r="G197" s="50"/>
      <c r="H197" s="48"/>
      <c r="I197" s="52"/>
      <c r="J197" s="243"/>
      <c r="K197" s="483"/>
      <c r="L197" s="483"/>
      <c r="M197" s="483"/>
    </row>
    <row r="198" spans="1:13" x14ac:dyDescent="0.25">
      <c r="A198" s="50"/>
      <c r="B198" s="76"/>
      <c r="C198" s="77"/>
      <c r="D198" s="50"/>
      <c r="E198" s="50"/>
      <c r="F198" s="50"/>
      <c r="G198" s="50"/>
      <c r="H198" s="48"/>
      <c r="I198" s="52"/>
      <c r="J198" s="243"/>
      <c r="K198" s="483"/>
      <c r="L198" s="483"/>
      <c r="M198" s="483"/>
    </row>
    <row r="199" spans="1:13" x14ac:dyDescent="0.25">
      <c r="A199" s="29"/>
      <c r="B199" s="74"/>
      <c r="C199" s="75"/>
      <c r="D199" s="29"/>
      <c r="E199" s="29"/>
      <c r="F199" s="29"/>
      <c r="G199" s="29"/>
      <c r="H199" s="27"/>
      <c r="I199" s="33"/>
      <c r="J199" s="5"/>
      <c r="K199" s="5"/>
      <c r="L199" s="5"/>
      <c r="M199" s="5"/>
    </row>
    <row r="200" spans="1:13" x14ac:dyDescent="0.25">
      <c r="A200" s="29"/>
      <c r="B200" s="74"/>
      <c r="C200" s="75"/>
      <c r="D200" s="29"/>
      <c r="E200" s="29"/>
      <c r="F200" s="29"/>
      <c r="G200" s="29"/>
      <c r="H200" s="27"/>
      <c r="I200" s="33"/>
      <c r="J200" s="5"/>
      <c r="K200" s="5"/>
      <c r="L200" s="5"/>
      <c r="M200" s="5"/>
    </row>
    <row r="201" spans="1:13" x14ac:dyDescent="0.25">
      <c r="A201" s="29"/>
      <c r="B201" s="74"/>
      <c r="C201" s="75"/>
      <c r="D201" s="29"/>
      <c r="E201" s="29"/>
      <c r="F201" s="29"/>
      <c r="G201" s="29"/>
      <c r="H201" s="27"/>
      <c r="I201" s="33"/>
      <c r="J201" s="5"/>
      <c r="K201" s="5"/>
      <c r="L201" s="5"/>
      <c r="M201" s="5"/>
    </row>
    <row r="202" spans="1:13" x14ac:dyDescent="0.25">
      <c r="A202" s="29"/>
      <c r="B202" s="74"/>
      <c r="C202" s="75"/>
      <c r="D202" s="29"/>
      <c r="E202" s="29"/>
      <c r="F202" s="29"/>
      <c r="G202" s="29"/>
      <c r="H202" s="27"/>
      <c r="I202" s="33"/>
      <c r="J202" s="5"/>
      <c r="K202" s="5"/>
      <c r="L202" s="5"/>
      <c r="M202" s="5"/>
    </row>
    <row r="203" spans="1:13" x14ac:dyDescent="0.25">
      <c r="A203" s="29"/>
      <c r="B203" s="74"/>
      <c r="C203" s="75"/>
      <c r="D203" s="29"/>
      <c r="E203" s="29"/>
      <c r="F203" s="29"/>
      <c r="G203" s="29"/>
      <c r="H203" s="27"/>
      <c r="I203" s="33"/>
      <c r="J203" s="5"/>
      <c r="K203" s="5"/>
      <c r="L203" s="5"/>
      <c r="M203" s="5"/>
    </row>
    <row r="204" spans="1:13" x14ac:dyDescent="0.25">
      <c r="A204" s="29"/>
      <c r="B204" s="74"/>
      <c r="C204" s="75"/>
      <c r="D204" s="29"/>
      <c r="E204" s="29"/>
      <c r="F204" s="29"/>
      <c r="G204" s="29"/>
      <c r="H204" s="27"/>
      <c r="I204" s="33"/>
      <c r="J204" s="5"/>
      <c r="K204" s="5"/>
      <c r="L204" s="5"/>
      <c r="M204" s="5"/>
    </row>
    <row r="205" spans="1:13" x14ac:dyDescent="0.25">
      <c r="A205" s="29"/>
      <c r="B205" s="74"/>
      <c r="C205" s="75"/>
      <c r="D205" s="29"/>
      <c r="E205" s="29"/>
      <c r="F205" s="29"/>
      <c r="G205" s="29"/>
      <c r="H205" s="27"/>
      <c r="I205" s="33"/>
      <c r="J205" s="5"/>
      <c r="K205" s="5"/>
      <c r="L205" s="5"/>
      <c r="M205" s="5"/>
    </row>
    <row r="206" spans="1:13" x14ac:dyDescent="0.25">
      <c r="A206" s="29"/>
      <c r="B206" s="74"/>
      <c r="C206" s="75"/>
      <c r="D206" s="29"/>
      <c r="E206" s="29"/>
      <c r="F206" s="29"/>
      <c r="G206" s="29"/>
      <c r="H206" s="27"/>
      <c r="I206" s="33"/>
      <c r="J206" s="5"/>
      <c r="K206" s="5"/>
      <c r="L206" s="5"/>
      <c r="M206" s="5"/>
    </row>
    <row r="207" spans="1:13" x14ac:dyDescent="0.25">
      <c r="A207" s="29"/>
      <c r="B207" s="74"/>
      <c r="C207" s="75"/>
      <c r="D207" s="29"/>
      <c r="E207" s="29"/>
      <c r="F207" s="29"/>
      <c r="G207" s="29"/>
      <c r="H207" s="27"/>
      <c r="I207" s="33"/>
      <c r="J207" s="5"/>
      <c r="K207" s="5"/>
      <c r="L207" s="5"/>
      <c r="M207" s="5"/>
    </row>
    <row r="208" spans="1:13" x14ac:dyDescent="0.25">
      <c r="A208" s="29"/>
      <c r="B208" s="74"/>
      <c r="C208" s="75"/>
      <c r="D208" s="29"/>
      <c r="E208" s="29"/>
      <c r="F208" s="29"/>
      <c r="G208" s="29"/>
      <c r="H208" s="27"/>
      <c r="I208" s="33"/>
      <c r="J208" s="5"/>
      <c r="K208" s="5"/>
      <c r="L208" s="5"/>
      <c r="M208" s="5"/>
    </row>
    <row r="209" spans="1:13" x14ac:dyDescent="0.25">
      <c r="A209" s="29"/>
      <c r="B209" s="74"/>
      <c r="C209" s="75"/>
      <c r="D209" s="29"/>
      <c r="E209" s="29"/>
      <c r="F209" s="29"/>
      <c r="G209" s="29"/>
      <c r="H209" s="27"/>
      <c r="I209" s="33"/>
      <c r="J209" s="5"/>
      <c r="K209" s="5"/>
      <c r="L209" s="5"/>
      <c r="M209" s="5"/>
    </row>
    <row r="210" spans="1:13" x14ac:dyDescent="0.25">
      <c r="A210" s="29"/>
      <c r="B210" s="74"/>
      <c r="C210" s="75"/>
      <c r="D210" s="29"/>
      <c r="E210" s="29"/>
      <c r="F210" s="29"/>
      <c r="G210" s="29"/>
      <c r="H210" s="27"/>
      <c r="I210" s="33"/>
      <c r="J210" s="5"/>
      <c r="K210" s="5"/>
      <c r="L210" s="5"/>
      <c r="M210" s="5"/>
    </row>
    <row r="211" spans="1:13" x14ac:dyDescent="0.25">
      <c r="A211" s="29"/>
      <c r="B211" s="74"/>
      <c r="C211" s="75"/>
      <c r="D211" s="29"/>
      <c r="E211" s="29"/>
      <c r="F211" s="29"/>
      <c r="G211" s="29"/>
      <c r="H211" s="27"/>
      <c r="I211" s="33"/>
      <c r="J211" s="5"/>
      <c r="K211" s="5"/>
      <c r="L211" s="5"/>
      <c r="M211" s="5"/>
    </row>
    <row r="212" spans="1:13" x14ac:dyDescent="0.25">
      <c r="A212" s="29"/>
      <c r="B212" s="74"/>
      <c r="C212" s="75"/>
      <c r="D212" s="29"/>
      <c r="E212" s="29"/>
      <c r="F212" s="29"/>
      <c r="G212" s="29"/>
      <c r="H212" s="27"/>
      <c r="I212" s="33"/>
      <c r="J212" s="5"/>
      <c r="K212" s="5"/>
      <c r="L212" s="5"/>
      <c r="M212" s="5"/>
    </row>
    <row r="213" spans="1:13" x14ac:dyDescent="0.25">
      <c r="A213" s="29"/>
      <c r="B213" s="74"/>
      <c r="C213" s="75"/>
      <c r="D213" s="29"/>
      <c r="E213" s="29"/>
      <c r="F213" s="29"/>
      <c r="G213" s="29"/>
      <c r="H213" s="27"/>
      <c r="I213" s="33"/>
      <c r="J213" s="5"/>
      <c r="K213" s="5"/>
      <c r="L213" s="5"/>
      <c r="M213" s="5"/>
    </row>
    <row r="214" spans="1:13" x14ac:dyDescent="0.25">
      <c r="A214" s="29"/>
      <c r="B214" s="74"/>
      <c r="C214" s="75"/>
      <c r="D214" s="29"/>
      <c r="E214" s="29"/>
      <c r="F214" s="29"/>
      <c r="G214" s="29"/>
      <c r="H214" s="27"/>
      <c r="I214" s="33"/>
      <c r="J214" s="5"/>
      <c r="K214" s="5"/>
      <c r="L214" s="5"/>
      <c r="M214" s="5"/>
    </row>
    <row r="215" spans="1:13" x14ac:dyDescent="0.25">
      <c r="A215" s="29"/>
      <c r="B215" s="74"/>
      <c r="C215" s="75"/>
      <c r="D215" s="29"/>
      <c r="E215" s="29"/>
      <c r="F215" s="29"/>
      <c r="G215" s="29"/>
      <c r="H215" s="27"/>
      <c r="I215" s="33"/>
      <c r="J215" s="5"/>
      <c r="K215" s="5"/>
      <c r="L215" s="5"/>
      <c r="M215" s="5"/>
    </row>
    <row r="216" spans="1:13" x14ac:dyDescent="0.25">
      <c r="A216" s="29"/>
      <c r="B216" s="74"/>
      <c r="C216" s="75"/>
      <c r="D216" s="29"/>
      <c r="E216" s="29"/>
      <c r="F216" s="29"/>
      <c r="G216" s="29"/>
      <c r="H216" s="27"/>
      <c r="I216" s="33"/>
      <c r="J216" s="5"/>
      <c r="K216" s="5"/>
      <c r="L216" s="5"/>
      <c r="M216" s="5"/>
    </row>
    <row r="217" spans="1:13" x14ac:dyDescent="0.25">
      <c r="A217" s="29"/>
      <c r="B217" s="74"/>
      <c r="C217" s="75"/>
      <c r="D217" s="29"/>
      <c r="E217" s="29"/>
      <c r="F217" s="29"/>
      <c r="G217" s="29"/>
      <c r="H217" s="27"/>
      <c r="I217" s="33"/>
      <c r="J217" s="5"/>
      <c r="K217" s="5"/>
      <c r="L217" s="5"/>
      <c r="M217" s="5"/>
    </row>
    <row r="218" spans="1:13" x14ac:dyDescent="0.25">
      <c r="A218" s="29"/>
      <c r="B218" s="74"/>
      <c r="C218" s="75"/>
      <c r="D218" s="29"/>
      <c r="E218" s="29"/>
      <c r="F218" s="29"/>
      <c r="G218" s="29"/>
      <c r="H218" s="27"/>
      <c r="I218" s="33"/>
      <c r="J218" s="5"/>
      <c r="K218" s="5"/>
      <c r="L218" s="5"/>
      <c r="M218" s="5"/>
    </row>
    <row r="219" spans="1:13" x14ac:dyDescent="0.25">
      <c r="A219" s="29"/>
      <c r="B219" s="74"/>
      <c r="C219" s="75"/>
      <c r="D219" s="29"/>
      <c r="E219" s="29"/>
      <c r="F219" s="29"/>
      <c r="G219" s="29"/>
      <c r="H219" s="27"/>
      <c r="I219" s="33"/>
      <c r="J219" s="5"/>
      <c r="K219" s="5"/>
      <c r="L219" s="5"/>
      <c r="M219" s="5"/>
    </row>
    <row r="220" spans="1:13" x14ac:dyDescent="0.25">
      <c r="A220" s="29"/>
      <c r="B220" s="74"/>
      <c r="C220" s="75"/>
      <c r="D220" s="29"/>
      <c r="E220" s="29"/>
      <c r="F220" s="29"/>
      <c r="G220" s="29"/>
      <c r="H220" s="27"/>
      <c r="I220" s="33"/>
      <c r="J220" s="5"/>
      <c r="K220" s="5"/>
      <c r="L220" s="5"/>
      <c r="M220" s="5"/>
    </row>
    <row r="221" spans="1:13" x14ac:dyDescent="0.25">
      <c r="A221" s="29"/>
      <c r="B221" s="74"/>
      <c r="C221" s="75"/>
      <c r="D221" s="29"/>
      <c r="E221" s="29"/>
      <c r="F221" s="29"/>
      <c r="G221" s="29"/>
      <c r="H221" s="27"/>
      <c r="I221" s="33"/>
      <c r="J221" s="5"/>
      <c r="K221" s="5"/>
      <c r="L221" s="5"/>
      <c r="M221" s="5"/>
    </row>
    <row r="222" spans="1:13" x14ac:dyDescent="0.25">
      <c r="A222" s="29"/>
      <c r="B222" s="74"/>
      <c r="C222" s="75"/>
      <c r="D222" s="29"/>
      <c r="E222" s="29"/>
      <c r="F222" s="29"/>
      <c r="G222" s="29"/>
      <c r="H222" s="27"/>
      <c r="I222" s="33"/>
      <c r="J222" s="5"/>
      <c r="K222" s="5"/>
      <c r="L222" s="5"/>
      <c r="M222" s="5"/>
    </row>
    <row r="223" spans="1:13" x14ac:dyDescent="0.25">
      <c r="A223" s="29"/>
      <c r="B223" s="74"/>
      <c r="C223" s="75"/>
      <c r="D223" s="29"/>
      <c r="E223" s="29"/>
      <c r="F223" s="29"/>
      <c r="G223" s="29"/>
      <c r="H223" s="27"/>
      <c r="I223" s="33"/>
      <c r="J223" s="5"/>
      <c r="K223" s="5"/>
      <c r="L223" s="5"/>
      <c r="M223" s="5"/>
    </row>
    <row r="224" spans="1:13" x14ac:dyDescent="0.25">
      <c r="A224" s="29"/>
      <c r="B224" s="74"/>
      <c r="C224" s="75"/>
      <c r="D224" s="29"/>
      <c r="E224" s="29"/>
      <c r="F224" s="29"/>
      <c r="G224" s="29"/>
      <c r="H224" s="27"/>
      <c r="I224" s="33"/>
      <c r="J224" s="5"/>
      <c r="K224" s="5"/>
      <c r="L224" s="5"/>
      <c r="M224" s="5"/>
    </row>
    <row r="225" spans="1:13" x14ac:dyDescent="0.25">
      <c r="A225" s="29"/>
      <c r="B225" s="74"/>
      <c r="C225" s="75"/>
      <c r="D225" s="29"/>
      <c r="E225" s="29"/>
      <c r="F225" s="29"/>
      <c r="G225" s="29"/>
      <c r="H225" s="27"/>
      <c r="I225" s="33"/>
      <c r="J225" s="5"/>
      <c r="K225" s="5"/>
      <c r="L225" s="5"/>
      <c r="M225" s="5"/>
    </row>
    <row r="226" spans="1:13" x14ac:dyDescent="0.25">
      <c r="A226" s="29"/>
      <c r="B226" s="74"/>
      <c r="C226" s="75"/>
      <c r="D226" s="29"/>
      <c r="E226" s="29"/>
      <c r="F226" s="29"/>
      <c r="G226" s="29"/>
      <c r="H226" s="27"/>
      <c r="I226" s="33"/>
      <c r="J226" s="5"/>
      <c r="K226" s="5"/>
      <c r="L226" s="5"/>
      <c r="M226" s="5"/>
    </row>
    <row r="227" spans="1:13" x14ac:dyDescent="0.25">
      <c r="A227" s="29"/>
      <c r="B227" s="74"/>
      <c r="C227" s="75"/>
      <c r="D227" s="29"/>
      <c r="E227" s="29"/>
      <c r="F227" s="29"/>
      <c r="G227" s="29"/>
      <c r="H227" s="27"/>
      <c r="I227" s="33"/>
      <c r="J227" s="5"/>
      <c r="K227" s="5"/>
      <c r="L227" s="5"/>
      <c r="M227" s="5"/>
    </row>
    <row r="228" spans="1:13" x14ac:dyDescent="0.25">
      <c r="A228" s="29"/>
      <c r="B228" s="74"/>
      <c r="C228" s="75"/>
      <c r="D228" s="29"/>
      <c r="E228" s="29"/>
      <c r="F228" s="29"/>
      <c r="G228" s="29"/>
      <c r="H228" s="27"/>
      <c r="I228" s="33"/>
      <c r="J228" s="5"/>
      <c r="K228" s="5"/>
      <c r="L228" s="5"/>
      <c r="M228" s="5"/>
    </row>
    <row r="229" spans="1:13" x14ac:dyDescent="0.25">
      <c r="A229" s="29"/>
      <c r="B229" s="74"/>
      <c r="C229" s="75"/>
      <c r="D229" s="29"/>
      <c r="E229" s="29"/>
      <c r="F229" s="29"/>
      <c r="G229" s="29"/>
      <c r="H229" s="27"/>
      <c r="I229" s="33"/>
      <c r="J229" s="5"/>
      <c r="K229" s="5"/>
      <c r="L229" s="5"/>
      <c r="M229" s="5"/>
    </row>
    <row r="230" spans="1:13" x14ac:dyDescent="0.25">
      <c r="A230" s="29"/>
      <c r="B230" s="74"/>
      <c r="C230" s="75"/>
      <c r="D230" s="29"/>
      <c r="E230" s="29"/>
      <c r="F230" s="29"/>
      <c r="G230" s="29"/>
      <c r="H230" s="27"/>
      <c r="I230" s="33"/>
      <c r="J230" s="5"/>
      <c r="K230" s="5"/>
      <c r="L230" s="5"/>
      <c r="M230" s="5"/>
    </row>
    <row r="231" spans="1:13" x14ac:dyDescent="0.25">
      <c r="A231" s="29"/>
      <c r="B231" s="74"/>
      <c r="C231" s="75"/>
      <c r="D231" s="29"/>
      <c r="E231" s="29"/>
      <c r="F231" s="29"/>
      <c r="G231" s="29"/>
      <c r="H231" s="27"/>
      <c r="I231" s="33"/>
      <c r="J231" s="5"/>
      <c r="K231" s="5"/>
      <c r="L231" s="5"/>
      <c r="M231" s="5"/>
    </row>
    <row r="232" spans="1:13" x14ac:dyDescent="0.25">
      <c r="A232" s="29"/>
      <c r="B232" s="74"/>
      <c r="C232" s="75"/>
      <c r="D232" s="29"/>
      <c r="E232" s="29"/>
      <c r="F232" s="29"/>
      <c r="G232" s="29"/>
      <c r="H232" s="27"/>
      <c r="I232" s="33"/>
      <c r="J232" s="5"/>
      <c r="K232" s="5"/>
      <c r="L232" s="5"/>
      <c r="M232" s="5"/>
    </row>
    <row r="233" spans="1:13" x14ac:dyDescent="0.25">
      <c r="A233" s="29"/>
      <c r="B233" s="74"/>
      <c r="C233" s="75"/>
      <c r="D233" s="29"/>
      <c r="E233" s="29"/>
      <c r="F233" s="29"/>
      <c r="G233" s="29"/>
      <c r="H233" s="27"/>
      <c r="I233" s="33"/>
      <c r="J233" s="5"/>
      <c r="K233" s="5"/>
      <c r="L233" s="5"/>
      <c r="M233" s="5"/>
    </row>
    <row r="234" spans="1:13" x14ac:dyDescent="0.25">
      <c r="A234" s="29"/>
      <c r="B234" s="74"/>
      <c r="C234" s="75"/>
      <c r="D234" s="29"/>
      <c r="E234" s="29"/>
      <c r="F234" s="29"/>
      <c r="G234" s="29"/>
      <c r="H234" s="27"/>
      <c r="I234" s="33"/>
      <c r="J234" s="5"/>
      <c r="K234" s="5"/>
      <c r="L234" s="5"/>
      <c r="M234" s="5"/>
    </row>
    <row r="235" spans="1:13" x14ac:dyDescent="0.25">
      <c r="A235" s="29"/>
      <c r="B235" s="74"/>
      <c r="C235" s="75"/>
      <c r="D235" s="29"/>
      <c r="E235" s="29"/>
      <c r="F235" s="29"/>
      <c r="G235" s="29"/>
      <c r="H235" s="27"/>
      <c r="I235" s="33"/>
      <c r="J235" s="5"/>
      <c r="K235" s="5"/>
      <c r="L235" s="5"/>
      <c r="M235" s="5"/>
    </row>
    <row r="236" spans="1:13" x14ac:dyDescent="0.25">
      <c r="A236" s="29"/>
      <c r="B236" s="74"/>
      <c r="C236" s="75"/>
      <c r="D236" s="29"/>
      <c r="E236" s="29"/>
      <c r="F236" s="29"/>
      <c r="G236" s="29"/>
      <c r="H236" s="27"/>
      <c r="I236" s="33"/>
      <c r="J236" s="5"/>
      <c r="K236" s="5"/>
      <c r="L236" s="5"/>
      <c r="M236" s="5"/>
    </row>
    <row r="237" spans="1:13" x14ac:dyDescent="0.25">
      <c r="A237" s="29"/>
      <c r="B237" s="74"/>
      <c r="C237" s="75"/>
      <c r="D237" s="29"/>
      <c r="E237" s="29"/>
      <c r="F237" s="29"/>
      <c r="G237" s="29"/>
      <c r="H237" s="27"/>
      <c r="I237" s="33"/>
      <c r="J237" s="5"/>
      <c r="K237" s="5"/>
      <c r="L237" s="5"/>
      <c r="M237" s="5"/>
    </row>
    <row r="238" spans="1:13" x14ac:dyDescent="0.25">
      <c r="A238" s="29"/>
      <c r="B238" s="74"/>
      <c r="C238" s="75"/>
      <c r="D238" s="29"/>
      <c r="E238" s="29"/>
      <c r="F238" s="29"/>
      <c r="G238" s="29"/>
      <c r="H238" s="27"/>
      <c r="I238" s="33"/>
      <c r="J238" s="5"/>
      <c r="K238" s="5"/>
      <c r="L238" s="5"/>
      <c r="M238" s="5"/>
    </row>
    <row r="239" spans="1:13" x14ac:dyDescent="0.25">
      <c r="A239" s="29"/>
      <c r="B239" s="74"/>
      <c r="C239" s="75"/>
      <c r="D239" s="29"/>
      <c r="E239" s="29"/>
      <c r="F239" s="29"/>
      <c r="G239" s="29"/>
      <c r="H239" s="27"/>
      <c r="I239" s="33"/>
      <c r="J239" s="5"/>
      <c r="K239" s="5"/>
      <c r="L239" s="5"/>
      <c r="M239" s="5"/>
    </row>
    <row r="240" spans="1:13" x14ac:dyDescent="0.25">
      <c r="A240" s="29"/>
      <c r="B240" s="74"/>
      <c r="C240" s="75"/>
      <c r="D240" s="29"/>
      <c r="E240" s="29"/>
      <c r="F240" s="29"/>
      <c r="G240" s="29"/>
      <c r="H240" s="27"/>
      <c r="I240" s="33"/>
      <c r="J240" s="5"/>
      <c r="K240" s="5"/>
      <c r="L240" s="5"/>
      <c r="M240" s="5"/>
    </row>
    <row r="241" spans="1:13" x14ac:dyDescent="0.25">
      <c r="A241" s="29"/>
      <c r="B241" s="74"/>
      <c r="C241" s="75"/>
      <c r="D241" s="29"/>
      <c r="E241" s="29"/>
      <c r="F241" s="29"/>
      <c r="G241" s="29"/>
      <c r="H241" s="27"/>
      <c r="I241" s="33"/>
      <c r="J241" s="5"/>
      <c r="K241" s="5"/>
      <c r="L241" s="5"/>
      <c r="M241" s="5"/>
    </row>
    <row r="242" spans="1:13" x14ac:dyDescent="0.25">
      <c r="A242" s="29"/>
      <c r="B242" s="74"/>
      <c r="C242" s="75"/>
      <c r="D242" s="29"/>
      <c r="E242" s="29"/>
      <c r="F242" s="29"/>
      <c r="G242" s="29"/>
      <c r="H242" s="27"/>
      <c r="I242" s="33"/>
      <c r="J242" s="5"/>
      <c r="K242" s="5"/>
      <c r="L242" s="5"/>
      <c r="M242" s="5"/>
    </row>
    <row r="243" spans="1:13" x14ac:dyDescent="0.25">
      <c r="A243" s="29"/>
      <c r="B243" s="74"/>
      <c r="C243" s="75"/>
      <c r="D243" s="29"/>
      <c r="E243" s="29"/>
      <c r="F243" s="29"/>
      <c r="G243" s="29"/>
      <c r="H243" s="27"/>
      <c r="I243" s="33"/>
      <c r="J243" s="5"/>
      <c r="K243" s="5"/>
      <c r="L243" s="5"/>
      <c r="M243" s="5"/>
    </row>
    <row r="244" spans="1:13" x14ac:dyDescent="0.25">
      <c r="A244" s="29"/>
      <c r="B244" s="74"/>
      <c r="C244" s="75"/>
      <c r="D244" s="29"/>
      <c r="E244" s="29"/>
      <c r="F244" s="29"/>
      <c r="G244" s="29"/>
      <c r="H244" s="27"/>
      <c r="I244" s="33"/>
      <c r="J244" s="5"/>
      <c r="K244" s="5"/>
      <c r="L244" s="5"/>
      <c r="M244" s="5"/>
    </row>
    <row r="245" spans="1:13" x14ac:dyDescent="0.25">
      <c r="A245" s="29"/>
      <c r="B245" s="74"/>
      <c r="C245" s="75"/>
      <c r="D245" s="29"/>
      <c r="E245" s="29"/>
      <c r="F245" s="29"/>
      <c r="G245" s="29"/>
      <c r="H245" s="27"/>
      <c r="I245" s="33"/>
      <c r="J245" s="5"/>
      <c r="K245" s="5"/>
      <c r="L245" s="5"/>
      <c r="M245" s="5"/>
    </row>
    <row r="246" spans="1:13" x14ac:dyDescent="0.25">
      <c r="A246" s="29"/>
      <c r="B246" s="74"/>
      <c r="C246" s="75"/>
      <c r="D246" s="29"/>
      <c r="E246" s="29"/>
      <c r="F246" s="29"/>
      <c r="G246" s="29"/>
      <c r="H246" s="27"/>
      <c r="I246" s="33"/>
      <c r="J246" s="5"/>
      <c r="K246" s="5"/>
      <c r="L246" s="5"/>
      <c r="M246" s="5"/>
    </row>
    <row r="247" spans="1:13" x14ac:dyDescent="0.25">
      <c r="A247" s="29"/>
      <c r="B247" s="74"/>
      <c r="C247" s="75"/>
      <c r="D247" s="29"/>
      <c r="E247" s="29"/>
      <c r="F247" s="29"/>
      <c r="G247" s="29"/>
      <c r="H247" s="27"/>
      <c r="I247" s="33"/>
      <c r="J247" s="5"/>
      <c r="K247" s="5"/>
      <c r="L247" s="5"/>
      <c r="M247" s="5"/>
    </row>
    <row r="248" spans="1:13" x14ac:dyDescent="0.25">
      <c r="A248" s="29"/>
      <c r="B248" s="74"/>
      <c r="C248" s="75"/>
      <c r="D248" s="29"/>
      <c r="E248" s="29"/>
      <c r="F248" s="29"/>
      <c r="G248" s="29"/>
      <c r="H248" s="27"/>
      <c r="I248" s="33"/>
      <c r="J248" s="5"/>
      <c r="K248" s="5"/>
      <c r="L248" s="5"/>
      <c r="M248" s="5"/>
    </row>
    <row r="249" spans="1:13" x14ac:dyDescent="0.25">
      <c r="A249" s="29"/>
      <c r="B249" s="74"/>
      <c r="C249" s="75"/>
      <c r="D249" s="29"/>
      <c r="E249" s="29"/>
      <c r="F249" s="29"/>
      <c r="G249" s="29"/>
      <c r="H249" s="27"/>
      <c r="I249" s="33"/>
      <c r="J249" s="5"/>
      <c r="K249" s="5"/>
      <c r="L249" s="5"/>
      <c r="M249" s="5"/>
    </row>
    <row r="250" spans="1:13" x14ac:dyDescent="0.25">
      <c r="A250" s="29"/>
      <c r="B250" s="74"/>
      <c r="C250" s="75"/>
      <c r="D250" s="29"/>
      <c r="E250" s="29"/>
      <c r="F250" s="29"/>
      <c r="G250" s="29"/>
      <c r="H250" s="27"/>
      <c r="I250" s="33"/>
      <c r="J250" s="5"/>
      <c r="K250" s="5"/>
      <c r="L250" s="5"/>
      <c r="M250" s="5"/>
    </row>
    <row r="251" spans="1:13" x14ac:dyDescent="0.25">
      <c r="A251" s="29"/>
      <c r="B251" s="74"/>
      <c r="C251" s="75"/>
      <c r="D251" s="29"/>
      <c r="E251" s="29"/>
      <c r="F251" s="29"/>
      <c r="G251" s="29"/>
      <c r="H251" s="27"/>
      <c r="I251" s="33"/>
      <c r="J251" s="5"/>
      <c r="K251" s="5"/>
      <c r="L251" s="5"/>
      <c r="M251" s="5"/>
    </row>
    <row r="252" spans="1:13" x14ac:dyDescent="0.25">
      <c r="A252" s="29"/>
      <c r="B252" s="74"/>
      <c r="C252" s="75"/>
      <c r="D252" s="29"/>
      <c r="E252" s="29"/>
      <c r="F252" s="29"/>
      <c r="G252" s="29"/>
      <c r="H252" s="27"/>
      <c r="I252" s="33"/>
      <c r="J252" s="5"/>
      <c r="K252" s="5"/>
      <c r="L252" s="5"/>
      <c r="M252" s="5"/>
    </row>
    <row r="253" spans="1:13" x14ac:dyDescent="0.25">
      <c r="A253" s="29"/>
      <c r="B253" s="74"/>
      <c r="C253" s="75"/>
      <c r="D253" s="29"/>
      <c r="E253" s="29"/>
      <c r="F253" s="29"/>
      <c r="G253" s="29"/>
      <c r="H253" s="27"/>
      <c r="I253" s="33"/>
      <c r="J253" s="5"/>
      <c r="K253" s="5"/>
      <c r="L253" s="5"/>
      <c r="M253" s="5"/>
    </row>
    <row r="254" spans="1:13" x14ac:dyDescent="0.25">
      <c r="A254" s="29"/>
      <c r="B254" s="74"/>
      <c r="C254" s="75"/>
      <c r="D254" s="29"/>
      <c r="E254" s="29"/>
      <c r="F254" s="29"/>
      <c r="G254" s="29"/>
      <c r="H254" s="27"/>
      <c r="I254" s="33"/>
      <c r="J254" s="5"/>
      <c r="K254" s="5"/>
      <c r="L254" s="5"/>
      <c r="M254" s="5"/>
    </row>
    <row r="255" spans="1:13" x14ac:dyDescent="0.25">
      <c r="A255" s="29"/>
      <c r="B255" s="74"/>
      <c r="C255" s="75"/>
      <c r="D255" s="29"/>
      <c r="E255" s="29"/>
      <c r="F255" s="29"/>
      <c r="G255" s="29"/>
      <c r="H255" s="27"/>
      <c r="I255" s="33"/>
      <c r="J255" s="5"/>
      <c r="K255" s="5"/>
      <c r="L255" s="5"/>
      <c r="M255" s="5"/>
    </row>
    <row r="256" spans="1:13" x14ac:dyDescent="0.25">
      <c r="A256" s="29"/>
      <c r="B256" s="74"/>
      <c r="C256" s="75"/>
      <c r="D256" s="29"/>
      <c r="E256" s="29"/>
      <c r="F256" s="29"/>
      <c r="G256" s="29"/>
      <c r="H256" s="27"/>
      <c r="I256" s="33"/>
      <c r="J256" s="5"/>
      <c r="K256" s="5"/>
      <c r="L256" s="5"/>
      <c r="M256" s="5"/>
    </row>
    <row r="257" spans="1:13" x14ac:dyDescent="0.25">
      <c r="A257" s="29"/>
      <c r="B257" s="74"/>
      <c r="C257" s="75"/>
      <c r="D257" s="29"/>
      <c r="E257" s="29"/>
      <c r="F257" s="29"/>
      <c r="G257" s="29"/>
      <c r="H257" s="27"/>
      <c r="I257" s="33"/>
      <c r="J257" s="5"/>
      <c r="K257" s="5"/>
      <c r="L257" s="5"/>
      <c r="M257" s="5"/>
    </row>
    <row r="258" spans="1:13" x14ac:dyDescent="0.25">
      <c r="A258" s="29"/>
      <c r="B258" s="74"/>
      <c r="C258" s="75"/>
      <c r="D258" s="29"/>
      <c r="E258" s="29"/>
      <c r="F258" s="29"/>
      <c r="G258" s="29"/>
      <c r="H258" s="27"/>
      <c r="I258" s="33"/>
      <c r="J258" s="5"/>
      <c r="K258" s="5"/>
      <c r="L258" s="5"/>
      <c r="M258" s="5"/>
    </row>
    <row r="259" spans="1:13" x14ac:dyDescent="0.25">
      <c r="A259" s="29"/>
      <c r="B259" s="74"/>
      <c r="C259" s="75"/>
      <c r="D259" s="29"/>
      <c r="E259" s="29"/>
      <c r="F259" s="29"/>
      <c r="G259" s="29"/>
      <c r="H259" s="27"/>
      <c r="I259" s="33"/>
      <c r="J259" s="5"/>
      <c r="K259" s="5"/>
      <c r="L259" s="5"/>
      <c r="M259" s="5"/>
    </row>
    <row r="260" spans="1:13" x14ac:dyDescent="0.25">
      <c r="A260" s="29"/>
      <c r="B260" s="74"/>
      <c r="C260" s="75"/>
      <c r="D260" s="29"/>
      <c r="E260" s="29"/>
      <c r="F260" s="29"/>
      <c r="G260" s="29"/>
      <c r="H260" s="27"/>
      <c r="I260" s="33"/>
      <c r="J260" s="5"/>
      <c r="K260" s="5"/>
      <c r="L260" s="5"/>
      <c r="M260" s="5"/>
    </row>
    <row r="261" spans="1:13" x14ac:dyDescent="0.25">
      <c r="A261" s="29"/>
      <c r="B261" s="74"/>
      <c r="C261" s="75"/>
      <c r="D261" s="29"/>
      <c r="E261" s="29"/>
      <c r="F261" s="29"/>
      <c r="G261" s="29"/>
      <c r="H261" s="27"/>
      <c r="I261" s="33"/>
      <c r="J261" s="5"/>
      <c r="K261" s="5"/>
      <c r="L261" s="5"/>
      <c r="M261" s="5"/>
    </row>
    <row r="262" spans="1:13" x14ac:dyDescent="0.25">
      <c r="A262" s="29"/>
      <c r="B262" s="74"/>
      <c r="C262" s="75"/>
      <c r="D262" s="29"/>
      <c r="E262" s="29"/>
      <c r="F262" s="29"/>
      <c r="G262" s="29"/>
      <c r="H262" s="27"/>
      <c r="I262" s="33"/>
      <c r="J262" s="5"/>
      <c r="K262" s="5"/>
      <c r="L262" s="5"/>
      <c r="M262" s="5"/>
    </row>
    <row r="263" spans="1:13" x14ac:dyDescent="0.25">
      <c r="A263" s="29"/>
      <c r="B263" s="74"/>
      <c r="C263" s="75"/>
      <c r="D263" s="29"/>
      <c r="E263" s="29"/>
      <c r="F263" s="29"/>
      <c r="G263" s="29"/>
      <c r="H263" s="27"/>
      <c r="I263" s="33"/>
      <c r="J263" s="5"/>
      <c r="K263" s="5"/>
      <c r="L263" s="5"/>
      <c r="M263" s="5"/>
    </row>
    <row r="264" spans="1:13" x14ac:dyDescent="0.25">
      <c r="A264" s="29"/>
      <c r="B264" s="74"/>
      <c r="C264" s="75"/>
      <c r="D264" s="29"/>
      <c r="E264" s="29"/>
      <c r="F264" s="29"/>
      <c r="G264" s="29"/>
      <c r="H264" s="27"/>
      <c r="I264" s="33"/>
      <c r="J264" s="5"/>
      <c r="K264" s="5"/>
      <c r="L264" s="5"/>
      <c r="M264" s="5"/>
    </row>
    <row r="265" spans="1:13" x14ac:dyDescent="0.25">
      <c r="A265" s="29"/>
      <c r="B265" s="74"/>
      <c r="C265" s="75"/>
      <c r="D265" s="29"/>
      <c r="E265" s="29"/>
      <c r="F265" s="29"/>
      <c r="G265" s="29"/>
      <c r="H265" s="27"/>
      <c r="I265" s="33"/>
      <c r="J265" s="5"/>
      <c r="K265" s="5"/>
      <c r="L265" s="5"/>
      <c r="M265" s="5"/>
    </row>
    <row r="266" spans="1:13" x14ac:dyDescent="0.25">
      <c r="A266" s="29"/>
      <c r="B266" s="74"/>
      <c r="C266" s="75"/>
      <c r="D266" s="29"/>
      <c r="E266" s="29"/>
      <c r="F266" s="29"/>
      <c r="G266" s="29"/>
      <c r="H266" s="27"/>
      <c r="I266" s="33"/>
      <c r="J266" s="5"/>
      <c r="K266" s="5"/>
      <c r="L266" s="5"/>
      <c r="M266" s="5"/>
    </row>
    <row r="267" spans="1:13" x14ac:dyDescent="0.25">
      <c r="A267" s="29"/>
      <c r="B267" s="74"/>
      <c r="C267" s="75"/>
      <c r="D267" s="29"/>
      <c r="E267" s="29"/>
      <c r="F267" s="29"/>
      <c r="G267" s="29"/>
      <c r="H267" s="27"/>
      <c r="I267" s="33"/>
      <c r="J267" s="5"/>
      <c r="K267" s="5"/>
      <c r="L267" s="5"/>
      <c r="M267" s="5"/>
    </row>
    <row r="268" spans="1:13" x14ac:dyDescent="0.25">
      <c r="A268" s="29"/>
      <c r="B268" s="74"/>
      <c r="C268" s="75"/>
      <c r="D268" s="29"/>
      <c r="E268" s="29"/>
      <c r="F268" s="29"/>
      <c r="G268" s="29"/>
      <c r="H268" s="27"/>
      <c r="I268" s="33"/>
      <c r="J268" s="5"/>
      <c r="K268" s="5"/>
      <c r="L268" s="5"/>
      <c r="M268" s="5"/>
    </row>
    <row r="269" spans="1:13" x14ac:dyDescent="0.25">
      <c r="A269" s="29"/>
      <c r="B269" s="74"/>
      <c r="C269" s="75"/>
      <c r="D269" s="29"/>
      <c r="E269" s="29"/>
      <c r="F269" s="29"/>
      <c r="G269" s="29"/>
      <c r="H269" s="27"/>
      <c r="I269" s="33"/>
      <c r="J269" s="5"/>
      <c r="K269" s="5"/>
      <c r="L269" s="5"/>
      <c r="M269" s="5"/>
    </row>
    <row r="270" spans="1:13" x14ac:dyDescent="0.25">
      <c r="A270" s="29"/>
      <c r="B270" s="74"/>
      <c r="C270" s="75"/>
      <c r="D270" s="29"/>
      <c r="E270" s="29"/>
      <c r="F270" s="29"/>
      <c r="G270" s="29"/>
      <c r="H270" s="27"/>
      <c r="I270" s="33"/>
      <c r="J270" s="5"/>
      <c r="K270" s="5"/>
      <c r="L270" s="5"/>
      <c r="M270" s="5"/>
    </row>
    <row r="271" spans="1:13" x14ac:dyDescent="0.25">
      <c r="A271" s="29"/>
      <c r="B271" s="74"/>
      <c r="C271" s="75"/>
      <c r="D271" s="29"/>
      <c r="E271" s="29"/>
      <c r="F271" s="29"/>
      <c r="G271" s="29"/>
      <c r="H271" s="27"/>
      <c r="I271" s="33"/>
      <c r="J271" s="5"/>
      <c r="K271" s="5"/>
      <c r="L271" s="5"/>
      <c r="M271" s="5"/>
    </row>
    <row r="272" spans="1:13" x14ac:dyDescent="0.25">
      <c r="A272" s="29"/>
      <c r="B272" s="74"/>
      <c r="C272" s="75"/>
      <c r="D272" s="29"/>
      <c r="E272" s="29"/>
      <c r="F272" s="29"/>
      <c r="G272" s="29"/>
      <c r="H272" s="27"/>
      <c r="I272" s="33"/>
      <c r="J272" s="5"/>
      <c r="K272" s="5"/>
      <c r="L272" s="5"/>
      <c r="M272" s="5"/>
    </row>
    <row r="273" spans="1:13" x14ac:dyDescent="0.25">
      <c r="A273" s="29"/>
      <c r="B273" s="74"/>
      <c r="C273" s="75"/>
      <c r="D273" s="29"/>
      <c r="E273" s="29"/>
      <c r="F273" s="29"/>
      <c r="G273" s="29"/>
      <c r="H273" s="27"/>
      <c r="I273" s="33"/>
      <c r="J273" s="5"/>
      <c r="K273" s="5"/>
      <c r="L273" s="5"/>
      <c r="M273" s="5"/>
    </row>
    <row r="274" spans="1:13" x14ac:dyDescent="0.25">
      <c r="A274" s="29"/>
      <c r="B274" s="74"/>
      <c r="C274" s="75"/>
      <c r="D274" s="29"/>
      <c r="E274" s="29"/>
      <c r="F274" s="29"/>
      <c r="G274" s="29"/>
      <c r="H274" s="27"/>
      <c r="I274" s="33"/>
      <c r="J274" s="5"/>
      <c r="K274" s="5"/>
      <c r="L274" s="5"/>
      <c r="M274" s="5"/>
    </row>
    <row r="275" spans="1:13" x14ac:dyDescent="0.25">
      <c r="A275" s="29"/>
      <c r="B275" s="74"/>
      <c r="C275" s="75"/>
      <c r="D275" s="29"/>
      <c r="E275" s="29"/>
      <c r="F275" s="29"/>
      <c r="G275" s="29"/>
      <c r="H275" s="27"/>
      <c r="I275" s="33"/>
      <c r="J275" s="5"/>
      <c r="K275" s="5"/>
      <c r="L275" s="5"/>
      <c r="M275" s="5"/>
    </row>
    <row r="276" spans="1:13" x14ac:dyDescent="0.25">
      <c r="A276" s="29"/>
      <c r="B276" s="74"/>
      <c r="C276" s="75"/>
      <c r="D276" s="29"/>
      <c r="E276" s="29"/>
      <c r="F276" s="29"/>
      <c r="G276" s="29"/>
      <c r="H276" s="27"/>
      <c r="I276" s="33"/>
      <c r="J276" s="5"/>
      <c r="K276" s="5"/>
      <c r="L276" s="5"/>
      <c r="M276" s="5"/>
    </row>
    <row r="277" spans="1:13" x14ac:dyDescent="0.25">
      <c r="A277" s="29"/>
      <c r="B277" s="74"/>
      <c r="C277" s="75"/>
      <c r="D277" s="29"/>
      <c r="E277" s="29"/>
      <c r="F277" s="29"/>
      <c r="G277" s="29"/>
      <c r="H277" s="27"/>
      <c r="I277" s="33"/>
      <c r="J277" s="5"/>
      <c r="K277" s="5"/>
      <c r="L277" s="5"/>
      <c r="M277" s="5"/>
    </row>
    <row r="278" spans="1:13" x14ac:dyDescent="0.25">
      <c r="A278" s="29"/>
      <c r="B278" s="74"/>
      <c r="C278" s="75"/>
      <c r="D278" s="29"/>
      <c r="E278" s="29"/>
      <c r="F278" s="29"/>
      <c r="G278" s="29"/>
      <c r="H278" s="27"/>
      <c r="I278" s="33"/>
      <c r="J278" s="5"/>
      <c r="K278" s="5"/>
      <c r="L278" s="5"/>
      <c r="M278" s="5"/>
    </row>
    <row r="279" spans="1:13" x14ac:dyDescent="0.25">
      <c r="A279" s="29"/>
      <c r="B279" s="74"/>
      <c r="C279" s="75"/>
      <c r="D279" s="29"/>
      <c r="E279" s="29"/>
      <c r="F279" s="29"/>
      <c r="G279" s="29"/>
      <c r="H279" s="27"/>
      <c r="I279" s="33"/>
      <c r="J279" s="5"/>
      <c r="K279" s="5"/>
      <c r="L279" s="5"/>
      <c r="M279" s="5"/>
    </row>
    <row r="280" spans="1:13" x14ac:dyDescent="0.25">
      <c r="A280" s="29"/>
      <c r="B280" s="74"/>
      <c r="C280" s="75"/>
      <c r="D280" s="29"/>
      <c r="E280" s="29"/>
      <c r="F280" s="29"/>
      <c r="G280" s="29"/>
      <c r="H280" s="27"/>
      <c r="I280" s="33"/>
      <c r="J280" s="5"/>
      <c r="K280" s="5"/>
      <c r="L280" s="5"/>
      <c r="M280" s="5"/>
    </row>
    <row r="281" spans="1:13" x14ac:dyDescent="0.25">
      <c r="A281" s="29"/>
      <c r="B281" s="74"/>
      <c r="C281" s="75"/>
      <c r="D281" s="29"/>
      <c r="E281" s="29"/>
      <c r="F281" s="29"/>
      <c r="G281" s="29"/>
      <c r="H281" s="27"/>
      <c r="I281" s="33"/>
      <c r="J281" s="5"/>
      <c r="K281" s="5"/>
      <c r="L281" s="5"/>
      <c r="M281" s="5"/>
    </row>
    <row r="282" spans="1:13" x14ac:dyDescent="0.25">
      <c r="A282" s="29"/>
      <c r="B282" s="74"/>
      <c r="C282" s="75"/>
      <c r="D282" s="29"/>
      <c r="E282" s="29"/>
      <c r="F282" s="29"/>
      <c r="G282" s="29"/>
      <c r="H282" s="27"/>
      <c r="I282" s="33"/>
      <c r="J282" s="5"/>
      <c r="K282" s="5"/>
      <c r="L282" s="5"/>
      <c r="M282" s="5"/>
    </row>
    <row r="283" spans="1:13" x14ac:dyDescent="0.25">
      <c r="A283" s="29"/>
      <c r="B283" s="74"/>
      <c r="C283" s="75"/>
      <c r="D283" s="29"/>
      <c r="E283" s="29"/>
      <c r="F283" s="29"/>
      <c r="G283" s="29"/>
      <c r="H283" s="27"/>
      <c r="I283" s="33"/>
      <c r="J283" s="5"/>
      <c r="K283" s="5"/>
      <c r="L283" s="5"/>
      <c r="M283" s="5"/>
    </row>
    <row r="284" spans="1:13" x14ac:dyDescent="0.25">
      <c r="A284" s="29"/>
      <c r="B284" s="74"/>
      <c r="C284" s="75"/>
      <c r="D284" s="29"/>
      <c r="E284" s="29"/>
      <c r="F284" s="29"/>
      <c r="G284" s="29"/>
      <c r="H284" s="27"/>
      <c r="I284" s="33"/>
      <c r="J284" s="5"/>
      <c r="K284" s="5"/>
      <c r="L284" s="5"/>
      <c r="M284" s="5"/>
    </row>
    <row r="285" spans="1:13" x14ac:dyDescent="0.25">
      <c r="A285" s="29"/>
      <c r="B285" s="74"/>
      <c r="C285" s="75"/>
      <c r="D285" s="29"/>
      <c r="E285" s="29"/>
      <c r="F285" s="29"/>
      <c r="G285" s="29"/>
      <c r="H285" s="27"/>
      <c r="I285" s="33"/>
      <c r="J285" s="5"/>
      <c r="K285" s="5"/>
      <c r="L285" s="5"/>
      <c r="M285" s="5"/>
    </row>
    <row r="286" spans="1:13" x14ac:dyDescent="0.25">
      <c r="A286" s="29"/>
      <c r="B286" s="74"/>
      <c r="C286" s="75"/>
      <c r="D286" s="29"/>
      <c r="E286" s="29"/>
      <c r="F286" s="29"/>
      <c r="G286" s="29"/>
      <c r="H286" s="27"/>
      <c r="I286" s="33"/>
      <c r="J286" s="5"/>
      <c r="K286" s="5"/>
      <c r="L286" s="5"/>
      <c r="M286" s="5"/>
    </row>
    <row r="287" spans="1:13" x14ac:dyDescent="0.25">
      <c r="A287" s="29"/>
      <c r="B287" s="74"/>
      <c r="C287" s="75"/>
      <c r="D287" s="29"/>
      <c r="E287" s="29"/>
      <c r="F287" s="29"/>
      <c r="G287" s="29"/>
      <c r="H287" s="27"/>
      <c r="I287" s="33"/>
      <c r="J287" s="5"/>
      <c r="K287" s="5"/>
      <c r="L287" s="5"/>
      <c r="M287" s="5"/>
    </row>
    <row r="288" spans="1:13" x14ac:dyDescent="0.25">
      <c r="A288" s="29"/>
      <c r="B288" s="74"/>
      <c r="C288" s="75"/>
      <c r="D288" s="29"/>
      <c r="E288" s="29"/>
      <c r="F288" s="29"/>
      <c r="G288" s="29"/>
      <c r="H288" s="27"/>
      <c r="I288" s="33"/>
      <c r="J288" s="5"/>
      <c r="K288" s="5"/>
      <c r="L288" s="5"/>
      <c r="M288" s="5"/>
    </row>
    <row r="289" spans="1:13" x14ac:dyDescent="0.25">
      <c r="A289" s="29"/>
      <c r="B289" s="74"/>
      <c r="C289" s="75"/>
      <c r="D289" s="29"/>
      <c r="E289" s="29"/>
      <c r="F289" s="29"/>
      <c r="G289" s="29"/>
      <c r="H289" s="27"/>
      <c r="I289" s="33"/>
      <c r="J289" s="5"/>
      <c r="K289" s="5"/>
      <c r="L289" s="5"/>
      <c r="M289" s="5"/>
    </row>
    <row r="290" spans="1:13" x14ac:dyDescent="0.25">
      <c r="A290" s="29"/>
      <c r="B290" s="74"/>
      <c r="C290" s="75"/>
      <c r="D290" s="29"/>
      <c r="E290" s="29"/>
      <c r="F290" s="29"/>
      <c r="G290" s="29"/>
      <c r="H290" s="27"/>
      <c r="I290" s="33"/>
      <c r="J290" s="5"/>
      <c r="K290" s="5"/>
      <c r="L290" s="5"/>
      <c r="M290" s="5"/>
    </row>
    <row r="291" spans="1:13" x14ac:dyDescent="0.25">
      <c r="A291" s="29"/>
      <c r="B291" s="74"/>
      <c r="C291" s="75"/>
      <c r="D291" s="29"/>
      <c r="E291" s="29"/>
      <c r="F291" s="29"/>
      <c r="G291" s="29"/>
      <c r="H291" s="27"/>
      <c r="I291" s="33"/>
      <c r="J291" s="5"/>
      <c r="K291" s="5"/>
      <c r="L291" s="5"/>
      <c r="M291" s="5"/>
    </row>
    <row r="292" spans="1:13" x14ac:dyDescent="0.25">
      <c r="A292" s="29"/>
      <c r="B292" s="74"/>
      <c r="C292" s="75"/>
      <c r="D292" s="29"/>
      <c r="E292" s="29"/>
      <c r="F292" s="29"/>
      <c r="G292" s="29"/>
      <c r="H292" s="27"/>
      <c r="I292" s="33"/>
      <c r="J292" s="5"/>
      <c r="K292" s="5"/>
      <c r="L292" s="5"/>
      <c r="M292" s="5"/>
    </row>
    <row r="293" spans="1:13" x14ac:dyDescent="0.25">
      <c r="A293" s="29"/>
      <c r="B293" s="74"/>
      <c r="C293" s="75"/>
      <c r="D293" s="29"/>
      <c r="E293" s="29"/>
      <c r="F293" s="29"/>
      <c r="G293" s="29"/>
      <c r="H293" s="27"/>
      <c r="I293" s="33"/>
      <c r="J293" s="5"/>
      <c r="K293" s="5"/>
      <c r="L293" s="5"/>
      <c r="M293" s="5"/>
    </row>
    <row r="294" spans="1:13" x14ac:dyDescent="0.25">
      <c r="A294" s="29"/>
      <c r="B294" s="74"/>
      <c r="C294" s="75"/>
      <c r="D294" s="29"/>
      <c r="E294" s="29"/>
      <c r="F294" s="29"/>
      <c r="G294" s="29"/>
      <c r="H294" s="27"/>
      <c r="I294" s="33"/>
      <c r="J294" s="5"/>
      <c r="K294" s="5"/>
      <c r="L294" s="5"/>
      <c r="M294" s="5"/>
    </row>
    <row r="295" spans="1:13" x14ac:dyDescent="0.25">
      <c r="A295" s="29"/>
      <c r="B295" s="74"/>
      <c r="C295" s="75"/>
      <c r="D295" s="29"/>
      <c r="E295" s="29"/>
      <c r="F295" s="29"/>
      <c r="G295" s="29"/>
      <c r="H295" s="27"/>
      <c r="I295" s="33"/>
      <c r="J295" s="5"/>
      <c r="K295" s="5"/>
      <c r="L295" s="5"/>
      <c r="M295" s="5"/>
    </row>
    <row r="296" spans="1:13" x14ac:dyDescent="0.25">
      <c r="A296" s="29"/>
      <c r="B296" s="74"/>
      <c r="C296" s="75"/>
      <c r="D296" s="29"/>
      <c r="E296" s="29"/>
      <c r="F296" s="29"/>
      <c r="G296" s="29"/>
      <c r="H296" s="27"/>
      <c r="I296" s="33"/>
      <c r="J296" s="5"/>
      <c r="K296" s="5"/>
      <c r="L296" s="5"/>
      <c r="M296" s="5"/>
    </row>
    <row r="297" spans="1:13" x14ac:dyDescent="0.25">
      <c r="A297" s="29"/>
      <c r="B297" s="74"/>
      <c r="C297" s="75"/>
      <c r="D297" s="29"/>
      <c r="E297" s="29"/>
      <c r="F297" s="29"/>
      <c r="G297" s="29"/>
      <c r="H297" s="27"/>
      <c r="I297" s="33"/>
      <c r="J297" s="5"/>
      <c r="K297" s="5"/>
      <c r="L297" s="5"/>
      <c r="M297" s="5"/>
    </row>
    <row r="298" spans="1:13" x14ac:dyDescent="0.25">
      <c r="A298" s="29"/>
      <c r="B298" s="74"/>
      <c r="C298" s="75"/>
      <c r="D298" s="29"/>
      <c r="E298" s="29"/>
      <c r="F298" s="29"/>
      <c r="G298" s="29"/>
      <c r="H298" s="27"/>
      <c r="I298" s="33"/>
      <c r="J298" s="5"/>
      <c r="K298" s="5"/>
      <c r="L298" s="5"/>
      <c r="M298" s="5"/>
    </row>
    <row r="299" spans="1:13" x14ac:dyDescent="0.25">
      <c r="A299" s="29"/>
      <c r="B299" s="74"/>
      <c r="C299" s="75"/>
      <c r="D299" s="29"/>
      <c r="E299" s="29"/>
      <c r="F299" s="29"/>
      <c r="G299" s="29"/>
      <c r="H299" s="27"/>
      <c r="I299" s="33"/>
      <c r="J299" s="5"/>
      <c r="K299" s="5"/>
      <c r="L299" s="5"/>
      <c r="M299" s="5"/>
    </row>
    <row r="300" spans="1:13" x14ac:dyDescent="0.25">
      <c r="A300" s="29"/>
      <c r="B300" s="74"/>
      <c r="C300" s="75"/>
      <c r="D300" s="29"/>
      <c r="E300" s="29"/>
      <c r="F300" s="29"/>
      <c r="G300" s="29"/>
      <c r="H300" s="27"/>
      <c r="I300" s="33"/>
      <c r="J300" s="5"/>
      <c r="K300" s="5"/>
      <c r="L300" s="5"/>
      <c r="M300" s="5"/>
    </row>
    <row r="301" spans="1:13" x14ac:dyDescent="0.25">
      <c r="A301" s="29"/>
      <c r="B301" s="74"/>
      <c r="C301" s="75"/>
      <c r="D301" s="29"/>
      <c r="E301" s="29"/>
      <c r="F301" s="29"/>
      <c r="G301" s="29"/>
      <c r="H301" s="27"/>
      <c r="I301" s="33"/>
      <c r="J301" s="5"/>
      <c r="K301" s="5"/>
      <c r="L301" s="5"/>
      <c r="M301" s="5"/>
    </row>
    <row r="302" spans="1:13" x14ac:dyDescent="0.25">
      <c r="A302" s="29"/>
      <c r="B302" s="74"/>
      <c r="C302" s="75"/>
      <c r="D302" s="29"/>
      <c r="E302" s="29"/>
      <c r="F302" s="29"/>
      <c r="G302" s="29"/>
      <c r="H302" s="27"/>
      <c r="I302" s="33"/>
      <c r="J302" s="5"/>
      <c r="K302" s="5"/>
      <c r="L302" s="5"/>
      <c r="M302" s="5"/>
    </row>
    <row r="303" spans="1:13" x14ac:dyDescent="0.25">
      <c r="A303" s="29"/>
      <c r="B303" s="74"/>
      <c r="C303" s="75"/>
      <c r="D303" s="29"/>
      <c r="E303" s="29"/>
      <c r="F303" s="29"/>
      <c r="G303" s="29"/>
      <c r="H303" s="27"/>
      <c r="I303" s="33"/>
      <c r="J303" s="5"/>
      <c r="K303" s="5"/>
      <c r="L303" s="5"/>
      <c r="M303" s="5"/>
    </row>
    <row r="304" spans="1:13" x14ac:dyDescent="0.25">
      <c r="A304" s="29"/>
      <c r="B304" s="74"/>
      <c r="C304" s="75"/>
      <c r="D304" s="29"/>
      <c r="E304" s="29"/>
      <c r="F304" s="29"/>
      <c r="G304" s="29"/>
      <c r="H304" s="27"/>
      <c r="I304" s="33"/>
      <c r="J304" s="5"/>
      <c r="K304" s="5"/>
      <c r="L304" s="5"/>
      <c r="M304" s="5"/>
    </row>
    <row r="305" spans="1:13" x14ac:dyDescent="0.25">
      <c r="A305" s="29"/>
      <c r="B305" s="74"/>
      <c r="C305" s="75"/>
      <c r="D305" s="29"/>
      <c r="E305" s="29"/>
      <c r="F305" s="29"/>
      <c r="G305" s="29"/>
      <c r="H305" s="27"/>
      <c r="I305" s="33"/>
      <c r="J305" s="5"/>
      <c r="K305" s="5"/>
      <c r="L305" s="5"/>
      <c r="M305" s="5"/>
    </row>
    <row r="306" spans="1:13" x14ac:dyDescent="0.25">
      <c r="A306" s="29"/>
      <c r="B306" s="74"/>
      <c r="C306" s="75"/>
      <c r="D306" s="29"/>
      <c r="E306" s="29"/>
      <c r="F306" s="29"/>
      <c r="G306" s="29"/>
      <c r="H306" s="27"/>
      <c r="I306" s="33"/>
      <c r="J306" s="5"/>
      <c r="K306" s="5"/>
      <c r="L306" s="5"/>
      <c r="M306" s="5"/>
    </row>
    <row r="307" spans="1:13" x14ac:dyDescent="0.25">
      <c r="A307" s="29"/>
      <c r="B307" s="74"/>
      <c r="C307" s="75"/>
      <c r="D307" s="29"/>
      <c r="E307" s="29"/>
      <c r="F307" s="29"/>
      <c r="G307" s="29"/>
      <c r="H307" s="27"/>
      <c r="I307" s="33"/>
      <c r="J307" s="5"/>
      <c r="K307" s="5"/>
      <c r="L307" s="5"/>
      <c r="M307" s="5"/>
    </row>
    <row r="308" spans="1:13" x14ac:dyDescent="0.25">
      <c r="A308" s="29"/>
      <c r="B308" s="74"/>
      <c r="C308" s="75"/>
      <c r="D308" s="29"/>
      <c r="E308" s="29"/>
      <c r="F308" s="29"/>
      <c r="G308" s="29"/>
      <c r="H308" s="27"/>
      <c r="I308" s="33"/>
      <c r="J308" s="5"/>
      <c r="K308" s="5"/>
      <c r="L308" s="5"/>
      <c r="M308" s="5"/>
    </row>
    <row r="309" spans="1:13" x14ac:dyDescent="0.25">
      <c r="A309" s="29"/>
      <c r="B309" s="74"/>
      <c r="C309" s="75"/>
      <c r="D309" s="29"/>
      <c r="E309" s="29"/>
      <c r="F309" s="29"/>
      <c r="G309" s="29"/>
      <c r="H309" s="27"/>
      <c r="I309" s="33"/>
      <c r="J309" s="5"/>
      <c r="K309" s="5"/>
      <c r="L309" s="5"/>
      <c r="M309" s="5"/>
    </row>
    <row r="310" spans="1:13" x14ac:dyDescent="0.25">
      <c r="A310" s="29"/>
      <c r="B310" s="74"/>
      <c r="C310" s="75"/>
      <c r="D310" s="29"/>
      <c r="E310" s="29"/>
      <c r="F310" s="29"/>
      <c r="G310" s="29"/>
      <c r="H310" s="27"/>
      <c r="I310" s="33"/>
      <c r="J310" s="5"/>
      <c r="K310" s="5"/>
      <c r="L310" s="5"/>
      <c r="M310" s="5"/>
    </row>
    <row r="311" spans="1:13" x14ac:dyDescent="0.25">
      <c r="A311" s="29"/>
      <c r="B311" s="74"/>
      <c r="C311" s="75"/>
      <c r="D311" s="29"/>
      <c r="E311" s="29"/>
      <c r="F311" s="29"/>
      <c r="G311" s="29"/>
      <c r="H311" s="27"/>
      <c r="I311" s="33"/>
      <c r="J311" s="5"/>
      <c r="K311" s="5"/>
      <c r="L311" s="5"/>
      <c r="M311" s="5"/>
    </row>
    <row r="312" spans="1:13" x14ac:dyDescent="0.25">
      <c r="A312" s="29"/>
      <c r="B312" s="74"/>
      <c r="C312" s="75"/>
      <c r="D312" s="29"/>
      <c r="E312" s="29"/>
      <c r="F312" s="29"/>
      <c r="G312" s="29"/>
      <c r="H312" s="27"/>
      <c r="I312" s="33"/>
      <c r="J312" s="5"/>
      <c r="K312" s="5"/>
      <c r="L312" s="5"/>
      <c r="M312" s="5"/>
    </row>
    <row r="313" spans="1:13" x14ac:dyDescent="0.25">
      <c r="A313" s="29"/>
      <c r="B313" s="74"/>
      <c r="C313" s="75"/>
      <c r="D313" s="29"/>
      <c r="E313" s="29"/>
      <c r="F313" s="29"/>
      <c r="G313" s="29"/>
      <c r="H313" s="27"/>
      <c r="I313" s="33"/>
      <c r="J313" s="5"/>
      <c r="K313" s="5"/>
      <c r="L313" s="5"/>
      <c r="M313" s="5"/>
    </row>
    <row r="314" spans="1:13" x14ac:dyDescent="0.25">
      <c r="A314" s="29"/>
      <c r="B314" s="74"/>
      <c r="C314" s="75"/>
      <c r="D314" s="29"/>
      <c r="E314" s="29"/>
      <c r="F314" s="29"/>
      <c r="G314" s="29"/>
      <c r="H314" s="27"/>
      <c r="I314" s="33"/>
      <c r="J314" s="5"/>
      <c r="K314" s="5"/>
      <c r="L314" s="5"/>
      <c r="M314" s="5"/>
    </row>
    <row r="315" spans="1:13" x14ac:dyDescent="0.25">
      <c r="A315" s="29"/>
      <c r="B315" s="74"/>
      <c r="C315" s="75"/>
      <c r="D315" s="29"/>
      <c r="E315" s="29"/>
      <c r="F315" s="29"/>
      <c r="G315" s="29"/>
      <c r="H315" s="27"/>
      <c r="I315" s="33"/>
      <c r="J315" s="5"/>
      <c r="K315" s="5"/>
      <c r="L315" s="5"/>
      <c r="M315" s="5"/>
    </row>
    <row r="316" spans="1:13" x14ac:dyDescent="0.25">
      <c r="A316" s="29"/>
      <c r="B316" s="74"/>
      <c r="C316" s="75"/>
      <c r="D316" s="29"/>
      <c r="E316" s="29"/>
      <c r="F316" s="29"/>
      <c r="G316" s="29"/>
      <c r="H316" s="27"/>
      <c r="I316" s="33"/>
      <c r="J316" s="5"/>
      <c r="K316" s="5"/>
      <c r="L316" s="5"/>
      <c r="M316" s="5"/>
    </row>
    <row r="317" spans="1:13" x14ac:dyDescent="0.25">
      <c r="A317" s="29"/>
      <c r="B317" s="74"/>
      <c r="C317" s="75"/>
      <c r="D317" s="29"/>
      <c r="E317" s="29"/>
      <c r="F317" s="29"/>
      <c r="G317" s="29"/>
      <c r="H317" s="27"/>
      <c r="I317" s="33"/>
      <c r="J317" s="5"/>
      <c r="K317" s="5"/>
      <c r="L317" s="5"/>
      <c r="M317" s="5"/>
    </row>
    <row r="318" spans="1:13" x14ac:dyDescent="0.25">
      <c r="A318" s="29"/>
      <c r="B318" s="74"/>
      <c r="C318" s="75"/>
      <c r="D318" s="29"/>
      <c r="E318" s="29"/>
      <c r="F318" s="29"/>
      <c r="G318" s="29"/>
      <c r="H318" s="27"/>
      <c r="I318" s="33"/>
      <c r="J318" s="5"/>
      <c r="K318" s="5"/>
      <c r="L318" s="5"/>
      <c r="M318" s="5"/>
    </row>
    <row r="319" spans="1:13" x14ac:dyDescent="0.25">
      <c r="A319" s="29"/>
      <c r="B319" s="74"/>
      <c r="C319" s="75"/>
      <c r="D319" s="29"/>
      <c r="E319" s="29"/>
      <c r="F319" s="29"/>
      <c r="G319" s="29"/>
      <c r="H319" s="27"/>
      <c r="I319" s="33"/>
      <c r="J319" s="5"/>
      <c r="K319" s="5"/>
      <c r="L319" s="5"/>
      <c r="M319" s="5"/>
    </row>
    <row r="320" spans="1:13" x14ac:dyDescent="0.25">
      <c r="A320" s="29"/>
      <c r="B320" s="74"/>
      <c r="C320" s="75"/>
      <c r="D320" s="29"/>
      <c r="E320" s="29"/>
      <c r="F320" s="29"/>
      <c r="G320" s="29"/>
      <c r="H320" s="27"/>
      <c r="I320" s="33"/>
      <c r="J320" s="5"/>
      <c r="K320" s="5"/>
      <c r="L320" s="5"/>
      <c r="M320" s="5"/>
    </row>
    <row r="321" spans="1:13" x14ac:dyDescent="0.25">
      <c r="A321" s="29"/>
      <c r="B321" s="74"/>
      <c r="C321" s="75"/>
      <c r="D321" s="29"/>
      <c r="E321" s="29"/>
      <c r="F321" s="29"/>
      <c r="G321" s="29"/>
      <c r="H321" s="27"/>
      <c r="I321" s="33"/>
      <c r="J321" s="5"/>
      <c r="K321" s="5"/>
      <c r="L321" s="5"/>
      <c r="M321" s="5"/>
    </row>
    <row r="322" spans="1:13" x14ac:dyDescent="0.25">
      <c r="A322" s="29"/>
      <c r="B322" s="74"/>
      <c r="C322" s="75"/>
      <c r="D322" s="29"/>
      <c r="E322" s="29"/>
      <c r="F322" s="29"/>
      <c r="G322" s="29"/>
      <c r="H322" s="27"/>
      <c r="I322" s="33"/>
      <c r="J322" s="5"/>
      <c r="K322" s="5"/>
      <c r="L322" s="5"/>
      <c r="M322" s="5"/>
    </row>
    <row r="323" spans="1:13" x14ac:dyDescent="0.25">
      <c r="A323" s="29"/>
      <c r="B323" s="74"/>
      <c r="C323" s="75"/>
      <c r="D323" s="29"/>
      <c r="E323" s="29"/>
      <c r="F323" s="29"/>
      <c r="G323" s="29"/>
      <c r="H323" s="27"/>
      <c r="I323" s="33"/>
      <c r="J323" s="5"/>
      <c r="K323" s="5"/>
      <c r="L323" s="5"/>
      <c r="M323" s="5"/>
    </row>
    <row r="324" spans="1:13" x14ac:dyDescent="0.25">
      <c r="A324" s="29"/>
      <c r="B324" s="74"/>
      <c r="C324" s="75"/>
      <c r="D324" s="29"/>
      <c r="E324" s="29"/>
      <c r="F324" s="29"/>
      <c r="G324" s="29"/>
      <c r="H324" s="27"/>
      <c r="I324" s="33"/>
      <c r="J324" s="5"/>
      <c r="K324" s="5"/>
      <c r="L324" s="5"/>
      <c r="M324" s="5"/>
    </row>
    <row r="325" spans="1:13" x14ac:dyDescent="0.25">
      <c r="A325" s="29"/>
      <c r="B325" s="74"/>
      <c r="C325" s="75"/>
      <c r="D325" s="29"/>
      <c r="E325" s="29"/>
      <c r="F325" s="29"/>
      <c r="G325" s="29"/>
      <c r="H325" s="27"/>
      <c r="I325" s="33"/>
      <c r="J325" s="5"/>
      <c r="K325" s="5"/>
      <c r="L325" s="5"/>
      <c r="M325" s="5"/>
    </row>
    <row r="326" spans="1:13" x14ac:dyDescent="0.25">
      <c r="A326" s="29"/>
      <c r="B326" s="74"/>
      <c r="C326" s="75"/>
      <c r="D326" s="29"/>
      <c r="E326" s="29"/>
      <c r="F326" s="29"/>
      <c r="G326" s="29"/>
      <c r="H326" s="27"/>
      <c r="I326" s="33"/>
      <c r="J326" s="5"/>
      <c r="K326" s="5"/>
      <c r="L326" s="5"/>
      <c r="M326" s="5"/>
    </row>
    <row r="327" spans="1:13" x14ac:dyDescent="0.25">
      <c r="A327" s="29"/>
      <c r="B327" s="74"/>
      <c r="C327" s="75"/>
      <c r="D327" s="29"/>
      <c r="E327" s="29"/>
      <c r="F327" s="29"/>
      <c r="G327" s="29"/>
      <c r="H327" s="27"/>
      <c r="I327" s="33"/>
      <c r="J327" s="5"/>
      <c r="K327" s="5"/>
      <c r="L327" s="5"/>
      <c r="M327" s="5"/>
    </row>
    <row r="328" spans="1:13" x14ac:dyDescent="0.25">
      <c r="A328" s="29"/>
      <c r="B328" s="74"/>
      <c r="C328" s="75"/>
      <c r="D328" s="29"/>
      <c r="E328" s="29"/>
      <c r="F328" s="29"/>
      <c r="G328" s="29"/>
      <c r="H328" s="27"/>
      <c r="I328" s="33"/>
      <c r="J328" s="5"/>
      <c r="K328" s="5"/>
      <c r="L328" s="5"/>
      <c r="M328" s="5"/>
    </row>
    <row r="329" spans="1:13" x14ac:dyDescent="0.25">
      <c r="A329" s="29"/>
      <c r="B329" s="74"/>
      <c r="C329" s="75"/>
      <c r="D329" s="29"/>
      <c r="E329" s="29"/>
      <c r="F329" s="29"/>
      <c r="G329" s="29"/>
      <c r="H329" s="27"/>
      <c r="I329" s="33"/>
      <c r="J329" s="5"/>
      <c r="K329" s="5"/>
      <c r="L329" s="5"/>
      <c r="M329" s="5"/>
    </row>
    <row r="330" spans="1:13" x14ac:dyDescent="0.25">
      <c r="A330" s="29"/>
      <c r="B330" s="74"/>
      <c r="C330" s="75"/>
      <c r="D330" s="29"/>
      <c r="E330" s="29"/>
      <c r="F330" s="29"/>
      <c r="G330" s="29"/>
      <c r="H330" s="27"/>
      <c r="I330" s="33"/>
      <c r="J330" s="5"/>
      <c r="K330" s="5"/>
      <c r="L330" s="5"/>
      <c r="M330" s="5"/>
    </row>
    <row r="331" spans="1:13" x14ac:dyDescent="0.25">
      <c r="A331" s="29"/>
      <c r="B331" s="74"/>
      <c r="C331" s="75"/>
      <c r="D331" s="29"/>
      <c r="E331" s="29"/>
      <c r="F331" s="29"/>
      <c r="G331" s="29"/>
      <c r="H331" s="27"/>
      <c r="I331" s="33"/>
      <c r="J331" s="5"/>
      <c r="K331" s="5"/>
      <c r="L331" s="5"/>
      <c r="M331" s="5"/>
    </row>
    <row r="332" spans="1:13" x14ac:dyDescent="0.25">
      <c r="A332" s="29"/>
      <c r="B332" s="74"/>
      <c r="C332" s="75"/>
      <c r="D332" s="29"/>
      <c r="E332" s="29"/>
      <c r="F332" s="29"/>
      <c r="G332" s="29"/>
      <c r="H332" s="27"/>
      <c r="I332" s="33"/>
      <c r="J332" s="5"/>
      <c r="K332" s="5"/>
      <c r="L332" s="5"/>
      <c r="M332" s="5"/>
    </row>
    <row r="333" spans="1:13" x14ac:dyDescent="0.25">
      <c r="A333" s="29"/>
      <c r="B333" s="74"/>
      <c r="C333" s="75"/>
      <c r="D333" s="29"/>
      <c r="E333" s="29"/>
      <c r="F333" s="29"/>
      <c r="G333" s="29"/>
      <c r="H333" s="27"/>
      <c r="I333" s="33"/>
      <c r="J333" s="5"/>
      <c r="K333" s="5"/>
      <c r="L333" s="5"/>
      <c r="M333" s="5"/>
    </row>
    <row r="334" spans="1:13" x14ac:dyDescent="0.25">
      <c r="A334" s="29"/>
      <c r="B334" s="74"/>
      <c r="C334" s="75"/>
      <c r="D334" s="29"/>
      <c r="E334" s="29"/>
      <c r="F334" s="29"/>
      <c r="G334" s="29"/>
      <c r="H334" s="27"/>
      <c r="I334" s="33"/>
      <c r="J334" s="5"/>
      <c r="K334" s="5"/>
      <c r="L334" s="5"/>
      <c r="M334" s="5"/>
    </row>
    <row r="335" spans="1:13" x14ac:dyDescent="0.25">
      <c r="A335" s="29"/>
      <c r="B335" s="74"/>
      <c r="C335" s="75"/>
      <c r="D335" s="29"/>
      <c r="E335" s="29"/>
      <c r="F335" s="29"/>
      <c r="G335" s="29"/>
      <c r="H335" s="27"/>
      <c r="I335" s="33"/>
      <c r="J335" s="5"/>
      <c r="K335" s="5"/>
      <c r="L335" s="5"/>
      <c r="M335" s="5"/>
    </row>
    <row r="336" spans="1:13" x14ac:dyDescent="0.25">
      <c r="A336" s="29"/>
      <c r="B336" s="74"/>
      <c r="C336" s="75"/>
      <c r="D336" s="29"/>
      <c r="E336" s="29"/>
      <c r="F336" s="29"/>
      <c r="G336" s="29"/>
      <c r="H336" s="27"/>
      <c r="I336" s="33"/>
      <c r="J336" s="5"/>
      <c r="K336" s="5"/>
      <c r="L336" s="5"/>
      <c r="M336" s="5"/>
    </row>
    <row r="337" spans="1:13" x14ac:dyDescent="0.25">
      <c r="A337" s="29"/>
      <c r="B337" s="74"/>
      <c r="C337" s="75"/>
      <c r="D337" s="29"/>
      <c r="E337" s="29"/>
      <c r="F337" s="29"/>
      <c r="G337" s="29"/>
      <c r="H337" s="27"/>
      <c r="I337" s="33"/>
      <c r="J337" s="5"/>
      <c r="K337" s="5"/>
      <c r="L337" s="5"/>
      <c r="M337" s="5"/>
    </row>
    <row r="338" spans="1:13" x14ac:dyDescent="0.25">
      <c r="A338" s="29"/>
      <c r="B338" s="74"/>
      <c r="C338" s="75"/>
      <c r="D338" s="29"/>
      <c r="E338" s="29"/>
      <c r="F338" s="29"/>
      <c r="G338" s="29"/>
      <c r="H338" s="27"/>
      <c r="I338" s="33"/>
      <c r="J338" s="5"/>
      <c r="K338" s="5"/>
      <c r="L338" s="5"/>
      <c r="M338" s="5"/>
    </row>
    <row r="339" spans="1:13" x14ac:dyDescent="0.25">
      <c r="A339" s="29"/>
      <c r="B339" s="74"/>
      <c r="C339" s="75"/>
      <c r="D339" s="29"/>
      <c r="E339" s="29"/>
      <c r="F339" s="29"/>
      <c r="G339" s="29"/>
      <c r="H339" s="27"/>
      <c r="I339" s="33"/>
      <c r="J339" s="5"/>
      <c r="K339" s="5"/>
      <c r="L339" s="5"/>
      <c r="M339" s="5"/>
    </row>
    <row r="340" spans="1:13" x14ac:dyDescent="0.25">
      <c r="A340" s="29"/>
      <c r="B340" s="74"/>
      <c r="C340" s="75"/>
      <c r="D340" s="29"/>
      <c r="E340" s="29"/>
      <c r="F340" s="29"/>
      <c r="G340" s="29"/>
      <c r="H340" s="27"/>
      <c r="I340" s="33"/>
      <c r="J340" s="5"/>
      <c r="K340" s="5"/>
      <c r="L340" s="5"/>
      <c r="M340" s="5"/>
    </row>
    <row r="341" spans="1:13" x14ac:dyDescent="0.25">
      <c r="A341" s="29"/>
      <c r="B341" s="74"/>
      <c r="C341" s="75"/>
      <c r="D341" s="29"/>
      <c r="E341" s="29"/>
      <c r="F341" s="29"/>
      <c r="G341" s="29"/>
      <c r="H341" s="27"/>
      <c r="I341" s="33"/>
      <c r="J341" s="5"/>
      <c r="K341" s="5"/>
      <c r="L341" s="5"/>
      <c r="M341" s="5"/>
    </row>
    <row r="342" spans="1:13" x14ac:dyDescent="0.25">
      <c r="A342" s="29"/>
      <c r="B342" s="74"/>
      <c r="C342" s="75"/>
      <c r="D342" s="29"/>
      <c r="E342" s="29"/>
      <c r="F342" s="29"/>
      <c r="G342" s="29"/>
      <c r="H342" s="27"/>
      <c r="I342" s="33"/>
      <c r="J342" s="5"/>
      <c r="K342" s="5"/>
      <c r="L342" s="5"/>
      <c r="M342" s="5"/>
    </row>
    <row r="343" spans="1:13" x14ac:dyDescent="0.25">
      <c r="A343" s="29"/>
      <c r="B343" s="74"/>
      <c r="C343" s="75"/>
      <c r="D343" s="29"/>
      <c r="E343" s="29"/>
      <c r="F343" s="29"/>
      <c r="G343" s="29"/>
      <c r="H343" s="27"/>
      <c r="I343" s="33"/>
      <c r="J343" s="5"/>
      <c r="K343" s="5"/>
      <c r="L343" s="5"/>
      <c r="M343" s="5"/>
    </row>
    <row r="344" spans="1:13" x14ac:dyDescent="0.25">
      <c r="A344" s="29"/>
      <c r="B344" s="74"/>
      <c r="C344" s="75"/>
      <c r="D344" s="29"/>
      <c r="E344" s="29"/>
      <c r="F344" s="29"/>
      <c r="G344" s="29"/>
      <c r="H344" s="27"/>
      <c r="I344" s="33"/>
      <c r="J344" s="5"/>
      <c r="K344" s="5"/>
      <c r="L344" s="5"/>
      <c r="M344" s="5"/>
    </row>
    <row r="345" spans="1:13" x14ac:dyDescent="0.25">
      <c r="A345" s="29"/>
      <c r="B345" s="74"/>
      <c r="C345" s="75"/>
      <c r="D345" s="29"/>
      <c r="E345" s="29"/>
      <c r="F345" s="29"/>
      <c r="G345" s="29"/>
      <c r="H345" s="27"/>
      <c r="I345" s="33"/>
      <c r="J345" s="5"/>
      <c r="K345" s="5"/>
      <c r="L345" s="5"/>
      <c r="M345" s="5"/>
    </row>
    <row r="346" spans="1:13" x14ac:dyDescent="0.25">
      <c r="A346" s="29"/>
      <c r="B346" s="74"/>
      <c r="C346" s="75"/>
      <c r="D346" s="29"/>
      <c r="E346" s="29"/>
      <c r="F346" s="29"/>
      <c r="G346" s="29"/>
      <c r="H346" s="27"/>
      <c r="I346" s="33"/>
      <c r="J346" s="5"/>
      <c r="K346" s="5"/>
      <c r="L346" s="5"/>
      <c r="M346" s="5"/>
    </row>
    <row r="347" spans="1:13" x14ac:dyDescent="0.25">
      <c r="A347" s="29"/>
      <c r="B347" s="74"/>
      <c r="C347" s="75"/>
      <c r="D347" s="29"/>
      <c r="E347" s="29"/>
      <c r="F347" s="29"/>
      <c r="G347" s="29"/>
      <c r="H347" s="27"/>
      <c r="I347" s="33"/>
      <c r="J347" s="5"/>
      <c r="K347" s="5"/>
      <c r="L347" s="5"/>
      <c r="M347" s="5"/>
    </row>
    <row r="348" spans="1:13" x14ac:dyDescent="0.25">
      <c r="A348" s="29"/>
      <c r="B348" s="74"/>
      <c r="C348" s="75"/>
      <c r="D348" s="29"/>
      <c r="E348" s="29"/>
      <c r="F348" s="29"/>
      <c r="G348" s="29"/>
      <c r="H348" s="27"/>
      <c r="I348" s="33"/>
      <c r="J348" s="5"/>
      <c r="K348" s="5"/>
      <c r="L348" s="5"/>
      <c r="M348" s="5"/>
    </row>
    <row r="349" spans="1:13" x14ac:dyDescent="0.25">
      <c r="A349" s="29"/>
      <c r="B349" s="74"/>
      <c r="C349" s="75"/>
      <c r="D349" s="29"/>
      <c r="E349" s="29"/>
      <c r="F349" s="29"/>
      <c r="G349" s="29"/>
      <c r="H349" s="27"/>
      <c r="I349" s="33"/>
      <c r="J349" s="5"/>
      <c r="K349" s="5"/>
      <c r="L349" s="5"/>
      <c r="M349" s="5"/>
    </row>
    <row r="350" spans="1:13" x14ac:dyDescent="0.25">
      <c r="A350" s="29"/>
      <c r="B350" s="74"/>
      <c r="C350" s="75"/>
      <c r="D350" s="29"/>
      <c r="E350" s="29"/>
      <c r="F350" s="29"/>
      <c r="G350" s="29"/>
      <c r="H350" s="27"/>
      <c r="I350" s="33"/>
      <c r="J350" s="5"/>
      <c r="K350" s="5"/>
      <c r="L350" s="5"/>
      <c r="M350" s="5"/>
    </row>
    <row r="351" spans="1:13" x14ac:dyDescent="0.25">
      <c r="A351" s="29"/>
      <c r="B351" s="74"/>
      <c r="C351" s="75"/>
      <c r="D351" s="29"/>
      <c r="E351" s="29"/>
      <c r="F351" s="29"/>
      <c r="G351" s="29"/>
      <c r="H351" s="27"/>
      <c r="I351" s="33"/>
      <c r="J351" s="5"/>
      <c r="K351" s="5"/>
      <c r="L351" s="5"/>
      <c r="M351" s="5"/>
    </row>
    <row r="352" spans="1:13" x14ac:dyDescent="0.25">
      <c r="A352" s="29"/>
      <c r="B352" s="74"/>
      <c r="C352" s="75"/>
      <c r="D352" s="29"/>
      <c r="E352" s="29"/>
      <c r="F352" s="29"/>
      <c r="G352" s="29"/>
      <c r="H352" s="27"/>
      <c r="I352" s="33"/>
      <c r="J352" s="5"/>
      <c r="K352" s="5"/>
      <c r="L352" s="5"/>
      <c r="M352" s="5"/>
    </row>
    <row r="353" spans="1:13" x14ac:dyDescent="0.25">
      <c r="A353" s="29"/>
      <c r="B353" s="74"/>
      <c r="C353" s="75"/>
      <c r="D353" s="29"/>
      <c r="E353" s="29"/>
      <c r="F353" s="29"/>
      <c r="G353" s="29"/>
      <c r="H353" s="27"/>
      <c r="I353" s="33"/>
      <c r="J353" s="5"/>
      <c r="K353" s="5"/>
      <c r="L353" s="5"/>
      <c r="M353" s="5"/>
    </row>
    <row r="354" spans="1:13" x14ac:dyDescent="0.25">
      <c r="A354" s="29"/>
      <c r="B354" s="74"/>
      <c r="C354" s="75"/>
      <c r="D354" s="29"/>
      <c r="E354" s="29"/>
      <c r="F354" s="29"/>
      <c r="G354" s="29"/>
      <c r="H354" s="27"/>
      <c r="I354" s="33"/>
      <c r="J354" s="5"/>
      <c r="K354" s="5"/>
      <c r="L354" s="5"/>
      <c r="M354" s="5"/>
    </row>
    <row r="355" spans="1:13" x14ac:dyDescent="0.25">
      <c r="A355" s="29"/>
      <c r="B355" s="74"/>
      <c r="C355" s="75"/>
      <c r="D355" s="29"/>
      <c r="E355" s="29"/>
      <c r="F355" s="29"/>
      <c r="G355" s="29"/>
      <c r="H355" s="27"/>
      <c r="I355" s="33"/>
      <c r="J355" s="5"/>
      <c r="K355" s="5"/>
      <c r="L355" s="5"/>
      <c r="M355" s="5"/>
    </row>
    <row r="356" spans="1:13" x14ac:dyDescent="0.25">
      <c r="A356" s="29"/>
      <c r="B356" s="74"/>
      <c r="C356" s="75"/>
      <c r="D356" s="29"/>
      <c r="E356" s="29"/>
      <c r="F356" s="29"/>
      <c r="G356" s="29"/>
      <c r="H356" s="27"/>
      <c r="I356" s="33"/>
      <c r="J356" s="5"/>
      <c r="K356" s="5"/>
      <c r="L356" s="5"/>
      <c r="M356" s="5"/>
    </row>
    <row r="357" spans="1:13" x14ac:dyDescent="0.25">
      <c r="A357" s="29"/>
      <c r="B357" s="74"/>
      <c r="C357" s="75"/>
      <c r="D357" s="29"/>
      <c r="E357" s="29"/>
      <c r="F357" s="29"/>
      <c r="G357" s="29"/>
      <c r="H357" s="27"/>
      <c r="I357" s="33"/>
      <c r="J357" s="5"/>
      <c r="K357" s="5"/>
      <c r="L357" s="5"/>
      <c r="M357" s="5"/>
    </row>
    <row r="358" spans="1:13" x14ac:dyDescent="0.25">
      <c r="A358" s="29"/>
      <c r="B358" s="74"/>
      <c r="C358" s="75"/>
      <c r="D358" s="29"/>
      <c r="E358" s="29"/>
      <c r="F358" s="29"/>
      <c r="G358" s="29"/>
      <c r="H358" s="27"/>
      <c r="I358" s="33"/>
      <c r="J358" s="5"/>
      <c r="K358" s="5"/>
      <c r="L358" s="5"/>
      <c r="M358" s="5"/>
    </row>
    <row r="359" spans="1:13" x14ac:dyDescent="0.25">
      <c r="A359" s="29"/>
      <c r="B359" s="74"/>
      <c r="C359" s="75"/>
      <c r="D359" s="29"/>
      <c r="E359" s="29"/>
      <c r="F359" s="29"/>
      <c r="G359" s="29"/>
      <c r="H359" s="27"/>
      <c r="I359" s="33"/>
      <c r="J359" s="5"/>
      <c r="K359" s="5"/>
      <c r="L359" s="5"/>
      <c r="M359" s="5"/>
    </row>
    <row r="360" spans="1:13" x14ac:dyDescent="0.25">
      <c r="A360" s="29"/>
      <c r="B360" s="74"/>
      <c r="C360" s="75"/>
      <c r="D360" s="29"/>
      <c r="E360" s="29"/>
      <c r="F360" s="29"/>
      <c r="G360" s="29"/>
      <c r="H360" s="27"/>
      <c r="I360" s="33"/>
      <c r="J360" s="5"/>
      <c r="K360" s="5"/>
      <c r="L360" s="5"/>
      <c r="M360" s="5"/>
    </row>
    <row r="361" spans="1:13" x14ac:dyDescent="0.25">
      <c r="A361" s="29"/>
      <c r="B361" s="74"/>
      <c r="C361" s="75"/>
      <c r="D361" s="29"/>
      <c r="E361" s="29"/>
      <c r="F361" s="29"/>
      <c r="G361" s="29"/>
      <c r="H361" s="27"/>
      <c r="I361" s="33"/>
      <c r="J361" s="5"/>
      <c r="K361" s="5"/>
      <c r="L361" s="5"/>
      <c r="M361" s="5"/>
    </row>
    <row r="362" spans="1:13" x14ac:dyDescent="0.25">
      <c r="A362" s="29"/>
      <c r="B362" s="74"/>
      <c r="C362" s="75"/>
      <c r="D362" s="29"/>
      <c r="E362" s="29"/>
      <c r="F362" s="29"/>
      <c r="G362" s="29"/>
      <c r="H362" s="27"/>
      <c r="I362" s="33"/>
      <c r="J362" s="5"/>
      <c r="K362" s="5"/>
      <c r="L362" s="5"/>
      <c r="M362" s="5"/>
    </row>
    <row r="363" spans="1:13" x14ac:dyDescent="0.25">
      <c r="A363" s="29"/>
      <c r="B363" s="74"/>
      <c r="C363" s="75"/>
      <c r="D363" s="29"/>
      <c r="E363" s="29"/>
      <c r="F363" s="29"/>
      <c r="G363" s="29"/>
      <c r="H363" s="27"/>
      <c r="I363" s="33"/>
      <c r="J363" s="5"/>
      <c r="K363" s="5"/>
      <c r="L363" s="5"/>
      <c r="M363" s="5"/>
    </row>
    <row r="364" spans="1:13" x14ac:dyDescent="0.25">
      <c r="A364" s="29"/>
      <c r="B364" s="74"/>
      <c r="C364" s="75"/>
      <c r="D364" s="29"/>
      <c r="E364" s="29"/>
      <c r="F364" s="29"/>
      <c r="G364" s="29"/>
      <c r="H364" s="27"/>
      <c r="I364" s="33"/>
      <c r="J364" s="5"/>
      <c r="K364" s="5"/>
      <c r="L364" s="5"/>
      <c r="M364" s="5"/>
    </row>
    <row r="365" spans="1:13" x14ac:dyDescent="0.25">
      <c r="A365" s="29"/>
      <c r="B365" s="74"/>
      <c r="C365" s="75"/>
      <c r="D365" s="29"/>
      <c r="E365" s="29"/>
      <c r="F365" s="29"/>
      <c r="G365" s="29"/>
      <c r="H365" s="27"/>
      <c r="I365" s="33"/>
      <c r="J365" s="5"/>
      <c r="K365" s="5"/>
      <c r="L365" s="5"/>
      <c r="M365" s="5"/>
    </row>
    <row r="366" spans="1:13" x14ac:dyDescent="0.25">
      <c r="A366" s="29"/>
      <c r="B366" s="74"/>
      <c r="C366" s="75"/>
      <c r="D366" s="29"/>
      <c r="E366" s="29"/>
      <c r="F366" s="29"/>
      <c r="G366" s="29"/>
      <c r="H366" s="27"/>
      <c r="I366" s="33"/>
      <c r="J366" s="5"/>
      <c r="K366" s="5"/>
      <c r="L366" s="5"/>
      <c r="M366" s="5"/>
    </row>
    <row r="367" spans="1:13" x14ac:dyDescent="0.25">
      <c r="A367" s="29"/>
      <c r="B367" s="74"/>
      <c r="C367" s="75"/>
      <c r="D367" s="29"/>
      <c r="E367" s="29"/>
      <c r="F367" s="29"/>
      <c r="G367" s="29"/>
      <c r="H367" s="27"/>
      <c r="I367" s="33"/>
      <c r="J367" s="5"/>
      <c r="K367" s="5"/>
      <c r="L367" s="5"/>
      <c r="M367" s="5"/>
    </row>
    <row r="368" spans="1:13" x14ac:dyDescent="0.25">
      <c r="A368" s="29"/>
      <c r="B368" s="74"/>
      <c r="C368" s="75"/>
      <c r="D368" s="29"/>
      <c r="E368" s="29"/>
      <c r="F368" s="29"/>
      <c r="G368" s="29"/>
      <c r="H368" s="27"/>
      <c r="I368" s="33"/>
      <c r="J368" s="5"/>
      <c r="K368" s="5"/>
      <c r="L368" s="5"/>
      <c r="M368" s="5"/>
    </row>
    <row r="369" spans="1:13" x14ac:dyDescent="0.25">
      <c r="A369" s="29"/>
      <c r="B369" s="74"/>
      <c r="C369" s="75"/>
      <c r="D369" s="29"/>
      <c r="E369" s="29"/>
      <c r="F369" s="29"/>
      <c r="G369" s="29"/>
      <c r="H369" s="27"/>
      <c r="I369" s="33"/>
      <c r="J369" s="5"/>
      <c r="K369" s="5"/>
      <c r="L369" s="5"/>
      <c r="M369" s="5"/>
    </row>
    <row r="370" spans="1:13" x14ac:dyDescent="0.25">
      <c r="A370" s="29"/>
      <c r="B370" s="74"/>
      <c r="C370" s="75"/>
      <c r="D370" s="29"/>
      <c r="E370" s="29"/>
      <c r="F370" s="29"/>
      <c r="G370" s="29"/>
      <c r="H370" s="27"/>
      <c r="I370" s="33"/>
      <c r="J370" s="5"/>
      <c r="K370" s="5"/>
      <c r="L370" s="5"/>
      <c r="M370" s="5"/>
    </row>
    <row r="371" spans="1:13" x14ac:dyDescent="0.25">
      <c r="A371" s="29"/>
      <c r="B371" s="74"/>
      <c r="C371" s="75"/>
      <c r="D371" s="29"/>
      <c r="E371" s="29"/>
      <c r="F371" s="29"/>
      <c r="G371" s="29"/>
      <c r="H371" s="27"/>
      <c r="I371" s="33"/>
      <c r="J371" s="5"/>
      <c r="K371" s="5"/>
      <c r="L371" s="5"/>
      <c r="M371" s="5"/>
    </row>
    <row r="372" spans="1:13" x14ac:dyDescent="0.25">
      <c r="A372" s="29"/>
      <c r="B372" s="74"/>
      <c r="C372" s="75"/>
      <c r="D372" s="29"/>
      <c r="E372" s="29"/>
      <c r="F372" s="29"/>
      <c r="G372" s="29"/>
      <c r="H372" s="27"/>
      <c r="I372" s="33"/>
      <c r="J372" s="5"/>
      <c r="K372" s="5"/>
      <c r="L372" s="5"/>
      <c r="M372" s="5"/>
    </row>
    <row r="373" spans="1:13" x14ac:dyDescent="0.25">
      <c r="A373" s="29"/>
      <c r="B373" s="74"/>
      <c r="C373" s="75"/>
      <c r="D373" s="29"/>
      <c r="E373" s="29"/>
      <c r="F373" s="29"/>
      <c r="G373" s="29"/>
      <c r="H373" s="27"/>
      <c r="I373" s="33"/>
      <c r="J373" s="5"/>
      <c r="K373" s="5"/>
      <c r="L373" s="5"/>
      <c r="M373" s="5"/>
    </row>
    <row r="374" spans="1:13" x14ac:dyDescent="0.25">
      <c r="A374" s="29"/>
      <c r="B374" s="74"/>
      <c r="C374" s="75"/>
      <c r="D374" s="29"/>
      <c r="E374" s="29"/>
      <c r="F374" s="29"/>
      <c r="G374" s="29"/>
      <c r="H374" s="27"/>
      <c r="I374" s="33"/>
      <c r="J374" s="5"/>
      <c r="K374" s="5"/>
      <c r="L374" s="5"/>
      <c r="M374" s="5"/>
    </row>
    <row r="375" spans="1:13" x14ac:dyDescent="0.25">
      <c r="A375" s="29"/>
      <c r="B375" s="74"/>
      <c r="C375" s="75"/>
      <c r="D375" s="29"/>
      <c r="E375" s="29"/>
      <c r="F375" s="29"/>
      <c r="G375" s="29"/>
      <c r="H375" s="27"/>
      <c r="I375" s="33"/>
      <c r="J375" s="5"/>
      <c r="K375" s="5"/>
      <c r="L375" s="5"/>
      <c r="M375" s="5"/>
    </row>
    <row r="376" spans="1:13" x14ac:dyDescent="0.25">
      <c r="A376" s="29"/>
      <c r="B376" s="74"/>
      <c r="C376" s="75"/>
      <c r="D376" s="29"/>
      <c r="E376" s="29"/>
      <c r="F376" s="29"/>
      <c r="G376" s="29"/>
      <c r="H376" s="27"/>
      <c r="I376" s="33"/>
      <c r="J376" s="5"/>
      <c r="K376" s="5"/>
      <c r="L376" s="5"/>
      <c r="M376" s="5"/>
    </row>
    <row r="377" spans="1:13" x14ac:dyDescent="0.25">
      <c r="A377" s="29"/>
      <c r="B377" s="74"/>
      <c r="C377" s="75"/>
      <c r="D377" s="29"/>
      <c r="E377" s="29"/>
      <c r="F377" s="29"/>
      <c r="G377" s="29"/>
      <c r="H377" s="27"/>
      <c r="I377" s="33"/>
      <c r="J377" s="5"/>
      <c r="K377" s="5"/>
      <c r="L377" s="5"/>
      <c r="M377" s="5"/>
    </row>
    <row r="378" spans="1:13" x14ac:dyDescent="0.25">
      <c r="A378" s="29"/>
      <c r="B378" s="74"/>
      <c r="C378" s="75"/>
      <c r="D378" s="29"/>
      <c r="E378" s="29"/>
      <c r="F378" s="29"/>
      <c r="G378" s="29"/>
      <c r="H378" s="27"/>
      <c r="I378" s="33"/>
      <c r="J378" s="5"/>
      <c r="K378" s="5"/>
      <c r="L378" s="5"/>
      <c r="M378" s="5"/>
    </row>
    <row r="379" spans="1:13" x14ac:dyDescent="0.25">
      <c r="A379" s="29"/>
      <c r="B379" s="74"/>
      <c r="C379" s="75"/>
      <c r="D379" s="29"/>
      <c r="E379" s="29"/>
      <c r="F379" s="29"/>
      <c r="G379" s="29"/>
      <c r="H379" s="27"/>
      <c r="I379" s="33"/>
      <c r="J379" s="5"/>
      <c r="K379" s="5"/>
      <c r="L379" s="5"/>
      <c r="M379" s="5"/>
    </row>
    <row r="380" spans="1:13" x14ac:dyDescent="0.25">
      <c r="A380" s="29"/>
      <c r="B380" s="74"/>
      <c r="C380" s="75"/>
      <c r="D380" s="29"/>
      <c r="E380" s="29"/>
      <c r="F380" s="29"/>
      <c r="G380" s="29"/>
      <c r="H380" s="27"/>
      <c r="I380" s="33"/>
      <c r="J380" s="5"/>
      <c r="K380" s="5"/>
      <c r="L380" s="5"/>
      <c r="M380" s="5"/>
    </row>
    <row r="381" spans="1:13" x14ac:dyDescent="0.25">
      <c r="A381" s="29"/>
      <c r="B381" s="74"/>
      <c r="C381" s="75"/>
      <c r="D381" s="29"/>
      <c r="E381" s="29"/>
      <c r="F381" s="29"/>
      <c r="G381" s="29"/>
      <c r="H381" s="27"/>
      <c r="I381" s="33"/>
      <c r="J381" s="5"/>
      <c r="K381" s="5"/>
      <c r="L381" s="5"/>
      <c r="M381" s="5"/>
    </row>
    <row r="382" spans="1:13" x14ac:dyDescent="0.25">
      <c r="A382" s="29"/>
      <c r="B382" s="74"/>
      <c r="C382" s="75"/>
      <c r="D382" s="29"/>
      <c r="E382" s="29"/>
      <c r="F382" s="29"/>
      <c r="G382" s="29"/>
      <c r="H382" s="27"/>
      <c r="I382" s="33"/>
      <c r="J382" s="5"/>
      <c r="K382" s="5"/>
      <c r="L382" s="5"/>
      <c r="M382" s="5"/>
    </row>
    <row r="383" spans="1:13" x14ac:dyDescent="0.25">
      <c r="A383" s="29"/>
      <c r="B383" s="74"/>
      <c r="C383" s="75"/>
      <c r="D383" s="29"/>
      <c r="E383" s="29"/>
      <c r="F383" s="29"/>
      <c r="G383" s="29"/>
      <c r="H383" s="27"/>
      <c r="I383" s="33"/>
      <c r="J383" s="5"/>
      <c r="K383" s="5"/>
      <c r="L383" s="5"/>
      <c r="M383" s="5"/>
    </row>
    <row r="384" spans="1:13" x14ac:dyDescent="0.25">
      <c r="A384" s="29"/>
      <c r="B384" s="74"/>
      <c r="C384" s="75"/>
      <c r="D384" s="29"/>
      <c r="E384" s="29"/>
      <c r="F384" s="29"/>
      <c r="G384" s="29"/>
      <c r="H384" s="27"/>
      <c r="I384" s="33"/>
      <c r="J384" s="5"/>
      <c r="K384" s="5"/>
      <c r="L384" s="5"/>
      <c r="M384" s="5"/>
    </row>
    <row r="385" spans="1:13" x14ac:dyDescent="0.25">
      <c r="A385" s="29"/>
      <c r="B385" s="74"/>
      <c r="C385" s="75"/>
      <c r="D385" s="29"/>
      <c r="E385" s="29"/>
      <c r="F385" s="29"/>
      <c r="G385" s="29"/>
      <c r="H385" s="27"/>
      <c r="I385" s="33"/>
      <c r="J385" s="5"/>
      <c r="K385" s="5"/>
      <c r="L385" s="5"/>
      <c r="M385" s="5"/>
    </row>
    <row r="386" spans="1:13" x14ac:dyDescent="0.25">
      <c r="A386" s="29"/>
      <c r="B386" s="74"/>
      <c r="C386" s="75"/>
      <c r="D386" s="29"/>
      <c r="E386" s="29"/>
      <c r="F386" s="29"/>
      <c r="G386" s="29"/>
      <c r="H386" s="27"/>
      <c r="I386" s="33"/>
      <c r="J386" s="5"/>
      <c r="K386" s="5"/>
      <c r="L386" s="5"/>
      <c r="M386" s="5"/>
    </row>
    <row r="387" spans="1:13" x14ac:dyDescent="0.25">
      <c r="A387" s="29"/>
      <c r="B387" s="74"/>
      <c r="C387" s="75"/>
      <c r="D387" s="29"/>
      <c r="E387" s="29"/>
      <c r="F387" s="29"/>
      <c r="G387" s="29"/>
      <c r="H387" s="27"/>
      <c r="I387" s="33"/>
      <c r="J387" s="5"/>
      <c r="K387" s="5"/>
      <c r="L387" s="5"/>
      <c r="M387" s="5"/>
    </row>
    <row r="388" spans="1:13" x14ac:dyDescent="0.25">
      <c r="A388" s="29"/>
      <c r="B388" s="74"/>
      <c r="C388" s="75"/>
      <c r="D388" s="29"/>
      <c r="E388" s="29"/>
      <c r="F388" s="29"/>
      <c r="G388" s="29"/>
      <c r="H388" s="27"/>
      <c r="I388" s="33"/>
      <c r="J388" s="5"/>
      <c r="K388" s="5"/>
      <c r="L388" s="5"/>
      <c r="M388" s="5"/>
    </row>
    <row r="389" spans="1:13" x14ac:dyDescent="0.25">
      <c r="A389" s="29"/>
      <c r="B389" s="74"/>
      <c r="C389" s="75"/>
      <c r="D389" s="29"/>
      <c r="E389" s="29"/>
      <c r="F389" s="29"/>
      <c r="G389" s="29"/>
      <c r="H389" s="27"/>
      <c r="I389" s="33"/>
      <c r="J389" s="5"/>
      <c r="K389" s="5"/>
      <c r="L389" s="5"/>
      <c r="M389" s="5"/>
    </row>
    <row r="390" spans="1:13" x14ac:dyDescent="0.25">
      <c r="A390" s="29"/>
      <c r="B390" s="74"/>
      <c r="C390" s="75"/>
      <c r="D390" s="29"/>
      <c r="E390" s="29"/>
      <c r="F390" s="29"/>
      <c r="G390" s="29"/>
      <c r="H390" s="27"/>
      <c r="I390" s="33"/>
      <c r="J390" s="5"/>
      <c r="K390" s="5"/>
      <c r="L390" s="5"/>
      <c r="M390" s="5"/>
    </row>
    <row r="391" spans="1:13" x14ac:dyDescent="0.25">
      <c r="A391" s="29"/>
      <c r="B391" s="74"/>
      <c r="C391" s="75"/>
      <c r="D391" s="29"/>
      <c r="E391" s="29"/>
      <c r="F391" s="29"/>
      <c r="G391" s="29"/>
      <c r="H391" s="27"/>
      <c r="I391" s="33"/>
      <c r="J391" s="5"/>
      <c r="K391" s="5"/>
      <c r="L391" s="5"/>
      <c r="M391" s="5"/>
    </row>
    <row r="392" spans="1:13" x14ac:dyDescent="0.25">
      <c r="A392" s="29"/>
      <c r="B392" s="74"/>
      <c r="C392" s="75"/>
      <c r="D392" s="29"/>
      <c r="E392" s="29"/>
      <c r="F392" s="29"/>
      <c r="G392" s="29"/>
      <c r="H392" s="27"/>
      <c r="I392" s="33"/>
      <c r="J392" s="5"/>
      <c r="K392" s="5"/>
      <c r="L392" s="5"/>
      <c r="M392" s="5"/>
    </row>
    <row r="393" spans="1:13" x14ac:dyDescent="0.25">
      <c r="A393" s="29"/>
      <c r="B393" s="74"/>
      <c r="C393" s="75"/>
      <c r="D393" s="29"/>
      <c r="E393" s="29"/>
      <c r="F393" s="29"/>
      <c r="G393" s="29"/>
      <c r="H393" s="27"/>
      <c r="I393" s="33"/>
      <c r="J393" s="5"/>
      <c r="K393" s="5"/>
      <c r="L393" s="5"/>
      <c r="M393" s="5"/>
    </row>
    <row r="394" spans="1:13" x14ac:dyDescent="0.25">
      <c r="A394" s="29"/>
      <c r="B394" s="74"/>
      <c r="C394" s="75"/>
      <c r="D394" s="29"/>
      <c r="E394" s="29"/>
      <c r="F394" s="29"/>
      <c r="G394" s="29"/>
      <c r="H394" s="27"/>
      <c r="I394" s="33"/>
      <c r="J394" s="5"/>
      <c r="K394" s="5"/>
      <c r="L394" s="5"/>
      <c r="M394" s="5"/>
    </row>
    <row r="395" spans="1:13" x14ac:dyDescent="0.25">
      <c r="A395" s="29"/>
      <c r="B395" s="74"/>
      <c r="C395" s="75"/>
      <c r="D395" s="29"/>
      <c r="E395" s="29"/>
      <c r="F395" s="29"/>
      <c r="G395" s="29"/>
      <c r="H395" s="27"/>
      <c r="I395" s="33"/>
      <c r="J395" s="5"/>
      <c r="K395" s="5"/>
      <c r="L395" s="5"/>
      <c r="M395" s="5"/>
    </row>
    <row r="396" spans="1:13" x14ac:dyDescent="0.25">
      <c r="A396" s="29"/>
      <c r="B396" s="74"/>
      <c r="C396" s="75"/>
      <c r="D396" s="29"/>
      <c r="E396" s="29"/>
      <c r="F396" s="29"/>
      <c r="G396" s="29"/>
      <c r="H396" s="27"/>
      <c r="I396" s="33"/>
      <c r="J396" s="5"/>
      <c r="K396" s="5"/>
      <c r="L396" s="5"/>
      <c r="M396" s="5"/>
    </row>
    <row r="397" spans="1:13" x14ac:dyDescent="0.25">
      <c r="A397" s="29"/>
      <c r="B397" s="74"/>
      <c r="C397" s="75"/>
      <c r="D397" s="29"/>
      <c r="E397" s="29"/>
      <c r="F397" s="29"/>
      <c r="G397" s="29"/>
      <c r="H397" s="27"/>
      <c r="I397" s="33"/>
      <c r="J397" s="5"/>
      <c r="K397" s="5"/>
      <c r="L397" s="5"/>
      <c r="M397" s="5"/>
    </row>
    <row r="398" spans="1:13" x14ac:dyDescent="0.25">
      <c r="A398" s="29"/>
      <c r="B398" s="74"/>
      <c r="C398" s="75"/>
      <c r="D398" s="29"/>
      <c r="E398" s="29"/>
      <c r="F398" s="29"/>
      <c r="G398" s="29"/>
      <c r="H398" s="27"/>
      <c r="I398" s="33"/>
      <c r="J398" s="5"/>
      <c r="K398" s="5"/>
      <c r="L398" s="5"/>
      <c r="M398" s="5"/>
    </row>
    <row r="399" spans="1:13" x14ac:dyDescent="0.25">
      <c r="A399" s="29"/>
      <c r="B399" s="74"/>
      <c r="C399" s="75"/>
      <c r="D399" s="29"/>
      <c r="E399" s="29"/>
      <c r="F399" s="29"/>
      <c r="G399" s="29"/>
      <c r="H399" s="27"/>
      <c r="I399" s="33"/>
      <c r="J399" s="5"/>
      <c r="K399" s="5"/>
      <c r="L399" s="5"/>
      <c r="M399" s="5"/>
    </row>
    <row r="400" spans="1:13" x14ac:dyDescent="0.25">
      <c r="A400" s="29"/>
      <c r="B400" s="74"/>
      <c r="C400" s="75"/>
      <c r="D400" s="29"/>
      <c r="E400" s="29"/>
      <c r="F400" s="29"/>
      <c r="G400" s="29"/>
      <c r="H400" s="27"/>
      <c r="I400" s="33"/>
      <c r="J400" s="5"/>
      <c r="K400" s="5"/>
      <c r="L400" s="5"/>
      <c r="M400" s="5"/>
    </row>
    <row r="401" spans="1:13" x14ac:dyDescent="0.25">
      <c r="A401" s="29"/>
      <c r="B401" s="74"/>
      <c r="C401" s="75"/>
      <c r="D401" s="29"/>
      <c r="E401" s="29"/>
      <c r="F401" s="29"/>
      <c r="G401" s="29"/>
      <c r="H401" s="27"/>
      <c r="I401" s="33"/>
      <c r="J401" s="5"/>
      <c r="K401" s="5"/>
      <c r="L401" s="5"/>
      <c r="M401" s="5"/>
    </row>
    <row r="402" spans="1:13" x14ac:dyDescent="0.25">
      <c r="A402" s="29"/>
      <c r="B402" s="74"/>
      <c r="C402" s="75"/>
      <c r="D402" s="29"/>
      <c r="E402" s="29"/>
      <c r="F402" s="29"/>
      <c r="G402" s="29"/>
      <c r="H402" s="27"/>
      <c r="I402" s="33"/>
      <c r="J402" s="5"/>
      <c r="K402" s="5"/>
      <c r="L402" s="5"/>
      <c r="M402" s="5"/>
    </row>
    <row r="403" spans="1:13" x14ac:dyDescent="0.25">
      <c r="A403" s="29"/>
      <c r="B403" s="74"/>
      <c r="C403" s="75"/>
      <c r="D403" s="29"/>
      <c r="E403" s="29"/>
      <c r="F403" s="29"/>
      <c r="G403" s="29"/>
      <c r="H403" s="27"/>
      <c r="I403" s="33"/>
      <c r="J403" s="5"/>
      <c r="K403" s="5"/>
      <c r="L403" s="5"/>
      <c r="M403" s="5"/>
    </row>
    <row r="404" spans="1:13" x14ac:dyDescent="0.25">
      <c r="A404" s="29"/>
      <c r="B404" s="74"/>
      <c r="C404" s="75"/>
      <c r="D404" s="29"/>
      <c r="E404" s="29"/>
      <c r="F404" s="29"/>
      <c r="G404" s="29"/>
      <c r="H404" s="27"/>
      <c r="I404" s="33"/>
      <c r="J404" s="5"/>
      <c r="K404" s="5"/>
      <c r="L404" s="5"/>
      <c r="M404" s="5"/>
    </row>
    <row r="405" spans="1:13" x14ac:dyDescent="0.25">
      <c r="A405" s="29"/>
      <c r="B405" s="74"/>
      <c r="C405" s="75"/>
      <c r="D405" s="29"/>
      <c r="E405" s="29"/>
      <c r="F405" s="29"/>
      <c r="G405" s="29"/>
      <c r="H405" s="27"/>
      <c r="I405" s="33"/>
      <c r="J405" s="5"/>
      <c r="K405" s="5"/>
      <c r="L405" s="5"/>
      <c r="M405" s="5"/>
    </row>
    <row r="406" spans="1:13" x14ac:dyDescent="0.25">
      <c r="A406" s="29"/>
      <c r="B406" s="74"/>
      <c r="C406" s="75"/>
      <c r="D406" s="29"/>
      <c r="E406" s="29"/>
      <c r="F406" s="29"/>
      <c r="G406" s="29"/>
      <c r="H406" s="27"/>
      <c r="I406" s="33"/>
      <c r="J406" s="5"/>
      <c r="K406" s="5"/>
      <c r="L406" s="5"/>
      <c r="M406" s="5"/>
    </row>
    <row r="407" spans="1:13" x14ac:dyDescent="0.25">
      <c r="A407" s="29"/>
      <c r="B407" s="74"/>
      <c r="C407" s="75"/>
      <c r="D407" s="29"/>
      <c r="E407" s="29"/>
      <c r="F407" s="29"/>
      <c r="G407" s="29"/>
      <c r="H407" s="27"/>
      <c r="I407" s="33"/>
      <c r="J407" s="5"/>
      <c r="K407" s="5"/>
      <c r="L407" s="5"/>
      <c r="M407" s="5"/>
    </row>
    <row r="408" spans="1:13" x14ac:dyDescent="0.25">
      <c r="A408" s="29"/>
      <c r="B408" s="74"/>
      <c r="C408" s="75"/>
      <c r="D408" s="29"/>
      <c r="E408" s="29"/>
      <c r="F408" s="29"/>
      <c r="G408" s="29"/>
      <c r="H408" s="27"/>
      <c r="I408" s="33"/>
      <c r="J408" s="5"/>
      <c r="K408" s="5"/>
      <c r="L408" s="5"/>
      <c r="M408" s="5"/>
    </row>
    <row r="409" spans="1:13" x14ac:dyDescent="0.25">
      <c r="A409" s="29"/>
      <c r="B409" s="74"/>
      <c r="C409" s="75"/>
      <c r="D409" s="29"/>
      <c r="E409" s="29"/>
      <c r="F409" s="29"/>
      <c r="G409" s="29"/>
      <c r="H409" s="27"/>
      <c r="I409" s="33"/>
      <c r="J409" s="5"/>
      <c r="K409" s="5"/>
      <c r="L409" s="5"/>
      <c r="M409" s="5"/>
    </row>
    <row r="410" spans="1:13" x14ac:dyDescent="0.25">
      <c r="A410" s="29"/>
      <c r="B410" s="74"/>
      <c r="C410" s="75"/>
      <c r="D410" s="29"/>
      <c r="E410" s="29"/>
      <c r="F410" s="29"/>
      <c r="G410" s="29"/>
      <c r="H410" s="27"/>
      <c r="I410" s="33"/>
      <c r="J410" s="5"/>
      <c r="K410" s="5"/>
      <c r="L410" s="5"/>
      <c r="M410" s="5"/>
    </row>
    <row r="411" spans="1:13" x14ac:dyDescent="0.25">
      <c r="A411" s="29"/>
      <c r="B411" s="74"/>
      <c r="C411" s="75"/>
      <c r="D411" s="29"/>
      <c r="E411" s="29"/>
      <c r="F411" s="29"/>
      <c r="G411" s="29"/>
      <c r="H411" s="27"/>
      <c r="I411" s="33"/>
      <c r="J411" s="5"/>
      <c r="K411" s="5"/>
      <c r="L411" s="5"/>
      <c r="M411" s="5"/>
    </row>
    <row r="412" spans="1:13" x14ac:dyDescent="0.25">
      <c r="A412" s="29"/>
      <c r="B412" s="74"/>
      <c r="C412" s="75"/>
      <c r="D412" s="29"/>
      <c r="E412" s="29"/>
      <c r="F412" s="29"/>
      <c r="G412" s="29"/>
      <c r="H412" s="27"/>
      <c r="I412" s="33"/>
      <c r="J412" s="5"/>
      <c r="K412" s="5"/>
      <c r="L412" s="5"/>
      <c r="M412" s="5"/>
    </row>
    <row r="413" spans="1:13" x14ac:dyDescent="0.25">
      <c r="A413" s="29"/>
      <c r="B413" s="74"/>
      <c r="C413" s="75"/>
      <c r="D413" s="29"/>
      <c r="E413" s="29"/>
      <c r="F413" s="29"/>
      <c r="G413" s="29"/>
      <c r="H413" s="27"/>
      <c r="I413" s="33"/>
      <c r="J413" s="5"/>
      <c r="K413" s="5"/>
      <c r="L413" s="5"/>
      <c r="M413" s="5"/>
    </row>
    <row r="414" spans="1:13" x14ac:dyDescent="0.25">
      <c r="A414" s="29"/>
      <c r="B414" s="74"/>
      <c r="C414" s="75"/>
      <c r="D414" s="29"/>
      <c r="E414" s="29"/>
      <c r="F414" s="29"/>
      <c r="G414" s="29"/>
      <c r="H414" s="27"/>
      <c r="I414" s="33"/>
      <c r="J414" s="5"/>
      <c r="K414" s="5"/>
      <c r="L414" s="5"/>
      <c r="M414" s="5"/>
    </row>
    <row r="415" spans="1:13" x14ac:dyDescent="0.25">
      <c r="A415" s="29"/>
      <c r="B415" s="74"/>
      <c r="C415" s="75"/>
      <c r="D415" s="29"/>
      <c r="E415" s="29"/>
      <c r="F415" s="29"/>
      <c r="G415" s="29"/>
      <c r="H415" s="27"/>
      <c r="I415" s="33"/>
      <c r="J415" s="5"/>
      <c r="K415" s="5"/>
      <c r="L415" s="5"/>
      <c r="M415" s="5"/>
    </row>
    <row r="416" spans="1:13" x14ac:dyDescent="0.25">
      <c r="A416" s="29"/>
      <c r="B416" s="74"/>
      <c r="C416" s="75"/>
      <c r="D416" s="29"/>
      <c r="E416" s="29"/>
      <c r="F416" s="29"/>
      <c r="G416" s="29"/>
      <c r="H416" s="27"/>
      <c r="I416" s="33"/>
      <c r="J416" s="5"/>
      <c r="K416" s="5"/>
      <c r="L416" s="5"/>
      <c r="M416" s="5"/>
    </row>
    <row r="417" spans="1:13" x14ac:dyDescent="0.25">
      <c r="A417" s="29"/>
      <c r="B417" s="74"/>
      <c r="C417" s="75"/>
      <c r="D417" s="29"/>
      <c r="E417" s="29"/>
      <c r="F417" s="29"/>
      <c r="G417" s="29"/>
      <c r="H417" s="27"/>
      <c r="I417" s="33"/>
      <c r="J417" s="5"/>
      <c r="K417" s="5"/>
      <c r="L417" s="5"/>
      <c r="M417" s="5"/>
    </row>
    <row r="418" spans="1:13" x14ac:dyDescent="0.25">
      <c r="A418" s="29"/>
      <c r="B418" s="74"/>
      <c r="C418" s="75"/>
      <c r="D418" s="29"/>
      <c r="E418" s="29"/>
      <c r="F418" s="29"/>
      <c r="G418" s="29"/>
      <c r="H418" s="27"/>
      <c r="I418" s="33"/>
      <c r="J418" s="5"/>
      <c r="K418" s="5"/>
      <c r="L418" s="5"/>
      <c r="M418" s="5"/>
    </row>
    <row r="419" spans="1:13" x14ac:dyDescent="0.25">
      <c r="A419" s="29"/>
      <c r="B419" s="74"/>
      <c r="C419" s="75"/>
      <c r="D419" s="29"/>
      <c r="E419" s="29"/>
      <c r="F419" s="29"/>
      <c r="G419" s="29"/>
      <c r="H419" s="27"/>
      <c r="I419" s="33"/>
      <c r="J419" s="5"/>
      <c r="K419" s="5"/>
      <c r="L419" s="5"/>
      <c r="M419" s="5"/>
    </row>
    <row r="420" spans="1:13" x14ac:dyDescent="0.25">
      <c r="A420" s="29"/>
      <c r="B420" s="74"/>
      <c r="C420" s="75"/>
      <c r="D420" s="29"/>
      <c r="E420" s="29"/>
      <c r="F420" s="29"/>
      <c r="G420" s="29"/>
      <c r="H420" s="27"/>
      <c r="I420" s="33"/>
      <c r="J420" s="5"/>
      <c r="K420" s="5"/>
      <c r="L420" s="5"/>
      <c r="M420" s="5"/>
    </row>
    <row r="421" spans="1:13" x14ac:dyDescent="0.25">
      <c r="A421" s="29"/>
      <c r="B421" s="74"/>
      <c r="C421" s="75"/>
      <c r="D421" s="29"/>
      <c r="E421" s="29"/>
      <c r="F421" s="29"/>
      <c r="G421" s="29"/>
      <c r="H421" s="27"/>
      <c r="I421" s="33"/>
      <c r="J421" s="5"/>
      <c r="K421" s="5"/>
      <c r="L421" s="5"/>
      <c r="M421" s="5"/>
    </row>
    <row r="422" spans="1:13" x14ac:dyDescent="0.25">
      <c r="A422" s="29"/>
      <c r="B422" s="74"/>
      <c r="C422" s="75"/>
      <c r="D422" s="29"/>
      <c r="E422" s="29"/>
      <c r="F422" s="29"/>
      <c r="G422" s="29"/>
      <c r="H422" s="27"/>
      <c r="I422" s="33"/>
      <c r="J422" s="5"/>
      <c r="K422" s="5"/>
      <c r="L422" s="5"/>
      <c r="M422" s="5"/>
    </row>
    <row r="423" spans="1:13" x14ac:dyDescent="0.25">
      <c r="A423" s="29"/>
      <c r="B423" s="74"/>
      <c r="C423" s="75"/>
      <c r="D423" s="29"/>
      <c r="E423" s="29"/>
      <c r="F423" s="29"/>
      <c r="G423" s="29"/>
      <c r="H423" s="27"/>
      <c r="I423" s="33"/>
      <c r="J423" s="5"/>
      <c r="K423" s="5"/>
      <c r="L423" s="5"/>
      <c r="M423" s="5"/>
    </row>
    <row r="424" spans="1:13" x14ac:dyDescent="0.25">
      <c r="A424" s="29"/>
      <c r="B424" s="74"/>
      <c r="C424" s="75"/>
      <c r="D424" s="29"/>
      <c r="E424" s="29"/>
      <c r="F424" s="29"/>
      <c r="G424" s="29"/>
      <c r="H424" s="27"/>
      <c r="I424" s="33"/>
      <c r="J424" s="5"/>
      <c r="K424" s="5"/>
      <c r="L424" s="5"/>
      <c r="M424" s="5"/>
    </row>
    <row r="425" spans="1:13" x14ac:dyDescent="0.25">
      <c r="A425" s="29"/>
      <c r="B425" s="74"/>
      <c r="C425" s="75"/>
      <c r="D425" s="29"/>
      <c r="E425" s="29"/>
      <c r="F425" s="29"/>
      <c r="G425" s="29"/>
      <c r="H425" s="27"/>
      <c r="I425" s="33"/>
      <c r="J425" s="5"/>
      <c r="K425" s="5"/>
      <c r="L425" s="5"/>
      <c r="M425" s="5"/>
    </row>
    <row r="426" spans="1:13" x14ac:dyDescent="0.25">
      <c r="A426" s="29"/>
      <c r="B426" s="74"/>
      <c r="C426" s="75"/>
      <c r="D426" s="29"/>
      <c r="E426" s="29"/>
      <c r="F426" s="29"/>
      <c r="G426" s="29"/>
      <c r="H426" s="27"/>
      <c r="I426" s="33"/>
      <c r="J426" s="5"/>
      <c r="K426" s="5"/>
      <c r="L426" s="5"/>
      <c r="M426" s="5"/>
    </row>
    <row r="427" spans="1:13" x14ac:dyDescent="0.25">
      <c r="A427" s="29"/>
      <c r="B427" s="74"/>
      <c r="C427" s="75"/>
      <c r="D427" s="29"/>
      <c r="E427" s="29"/>
      <c r="F427" s="29"/>
      <c r="G427" s="29"/>
      <c r="H427" s="27"/>
      <c r="I427" s="33"/>
      <c r="J427" s="5"/>
      <c r="K427" s="5"/>
      <c r="L427" s="5"/>
      <c r="M427" s="5"/>
    </row>
    <row r="428" spans="1:13" x14ac:dyDescent="0.25">
      <c r="A428" s="29"/>
      <c r="B428" s="74"/>
      <c r="C428" s="75"/>
      <c r="D428" s="29"/>
      <c r="E428" s="29"/>
      <c r="F428" s="29"/>
      <c r="G428" s="29"/>
      <c r="H428" s="27"/>
      <c r="I428" s="33"/>
      <c r="J428" s="5"/>
      <c r="K428" s="5"/>
      <c r="L428" s="5"/>
      <c r="M428" s="5"/>
    </row>
    <row r="429" spans="1:13" x14ac:dyDescent="0.25">
      <c r="A429" s="29"/>
      <c r="B429" s="74"/>
      <c r="C429" s="75"/>
      <c r="D429" s="29"/>
      <c r="E429" s="29"/>
      <c r="F429" s="29"/>
      <c r="G429" s="29"/>
      <c r="H429" s="27"/>
      <c r="I429" s="33"/>
      <c r="J429" s="5"/>
      <c r="K429" s="5"/>
      <c r="L429" s="5"/>
      <c r="M429" s="5"/>
    </row>
    <row r="430" spans="1:13" x14ac:dyDescent="0.25">
      <c r="A430" s="29"/>
      <c r="B430" s="74"/>
      <c r="C430" s="75"/>
      <c r="D430" s="29"/>
      <c r="E430" s="29"/>
      <c r="F430" s="29"/>
      <c r="G430" s="29"/>
      <c r="H430" s="27"/>
      <c r="I430" s="33"/>
      <c r="J430" s="5"/>
      <c r="K430" s="5"/>
      <c r="L430" s="5"/>
      <c r="M430" s="5"/>
    </row>
    <row r="431" spans="1:13" x14ac:dyDescent="0.25">
      <c r="A431" s="29"/>
      <c r="B431" s="74"/>
      <c r="C431" s="75"/>
      <c r="D431" s="29"/>
      <c r="E431" s="29"/>
      <c r="F431" s="29"/>
      <c r="G431" s="29"/>
      <c r="H431" s="27"/>
      <c r="I431" s="33"/>
      <c r="J431" s="5"/>
      <c r="K431" s="5"/>
      <c r="L431" s="5"/>
      <c r="M431" s="5"/>
    </row>
    <row r="432" spans="1:13" x14ac:dyDescent="0.25">
      <c r="A432" s="29"/>
      <c r="B432" s="74"/>
      <c r="C432" s="75"/>
      <c r="D432" s="29"/>
      <c r="E432" s="29"/>
      <c r="F432" s="29"/>
      <c r="G432" s="29"/>
      <c r="H432" s="27"/>
      <c r="I432" s="33"/>
      <c r="J432" s="5"/>
      <c r="K432" s="5"/>
      <c r="L432" s="5"/>
      <c r="M432" s="5"/>
    </row>
    <row r="433" spans="1:13" x14ac:dyDescent="0.25">
      <c r="A433" s="29"/>
      <c r="B433" s="74"/>
      <c r="C433" s="75"/>
      <c r="D433" s="29"/>
      <c r="E433" s="29"/>
      <c r="F433" s="29"/>
      <c r="G433" s="29"/>
      <c r="H433" s="27"/>
      <c r="I433" s="33"/>
      <c r="J433" s="5"/>
      <c r="K433" s="5"/>
      <c r="L433" s="5"/>
      <c r="M433" s="5"/>
    </row>
    <row r="434" spans="1:13" x14ac:dyDescent="0.25">
      <c r="A434" s="29"/>
      <c r="B434" s="74"/>
      <c r="C434" s="75"/>
      <c r="D434" s="29"/>
      <c r="E434" s="29"/>
      <c r="F434" s="29"/>
      <c r="G434" s="29"/>
      <c r="H434" s="27"/>
      <c r="I434" s="33"/>
      <c r="J434" s="5"/>
      <c r="K434" s="5"/>
      <c r="L434" s="5"/>
      <c r="M434" s="5"/>
    </row>
    <row r="435" spans="1:13" x14ac:dyDescent="0.25">
      <c r="A435" s="29"/>
      <c r="B435" s="74"/>
      <c r="C435" s="75"/>
      <c r="D435" s="29"/>
      <c r="E435" s="29"/>
      <c r="F435" s="29"/>
      <c r="G435" s="29"/>
      <c r="H435" s="27"/>
      <c r="I435" s="33"/>
      <c r="J435" s="5"/>
      <c r="K435" s="5"/>
      <c r="L435" s="5"/>
      <c r="M435" s="5"/>
    </row>
    <row r="436" spans="1:13" x14ac:dyDescent="0.25">
      <c r="A436" s="29"/>
      <c r="B436" s="74"/>
      <c r="C436" s="75"/>
      <c r="D436" s="29"/>
      <c r="E436" s="29"/>
      <c r="F436" s="29"/>
      <c r="G436" s="29"/>
      <c r="H436" s="27"/>
      <c r="I436" s="33"/>
      <c r="J436" s="5"/>
      <c r="K436" s="5"/>
      <c r="L436" s="5"/>
      <c r="M436" s="5"/>
    </row>
    <row r="437" spans="1:13" x14ac:dyDescent="0.25">
      <c r="A437" s="29"/>
      <c r="B437" s="74"/>
      <c r="C437" s="75"/>
      <c r="D437" s="29"/>
      <c r="E437" s="29"/>
      <c r="F437" s="29"/>
      <c r="G437" s="29"/>
      <c r="H437" s="27"/>
      <c r="I437" s="33"/>
      <c r="J437" s="5"/>
      <c r="K437" s="5"/>
      <c r="L437" s="5"/>
      <c r="M437" s="5"/>
    </row>
    <row r="438" spans="1:13" x14ac:dyDescent="0.25">
      <c r="A438" s="29"/>
      <c r="B438" s="74"/>
      <c r="C438" s="75"/>
      <c r="D438" s="29"/>
      <c r="E438" s="29"/>
      <c r="F438" s="29"/>
      <c r="G438" s="29"/>
      <c r="H438" s="27"/>
      <c r="I438" s="33"/>
      <c r="J438" s="5"/>
      <c r="K438" s="5"/>
      <c r="L438" s="5"/>
      <c r="M438" s="5"/>
    </row>
    <row r="439" spans="1:13" x14ac:dyDescent="0.25">
      <c r="A439" s="29"/>
      <c r="B439" s="74"/>
      <c r="C439" s="75"/>
      <c r="D439" s="29"/>
      <c r="E439" s="29"/>
      <c r="F439" s="29"/>
      <c r="G439" s="29"/>
      <c r="H439" s="27"/>
      <c r="I439" s="33"/>
      <c r="J439" s="5"/>
      <c r="K439" s="5"/>
      <c r="L439" s="5"/>
      <c r="M439" s="5"/>
    </row>
    <row r="440" spans="1:13" x14ac:dyDescent="0.25">
      <c r="A440" s="29"/>
      <c r="B440" s="74"/>
      <c r="C440" s="75"/>
      <c r="D440" s="29"/>
      <c r="E440" s="29"/>
      <c r="F440" s="29"/>
      <c r="G440" s="29"/>
      <c r="H440" s="27"/>
      <c r="I440" s="33"/>
      <c r="J440" s="5"/>
      <c r="K440" s="5"/>
      <c r="L440" s="5"/>
      <c r="M440" s="5"/>
    </row>
    <row r="441" spans="1:13" x14ac:dyDescent="0.25">
      <c r="A441" s="29"/>
      <c r="B441" s="74"/>
      <c r="C441" s="75"/>
      <c r="D441" s="29"/>
      <c r="E441" s="29"/>
      <c r="F441" s="29"/>
      <c r="G441" s="29"/>
      <c r="H441" s="27"/>
      <c r="I441" s="33"/>
      <c r="J441" s="5"/>
      <c r="K441" s="5"/>
      <c r="L441" s="5"/>
      <c r="M441" s="5"/>
    </row>
    <row r="442" spans="1:13" x14ac:dyDescent="0.25">
      <c r="A442" s="29"/>
      <c r="B442" s="74"/>
      <c r="C442" s="75"/>
      <c r="D442" s="29"/>
      <c r="E442" s="29"/>
      <c r="F442" s="29"/>
      <c r="G442" s="29"/>
      <c r="H442" s="27"/>
      <c r="I442" s="33"/>
      <c r="J442" s="5"/>
      <c r="K442" s="5"/>
      <c r="L442" s="5"/>
      <c r="M442" s="5"/>
    </row>
    <row r="443" spans="1:13" x14ac:dyDescent="0.25">
      <c r="A443" s="29"/>
      <c r="B443" s="74"/>
      <c r="C443" s="75"/>
      <c r="D443" s="29"/>
      <c r="E443" s="29"/>
      <c r="F443" s="29"/>
      <c r="G443" s="29"/>
      <c r="H443" s="27"/>
      <c r="I443" s="33"/>
      <c r="J443" s="5"/>
      <c r="K443" s="5"/>
      <c r="L443" s="5"/>
      <c r="M443" s="5"/>
    </row>
    <row r="444" spans="1:13" x14ac:dyDescent="0.25">
      <c r="A444" s="29"/>
      <c r="B444" s="74"/>
      <c r="C444" s="75"/>
      <c r="D444" s="29"/>
      <c r="E444" s="29"/>
      <c r="F444" s="29"/>
      <c r="G444" s="29"/>
      <c r="H444" s="27"/>
      <c r="I444" s="33"/>
      <c r="J444" s="5"/>
      <c r="K444" s="5"/>
      <c r="L444" s="5"/>
      <c r="M444" s="5"/>
    </row>
    <row r="445" spans="1:13" x14ac:dyDescent="0.25">
      <c r="A445" s="29"/>
      <c r="B445" s="74"/>
      <c r="C445" s="75"/>
      <c r="D445" s="29"/>
      <c r="E445" s="29"/>
      <c r="F445" s="29"/>
      <c r="G445" s="29"/>
      <c r="H445" s="27"/>
      <c r="I445" s="33"/>
      <c r="J445" s="5"/>
      <c r="K445" s="5"/>
      <c r="L445" s="5"/>
      <c r="M445" s="5"/>
    </row>
    <row r="446" spans="1:13" x14ac:dyDescent="0.25">
      <c r="A446" s="29"/>
      <c r="B446" s="74"/>
      <c r="C446" s="75"/>
      <c r="D446" s="29"/>
      <c r="E446" s="29"/>
      <c r="F446" s="29"/>
      <c r="G446" s="29"/>
      <c r="H446" s="27"/>
      <c r="I446" s="33"/>
      <c r="J446" s="5"/>
      <c r="K446" s="5"/>
      <c r="L446" s="5"/>
      <c r="M446" s="5"/>
    </row>
    <row r="447" spans="1:13" x14ac:dyDescent="0.25">
      <c r="A447" s="29"/>
      <c r="B447" s="74"/>
      <c r="C447" s="75"/>
      <c r="D447" s="29"/>
      <c r="E447" s="29"/>
      <c r="F447" s="29"/>
      <c r="G447" s="29"/>
      <c r="H447" s="27"/>
      <c r="I447" s="33"/>
      <c r="J447" s="5"/>
      <c r="K447" s="5"/>
      <c r="L447" s="5"/>
      <c r="M447" s="5"/>
    </row>
    <row r="448" spans="1:13" x14ac:dyDescent="0.25">
      <c r="A448" s="29"/>
      <c r="B448" s="74"/>
      <c r="C448" s="75"/>
      <c r="D448" s="29"/>
      <c r="E448" s="29"/>
      <c r="F448" s="29"/>
      <c r="G448" s="29"/>
      <c r="H448" s="27"/>
      <c r="I448" s="33"/>
      <c r="J448" s="5"/>
      <c r="K448" s="5"/>
      <c r="L448" s="5"/>
      <c r="M448" s="5"/>
    </row>
    <row r="449" spans="1:13" x14ac:dyDescent="0.25">
      <c r="A449" s="29"/>
      <c r="B449" s="74"/>
      <c r="C449" s="75"/>
      <c r="D449" s="29"/>
      <c r="E449" s="29"/>
      <c r="F449" s="29"/>
      <c r="G449" s="29"/>
      <c r="H449" s="27"/>
      <c r="I449" s="33"/>
      <c r="J449" s="5"/>
      <c r="K449" s="5"/>
      <c r="L449" s="5"/>
      <c r="M449" s="5"/>
    </row>
    <row r="450" spans="1:13" x14ac:dyDescent="0.25">
      <c r="A450" s="29"/>
      <c r="B450" s="74"/>
      <c r="C450" s="75"/>
      <c r="D450" s="29"/>
      <c r="E450" s="29"/>
      <c r="F450" s="29"/>
      <c r="G450" s="29"/>
      <c r="H450" s="27"/>
      <c r="I450" s="33"/>
      <c r="J450" s="5"/>
      <c r="K450" s="5"/>
      <c r="L450" s="5"/>
      <c r="M450" s="5"/>
    </row>
    <row r="451" spans="1:13" x14ac:dyDescent="0.25">
      <c r="A451" s="29"/>
      <c r="B451" s="74"/>
      <c r="C451" s="75"/>
      <c r="D451" s="29"/>
      <c r="E451" s="29"/>
      <c r="F451" s="29"/>
      <c r="G451" s="29"/>
      <c r="H451" s="27"/>
      <c r="I451" s="33"/>
      <c r="J451" s="5"/>
      <c r="K451" s="5"/>
      <c r="L451" s="5"/>
      <c r="M451" s="5"/>
    </row>
    <row r="452" spans="1:13" x14ac:dyDescent="0.25">
      <c r="A452" s="29"/>
      <c r="B452" s="74"/>
      <c r="C452" s="75"/>
      <c r="D452" s="29"/>
      <c r="E452" s="29"/>
      <c r="F452" s="29"/>
      <c r="G452" s="29"/>
      <c r="H452" s="27"/>
      <c r="I452" s="33"/>
      <c r="J452" s="5"/>
      <c r="K452" s="5"/>
      <c r="L452" s="5"/>
      <c r="M452" s="5"/>
    </row>
    <row r="453" spans="1:13" x14ac:dyDescent="0.25">
      <c r="A453" s="29"/>
      <c r="B453" s="74"/>
      <c r="C453" s="75"/>
      <c r="D453" s="29"/>
      <c r="E453" s="29"/>
      <c r="F453" s="29"/>
      <c r="G453" s="29"/>
      <c r="H453" s="27"/>
      <c r="I453" s="33"/>
      <c r="J453" s="5"/>
      <c r="K453" s="5"/>
      <c r="L453" s="5"/>
      <c r="M453" s="5"/>
    </row>
    <row r="454" spans="1:13" x14ac:dyDescent="0.25">
      <c r="A454" s="29"/>
      <c r="B454" s="74"/>
      <c r="C454" s="75"/>
      <c r="D454" s="29"/>
      <c r="E454" s="29"/>
      <c r="F454" s="29"/>
      <c r="G454" s="29"/>
      <c r="H454" s="27"/>
      <c r="I454" s="33"/>
      <c r="J454" s="5"/>
      <c r="K454" s="5"/>
      <c r="L454" s="5"/>
      <c r="M454" s="5"/>
    </row>
    <row r="455" spans="1:13" x14ac:dyDescent="0.25">
      <c r="A455" s="29"/>
      <c r="B455" s="74"/>
      <c r="C455" s="75"/>
      <c r="D455" s="29"/>
      <c r="E455" s="29"/>
      <c r="F455" s="29"/>
      <c r="G455" s="29"/>
      <c r="H455" s="27"/>
      <c r="I455" s="33"/>
      <c r="J455" s="5"/>
      <c r="K455" s="5"/>
      <c r="L455" s="5"/>
      <c r="M455" s="5"/>
    </row>
    <row r="456" spans="1:13" x14ac:dyDescent="0.25">
      <c r="A456" s="29"/>
      <c r="B456" s="74"/>
      <c r="C456" s="75"/>
      <c r="D456" s="29"/>
      <c r="E456" s="29"/>
      <c r="F456" s="29"/>
      <c r="G456" s="29"/>
      <c r="H456" s="27"/>
      <c r="I456" s="33"/>
      <c r="J456" s="5"/>
      <c r="K456" s="5"/>
      <c r="L456" s="5"/>
      <c r="M456" s="5"/>
    </row>
    <row r="457" spans="1:13" x14ac:dyDescent="0.25">
      <c r="A457" s="29"/>
      <c r="B457" s="74"/>
      <c r="C457" s="75"/>
      <c r="D457" s="29"/>
      <c r="E457" s="29"/>
      <c r="F457" s="29"/>
      <c r="G457" s="29"/>
      <c r="H457" s="27"/>
      <c r="I457" s="33"/>
      <c r="J457" s="5"/>
      <c r="K457" s="5"/>
      <c r="L457" s="5"/>
      <c r="M457" s="5"/>
    </row>
    <row r="458" spans="1:13" x14ac:dyDescent="0.25">
      <c r="A458" s="29"/>
      <c r="B458" s="74"/>
      <c r="C458" s="75"/>
      <c r="D458" s="29"/>
      <c r="E458" s="29"/>
      <c r="F458" s="29"/>
      <c r="G458" s="29"/>
      <c r="H458" s="27"/>
      <c r="I458" s="33"/>
      <c r="J458" s="5"/>
      <c r="K458" s="5"/>
      <c r="L458" s="5"/>
      <c r="M458" s="5"/>
    </row>
    <row r="459" spans="1:13" x14ac:dyDescent="0.25">
      <c r="A459" s="29"/>
      <c r="B459" s="74"/>
      <c r="C459" s="75"/>
      <c r="D459" s="29"/>
      <c r="E459" s="29"/>
      <c r="F459" s="29"/>
      <c r="G459" s="29"/>
      <c r="H459" s="27"/>
      <c r="I459" s="33"/>
      <c r="J459" s="5"/>
      <c r="K459" s="5"/>
      <c r="L459" s="5"/>
      <c r="M459" s="5"/>
    </row>
    <row r="460" spans="1:13" x14ac:dyDescent="0.25">
      <c r="A460" s="29"/>
      <c r="B460" s="74"/>
      <c r="C460" s="75"/>
      <c r="D460" s="29"/>
      <c r="E460" s="29"/>
      <c r="F460" s="29"/>
      <c r="G460" s="29"/>
      <c r="H460" s="27"/>
      <c r="I460" s="33"/>
      <c r="J460" s="5"/>
      <c r="K460" s="5"/>
      <c r="L460" s="5"/>
      <c r="M460" s="5"/>
    </row>
    <row r="461" spans="1:13" x14ac:dyDescent="0.25">
      <c r="A461" s="29"/>
      <c r="B461" s="74"/>
      <c r="C461" s="75"/>
      <c r="D461" s="29"/>
      <c r="E461" s="29"/>
      <c r="F461" s="29"/>
      <c r="G461" s="29"/>
      <c r="H461" s="27"/>
      <c r="I461" s="33"/>
      <c r="J461" s="5"/>
      <c r="K461" s="5"/>
      <c r="L461" s="5"/>
      <c r="M461" s="5"/>
    </row>
    <row r="462" spans="1:13" x14ac:dyDescent="0.25">
      <c r="A462" s="29"/>
      <c r="B462" s="74"/>
      <c r="C462" s="75"/>
      <c r="D462" s="29"/>
      <c r="E462" s="29"/>
      <c r="F462" s="29"/>
      <c r="G462" s="29"/>
      <c r="H462" s="27"/>
      <c r="I462" s="33"/>
      <c r="J462" s="5"/>
      <c r="K462" s="5"/>
      <c r="L462" s="5"/>
      <c r="M462" s="5"/>
    </row>
    <row r="463" spans="1:13" x14ac:dyDescent="0.25">
      <c r="A463" s="29"/>
      <c r="B463" s="74"/>
      <c r="C463" s="75"/>
      <c r="D463" s="29"/>
      <c r="E463" s="29"/>
      <c r="F463" s="29"/>
      <c r="G463" s="29"/>
      <c r="H463" s="27"/>
      <c r="I463" s="33"/>
      <c r="J463" s="5"/>
      <c r="K463" s="5"/>
      <c r="L463" s="5"/>
      <c r="M463" s="5"/>
    </row>
    <row r="464" spans="1:13" x14ac:dyDescent="0.25">
      <c r="A464" s="29"/>
      <c r="B464" s="74"/>
      <c r="C464" s="75"/>
      <c r="D464" s="29"/>
      <c r="E464" s="29"/>
      <c r="F464" s="29"/>
      <c r="G464" s="29"/>
      <c r="H464" s="27"/>
      <c r="I464" s="33"/>
      <c r="J464" s="5"/>
      <c r="K464" s="5"/>
      <c r="L464" s="5"/>
      <c r="M464" s="5"/>
    </row>
    <row r="465" spans="1:13" x14ac:dyDescent="0.25">
      <c r="A465" s="29"/>
      <c r="B465" s="74"/>
      <c r="C465" s="75"/>
      <c r="D465" s="29"/>
      <c r="E465" s="29"/>
      <c r="F465" s="29"/>
      <c r="G465" s="29"/>
      <c r="H465" s="27"/>
      <c r="I465" s="33"/>
      <c r="J465" s="5"/>
      <c r="K465" s="5"/>
      <c r="L465" s="5"/>
      <c r="M465" s="5"/>
    </row>
    <row r="466" spans="1:13" x14ac:dyDescent="0.25">
      <c r="A466" s="29"/>
      <c r="B466" s="74"/>
      <c r="C466" s="75"/>
      <c r="D466" s="29"/>
      <c r="E466" s="29"/>
      <c r="F466" s="29"/>
      <c r="G466" s="29"/>
      <c r="H466" s="27"/>
      <c r="I466" s="33"/>
      <c r="J466" s="5"/>
      <c r="K466" s="5"/>
      <c r="L466" s="5"/>
      <c r="M466" s="5"/>
    </row>
    <row r="467" spans="1:13" x14ac:dyDescent="0.25">
      <c r="A467" s="29"/>
      <c r="B467" s="74"/>
      <c r="C467" s="75"/>
      <c r="D467" s="29"/>
      <c r="E467" s="29"/>
      <c r="F467" s="29"/>
      <c r="G467" s="29"/>
      <c r="H467" s="27"/>
      <c r="I467" s="33"/>
      <c r="J467" s="5"/>
      <c r="K467" s="5"/>
      <c r="L467" s="5"/>
      <c r="M467" s="5"/>
    </row>
    <row r="468" spans="1:13" x14ac:dyDescent="0.25">
      <c r="A468" s="29"/>
      <c r="B468" s="74"/>
      <c r="C468" s="75"/>
      <c r="D468" s="29"/>
      <c r="E468" s="29"/>
      <c r="F468" s="29"/>
      <c r="G468" s="29"/>
      <c r="H468" s="27"/>
      <c r="I468" s="33"/>
      <c r="J468" s="5"/>
      <c r="K468" s="5"/>
      <c r="L468" s="5"/>
      <c r="M468" s="5"/>
    </row>
    <row r="469" spans="1:13" x14ac:dyDescent="0.25">
      <c r="A469" s="29"/>
      <c r="B469" s="74"/>
      <c r="C469" s="75"/>
      <c r="D469" s="29"/>
      <c r="E469" s="29"/>
      <c r="F469" s="29"/>
      <c r="G469" s="29"/>
      <c r="H469" s="27"/>
      <c r="I469" s="33"/>
      <c r="J469" s="5"/>
      <c r="K469" s="5"/>
      <c r="L469" s="5"/>
      <c r="M469" s="5"/>
    </row>
    <row r="470" spans="1:13" x14ac:dyDescent="0.25">
      <c r="A470" s="29"/>
      <c r="B470" s="74"/>
      <c r="C470" s="75"/>
      <c r="D470" s="29"/>
      <c r="E470" s="29"/>
      <c r="F470" s="29"/>
      <c r="G470" s="29"/>
      <c r="H470" s="27"/>
      <c r="I470" s="33"/>
      <c r="J470" s="5"/>
      <c r="K470" s="5"/>
      <c r="L470" s="5"/>
      <c r="M470" s="5"/>
    </row>
    <row r="471" spans="1:13" x14ac:dyDescent="0.25">
      <c r="A471" s="29"/>
      <c r="B471" s="74"/>
      <c r="C471" s="75"/>
      <c r="D471" s="29"/>
      <c r="E471" s="29"/>
      <c r="F471" s="29"/>
      <c r="G471" s="29"/>
      <c r="H471" s="27"/>
      <c r="I471" s="33"/>
      <c r="J471" s="5"/>
      <c r="K471" s="5"/>
      <c r="L471" s="5"/>
      <c r="M471" s="5"/>
    </row>
    <row r="472" spans="1:13" x14ac:dyDescent="0.25">
      <c r="A472" s="29"/>
      <c r="B472" s="74"/>
      <c r="C472" s="75"/>
      <c r="D472" s="29"/>
      <c r="E472" s="29"/>
      <c r="F472" s="29"/>
      <c r="G472" s="29"/>
      <c r="H472" s="27"/>
      <c r="I472" s="33"/>
      <c r="J472" s="5"/>
      <c r="K472" s="5"/>
      <c r="L472" s="5"/>
      <c r="M472" s="5"/>
    </row>
    <row r="473" spans="1:13" x14ac:dyDescent="0.25">
      <c r="A473" s="29"/>
      <c r="B473" s="74"/>
      <c r="C473" s="75"/>
      <c r="D473" s="29"/>
      <c r="E473" s="29"/>
      <c r="F473" s="29"/>
      <c r="G473" s="29"/>
      <c r="H473" s="27"/>
      <c r="I473" s="33"/>
      <c r="J473" s="5"/>
      <c r="K473" s="5"/>
      <c r="L473" s="5"/>
      <c r="M473" s="5"/>
    </row>
    <row r="474" spans="1:13" x14ac:dyDescent="0.25">
      <c r="A474" s="29"/>
      <c r="B474" s="74"/>
      <c r="C474" s="75"/>
      <c r="D474" s="29"/>
      <c r="E474" s="29"/>
      <c r="F474" s="29"/>
      <c r="G474" s="29"/>
      <c r="H474" s="27"/>
      <c r="I474" s="33"/>
      <c r="J474" s="5"/>
      <c r="K474" s="5"/>
      <c r="L474" s="5"/>
      <c r="M474" s="5"/>
    </row>
    <row r="475" spans="1:13" x14ac:dyDescent="0.25">
      <c r="A475" s="29"/>
      <c r="B475" s="74"/>
      <c r="C475" s="75"/>
      <c r="D475" s="29"/>
      <c r="E475" s="29"/>
      <c r="F475" s="29"/>
      <c r="G475" s="29"/>
      <c r="H475" s="27"/>
      <c r="I475" s="33"/>
      <c r="J475" s="5"/>
      <c r="K475" s="5"/>
      <c r="L475" s="5"/>
      <c r="M475" s="5"/>
    </row>
    <row r="476" spans="1:13" x14ac:dyDescent="0.25">
      <c r="A476" s="29"/>
      <c r="B476" s="74"/>
      <c r="C476" s="75"/>
      <c r="D476" s="29"/>
      <c r="E476" s="29"/>
      <c r="F476" s="29"/>
      <c r="G476" s="29"/>
      <c r="H476" s="27"/>
      <c r="I476" s="33"/>
      <c r="J476" s="5"/>
      <c r="K476" s="5"/>
      <c r="L476" s="5"/>
      <c r="M476" s="5"/>
    </row>
    <row r="477" spans="1:13" x14ac:dyDescent="0.25">
      <c r="A477" s="29"/>
      <c r="B477" s="74"/>
      <c r="C477" s="75"/>
      <c r="D477" s="29"/>
      <c r="E477" s="29"/>
      <c r="F477" s="29"/>
      <c r="G477" s="29"/>
      <c r="H477" s="27"/>
      <c r="I477" s="33"/>
      <c r="J477" s="5"/>
      <c r="K477" s="5"/>
      <c r="L477" s="5"/>
      <c r="M477" s="5"/>
    </row>
    <row r="478" spans="1:13" x14ac:dyDescent="0.25">
      <c r="A478" s="29"/>
      <c r="B478" s="74"/>
      <c r="C478" s="75"/>
      <c r="D478" s="29"/>
      <c r="E478" s="29"/>
      <c r="F478" s="29"/>
      <c r="G478" s="29"/>
      <c r="H478" s="27"/>
      <c r="I478" s="33"/>
      <c r="J478" s="5"/>
      <c r="K478" s="5"/>
      <c r="L478" s="5"/>
      <c r="M478" s="5"/>
    </row>
    <row r="479" spans="1:13" x14ac:dyDescent="0.25">
      <c r="A479" s="29"/>
      <c r="B479" s="74"/>
      <c r="C479" s="75"/>
      <c r="D479" s="29"/>
      <c r="E479" s="29"/>
      <c r="F479" s="29"/>
      <c r="G479" s="29"/>
      <c r="H479" s="27"/>
      <c r="I479" s="33"/>
      <c r="J479" s="5"/>
      <c r="K479" s="5"/>
      <c r="L479" s="5"/>
      <c r="M479" s="5"/>
    </row>
    <row r="480" spans="1:13" x14ac:dyDescent="0.25">
      <c r="A480" s="29"/>
      <c r="B480" s="74"/>
      <c r="C480" s="75"/>
      <c r="D480" s="29"/>
      <c r="E480" s="29"/>
      <c r="F480" s="29"/>
      <c r="G480" s="29"/>
      <c r="H480" s="27"/>
      <c r="I480" s="33"/>
      <c r="J480" s="5"/>
      <c r="K480" s="5"/>
      <c r="L480" s="5"/>
      <c r="M480" s="5"/>
    </row>
    <row r="481" spans="1:13" x14ac:dyDescent="0.25">
      <c r="A481" s="29"/>
      <c r="B481" s="74"/>
      <c r="C481" s="75"/>
      <c r="D481" s="29"/>
      <c r="E481" s="29"/>
      <c r="F481" s="29"/>
      <c r="G481" s="29"/>
      <c r="H481" s="27"/>
      <c r="I481" s="33"/>
      <c r="J481" s="5"/>
      <c r="K481" s="5"/>
      <c r="L481" s="5"/>
      <c r="M481" s="5"/>
    </row>
    <row r="482" spans="1:13" x14ac:dyDescent="0.25">
      <c r="A482" s="29"/>
      <c r="B482" s="74"/>
      <c r="C482" s="75"/>
      <c r="D482" s="29"/>
      <c r="E482" s="29"/>
      <c r="F482" s="29"/>
      <c r="G482" s="29"/>
      <c r="H482" s="27"/>
      <c r="I482" s="33"/>
      <c r="J482" s="5"/>
      <c r="K482" s="5"/>
      <c r="L482" s="5"/>
      <c r="M482" s="5"/>
    </row>
    <row r="483" spans="1:13" x14ac:dyDescent="0.25">
      <c r="A483" s="29"/>
      <c r="B483" s="74"/>
      <c r="C483" s="75"/>
      <c r="D483" s="29"/>
      <c r="E483" s="29"/>
      <c r="F483" s="29"/>
      <c r="G483" s="29"/>
      <c r="H483" s="27"/>
      <c r="I483" s="33"/>
      <c r="J483" s="5"/>
      <c r="K483" s="5"/>
      <c r="L483" s="5"/>
      <c r="M483" s="5"/>
    </row>
    <row r="484" spans="1:13" x14ac:dyDescent="0.25">
      <c r="A484" s="29"/>
      <c r="B484" s="74"/>
      <c r="C484" s="75"/>
      <c r="D484" s="29"/>
      <c r="E484" s="29"/>
      <c r="F484" s="29"/>
      <c r="G484" s="29"/>
      <c r="H484" s="27"/>
      <c r="I484" s="33"/>
      <c r="J484" s="5"/>
      <c r="K484" s="5"/>
      <c r="L484" s="5"/>
      <c r="M484" s="5"/>
    </row>
    <row r="485" spans="1:13" x14ac:dyDescent="0.25">
      <c r="A485" s="29"/>
      <c r="B485" s="74"/>
      <c r="C485" s="75"/>
      <c r="D485" s="29"/>
      <c r="E485" s="29"/>
      <c r="F485" s="29"/>
      <c r="G485" s="29"/>
      <c r="H485" s="27"/>
      <c r="I485" s="33"/>
      <c r="J485" s="5"/>
      <c r="K485" s="5"/>
      <c r="L485" s="5"/>
      <c r="M485" s="5"/>
    </row>
    <row r="486" spans="1:13" x14ac:dyDescent="0.25">
      <c r="A486" s="29"/>
      <c r="B486" s="74"/>
      <c r="C486" s="75"/>
      <c r="D486" s="29"/>
      <c r="E486" s="29"/>
      <c r="F486" s="29"/>
      <c r="G486" s="29"/>
      <c r="H486" s="27"/>
      <c r="I486" s="33"/>
      <c r="J486" s="5"/>
      <c r="K486" s="5"/>
      <c r="L486" s="5"/>
      <c r="M486" s="5"/>
    </row>
    <row r="487" spans="1:13" x14ac:dyDescent="0.25">
      <c r="A487" s="29"/>
      <c r="B487" s="74"/>
      <c r="C487" s="75"/>
      <c r="D487" s="29"/>
      <c r="E487" s="29"/>
      <c r="F487" s="29"/>
      <c r="G487" s="29"/>
      <c r="H487" s="27"/>
      <c r="I487" s="33"/>
      <c r="J487" s="5"/>
      <c r="K487" s="5"/>
      <c r="L487" s="5"/>
      <c r="M487" s="5"/>
    </row>
    <row r="488" spans="1:13" x14ac:dyDescent="0.25">
      <c r="A488" s="29"/>
      <c r="B488" s="74"/>
      <c r="C488" s="75"/>
      <c r="D488" s="29"/>
      <c r="E488" s="29"/>
      <c r="F488" s="29"/>
      <c r="G488" s="29"/>
      <c r="H488" s="27"/>
      <c r="I488" s="33"/>
      <c r="J488" s="5"/>
      <c r="K488" s="5"/>
      <c r="L488" s="5"/>
      <c r="M488" s="5"/>
    </row>
    <row r="489" spans="1:13" x14ac:dyDescent="0.25">
      <c r="A489" s="29"/>
      <c r="B489" s="74"/>
      <c r="C489" s="75"/>
      <c r="D489" s="29"/>
      <c r="E489" s="29"/>
      <c r="F489" s="29"/>
      <c r="G489" s="29"/>
      <c r="H489" s="27"/>
      <c r="I489" s="33"/>
      <c r="J489" s="5"/>
      <c r="K489" s="5"/>
      <c r="L489" s="5"/>
      <c r="M489" s="5"/>
    </row>
    <row r="490" spans="1:13" x14ac:dyDescent="0.25">
      <c r="A490" s="29"/>
      <c r="B490" s="74"/>
      <c r="C490" s="75"/>
      <c r="D490" s="29"/>
      <c r="E490" s="29"/>
      <c r="F490" s="29"/>
      <c r="G490" s="29"/>
      <c r="H490" s="27"/>
      <c r="I490" s="33"/>
      <c r="J490" s="5"/>
      <c r="K490" s="5"/>
      <c r="L490" s="5"/>
      <c r="M490" s="5"/>
    </row>
    <row r="491" spans="1:13" x14ac:dyDescent="0.25">
      <c r="A491" s="29"/>
      <c r="B491" s="74"/>
      <c r="C491" s="75"/>
      <c r="D491" s="29"/>
      <c r="E491" s="29"/>
      <c r="F491" s="29"/>
      <c r="G491" s="29"/>
      <c r="H491" s="27"/>
      <c r="I491" s="33"/>
      <c r="J491" s="5"/>
      <c r="K491" s="5"/>
      <c r="L491" s="5"/>
      <c r="M491" s="5"/>
    </row>
    <row r="492" spans="1:13" x14ac:dyDescent="0.25">
      <c r="A492" s="29"/>
      <c r="B492" s="74"/>
      <c r="C492" s="75"/>
      <c r="D492" s="29"/>
      <c r="E492" s="29"/>
      <c r="F492" s="29"/>
      <c r="G492" s="29"/>
      <c r="H492" s="27"/>
      <c r="I492" s="33"/>
      <c r="J492" s="5"/>
      <c r="K492" s="5"/>
      <c r="L492" s="5"/>
      <c r="M492" s="5"/>
    </row>
    <row r="493" spans="1:13" x14ac:dyDescent="0.25">
      <c r="A493" s="29"/>
      <c r="B493" s="74"/>
      <c r="C493" s="75"/>
      <c r="D493" s="29"/>
      <c r="E493" s="29"/>
      <c r="F493" s="29"/>
      <c r="G493" s="29"/>
      <c r="H493" s="27"/>
      <c r="I493" s="33"/>
      <c r="J493" s="5"/>
      <c r="K493" s="5"/>
      <c r="L493" s="5"/>
      <c r="M493" s="5"/>
    </row>
    <row r="494" spans="1:13" x14ac:dyDescent="0.25">
      <c r="A494" s="29"/>
      <c r="B494" s="74"/>
      <c r="C494" s="75"/>
      <c r="D494" s="29"/>
      <c r="E494" s="29"/>
      <c r="F494" s="29"/>
      <c r="G494" s="29"/>
      <c r="H494" s="27"/>
      <c r="I494" s="33"/>
      <c r="J494" s="5"/>
      <c r="K494" s="5"/>
      <c r="L494" s="5"/>
      <c r="M494" s="5"/>
    </row>
    <row r="495" spans="1:13" x14ac:dyDescent="0.25">
      <c r="A495" s="29"/>
      <c r="B495" s="74"/>
      <c r="C495" s="75"/>
      <c r="D495" s="29"/>
      <c r="E495" s="29"/>
      <c r="F495" s="29"/>
      <c r="G495" s="29"/>
      <c r="H495" s="27"/>
      <c r="I495" s="33"/>
      <c r="J495" s="5"/>
      <c r="K495" s="5"/>
      <c r="L495" s="5"/>
      <c r="M495" s="5"/>
    </row>
    <row r="496" spans="1:13" x14ac:dyDescent="0.25">
      <c r="A496" s="29"/>
      <c r="B496" s="74"/>
      <c r="C496" s="75"/>
      <c r="D496" s="29"/>
      <c r="E496" s="29"/>
      <c r="F496" s="29"/>
      <c r="G496" s="29"/>
      <c r="H496" s="27"/>
      <c r="I496" s="33"/>
      <c r="J496" s="5"/>
      <c r="K496" s="5"/>
      <c r="L496" s="5"/>
      <c r="M496" s="5"/>
    </row>
    <row r="497" spans="1:13" x14ac:dyDescent="0.25">
      <c r="A497" s="29"/>
      <c r="B497" s="74"/>
      <c r="C497" s="75"/>
      <c r="D497" s="29"/>
      <c r="E497" s="29"/>
      <c r="F497" s="29"/>
      <c r="G497" s="29"/>
      <c r="H497" s="27"/>
      <c r="I497" s="33"/>
      <c r="J497" s="5"/>
      <c r="K497" s="5"/>
      <c r="L497" s="5"/>
      <c r="M497" s="5"/>
    </row>
    <row r="498" spans="1:13" x14ac:dyDescent="0.25">
      <c r="A498" s="29"/>
      <c r="B498" s="74"/>
      <c r="C498" s="75"/>
      <c r="D498" s="29"/>
      <c r="E498" s="29"/>
      <c r="F498" s="29"/>
      <c r="G498" s="29"/>
      <c r="H498" s="27"/>
      <c r="I498" s="33"/>
      <c r="J498" s="5"/>
      <c r="K498" s="5"/>
      <c r="L498" s="5"/>
      <c r="M498" s="5"/>
    </row>
    <row r="499" spans="1:13" x14ac:dyDescent="0.25">
      <c r="A499" s="29"/>
      <c r="B499" s="74"/>
      <c r="C499" s="75"/>
      <c r="D499" s="29"/>
      <c r="E499" s="29"/>
      <c r="F499" s="29"/>
      <c r="G499" s="29"/>
      <c r="H499" s="27"/>
      <c r="I499" s="33"/>
      <c r="J499" s="5"/>
      <c r="K499" s="5"/>
      <c r="L499" s="5"/>
      <c r="M499" s="5"/>
    </row>
    <row r="500" spans="1:13" x14ac:dyDescent="0.25">
      <c r="A500" s="29"/>
      <c r="B500" s="74"/>
      <c r="C500" s="75"/>
      <c r="D500" s="29"/>
      <c r="E500" s="29"/>
      <c r="F500" s="29"/>
      <c r="G500" s="29"/>
      <c r="H500" s="27"/>
      <c r="I500" s="33"/>
      <c r="J500" s="5"/>
      <c r="K500" s="5"/>
      <c r="L500" s="5"/>
      <c r="M500" s="5"/>
    </row>
    <row r="501" spans="1:13" x14ac:dyDescent="0.25">
      <c r="A501" s="29"/>
      <c r="B501" s="74"/>
      <c r="C501" s="75"/>
      <c r="D501" s="29"/>
      <c r="E501" s="29"/>
      <c r="F501" s="29"/>
      <c r="G501" s="29"/>
      <c r="H501" s="27"/>
      <c r="I501" s="33"/>
      <c r="J501" s="5"/>
      <c r="K501" s="5"/>
      <c r="L501" s="5"/>
      <c r="M501" s="5"/>
    </row>
    <row r="502" spans="1:13" x14ac:dyDescent="0.25">
      <c r="A502" s="29"/>
      <c r="B502" s="74"/>
      <c r="C502" s="75"/>
      <c r="D502" s="29"/>
      <c r="E502" s="29"/>
      <c r="F502" s="29"/>
      <c r="G502" s="29"/>
      <c r="H502" s="27"/>
      <c r="I502" s="33"/>
      <c r="J502" s="5"/>
      <c r="K502" s="5"/>
      <c r="L502" s="5"/>
      <c r="M502" s="5"/>
    </row>
    <row r="503" spans="1:13" x14ac:dyDescent="0.25">
      <c r="A503" s="29"/>
      <c r="B503" s="74"/>
      <c r="C503" s="75"/>
      <c r="D503" s="29"/>
      <c r="E503" s="29"/>
      <c r="F503" s="29"/>
      <c r="G503" s="29"/>
      <c r="H503" s="27"/>
      <c r="I503" s="33"/>
      <c r="J503" s="5"/>
      <c r="K503" s="5"/>
      <c r="L503" s="5"/>
      <c r="M503" s="5"/>
    </row>
    <row r="504" spans="1:13" x14ac:dyDescent="0.25">
      <c r="A504" s="29"/>
      <c r="B504" s="74"/>
      <c r="C504" s="75"/>
      <c r="D504" s="29"/>
      <c r="E504" s="29"/>
      <c r="F504" s="29"/>
      <c r="G504" s="29"/>
      <c r="H504" s="27"/>
      <c r="I504" s="33"/>
      <c r="J504" s="5"/>
      <c r="K504" s="5"/>
      <c r="L504" s="5"/>
      <c r="M504" s="5"/>
    </row>
    <row r="505" spans="1:13" x14ac:dyDescent="0.25">
      <c r="A505" s="29"/>
      <c r="B505" s="74"/>
      <c r="C505" s="75"/>
      <c r="D505" s="29"/>
      <c r="E505" s="29"/>
      <c r="F505" s="29"/>
      <c r="G505" s="29"/>
      <c r="H505" s="27"/>
      <c r="I505" s="33"/>
      <c r="J505" s="5"/>
      <c r="K505" s="5"/>
      <c r="L505" s="5"/>
      <c r="M505" s="5"/>
    </row>
    <row r="506" spans="1:13" x14ac:dyDescent="0.25">
      <c r="A506" s="29"/>
      <c r="B506" s="74"/>
      <c r="C506" s="75"/>
      <c r="D506" s="29"/>
      <c r="E506" s="29"/>
      <c r="F506" s="29"/>
      <c r="G506" s="29"/>
      <c r="H506" s="27"/>
      <c r="I506" s="33"/>
      <c r="J506" s="5"/>
      <c r="K506" s="5"/>
      <c r="L506" s="5"/>
      <c r="M506" s="5"/>
    </row>
    <row r="507" spans="1:13" x14ac:dyDescent="0.25">
      <c r="A507" s="29"/>
      <c r="B507" s="74"/>
      <c r="C507" s="75"/>
      <c r="D507" s="29"/>
      <c r="E507" s="29"/>
      <c r="F507" s="29"/>
      <c r="G507" s="29"/>
      <c r="H507" s="27"/>
      <c r="I507" s="33"/>
      <c r="J507" s="5"/>
      <c r="K507" s="5"/>
      <c r="L507" s="5"/>
      <c r="M507" s="5"/>
    </row>
    <row r="508" spans="1:13" x14ac:dyDescent="0.25">
      <c r="A508" s="29"/>
      <c r="B508" s="74"/>
      <c r="C508" s="75"/>
      <c r="D508" s="29"/>
      <c r="E508" s="29"/>
      <c r="F508" s="29"/>
      <c r="G508" s="29"/>
      <c r="H508" s="27"/>
      <c r="I508" s="33"/>
      <c r="J508" s="5"/>
      <c r="K508" s="5"/>
      <c r="L508" s="5"/>
      <c r="M508" s="5"/>
    </row>
    <row r="509" spans="1:13" x14ac:dyDescent="0.25">
      <c r="A509" s="29"/>
      <c r="B509" s="74"/>
      <c r="C509" s="75"/>
      <c r="D509" s="29"/>
      <c r="E509" s="29"/>
      <c r="F509" s="29"/>
      <c r="G509" s="29"/>
      <c r="H509" s="27"/>
      <c r="I509" s="33"/>
      <c r="J509" s="5"/>
      <c r="K509" s="5"/>
      <c r="L509" s="5"/>
      <c r="M509" s="5"/>
    </row>
    <row r="510" spans="1:13" x14ac:dyDescent="0.25">
      <c r="A510" s="29"/>
      <c r="B510" s="74"/>
      <c r="C510" s="75"/>
      <c r="D510" s="29"/>
      <c r="E510" s="29"/>
      <c r="F510" s="29"/>
      <c r="G510" s="29"/>
      <c r="H510" s="27"/>
      <c r="I510" s="33"/>
      <c r="J510" s="5"/>
      <c r="K510" s="5"/>
      <c r="L510" s="5"/>
      <c r="M510" s="5"/>
    </row>
    <row r="511" spans="1:13" x14ac:dyDescent="0.25">
      <c r="A511" s="29"/>
      <c r="B511" s="74"/>
      <c r="C511" s="75"/>
      <c r="D511" s="29"/>
      <c r="E511" s="29"/>
      <c r="F511" s="29"/>
      <c r="G511" s="29"/>
      <c r="H511" s="27"/>
      <c r="I511" s="33"/>
      <c r="J511" s="5"/>
      <c r="K511" s="5"/>
      <c r="L511" s="5"/>
      <c r="M511" s="5"/>
    </row>
    <row r="512" spans="1:13" x14ac:dyDescent="0.25">
      <c r="A512" s="29"/>
      <c r="B512" s="74"/>
      <c r="C512" s="75"/>
      <c r="D512" s="29"/>
      <c r="E512" s="29"/>
      <c r="F512" s="29"/>
      <c r="G512" s="29"/>
      <c r="H512" s="27"/>
      <c r="I512" s="33"/>
      <c r="J512" s="5"/>
      <c r="K512" s="5"/>
      <c r="L512" s="5"/>
      <c r="M512" s="5"/>
    </row>
    <row r="513" spans="1:13" x14ac:dyDescent="0.25">
      <c r="A513" s="29"/>
      <c r="B513" s="74"/>
      <c r="C513" s="75"/>
      <c r="D513" s="29"/>
      <c r="E513" s="29"/>
      <c r="F513" s="29"/>
      <c r="G513" s="29"/>
      <c r="H513" s="27"/>
      <c r="I513" s="33"/>
      <c r="J513" s="5"/>
      <c r="K513" s="5"/>
      <c r="L513" s="5"/>
      <c r="M513" s="5"/>
    </row>
    <row r="514" spans="1:13" x14ac:dyDescent="0.25">
      <c r="A514" s="29"/>
      <c r="B514" s="74"/>
      <c r="C514" s="75"/>
      <c r="D514" s="29"/>
      <c r="E514" s="29"/>
      <c r="F514" s="29"/>
      <c r="G514" s="29"/>
      <c r="H514" s="27"/>
      <c r="I514" s="33"/>
      <c r="J514" s="5"/>
      <c r="K514" s="5"/>
      <c r="L514" s="5"/>
      <c r="M514" s="5"/>
    </row>
    <row r="515" spans="1:13" x14ac:dyDescent="0.25">
      <c r="A515" s="29"/>
      <c r="B515" s="74"/>
      <c r="C515" s="75"/>
      <c r="D515" s="29"/>
      <c r="E515" s="29"/>
      <c r="F515" s="29"/>
      <c r="G515" s="29"/>
      <c r="H515" s="27"/>
      <c r="I515" s="33"/>
      <c r="J515" s="5"/>
      <c r="K515" s="5"/>
      <c r="L515" s="5"/>
      <c r="M515" s="5"/>
    </row>
    <row r="516" spans="1:13" x14ac:dyDescent="0.25">
      <c r="A516" s="29"/>
      <c r="B516" s="74"/>
      <c r="C516" s="75"/>
      <c r="D516" s="29"/>
      <c r="E516" s="29"/>
      <c r="F516" s="29"/>
      <c r="G516" s="29"/>
      <c r="H516" s="27"/>
      <c r="I516" s="33"/>
      <c r="J516" s="5"/>
      <c r="K516" s="5"/>
      <c r="L516" s="5"/>
      <c r="M516" s="5"/>
    </row>
    <row r="517" spans="1:13" x14ac:dyDescent="0.25">
      <c r="A517" s="29"/>
      <c r="B517" s="74"/>
      <c r="C517" s="75"/>
      <c r="D517" s="29"/>
      <c r="E517" s="29"/>
      <c r="F517" s="29"/>
      <c r="G517" s="29"/>
      <c r="H517" s="27"/>
      <c r="I517" s="33"/>
      <c r="J517" s="5"/>
      <c r="K517" s="5"/>
      <c r="L517" s="5"/>
      <c r="M517" s="5"/>
    </row>
    <row r="518" spans="1:13" x14ac:dyDescent="0.25">
      <c r="A518" s="29"/>
      <c r="B518" s="74"/>
      <c r="C518" s="75"/>
      <c r="D518" s="29"/>
      <c r="E518" s="29"/>
      <c r="F518" s="29"/>
      <c r="G518" s="29"/>
      <c r="H518" s="27"/>
      <c r="I518" s="33"/>
      <c r="J518" s="5"/>
      <c r="K518" s="5"/>
      <c r="L518" s="5"/>
      <c r="M518" s="5"/>
    </row>
    <row r="519" spans="1:13" x14ac:dyDescent="0.25">
      <c r="A519" s="29"/>
      <c r="B519" s="74"/>
      <c r="C519" s="75"/>
      <c r="D519" s="29"/>
      <c r="E519" s="29"/>
      <c r="F519" s="29"/>
      <c r="G519" s="29"/>
      <c r="H519" s="27"/>
      <c r="I519" s="33"/>
      <c r="J519" s="5"/>
      <c r="K519" s="5"/>
      <c r="L519" s="5"/>
      <c r="M519" s="5"/>
    </row>
    <row r="520" spans="1:13" x14ac:dyDescent="0.25">
      <c r="A520" s="29"/>
      <c r="B520" s="74"/>
      <c r="C520" s="75"/>
      <c r="D520" s="29"/>
      <c r="E520" s="29"/>
      <c r="F520" s="29"/>
      <c r="G520" s="29"/>
      <c r="H520" s="27"/>
      <c r="I520" s="33"/>
      <c r="J520" s="5"/>
      <c r="K520" s="5"/>
      <c r="L520" s="5"/>
      <c r="M520" s="5"/>
    </row>
    <row r="521" spans="1:13" x14ac:dyDescent="0.25">
      <c r="A521" s="29"/>
      <c r="B521" s="74"/>
      <c r="C521" s="75"/>
      <c r="D521" s="29"/>
      <c r="E521" s="29"/>
      <c r="F521" s="29"/>
      <c r="G521" s="29"/>
      <c r="H521" s="27"/>
      <c r="I521" s="33"/>
      <c r="J521" s="5"/>
      <c r="K521" s="5"/>
      <c r="L521" s="5"/>
      <c r="M521" s="5"/>
    </row>
    <row r="522" spans="1:13" x14ac:dyDescent="0.25">
      <c r="A522" s="29"/>
      <c r="B522" s="74"/>
      <c r="C522" s="75"/>
      <c r="D522" s="29"/>
      <c r="E522" s="29"/>
      <c r="F522" s="29"/>
      <c r="G522" s="29"/>
      <c r="H522" s="27"/>
      <c r="I522" s="33"/>
      <c r="J522" s="5"/>
      <c r="K522" s="5"/>
      <c r="L522" s="5"/>
      <c r="M522" s="5"/>
    </row>
    <row r="523" spans="1:13" x14ac:dyDescent="0.25">
      <c r="A523" s="29"/>
      <c r="B523" s="74"/>
      <c r="C523" s="75"/>
      <c r="D523" s="29"/>
      <c r="E523" s="29"/>
      <c r="F523" s="29"/>
      <c r="G523" s="29"/>
      <c r="H523" s="27"/>
      <c r="I523" s="33"/>
      <c r="J523" s="5"/>
      <c r="K523" s="5"/>
      <c r="L523" s="5"/>
      <c r="M523" s="5"/>
    </row>
    <row r="524" spans="1:13" x14ac:dyDescent="0.25">
      <c r="A524" s="29"/>
      <c r="B524" s="74"/>
      <c r="C524" s="75"/>
      <c r="D524" s="29"/>
      <c r="E524" s="29"/>
      <c r="F524" s="29"/>
      <c r="G524" s="29"/>
      <c r="H524" s="27"/>
      <c r="I524" s="33"/>
      <c r="J524" s="5"/>
      <c r="K524" s="5"/>
      <c r="L524" s="5"/>
      <c r="M524" s="5"/>
    </row>
    <row r="525" spans="1:13" x14ac:dyDescent="0.25">
      <c r="A525" s="29"/>
      <c r="B525" s="74"/>
      <c r="C525" s="75"/>
      <c r="D525" s="29"/>
      <c r="E525" s="29"/>
      <c r="F525" s="29"/>
      <c r="G525" s="29"/>
      <c r="H525" s="27"/>
      <c r="I525" s="33"/>
      <c r="J525" s="5"/>
      <c r="K525" s="5"/>
      <c r="L525" s="5"/>
      <c r="M525" s="5"/>
    </row>
    <row r="526" spans="1:13" x14ac:dyDescent="0.25">
      <c r="A526" s="29"/>
      <c r="B526" s="74"/>
      <c r="C526" s="75"/>
      <c r="D526" s="29"/>
      <c r="E526" s="29"/>
      <c r="F526" s="29"/>
      <c r="G526" s="29"/>
      <c r="H526" s="27"/>
      <c r="I526" s="33"/>
      <c r="J526" s="5"/>
      <c r="K526" s="5"/>
      <c r="L526" s="5"/>
      <c r="M526" s="5"/>
    </row>
    <row r="527" spans="1:13" x14ac:dyDescent="0.25">
      <c r="A527" s="29"/>
      <c r="B527" s="74"/>
      <c r="C527" s="75"/>
      <c r="D527" s="29"/>
      <c r="E527" s="29"/>
      <c r="F527" s="29"/>
      <c r="G527" s="29"/>
      <c r="H527" s="27"/>
      <c r="I527" s="33"/>
      <c r="J527" s="5"/>
      <c r="K527" s="5"/>
      <c r="L527" s="5"/>
      <c r="M527" s="5"/>
    </row>
    <row r="528" spans="1:13" x14ac:dyDescent="0.25">
      <c r="A528" s="29"/>
      <c r="B528" s="74"/>
      <c r="C528" s="75"/>
      <c r="D528" s="29"/>
      <c r="E528" s="29"/>
      <c r="F528" s="29"/>
      <c r="G528" s="29"/>
      <c r="H528" s="27"/>
      <c r="I528" s="33"/>
      <c r="J528" s="5"/>
      <c r="K528" s="5"/>
      <c r="L528" s="5"/>
      <c r="M528" s="5"/>
    </row>
    <row r="529" spans="1:13" x14ac:dyDescent="0.25">
      <c r="A529" s="29"/>
      <c r="B529" s="74"/>
      <c r="C529" s="75"/>
      <c r="D529" s="29"/>
      <c r="E529" s="29"/>
      <c r="F529" s="29"/>
      <c r="G529" s="29"/>
      <c r="H529" s="27"/>
      <c r="I529" s="33"/>
      <c r="J529" s="5"/>
      <c r="K529" s="5"/>
      <c r="L529" s="5"/>
      <c r="M529" s="5"/>
    </row>
    <row r="530" spans="1:13" x14ac:dyDescent="0.25">
      <c r="A530" s="29"/>
      <c r="B530" s="74"/>
      <c r="C530" s="75"/>
      <c r="D530" s="29"/>
      <c r="E530" s="29"/>
      <c r="F530" s="29"/>
      <c r="G530" s="29"/>
      <c r="H530" s="27"/>
      <c r="I530" s="33"/>
      <c r="J530" s="5"/>
      <c r="K530" s="5"/>
      <c r="L530" s="5"/>
      <c r="M530" s="5"/>
    </row>
    <row r="531" spans="1:13" x14ac:dyDescent="0.25">
      <c r="A531" s="29"/>
      <c r="B531" s="74"/>
      <c r="C531" s="75"/>
      <c r="D531" s="29"/>
      <c r="E531" s="29"/>
      <c r="F531" s="29"/>
      <c r="G531" s="29"/>
      <c r="H531" s="27"/>
      <c r="I531" s="33"/>
      <c r="J531" s="5"/>
      <c r="K531" s="5"/>
      <c r="L531" s="5"/>
      <c r="M531" s="5"/>
    </row>
    <row r="532" spans="1:13" x14ac:dyDescent="0.25">
      <c r="A532" s="29"/>
      <c r="B532" s="74"/>
      <c r="C532" s="75"/>
      <c r="D532" s="29"/>
      <c r="E532" s="29"/>
      <c r="F532" s="29"/>
      <c r="G532" s="29"/>
      <c r="H532" s="27"/>
      <c r="I532" s="33"/>
      <c r="J532" s="5"/>
      <c r="K532" s="5"/>
      <c r="L532" s="5"/>
      <c r="M532" s="5"/>
    </row>
    <row r="533" spans="1:13" x14ac:dyDescent="0.25">
      <c r="A533" s="29"/>
      <c r="B533" s="74"/>
      <c r="C533" s="75"/>
      <c r="D533" s="29"/>
      <c r="E533" s="29"/>
      <c r="F533" s="29"/>
      <c r="G533" s="29"/>
      <c r="H533" s="27"/>
      <c r="I533" s="33"/>
      <c r="J533" s="5"/>
      <c r="K533" s="5"/>
      <c r="L533" s="5"/>
      <c r="M533" s="5"/>
    </row>
    <row r="534" spans="1:13" x14ac:dyDescent="0.25">
      <c r="A534" s="29"/>
      <c r="B534" s="74"/>
      <c r="C534" s="75"/>
      <c r="D534" s="29"/>
      <c r="E534" s="29"/>
      <c r="F534" s="29"/>
      <c r="G534" s="29"/>
      <c r="H534" s="27"/>
      <c r="I534" s="33"/>
      <c r="J534" s="5"/>
      <c r="K534" s="5"/>
      <c r="L534" s="5"/>
      <c r="M534" s="5"/>
    </row>
    <row r="535" spans="1:13" x14ac:dyDescent="0.25">
      <c r="A535" s="29"/>
      <c r="B535" s="74"/>
      <c r="C535" s="75"/>
      <c r="D535" s="29"/>
      <c r="E535" s="29"/>
      <c r="F535" s="29"/>
      <c r="G535" s="29"/>
      <c r="H535" s="27"/>
      <c r="I535" s="33"/>
      <c r="J535" s="5"/>
      <c r="K535" s="5"/>
      <c r="L535" s="5"/>
      <c r="M535" s="5"/>
    </row>
    <row r="536" spans="1:13" x14ac:dyDescent="0.25">
      <c r="A536" s="29"/>
      <c r="B536" s="74"/>
      <c r="C536" s="75"/>
      <c r="D536" s="29"/>
      <c r="E536" s="29"/>
      <c r="F536" s="29"/>
      <c r="G536" s="29"/>
      <c r="H536" s="27"/>
      <c r="I536" s="33"/>
      <c r="J536" s="5"/>
      <c r="K536" s="5"/>
      <c r="L536" s="5"/>
      <c r="M536" s="5"/>
    </row>
    <row r="537" spans="1:13" x14ac:dyDescent="0.25">
      <c r="A537" s="29"/>
      <c r="B537" s="74"/>
      <c r="C537" s="75"/>
      <c r="D537" s="29"/>
      <c r="E537" s="29"/>
      <c r="F537" s="29"/>
      <c r="G537" s="29"/>
      <c r="H537" s="27"/>
      <c r="I537" s="33"/>
      <c r="J537" s="5"/>
      <c r="K537" s="5"/>
      <c r="L537" s="5"/>
      <c r="M537" s="5"/>
    </row>
    <row r="538" spans="1:13" x14ac:dyDescent="0.25">
      <c r="A538" s="29"/>
      <c r="B538" s="74"/>
      <c r="C538" s="75"/>
      <c r="D538" s="29"/>
      <c r="E538" s="29"/>
      <c r="F538" s="29"/>
      <c r="G538" s="29"/>
      <c r="H538" s="27"/>
      <c r="I538" s="33"/>
      <c r="J538" s="5"/>
      <c r="K538" s="5"/>
      <c r="L538" s="5"/>
      <c r="M538" s="5"/>
    </row>
    <row r="539" spans="1:13" x14ac:dyDescent="0.25">
      <c r="A539" s="29"/>
      <c r="B539" s="74"/>
      <c r="C539" s="75"/>
      <c r="D539" s="29"/>
      <c r="E539" s="29"/>
      <c r="F539" s="29"/>
      <c r="G539" s="29"/>
      <c r="H539" s="27"/>
      <c r="I539" s="33"/>
      <c r="J539" s="5"/>
      <c r="K539" s="5"/>
      <c r="L539" s="5"/>
      <c r="M539" s="5"/>
    </row>
    <row r="540" spans="1:13" x14ac:dyDescent="0.25">
      <c r="A540" s="29"/>
      <c r="B540" s="74"/>
      <c r="C540" s="75"/>
      <c r="D540" s="29"/>
      <c r="E540" s="29"/>
      <c r="F540" s="29"/>
      <c r="G540" s="29"/>
      <c r="H540" s="27"/>
      <c r="I540" s="33"/>
      <c r="J540" s="5"/>
      <c r="K540" s="5"/>
      <c r="L540" s="5"/>
      <c r="M540" s="5"/>
    </row>
    <row r="541" spans="1:13" x14ac:dyDescent="0.25">
      <c r="A541" s="29"/>
      <c r="B541" s="74"/>
      <c r="C541" s="75"/>
      <c r="D541" s="29"/>
      <c r="E541" s="29"/>
      <c r="F541" s="29"/>
      <c r="G541" s="29"/>
      <c r="H541" s="27"/>
      <c r="I541" s="33"/>
      <c r="J541" s="5"/>
      <c r="K541" s="5"/>
      <c r="L541" s="5"/>
      <c r="M541" s="5"/>
    </row>
    <row r="542" spans="1:13" x14ac:dyDescent="0.25">
      <c r="A542" s="29"/>
      <c r="B542" s="74"/>
      <c r="C542" s="75"/>
      <c r="D542" s="29"/>
      <c r="E542" s="29"/>
      <c r="F542" s="29"/>
      <c r="G542" s="29"/>
      <c r="H542" s="27"/>
      <c r="I542" s="33"/>
      <c r="J542" s="5"/>
      <c r="K542" s="5"/>
      <c r="L542" s="5"/>
      <c r="M542" s="5"/>
    </row>
    <row r="543" spans="1:13" x14ac:dyDescent="0.25">
      <c r="A543" s="29"/>
      <c r="B543" s="74"/>
      <c r="C543" s="75"/>
      <c r="D543" s="29"/>
      <c r="E543" s="29"/>
      <c r="F543" s="29"/>
      <c r="G543" s="29"/>
      <c r="H543" s="27"/>
      <c r="I543" s="33"/>
      <c r="J543" s="5"/>
      <c r="K543" s="5"/>
      <c r="L543" s="5"/>
      <c r="M543" s="5"/>
    </row>
    <row r="544" spans="1:13" x14ac:dyDescent="0.25">
      <c r="A544" s="29"/>
      <c r="B544" s="74"/>
      <c r="C544" s="75"/>
      <c r="D544" s="29"/>
      <c r="E544" s="29"/>
      <c r="F544" s="29"/>
      <c r="G544" s="29"/>
      <c r="H544" s="27"/>
      <c r="I544" s="33"/>
      <c r="J544" s="5"/>
      <c r="K544" s="5"/>
      <c r="L544" s="5"/>
      <c r="M544" s="5"/>
    </row>
    <row r="545" spans="1:13" x14ac:dyDescent="0.25">
      <c r="A545" s="29"/>
      <c r="B545" s="74"/>
      <c r="C545" s="75"/>
      <c r="D545" s="29"/>
      <c r="E545" s="29"/>
      <c r="F545" s="29"/>
      <c r="G545" s="29"/>
      <c r="H545" s="27"/>
      <c r="I545" s="33"/>
      <c r="J545" s="5"/>
      <c r="K545" s="5"/>
      <c r="L545" s="5"/>
      <c r="M545" s="5"/>
    </row>
    <row r="546" spans="1:13" x14ac:dyDescent="0.25">
      <c r="A546" s="29"/>
      <c r="B546" s="74"/>
      <c r="C546" s="75"/>
      <c r="D546" s="29"/>
      <c r="E546" s="29"/>
      <c r="F546" s="29"/>
      <c r="G546" s="29"/>
      <c r="H546" s="27"/>
      <c r="I546" s="33"/>
      <c r="J546" s="5"/>
      <c r="K546" s="5"/>
      <c r="L546" s="5"/>
      <c r="M546" s="5"/>
    </row>
    <row r="547" spans="1:13" x14ac:dyDescent="0.25">
      <c r="A547" s="29"/>
      <c r="B547" s="74"/>
      <c r="C547" s="75"/>
      <c r="D547" s="29"/>
      <c r="E547" s="29"/>
      <c r="F547" s="29"/>
      <c r="G547" s="29"/>
      <c r="H547" s="27"/>
      <c r="I547" s="33"/>
      <c r="J547" s="5"/>
      <c r="K547" s="5"/>
      <c r="L547" s="5"/>
      <c r="M547" s="5"/>
    </row>
    <row r="548" spans="1:13" x14ac:dyDescent="0.25">
      <c r="A548" s="29"/>
      <c r="B548" s="74"/>
      <c r="C548" s="75"/>
      <c r="D548" s="29"/>
      <c r="E548" s="29"/>
      <c r="F548" s="29"/>
      <c r="G548" s="29"/>
      <c r="H548" s="27"/>
      <c r="I548" s="33"/>
      <c r="J548" s="5"/>
      <c r="K548" s="5"/>
      <c r="L548" s="5"/>
      <c r="M548" s="5"/>
    </row>
    <row r="549" spans="1:13" x14ac:dyDescent="0.25">
      <c r="A549" s="29"/>
      <c r="B549" s="74"/>
      <c r="C549" s="75"/>
      <c r="D549" s="29"/>
      <c r="E549" s="29"/>
      <c r="F549" s="29"/>
      <c r="G549" s="29"/>
      <c r="H549" s="27"/>
      <c r="I549" s="33"/>
      <c r="J549" s="5"/>
      <c r="K549" s="5"/>
      <c r="L549" s="5"/>
      <c r="M549" s="5"/>
    </row>
    <row r="550" spans="1:13" x14ac:dyDescent="0.25">
      <c r="A550" s="29"/>
      <c r="B550" s="74"/>
      <c r="C550" s="75"/>
      <c r="D550" s="29"/>
      <c r="E550" s="29"/>
      <c r="F550" s="29"/>
      <c r="G550" s="29"/>
      <c r="H550" s="27"/>
      <c r="I550" s="33"/>
      <c r="J550" s="5"/>
      <c r="K550" s="5"/>
      <c r="L550" s="5"/>
      <c r="M550" s="5"/>
    </row>
    <row r="551" spans="1:13" x14ac:dyDescent="0.25">
      <c r="A551" s="29"/>
      <c r="B551" s="74"/>
      <c r="C551" s="75"/>
      <c r="D551" s="29"/>
      <c r="E551" s="29"/>
      <c r="F551" s="29"/>
      <c r="G551" s="29"/>
      <c r="H551" s="27"/>
      <c r="I551" s="33"/>
      <c r="J551" s="5"/>
      <c r="K551" s="5"/>
      <c r="L551" s="5"/>
      <c r="M551" s="5"/>
    </row>
    <row r="552" spans="1:13" x14ac:dyDescent="0.25">
      <c r="A552" s="29"/>
      <c r="B552" s="74"/>
      <c r="C552" s="75"/>
      <c r="D552" s="29"/>
      <c r="E552" s="29"/>
      <c r="F552" s="29"/>
      <c r="G552" s="29"/>
      <c r="H552" s="27"/>
      <c r="I552" s="33"/>
      <c r="J552" s="5"/>
      <c r="K552" s="5"/>
      <c r="L552" s="5"/>
      <c r="M552" s="5"/>
    </row>
    <row r="553" spans="1:13" x14ac:dyDescent="0.25">
      <c r="A553" s="29"/>
      <c r="B553" s="74"/>
      <c r="C553" s="75"/>
      <c r="D553" s="29"/>
      <c r="E553" s="29"/>
      <c r="F553" s="29"/>
      <c r="G553" s="29"/>
      <c r="H553" s="27"/>
      <c r="I553" s="33"/>
      <c r="J553" s="5"/>
      <c r="K553" s="5"/>
      <c r="L553" s="5"/>
      <c r="M553" s="5"/>
    </row>
    <row r="554" spans="1:13" x14ac:dyDescent="0.25">
      <c r="A554" s="29"/>
      <c r="B554" s="74"/>
      <c r="C554" s="75"/>
      <c r="D554" s="29"/>
      <c r="E554" s="29"/>
      <c r="F554" s="29"/>
      <c r="G554" s="29"/>
      <c r="H554" s="27"/>
      <c r="I554" s="33"/>
      <c r="J554" s="5"/>
      <c r="K554" s="5"/>
      <c r="L554" s="5"/>
      <c r="M554" s="5"/>
    </row>
    <row r="555" spans="1:13" x14ac:dyDescent="0.25">
      <c r="A555" s="29"/>
      <c r="B555" s="74"/>
      <c r="C555" s="75"/>
      <c r="D555" s="29"/>
      <c r="E555" s="29"/>
      <c r="F555" s="29"/>
      <c r="G555" s="29"/>
      <c r="H555" s="27"/>
      <c r="I555" s="33"/>
      <c r="J555" s="5"/>
      <c r="K555" s="5"/>
      <c r="L555" s="5"/>
      <c r="M555" s="5"/>
    </row>
    <row r="556" spans="1:13" x14ac:dyDescent="0.25">
      <c r="A556" s="29"/>
      <c r="B556" s="74"/>
      <c r="C556" s="75"/>
      <c r="D556" s="29"/>
      <c r="E556" s="29"/>
      <c r="F556" s="29"/>
      <c r="G556" s="29"/>
      <c r="H556" s="27"/>
      <c r="I556" s="33"/>
      <c r="J556" s="5"/>
      <c r="K556" s="5"/>
      <c r="L556" s="5"/>
      <c r="M556" s="5"/>
    </row>
    <row r="557" spans="1:13" x14ac:dyDescent="0.25">
      <c r="A557" s="29"/>
      <c r="B557" s="74"/>
      <c r="C557" s="75"/>
      <c r="D557" s="29"/>
      <c r="E557" s="29"/>
      <c r="F557" s="29"/>
      <c r="G557" s="29"/>
      <c r="H557" s="27"/>
      <c r="I557" s="33"/>
      <c r="J557" s="5"/>
      <c r="K557" s="5"/>
      <c r="L557" s="5"/>
      <c r="M557" s="5"/>
    </row>
    <row r="558" spans="1:13" x14ac:dyDescent="0.25">
      <c r="A558" s="29"/>
      <c r="B558" s="74"/>
      <c r="C558" s="75"/>
      <c r="D558" s="29"/>
      <c r="E558" s="29"/>
      <c r="F558" s="29"/>
      <c r="G558" s="29"/>
      <c r="H558" s="27"/>
      <c r="I558" s="33"/>
      <c r="J558" s="5"/>
      <c r="K558" s="5"/>
      <c r="L558" s="5"/>
      <c r="M558" s="5"/>
    </row>
    <row r="559" spans="1:13" x14ac:dyDescent="0.25">
      <c r="A559" s="29"/>
      <c r="B559" s="74"/>
      <c r="C559" s="75"/>
      <c r="D559" s="29"/>
      <c r="E559" s="29"/>
      <c r="F559" s="29"/>
      <c r="G559" s="29"/>
      <c r="H559" s="27"/>
      <c r="I559" s="33"/>
      <c r="J559" s="5"/>
      <c r="K559" s="5"/>
      <c r="L559" s="5"/>
      <c r="M559" s="5"/>
    </row>
    <row r="560" spans="1:13" x14ac:dyDescent="0.25">
      <c r="A560" s="29"/>
      <c r="B560" s="74"/>
      <c r="C560" s="75"/>
      <c r="D560" s="29"/>
      <c r="E560" s="29"/>
      <c r="F560" s="29"/>
      <c r="G560" s="29"/>
      <c r="H560" s="27"/>
      <c r="I560" s="33"/>
      <c r="J560" s="5"/>
      <c r="K560" s="5"/>
      <c r="L560" s="5"/>
      <c r="M560" s="5"/>
    </row>
    <row r="561" spans="1:13" x14ac:dyDescent="0.25">
      <c r="A561" s="29"/>
      <c r="B561" s="74"/>
      <c r="C561" s="75"/>
      <c r="D561" s="29"/>
      <c r="E561" s="29"/>
      <c r="F561" s="29"/>
      <c r="G561" s="29"/>
      <c r="H561" s="27"/>
      <c r="I561" s="33"/>
      <c r="J561" s="5"/>
      <c r="K561" s="5"/>
      <c r="L561" s="5"/>
      <c r="M561" s="5"/>
    </row>
    <row r="562" spans="1:13" x14ac:dyDescent="0.25">
      <c r="A562" s="29"/>
      <c r="B562" s="74"/>
      <c r="C562" s="75"/>
      <c r="D562" s="29"/>
      <c r="E562" s="29"/>
      <c r="F562" s="29"/>
      <c r="G562" s="29"/>
      <c r="H562" s="27"/>
      <c r="I562" s="33"/>
      <c r="J562" s="5"/>
      <c r="K562" s="5"/>
      <c r="L562" s="5"/>
      <c r="M562" s="5"/>
    </row>
    <row r="563" spans="1:13" x14ac:dyDescent="0.25">
      <c r="A563" s="29"/>
      <c r="B563" s="74"/>
      <c r="C563" s="75"/>
      <c r="D563" s="29"/>
      <c r="E563" s="29"/>
      <c r="F563" s="29"/>
      <c r="G563" s="29"/>
      <c r="H563" s="27"/>
      <c r="I563" s="33"/>
      <c r="J563" s="5"/>
      <c r="K563" s="5"/>
      <c r="L563" s="5"/>
      <c r="M563" s="5"/>
    </row>
    <row r="564" spans="1:13" x14ac:dyDescent="0.25">
      <c r="A564" s="29"/>
      <c r="B564" s="74"/>
      <c r="C564" s="75"/>
      <c r="D564" s="29"/>
      <c r="E564" s="29"/>
      <c r="F564" s="29"/>
      <c r="G564" s="29"/>
      <c r="H564" s="27"/>
      <c r="I564" s="33"/>
      <c r="J564" s="5"/>
      <c r="K564" s="5"/>
      <c r="L564" s="5"/>
      <c r="M564" s="5"/>
    </row>
    <row r="565" spans="1:13" x14ac:dyDescent="0.25">
      <c r="A565" s="29"/>
      <c r="B565" s="74"/>
      <c r="C565" s="75"/>
      <c r="D565" s="29"/>
      <c r="E565" s="29"/>
      <c r="F565" s="29"/>
      <c r="G565" s="29"/>
      <c r="H565" s="27"/>
      <c r="I565" s="33"/>
      <c r="J565" s="5"/>
      <c r="K565" s="5"/>
      <c r="L565" s="5"/>
      <c r="M565" s="5"/>
    </row>
    <row r="566" spans="1:13" x14ac:dyDescent="0.25">
      <c r="A566" s="29"/>
      <c r="B566" s="74"/>
      <c r="C566" s="75"/>
      <c r="D566" s="29"/>
      <c r="E566" s="29"/>
      <c r="F566" s="29"/>
      <c r="G566" s="29"/>
      <c r="H566" s="27"/>
      <c r="I566" s="33"/>
      <c r="J566" s="5"/>
      <c r="K566" s="5"/>
      <c r="L566" s="5"/>
      <c r="M566" s="5"/>
    </row>
    <row r="567" spans="1:13" x14ac:dyDescent="0.25">
      <c r="A567" s="29"/>
      <c r="B567" s="74"/>
      <c r="C567" s="75"/>
      <c r="D567" s="29"/>
      <c r="E567" s="29"/>
      <c r="F567" s="29"/>
      <c r="G567" s="29"/>
      <c r="H567" s="27"/>
      <c r="I567" s="33"/>
      <c r="J567" s="5"/>
      <c r="K567" s="5"/>
      <c r="L567" s="5"/>
      <c r="M567" s="5"/>
    </row>
    <row r="568" spans="1:13" x14ac:dyDescent="0.25">
      <c r="A568" s="29"/>
      <c r="B568" s="74"/>
      <c r="C568" s="75"/>
      <c r="D568" s="29"/>
      <c r="E568" s="29"/>
      <c r="F568" s="29"/>
      <c r="G568" s="29"/>
      <c r="H568" s="27"/>
      <c r="I568" s="33"/>
      <c r="J568" s="5"/>
      <c r="K568" s="5"/>
      <c r="L568" s="5"/>
      <c r="M568" s="5"/>
    </row>
    <row r="569" spans="1:13" x14ac:dyDescent="0.25">
      <c r="A569" s="29"/>
      <c r="B569" s="74"/>
      <c r="C569" s="75"/>
      <c r="D569" s="29"/>
      <c r="E569" s="29"/>
      <c r="F569" s="29"/>
      <c r="G569" s="29"/>
      <c r="H569" s="27"/>
      <c r="I569" s="33"/>
      <c r="J569" s="5"/>
      <c r="K569" s="5"/>
      <c r="L569" s="5"/>
      <c r="M569" s="5"/>
    </row>
    <row r="570" spans="1:13" x14ac:dyDescent="0.25">
      <c r="A570" s="29"/>
      <c r="B570" s="74"/>
      <c r="C570" s="75"/>
      <c r="D570" s="29"/>
      <c r="E570" s="29"/>
      <c r="F570" s="29"/>
      <c r="G570" s="29"/>
      <c r="H570" s="27"/>
      <c r="I570" s="33"/>
      <c r="J570" s="5"/>
      <c r="K570" s="5"/>
      <c r="L570" s="5"/>
      <c r="M570" s="5"/>
    </row>
    <row r="571" spans="1:13" x14ac:dyDescent="0.25">
      <c r="A571" s="29"/>
      <c r="B571" s="74"/>
      <c r="C571" s="75"/>
      <c r="D571" s="29"/>
      <c r="E571" s="29"/>
      <c r="F571" s="29"/>
      <c r="G571" s="29"/>
      <c r="H571" s="27"/>
      <c r="I571" s="33"/>
      <c r="J571" s="5"/>
      <c r="K571" s="5"/>
      <c r="L571" s="5"/>
      <c r="M571" s="5"/>
    </row>
    <row r="572" spans="1:13" x14ac:dyDescent="0.25">
      <c r="A572" s="29"/>
      <c r="B572" s="74"/>
      <c r="C572" s="75"/>
      <c r="D572" s="29"/>
      <c r="E572" s="29"/>
      <c r="F572" s="29"/>
      <c r="G572" s="29"/>
      <c r="H572" s="27"/>
      <c r="I572" s="33"/>
      <c r="J572" s="5"/>
      <c r="K572" s="5"/>
      <c r="L572" s="5"/>
      <c r="M572" s="5"/>
    </row>
    <row r="573" spans="1:13" x14ac:dyDescent="0.25">
      <c r="A573" s="29"/>
      <c r="B573" s="74"/>
      <c r="C573" s="75"/>
      <c r="D573" s="29"/>
      <c r="E573" s="29"/>
      <c r="F573" s="29"/>
      <c r="G573" s="29"/>
      <c r="H573" s="27"/>
      <c r="I573" s="33"/>
      <c r="J573" s="5"/>
      <c r="K573" s="5"/>
      <c r="L573" s="5"/>
      <c r="M573" s="5"/>
    </row>
    <row r="574" spans="1:13" x14ac:dyDescent="0.25">
      <c r="A574" s="29"/>
      <c r="B574" s="74"/>
      <c r="C574" s="75"/>
      <c r="D574" s="29"/>
      <c r="E574" s="29"/>
      <c r="F574" s="29"/>
      <c r="G574" s="29"/>
      <c r="H574" s="27"/>
      <c r="I574" s="33"/>
      <c r="J574" s="5"/>
      <c r="K574" s="5"/>
      <c r="L574" s="5"/>
      <c r="M574" s="5"/>
    </row>
    <row r="575" spans="1:13" x14ac:dyDescent="0.25">
      <c r="A575" s="29"/>
      <c r="B575" s="74"/>
      <c r="C575" s="75"/>
      <c r="D575" s="29"/>
      <c r="E575" s="29"/>
      <c r="F575" s="29"/>
      <c r="G575" s="29"/>
      <c r="H575" s="27"/>
      <c r="I575" s="33"/>
      <c r="J575" s="5"/>
      <c r="K575" s="5"/>
      <c r="L575" s="5"/>
      <c r="M575" s="5"/>
    </row>
    <row r="576" spans="1:13" x14ac:dyDescent="0.25">
      <c r="A576" s="29"/>
      <c r="B576" s="74"/>
      <c r="C576" s="75"/>
      <c r="D576" s="29"/>
      <c r="E576" s="29"/>
      <c r="F576" s="29"/>
      <c r="G576" s="29"/>
      <c r="H576" s="27"/>
      <c r="I576" s="33"/>
      <c r="J576" s="5"/>
      <c r="K576" s="5"/>
      <c r="L576" s="5"/>
      <c r="M576" s="5"/>
    </row>
    <row r="577" spans="1:13" x14ac:dyDescent="0.25">
      <c r="A577" s="29"/>
      <c r="B577" s="74"/>
      <c r="C577" s="75"/>
      <c r="D577" s="29"/>
      <c r="E577" s="29"/>
      <c r="F577" s="29"/>
      <c r="G577" s="29"/>
      <c r="H577" s="27"/>
      <c r="I577" s="33"/>
      <c r="J577" s="5"/>
      <c r="K577" s="5"/>
      <c r="L577" s="5"/>
      <c r="M577" s="5"/>
    </row>
    <row r="578" spans="1:13" x14ac:dyDescent="0.25">
      <c r="A578" s="29"/>
      <c r="B578" s="74"/>
      <c r="C578" s="75"/>
      <c r="D578" s="29"/>
      <c r="E578" s="29"/>
      <c r="F578" s="29"/>
      <c r="G578" s="29"/>
      <c r="H578" s="27"/>
      <c r="I578" s="33"/>
      <c r="J578" s="5"/>
      <c r="K578" s="5"/>
      <c r="L578" s="5"/>
      <c r="M578" s="5"/>
    </row>
    <row r="579" spans="1:13" x14ac:dyDescent="0.25">
      <c r="A579" s="29"/>
      <c r="B579" s="74"/>
      <c r="C579" s="75"/>
      <c r="D579" s="29"/>
      <c r="E579" s="29"/>
      <c r="F579" s="29"/>
      <c r="G579" s="29"/>
      <c r="H579" s="27"/>
      <c r="I579" s="33"/>
      <c r="J579" s="5"/>
      <c r="K579" s="5"/>
      <c r="L579" s="5"/>
      <c r="M579" s="5"/>
    </row>
    <row r="580" spans="1:13" x14ac:dyDescent="0.25">
      <c r="A580" s="29"/>
      <c r="B580" s="74"/>
      <c r="C580" s="75"/>
      <c r="D580" s="29"/>
      <c r="E580" s="29"/>
      <c r="F580" s="29"/>
      <c r="G580" s="29"/>
      <c r="H580" s="27"/>
      <c r="I580" s="33"/>
      <c r="J580" s="5"/>
      <c r="K580" s="5"/>
      <c r="L580" s="5"/>
      <c r="M580" s="5"/>
    </row>
    <row r="581" spans="1:13" x14ac:dyDescent="0.25">
      <c r="A581" s="29"/>
      <c r="B581" s="74"/>
      <c r="C581" s="75"/>
      <c r="D581" s="29"/>
      <c r="E581" s="29"/>
      <c r="F581" s="29"/>
      <c r="G581" s="29"/>
      <c r="H581" s="27"/>
      <c r="I581" s="33"/>
      <c r="J581" s="5"/>
      <c r="K581" s="5"/>
      <c r="L581" s="5"/>
      <c r="M581" s="5"/>
    </row>
    <row r="582" spans="1:13" x14ac:dyDescent="0.25">
      <c r="A582" s="29"/>
      <c r="B582" s="74"/>
      <c r="C582" s="75"/>
      <c r="D582" s="29"/>
      <c r="E582" s="29"/>
      <c r="F582" s="29"/>
      <c r="G582" s="29"/>
      <c r="H582" s="27"/>
      <c r="I582" s="33"/>
      <c r="J582" s="5"/>
      <c r="K582" s="5"/>
      <c r="L582" s="5"/>
      <c r="M582" s="5"/>
    </row>
    <row r="583" spans="1:13" x14ac:dyDescent="0.25">
      <c r="A583" s="29"/>
      <c r="B583" s="74"/>
      <c r="C583" s="75"/>
      <c r="D583" s="29"/>
      <c r="E583" s="29"/>
      <c r="F583" s="29"/>
      <c r="G583" s="29"/>
      <c r="H583" s="27"/>
      <c r="I583" s="33"/>
      <c r="J583" s="5"/>
      <c r="K583" s="5"/>
      <c r="L583" s="5"/>
      <c r="M583" s="5"/>
    </row>
    <row r="584" spans="1:13" x14ac:dyDescent="0.25">
      <c r="A584" s="29"/>
      <c r="B584" s="74"/>
      <c r="C584" s="75"/>
      <c r="D584" s="29"/>
      <c r="E584" s="29"/>
      <c r="F584" s="29"/>
      <c r="G584" s="29"/>
      <c r="H584" s="27"/>
      <c r="I584" s="33"/>
      <c r="J584" s="5"/>
      <c r="K584" s="5"/>
      <c r="L584" s="5"/>
      <c r="M584" s="5"/>
    </row>
    <row r="585" spans="1:13" x14ac:dyDescent="0.25">
      <c r="A585" s="29"/>
      <c r="B585" s="74"/>
      <c r="C585" s="75"/>
      <c r="D585" s="29"/>
      <c r="E585" s="29"/>
      <c r="F585" s="29"/>
      <c r="G585" s="29"/>
      <c r="H585" s="27"/>
      <c r="I585" s="33"/>
      <c r="J585" s="5"/>
      <c r="K585" s="5"/>
      <c r="L585" s="5"/>
      <c r="M585" s="5"/>
    </row>
    <row r="586" spans="1:13" x14ac:dyDescent="0.25">
      <c r="A586" s="29"/>
      <c r="B586" s="74"/>
      <c r="C586" s="75"/>
      <c r="D586" s="29"/>
      <c r="E586" s="29"/>
      <c r="F586" s="29"/>
      <c r="G586" s="29"/>
      <c r="H586" s="27"/>
      <c r="I586" s="33"/>
      <c r="J586" s="5"/>
      <c r="K586" s="5"/>
      <c r="L586" s="5"/>
      <c r="M586" s="5"/>
    </row>
    <row r="587" spans="1:13" x14ac:dyDescent="0.25">
      <c r="A587" s="29"/>
      <c r="B587" s="74"/>
      <c r="C587" s="75"/>
      <c r="D587" s="29"/>
      <c r="E587" s="29"/>
      <c r="F587" s="29"/>
      <c r="G587" s="29"/>
      <c r="H587" s="27"/>
      <c r="I587" s="33"/>
      <c r="J587" s="5"/>
      <c r="K587" s="5"/>
      <c r="L587" s="5"/>
      <c r="M587" s="5"/>
    </row>
    <row r="588" spans="1:13" x14ac:dyDescent="0.25">
      <c r="A588" s="29"/>
      <c r="B588" s="74"/>
      <c r="C588" s="75"/>
      <c r="D588" s="29"/>
      <c r="E588" s="29"/>
      <c r="F588" s="29"/>
      <c r="G588" s="29"/>
      <c r="H588" s="27"/>
      <c r="I588" s="33"/>
      <c r="J588" s="5"/>
      <c r="K588" s="5"/>
      <c r="L588" s="5"/>
      <c r="M588" s="5"/>
    </row>
    <row r="589" spans="1:13" x14ac:dyDescent="0.25">
      <c r="A589" s="29"/>
      <c r="B589" s="74"/>
      <c r="C589" s="75"/>
      <c r="D589" s="29"/>
      <c r="E589" s="29"/>
      <c r="F589" s="29"/>
      <c r="G589" s="29"/>
      <c r="H589" s="27"/>
      <c r="I589" s="33"/>
      <c r="J589" s="5"/>
      <c r="K589" s="5"/>
      <c r="L589" s="5"/>
      <c r="M589" s="5"/>
    </row>
    <row r="590" spans="1:13" x14ac:dyDescent="0.25">
      <c r="A590" s="29"/>
      <c r="B590" s="74"/>
      <c r="C590" s="75"/>
      <c r="D590" s="29"/>
      <c r="E590" s="29"/>
      <c r="F590" s="29"/>
      <c r="G590" s="29"/>
      <c r="H590" s="27"/>
      <c r="I590" s="33"/>
      <c r="J590" s="5"/>
      <c r="K590" s="5"/>
      <c r="L590" s="5"/>
      <c r="M590" s="5"/>
    </row>
    <row r="591" spans="1:13" x14ac:dyDescent="0.25">
      <c r="A591" s="29"/>
      <c r="B591" s="74"/>
      <c r="C591" s="75"/>
      <c r="D591" s="29"/>
      <c r="E591" s="29"/>
      <c r="F591" s="29"/>
      <c r="G591" s="29"/>
      <c r="H591" s="27"/>
      <c r="I591" s="33"/>
      <c r="J591" s="5"/>
      <c r="K591" s="5"/>
      <c r="L591" s="5"/>
      <c r="M591" s="5"/>
    </row>
    <row r="592" spans="1:13" x14ac:dyDescent="0.25">
      <c r="A592" s="29"/>
      <c r="B592" s="74"/>
      <c r="C592" s="75"/>
      <c r="D592" s="29"/>
      <c r="E592" s="29"/>
      <c r="F592" s="29"/>
      <c r="G592" s="29"/>
      <c r="H592" s="27"/>
      <c r="I592" s="33"/>
      <c r="J592" s="5"/>
      <c r="K592" s="5"/>
      <c r="L592" s="5"/>
      <c r="M592" s="5"/>
    </row>
    <row r="593" spans="1:13" x14ac:dyDescent="0.25">
      <c r="A593" s="29"/>
      <c r="B593" s="74"/>
      <c r="C593" s="75"/>
      <c r="D593" s="29"/>
      <c r="E593" s="29"/>
      <c r="F593" s="29"/>
      <c r="G593" s="29"/>
      <c r="H593" s="27"/>
      <c r="I593" s="33"/>
      <c r="J593" s="5"/>
      <c r="K593" s="5"/>
      <c r="L593" s="5"/>
      <c r="M593" s="5"/>
    </row>
    <row r="594" spans="1:13" x14ac:dyDescent="0.25">
      <c r="A594" s="29"/>
      <c r="B594" s="74"/>
      <c r="C594" s="75"/>
      <c r="D594" s="29"/>
      <c r="E594" s="29"/>
      <c r="F594" s="29"/>
      <c r="G594" s="29"/>
      <c r="H594" s="27"/>
      <c r="I594" s="33"/>
      <c r="J594" s="5"/>
      <c r="K594" s="5"/>
      <c r="L594" s="5"/>
      <c r="M594" s="5"/>
    </row>
    <row r="595" spans="1:13" x14ac:dyDescent="0.25">
      <c r="A595" s="29"/>
      <c r="B595" s="74"/>
      <c r="C595" s="75"/>
      <c r="D595" s="29"/>
      <c r="E595" s="29"/>
      <c r="F595" s="29"/>
      <c r="G595" s="29"/>
      <c r="H595" s="27"/>
      <c r="I595" s="33"/>
      <c r="J595" s="5"/>
      <c r="K595" s="5"/>
      <c r="L595" s="5"/>
      <c r="M595" s="5"/>
    </row>
    <row r="596" spans="1:13" x14ac:dyDescent="0.25">
      <c r="A596" s="29"/>
      <c r="B596" s="74"/>
      <c r="C596" s="75"/>
      <c r="D596" s="29"/>
      <c r="E596" s="29"/>
      <c r="F596" s="29"/>
      <c r="G596" s="29"/>
      <c r="H596" s="27"/>
      <c r="I596" s="33"/>
      <c r="J596" s="5"/>
      <c r="K596" s="5"/>
      <c r="L596" s="5"/>
      <c r="M596" s="5"/>
    </row>
    <row r="597" spans="1:13" x14ac:dyDescent="0.25">
      <c r="A597" s="29"/>
      <c r="B597" s="74"/>
      <c r="C597" s="75"/>
      <c r="D597" s="29"/>
      <c r="E597" s="29"/>
      <c r="F597" s="29"/>
      <c r="G597" s="29"/>
      <c r="H597" s="27"/>
      <c r="I597" s="33"/>
      <c r="J597" s="5"/>
      <c r="K597" s="5"/>
      <c r="L597" s="5"/>
      <c r="M597" s="5"/>
    </row>
    <row r="598" spans="1:13" x14ac:dyDescent="0.25">
      <c r="A598" s="29"/>
      <c r="B598" s="74"/>
      <c r="C598" s="75"/>
      <c r="D598" s="29"/>
      <c r="E598" s="29"/>
      <c r="F598" s="29"/>
      <c r="G598" s="29"/>
      <c r="H598" s="27"/>
      <c r="I598" s="33"/>
      <c r="J598" s="5"/>
      <c r="K598" s="5"/>
      <c r="L598" s="5"/>
      <c r="M598" s="5"/>
    </row>
    <row r="599" spans="1:13" x14ac:dyDescent="0.25">
      <c r="A599" s="29"/>
      <c r="B599" s="74"/>
      <c r="C599" s="75"/>
      <c r="D599" s="29"/>
      <c r="E599" s="29"/>
      <c r="F599" s="29"/>
      <c r="G599" s="29"/>
      <c r="H599" s="27"/>
      <c r="I599" s="33"/>
      <c r="J599" s="5"/>
      <c r="K599" s="5"/>
      <c r="L599" s="5"/>
      <c r="M599" s="5"/>
    </row>
    <row r="600" spans="1:13" x14ac:dyDescent="0.25">
      <c r="A600" s="29"/>
      <c r="B600" s="74"/>
      <c r="C600" s="75"/>
      <c r="D600" s="29"/>
      <c r="E600" s="29"/>
      <c r="F600" s="29"/>
      <c r="G600" s="29"/>
      <c r="H600" s="27"/>
      <c r="I600" s="33"/>
      <c r="J600" s="5"/>
      <c r="K600" s="5"/>
      <c r="L600" s="5"/>
      <c r="M600" s="5"/>
    </row>
    <row r="601" spans="1:13" x14ac:dyDescent="0.25">
      <c r="A601" s="29"/>
      <c r="B601" s="74"/>
      <c r="C601" s="75"/>
      <c r="D601" s="29"/>
      <c r="E601" s="29"/>
      <c r="F601" s="29"/>
      <c r="G601" s="29"/>
      <c r="H601" s="27"/>
      <c r="I601" s="33"/>
      <c r="J601" s="5"/>
      <c r="K601" s="5"/>
      <c r="L601" s="5"/>
      <c r="M601" s="5"/>
    </row>
    <row r="602" spans="1:13" x14ac:dyDescent="0.25">
      <c r="A602" s="29"/>
      <c r="B602" s="74"/>
      <c r="C602" s="75"/>
      <c r="D602" s="29"/>
      <c r="E602" s="29"/>
      <c r="F602" s="29"/>
      <c r="G602" s="29"/>
      <c r="H602" s="27"/>
      <c r="I602" s="33"/>
      <c r="J602" s="5"/>
      <c r="K602" s="5"/>
      <c r="L602" s="5"/>
      <c r="M602" s="5"/>
    </row>
    <row r="603" spans="1:13" x14ac:dyDescent="0.25">
      <c r="A603" s="29"/>
      <c r="B603" s="74"/>
      <c r="C603" s="75"/>
      <c r="D603" s="29"/>
      <c r="E603" s="29"/>
      <c r="F603" s="29"/>
      <c r="G603" s="29"/>
      <c r="H603" s="27"/>
      <c r="I603" s="33"/>
      <c r="J603" s="5"/>
      <c r="K603" s="5"/>
      <c r="L603" s="5"/>
      <c r="M603" s="5"/>
    </row>
    <row r="604" spans="1:13" x14ac:dyDescent="0.25">
      <c r="A604" s="29"/>
      <c r="B604" s="74"/>
      <c r="C604" s="75"/>
      <c r="D604" s="29"/>
      <c r="E604" s="29"/>
      <c r="F604" s="29"/>
      <c r="G604" s="29"/>
      <c r="H604" s="27"/>
      <c r="I604" s="33"/>
      <c r="J604" s="5"/>
      <c r="K604" s="5"/>
      <c r="L604" s="5"/>
      <c r="M604" s="5"/>
    </row>
    <row r="605" spans="1:13" x14ac:dyDescent="0.25">
      <c r="A605" s="29"/>
      <c r="B605" s="74"/>
      <c r="C605" s="75"/>
      <c r="D605" s="29"/>
      <c r="E605" s="29"/>
      <c r="F605" s="29"/>
      <c r="G605" s="29"/>
      <c r="H605" s="27"/>
      <c r="I605" s="33"/>
      <c r="J605" s="5"/>
      <c r="K605" s="5"/>
      <c r="L605" s="5"/>
      <c r="M605" s="5"/>
    </row>
    <row r="606" spans="1:13" x14ac:dyDescent="0.25">
      <c r="A606" s="29"/>
      <c r="B606" s="74"/>
      <c r="C606" s="75"/>
      <c r="D606" s="29"/>
      <c r="E606" s="29"/>
      <c r="F606" s="29"/>
      <c r="G606" s="29"/>
      <c r="H606" s="27"/>
      <c r="I606" s="33"/>
      <c r="J606" s="5"/>
      <c r="K606" s="5"/>
      <c r="L606" s="5"/>
      <c r="M606" s="5"/>
    </row>
    <row r="607" spans="1:13" x14ac:dyDescent="0.25">
      <c r="A607" s="29"/>
      <c r="B607" s="74"/>
      <c r="C607" s="75"/>
      <c r="D607" s="29"/>
      <c r="E607" s="29"/>
      <c r="F607" s="29"/>
      <c r="G607" s="29"/>
      <c r="H607" s="27"/>
      <c r="I607" s="33"/>
      <c r="J607" s="5"/>
      <c r="K607" s="5"/>
      <c r="L607" s="5"/>
      <c r="M607" s="5"/>
    </row>
    <row r="608" spans="1:13" x14ac:dyDescent="0.25">
      <c r="A608" s="29"/>
      <c r="B608" s="74"/>
      <c r="C608" s="75"/>
      <c r="D608" s="29"/>
      <c r="E608" s="29"/>
      <c r="F608" s="29"/>
      <c r="G608" s="29"/>
      <c r="H608" s="27"/>
      <c r="I608" s="33"/>
      <c r="J608" s="5"/>
      <c r="K608" s="5"/>
      <c r="L608" s="5"/>
      <c r="M608" s="5"/>
    </row>
    <row r="609" spans="1:13" x14ac:dyDescent="0.25">
      <c r="A609" s="29"/>
      <c r="B609" s="74"/>
      <c r="C609" s="75"/>
      <c r="D609" s="29"/>
      <c r="E609" s="29"/>
      <c r="F609" s="29"/>
      <c r="G609" s="29"/>
      <c r="H609" s="27"/>
      <c r="I609" s="33"/>
      <c r="J609" s="5"/>
      <c r="K609" s="5"/>
      <c r="L609" s="5"/>
      <c r="M609" s="5"/>
    </row>
    <row r="610" spans="1:13" x14ac:dyDescent="0.25">
      <c r="A610" s="29"/>
      <c r="B610" s="74"/>
      <c r="C610" s="75"/>
      <c r="D610" s="29"/>
      <c r="E610" s="29"/>
      <c r="F610" s="29"/>
      <c r="G610" s="29"/>
      <c r="H610" s="27"/>
      <c r="I610" s="33"/>
      <c r="J610" s="5"/>
      <c r="K610" s="5"/>
      <c r="L610" s="5"/>
      <c r="M610" s="5"/>
    </row>
    <row r="611" spans="1:13" x14ac:dyDescent="0.25">
      <c r="A611" s="29"/>
      <c r="B611" s="74"/>
      <c r="C611" s="75"/>
      <c r="D611" s="29"/>
      <c r="E611" s="29"/>
      <c r="F611" s="29"/>
      <c r="G611" s="29"/>
      <c r="H611" s="27"/>
      <c r="I611" s="33"/>
      <c r="J611" s="5"/>
      <c r="K611" s="5"/>
      <c r="L611" s="5"/>
      <c r="M611" s="5"/>
    </row>
    <row r="612" spans="1:13" x14ac:dyDescent="0.25">
      <c r="A612" s="29"/>
      <c r="B612" s="74"/>
      <c r="C612" s="75"/>
      <c r="D612" s="29"/>
      <c r="E612" s="29"/>
      <c r="F612" s="29"/>
      <c r="G612" s="29"/>
      <c r="H612" s="27"/>
      <c r="I612" s="33"/>
      <c r="J612" s="5"/>
      <c r="K612" s="5"/>
      <c r="L612" s="5"/>
      <c r="M612" s="5"/>
    </row>
    <row r="613" spans="1:13" x14ac:dyDescent="0.25">
      <c r="A613" s="29"/>
      <c r="B613" s="74"/>
      <c r="C613" s="75"/>
      <c r="D613" s="29"/>
      <c r="E613" s="29"/>
      <c r="F613" s="29"/>
      <c r="G613" s="29"/>
      <c r="H613" s="27"/>
      <c r="I613" s="33"/>
      <c r="J613" s="5"/>
      <c r="K613" s="5"/>
      <c r="L613" s="5"/>
      <c r="M613" s="5"/>
    </row>
    <row r="614" spans="1:13" x14ac:dyDescent="0.25">
      <c r="A614" s="29"/>
      <c r="B614" s="74"/>
      <c r="C614" s="75"/>
      <c r="D614" s="29"/>
      <c r="E614" s="29"/>
      <c r="F614" s="29"/>
      <c r="G614" s="29"/>
      <c r="H614" s="27"/>
      <c r="I614" s="33"/>
      <c r="J614" s="5"/>
      <c r="K614" s="5"/>
      <c r="L614" s="5"/>
      <c r="M614" s="5"/>
    </row>
    <row r="615" spans="1:13" x14ac:dyDescent="0.25">
      <c r="A615" s="29"/>
      <c r="B615" s="74"/>
      <c r="C615" s="75"/>
      <c r="D615" s="29"/>
      <c r="E615" s="29"/>
      <c r="F615" s="29"/>
      <c r="G615" s="29"/>
      <c r="H615" s="27"/>
      <c r="I615" s="33"/>
      <c r="J615" s="5"/>
      <c r="K615" s="5"/>
      <c r="L615" s="5"/>
      <c r="M615" s="5"/>
    </row>
    <row r="616" spans="1:13" x14ac:dyDescent="0.25">
      <c r="A616" s="29"/>
      <c r="B616" s="74"/>
      <c r="C616" s="75"/>
      <c r="D616" s="29"/>
      <c r="E616" s="29"/>
      <c r="F616" s="29"/>
      <c r="G616" s="29"/>
      <c r="H616" s="27"/>
      <c r="I616" s="33"/>
      <c r="J616" s="5"/>
      <c r="K616" s="5"/>
      <c r="L616" s="5"/>
      <c r="M616" s="5"/>
    </row>
    <row r="617" spans="1:13" x14ac:dyDescent="0.25">
      <c r="A617" s="29"/>
      <c r="B617" s="74"/>
      <c r="C617" s="75"/>
      <c r="D617" s="29"/>
      <c r="E617" s="29"/>
      <c r="F617" s="29"/>
      <c r="G617" s="29"/>
      <c r="H617" s="27"/>
      <c r="I617" s="33"/>
      <c r="J617" s="5"/>
      <c r="K617" s="5"/>
      <c r="L617" s="5"/>
      <c r="M617" s="5"/>
    </row>
    <row r="618" spans="1:13" x14ac:dyDescent="0.25">
      <c r="A618" s="29"/>
      <c r="B618" s="74"/>
      <c r="C618" s="75"/>
      <c r="D618" s="29"/>
      <c r="E618" s="29"/>
      <c r="F618" s="29"/>
      <c r="G618" s="29"/>
      <c r="H618" s="27"/>
      <c r="I618" s="33"/>
      <c r="J618" s="5"/>
      <c r="K618" s="5"/>
      <c r="L618" s="5"/>
      <c r="M618" s="5"/>
    </row>
    <row r="619" spans="1:13" x14ac:dyDescent="0.25">
      <c r="A619" s="29"/>
      <c r="B619" s="74"/>
      <c r="C619" s="75"/>
      <c r="D619" s="29"/>
      <c r="E619" s="29"/>
      <c r="F619" s="29"/>
      <c r="G619" s="29"/>
      <c r="H619" s="27"/>
      <c r="I619" s="33"/>
      <c r="J619" s="5"/>
      <c r="K619" s="5"/>
      <c r="L619" s="5"/>
      <c r="M619" s="5"/>
    </row>
    <row r="620" spans="1:13" x14ac:dyDescent="0.25">
      <c r="A620" s="29"/>
      <c r="B620" s="74"/>
      <c r="C620" s="75"/>
      <c r="D620" s="29"/>
      <c r="E620" s="29"/>
      <c r="F620" s="29"/>
      <c r="G620" s="29"/>
      <c r="H620" s="27"/>
      <c r="I620" s="33"/>
      <c r="J620" s="5"/>
      <c r="K620" s="5"/>
      <c r="L620" s="5"/>
      <c r="M620" s="5"/>
    </row>
    <row r="621" spans="1:13" x14ac:dyDescent="0.25">
      <c r="A621" s="29"/>
      <c r="B621" s="74"/>
      <c r="C621" s="75"/>
      <c r="D621" s="29"/>
      <c r="E621" s="29"/>
      <c r="F621" s="29"/>
      <c r="G621" s="29"/>
      <c r="H621" s="27"/>
      <c r="I621" s="33"/>
      <c r="J621" s="5"/>
      <c r="K621" s="5"/>
      <c r="L621" s="5"/>
      <c r="M621" s="5"/>
    </row>
    <row r="622" spans="1:13" x14ac:dyDescent="0.25">
      <c r="A622" s="29"/>
      <c r="B622" s="74"/>
      <c r="C622" s="75"/>
      <c r="D622" s="29"/>
      <c r="E622" s="29"/>
      <c r="F622" s="29"/>
      <c r="G622" s="29"/>
      <c r="H622" s="27"/>
      <c r="I622" s="33"/>
      <c r="J622" s="5"/>
      <c r="K622" s="5"/>
      <c r="L622" s="5"/>
      <c r="M622" s="5"/>
    </row>
    <row r="623" spans="1:13" x14ac:dyDescent="0.25">
      <c r="A623" s="29"/>
      <c r="B623" s="74"/>
      <c r="C623" s="75"/>
      <c r="D623" s="29"/>
      <c r="E623" s="29"/>
      <c r="F623" s="29"/>
      <c r="G623" s="29"/>
      <c r="H623" s="27"/>
      <c r="I623" s="33"/>
      <c r="J623" s="5"/>
      <c r="K623" s="5"/>
      <c r="L623" s="5"/>
      <c r="M623" s="5"/>
    </row>
    <row r="624" spans="1:13" x14ac:dyDescent="0.25">
      <c r="A624" s="29"/>
      <c r="B624" s="74"/>
      <c r="C624" s="75"/>
      <c r="D624" s="29"/>
      <c r="E624" s="29"/>
      <c r="F624" s="29"/>
      <c r="G624" s="29"/>
      <c r="H624" s="27"/>
      <c r="I624" s="33"/>
      <c r="J624" s="5"/>
      <c r="K624" s="5"/>
      <c r="L624" s="5"/>
      <c r="M624" s="5"/>
    </row>
    <row r="625" spans="1:13" x14ac:dyDescent="0.25">
      <c r="A625" s="29"/>
      <c r="B625" s="74"/>
      <c r="C625" s="75"/>
      <c r="D625" s="29"/>
      <c r="E625" s="29"/>
      <c r="F625" s="29"/>
      <c r="G625" s="29"/>
      <c r="H625" s="27"/>
      <c r="I625" s="33"/>
      <c r="J625" s="5"/>
      <c r="K625" s="5"/>
      <c r="L625" s="5"/>
      <c r="M625" s="5"/>
    </row>
    <row r="626" spans="1:13" x14ac:dyDescent="0.25">
      <c r="A626" s="29"/>
      <c r="B626" s="74"/>
      <c r="C626" s="75"/>
      <c r="D626" s="29"/>
      <c r="E626" s="29"/>
      <c r="F626" s="29"/>
      <c r="G626" s="29"/>
      <c r="H626" s="27"/>
      <c r="I626" s="33"/>
      <c r="J626" s="5"/>
      <c r="K626" s="5"/>
      <c r="L626" s="5"/>
      <c r="M626" s="5"/>
    </row>
    <row r="627" spans="1:13" x14ac:dyDescent="0.25">
      <c r="A627" s="29"/>
      <c r="B627" s="74"/>
      <c r="C627" s="75"/>
      <c r="D627" s="29"/>
      <c r="E627" s="29"/>
      <c r="F627" s="29"/>
      <c r="G627" s="29"/>
      <c r="H627" s="27"/>
      <c r="I627" s="33"/>
      <c r="J627" s="5"/>
      <c r="K627" s="5"/>
      <c r="L627" s="5"/>
      <c r="M627" s="5"/>
    </row>
    <row r="628" spans="1:13" x14ac:dyDescent="0.25">
      <c r="A628" s="29"/>
      <c r="B628" s="74"/>
      <c r="C628" s="75"/>
      <c r="D628" s="29"/>
      <c r="E628" s="29"/>
      <c r="F628" s="29"/>
      <c r="G628" s="29"/>
      <c r="H628" s="27"/>
      <c r="I628" s="33"/>
      <c r="J628" s="5"/>
      <c r="K628" s="5"/>
      <c r="L628" s="5"/>
      <c r="M628" s="5"/>
    </row>
    <row r="629" spans="1:13" x14ac:dyDescent="0.25">
      <c r="A629" s="29"/>
      <c r="B629" s="74"/>
      <c r="C629" s="75"/>
      <c r="D629" s="29"/>
      <c r="E629" s="29"/>
      <c r="F629" s="29"/>
      <c r="G629" s="29"/>
      <c r="H629" s="27"/>
      <c r="I629" s="33"/>
      <c r="J629" s="5"/>
      <c r="K629" s="5"/>
      <c r="L629" s="5"/>
      <c r="M629" s="5"/>
    </row>
    <row r="630" spans="1:13" x14ac:dyDescent="0.25">
      <c r="A630" s="29"/>
      <c r="B630" s="74"/>
      <c r="C630" s="75"/>
      <c r="D630" s="29"/>
      <c r="E630" s="29"/>
      <c r="F630" s="29"/>
      <c r="G630" s="29"/>
      <c r="H630" s="27"/>
      <c r="I630" s="33"/>
      <c r="J630" s="5"/>
      <c r="K630" s="5"/>
      <c r="L630" s="5"/>
      <c r="M630" s="5"/>
    </row>
    <row r="631" spans="1:13" x14ac:dyDescent="0.25">
      <c r="A631" s="29"/>
      <c r="B631" s="74"/>
      <c r="C631" s="75"/>
      <c r="D631" s="29"/>
      <c r="E631" s="29"/>
      <c r="F631" s="29"/>
      <c r="G631" s="29"/>
      <c r="H631" s="27"/>
      <c r="I631" s="33"/>
      <c r="J631" s="5"/>
      <c r="K631" s="5"/>
      <c r="L631" s="5"/>
      <c r="M631" s="5"/>
    </row>
    <row r="632" spans="1:13" x14ac:dyDescent="0.25">
      <c r="A632" s="29"/>
      <c r="B632" s="74"/>
      <c r="C632" s="75"/>
      <c r="D632" s="29"/>
      <c r="E632" s="29"/>
      <c r="F632" s="29"/>
      <c r="G632" s="29"/>
      <c r="H632" s="27"/>
      <c r="I632" s="33"/>
      <c r="J632" s="5"/>
      <c r="K632" s="5"/>
      <c r="L632" s="5"/>
      <c r="M632" s="5"/>
    </row>
    <row r="633" spans="1:13" x14ac:dyDescent="0.25">
      <c r="A633" s="29"/>
      <c r="B633" s="74"/>
      <c r="C633" s="75"/>
      <c r="D633" s="29"/>
      <c r="E633" s="29"/>
      <c r="F633" s="29"/>
      <c r="G633" s="29"/>
      <c r="H633" s="27"/>
      <c r="I633" s="33"/>
      <c r="J633" s="5"/>
      <c r="K633" s="5"/>
      <c r="L633" s="5"/>
      <c r="M633" s="5"/>
    </row>
    <row r="634" spans="1:13" x14ac:dyDescent="0.25">
      <c r="A634" s="29"/>
      <c r="B634" s="74"/>
      <c r="C634" s="75"/>
      <c r="D634" s="29"/>
      <c r="E634" s="29"/>
      <c r="F634" s="29"/>
      <c r="G634" s="29"/>
      <c r="H634" s="27"/>
      <c r="I634" s="33"/>
      <c r="J634" s="5"/>
      <c r="K634" s="5"/>
      <c r="L634" s="5"/>
      <c r="M634" s="5"/>
    </row>
    <row r="635" spans="1:13" x14ac:dyDescent="0.25">
      <c r="A635" s="29"/>
      <c r="B635" s="74"/>
      <c r="C635" s="75"/>
      <c r="D635" s="29"/>
      <c r="E635" s="29"/>
      <c r="F635" s="29"/>
      <c r="G635" s="29"/>
      <c r="H635" s="27"/>
      <c r="I635" s="33"/>
      <c r="J635" s="5"/>
      <c r="K635" s="5"/>
      <c r="L635" s="5"/>
      <c r="M635" s="5"/>
    </row>
    <row r="636" spans="1:13" x14ac:dyDescent="0.25">
      <c r="A636" s="29"/>
      <c r="B636" s="74"/>
      <c r="C636" s="75"/>
      <c r="D636" s="29"/>
      <c r="E636" s="29"/>
      <c r="F636" s="29"/>
      <c r="G636" s="29"/>
      <c r="H636" s="27"/>
      <c r="I636" s="33"/>
      <c r="J636" s="5"/>
      <c r="K636" s="5"/>
      <c r="L636" s="5"/>
      <c r="M636" s="5"/>
    </row>
    <row r="637" spans="1:13" x14ac:dyDescent="0.25">
      <c r="A637" s="29"/>
      <c r="B637" s="74"/>
      <c r="C637" s="75"/>
      <c r="D637" s="29"/>
      <c r="E637" s="29"/>
      <c r="F637" s="29"/>
      <c r="G637" s="29"/>
      <c r="H637" s="27"/>
      <c r="I637" s="33"/>
      <c r="J637" s="5"/>
      <c r="K637" s="5"/>
      <c r="L637" s="5"/>
      <c r="M637" s="5"/>
    </row>
    <row r="638" spans="1:13" x14ac:dyDescent="0.25">
      <c r="A638" s="29"/>
      <c r="B638" s="74"/>
      <c r="C638" s="75"/>
      <c r="D638" s="29"/>
      <c r="E638" s="29"/>
      <c r="F638" s="29"/>
      <c r="G638" s="29"/>
      <c r="H638" s="27"/>
      <c r="I638" s="33"/>
      <c r="J638" s="5"/>
      <c r="K638" s="5"/>
      <c r="L638" s="5"/>
      <c r="M638" s="5"/>
    </row>
    <row r="639" spans="1:13" x14ac:dyDescent="0.25">
      <c r="A639" s="29"/>
      <c r="B639" s="74"/>
      <c r="C639" s="75"/>
      <c r="D639" s="29"/>
      <c r="E639" s="29"/>
      <c r="F639" s="29"/>
      <c r="G639" s="29"/>
      <c r="H639" s="27"/>
      <c r="I639" s="33"/>
      <c r="J639" s="5"/>
      <c r="K639" s="5"/>
      <c r="L639" s="5"/>
      <c r="M639" s="5"/>
    </row>
    <row r="640" spans="1:13" x14ac:dyDescent="0.25">
      <c r="A640" s="29"/>
      <c r="B640" s="74"/>
      <c r="C640" s="75"/>
      <c r="D640" s="29"/>
      <c r="E640" s="29"/>
      <c r="F640" s="29"/>
      <c r="G640" s="29"/>
      <c r="H640" s="27"/>
      <c r="I640" s="33"/>
      <c r="J640" s="5"/>
      <c r="K640" s="5"/>
      <c r="L640" s="5"/>
      <c r="M640" s="5"/>
    </row>
    <row r="641" spans="1:13" x14ac:dyDescent="0.25">
      <c r="A641" s="29"/>
      <c r="B641" s="74"/>
      <c r="C641" s="75"/>
      <c r="D641" s="29"/>
      <c r="E641" s="29"/>
      <c r="F641" s="29"/>
      <c r="G641" s="29"/>
      <c r="H641" s="27"/>
      <c r="I641" s="33"/>
      <c r="J641" s="5"/>
      <c r="K641" s="5"/>
      <c r="L641" s="5"/>
      <c r="M641" s="5"/>
    </row>
    <row r="642" spans="1:13" x14ac:dyDescent="0.25">
      <c r="A642" s="29"/>
      <c r="B642" s="74"/>
      <c r="C642" s="75"/>
      <c r="D642" s="29"/>
      <c r="E642" s="29"/>
      <c r="F642" s="29"/>
      <c r="G642" s="29"/>
      <c r="H642" s="27"/>
      <c r="I642" s="33"/>
      <c r="J642" s="5"/>
      <c r="K642" s="5"/>
      <c r="L642" s="5"/>
      <c r="M642" s="5"/>
    </row>
    <row r="643" spans="1:13" x14ac:dyDescent="0.25">
      <c r="A643" s="29"/>
      <c r="B643" s="74"/>
      <c r="C643" s="75"/>
      <c r="D643" s="29"/>
      <c r="E643" s="29"/>
      <c r="F643" s="29"/>
      <c r="G643" s="29"/>
      <c r="H643" s="27"/>
      <c r="I643" s="33"/>
      <c r="J643" s="5"/>
      <c r="K643" s="5"/>
      <c r="L643" s="5"/>
      <c r="M643" s="5"/>
    </row>
    <row r="644" spans="1:13" x14ac:dyDescent="0.25">
      <c r="A644" s="29"/>
      <c r="B644" s="74"/>
      <c r="C644" s="75"/>
      <c r="D644" s="29"/>
      <c r="E644" s="29"/>
      <c r="F644" s="29"/>
      <c r="G644" s="29"/>
      <c r="H644" s="27"/>
      <c r="I644" s="33"/>
      <c r="J644" s="5"/>
      <c r="K644" s="5"/>
      <c r="L644" s="5"/>
      <c r="M644" s="5"/>
    </row>
    <row r="645" spans="1:13" x14ac:dyDescent="0.25">
      <c r="A645" s="29"/>
      <c r="B645" s="74"/>
      <c r="C645" s="75"/>
      <c r="D645" s="29"/>
      <c r="E645" s="29"/>
      <c r="F645" s="29"/>
      <c r="G645" s="29"/>
      <c r="H645" s="27"/>
      <c r="I645" s="33"/>
      <c r="J645" s="5"/>
      <c r="K645" s="5"/>
      <c r="L645" s="5"/>
      <c r="M645" s="5"/>
    </row>
    <row r="646" spans="1:13" x14ac:dyDescent="0.25">
      <c r="A646" s="29"/>
      <c r="B646" s="74"/>
      <c r="C646" s="75"/>
      <c r="D646" s="29"/>
      <c r="E646" s="29"/>
      <c r="F646" s="29"/>
      <c r="G646" s="29"/>
      <c r="H646" s="27"/>
      <c r="I646" s="33"/>
      <c r="J646" s="5"/>
      <c r="K646" s="5"/>
      <c r="L646" s="5"/>
      <c r="M646" s="5"/>
    </row>
    <row r="647" spans="1:13" x14ac:dyDescent="0.25">
      <c r="A647" s="29"/>
      <c r="B647" s="74"/>
      <c r="C647" s="75"/>
      <c r="D647" s="29"/>
      <c r="E647" s="29"/>
      <c r="F647" s="29"/>
      <c r="G647" s="29"/>
      <c r="H647" s="27"/>
      <c r="I647" s="33"/>
      <c r="J647" s="5"/>
      <c r="K647" s="5"/>
      <c r="L647" s="5"/>
      <c r="M647" s="5"/>
    </row>
    <row r="648" spans="1:13" x14ac:dyDescent="0.25">
      <c r="A648" s="29"/>
      <c r="B648" s="74"/>
      <c r="C648" s="75"/>
      <c r="D648" s="29"/>
      <c r="E648" s="29"/>
      <c r="F648" s="29"/>
      <c r="G648" s="29"/>
      <c r="H648" s="27"/>
      <c r="I648" s="33"/>
      <c r="J648" s="5"/>
      <c r="K648" s="5"/>
      <c r="L648" s="5"/>
      <c r="M648" s="5"/>
    </row>
    <row r="649" spans="1:13" x14ac:dyDescent="0.25">
      <c r="A649" s="29"/>
      <c r="B649" s="74"/>
      <c r="C649" s="75"/>
      <c r="D649" s="29"/>
      <c r="E649" s="29"/>
      <c r="F649" s="29"/>
      <c r="G649" s="29"/>
      <c r="H649" s="27"/>
      <c r="I649" s="33"/>
      <c r="J649" s="5"/>
      <c r="K649" s="5"/>
      <c r="L649" s="5"/>
      <c r="M649" s="5"/>
    </row>
    <row r="650" spans="1:13" x14ac:dyDescent="0.25">
      <c r="A650" s="29"/>
      <c r="B650" s="74"/>
      <c r="C650" s="75"/>
      <c r="D650" s="29"/>
      <c r="E650" s="29"/>
      <c r="F650" s="29"/>
      <c r="G650" s="29"/>
      <c r="H650" s="27"/>
      <c r="I650" s="33"/>
      <c r="J650" s="5"/>
      <c r="K650" s="5"/>
      <c r="L650" s="5"/>
      <c r="M650" s="5"/>
    </row>
    <row r="651" spans="1:13" x14ac:dyDescent="0.25">
      <c r="A651" s="29"/>
      <c r="B651" s="74"/>
      <c r="C651" s="75"/>
      <c r="D651" s="29"/>
      <c r="E651" s="29"/>
      <c r="F651" s="29"/>
      <c r="G651" s="29"/>
      <c r="H651" s="27"/>
      <c r="I651" s="33"/>
      <c r="J651" s="5"/>
      <c r="K651" s="5"/>
      <c r="L651" s="5"/>
      <c r="M651" s="5"/>
    </row>
    <row r="652" spans="1:13" x14ac:dyDescent="0.25">
      <c r="A652" s="29"/>
      <c r="B652" s="74"/>
      <c r="C652" s="75"/>
      <c r="D652" s="29"/>
      <c r="E652" s="29"/>
      <c r="F652" s="29"/>
      <c r="G652" s="29"/>
      <c r="H652" s="27"/>
      <c r="I652" s="33"/>
      <c r="J652" s="5"/>
      <c r="K652" s="5"/>
      <c r="L652" s="5"/>
      <c r="M652" s="5"/>
    </row>
    <row r="653" spans="1:13" x14ac:dyDescent="0.25">
      <c r="A653" s="29"/>
      <c r="B653" s="74"/>
      <c r="C653" s="75"/>
      <c r="D653" s="29"/>
      <c r="E653" s="29"/>
      <c r="F653" s="29"/>
      <c r="G653" s="29"/>
      <c r="H653" s="27"/>
      <c r="I653" s="33"/>
      <c r="J653" s="5"/>
      <c r="K653" s="5"/>
      <c r="L653" s="5"/>
      <c r="M653" s="5"/>
    </row>
    <row r="654" spans="1:13" x14ac:dyDescent="0.25">
      <c r="A654" s="29"/>
      <c r="B654" s="74"/>
      <c r="C654" s="75"/>
      <c r="D654" s="29"/>
      <c r="E654" s="29"/>
      <c r="F654" s="29"/>
      <c r="G654" s="29"/>
      <c r="H654" s="27"/>
      <c r="I654" s="33"/>
      <c r="J654" s="5"/>
      <c r="K654" s="5"/>
      <c r="L654" s="5"/>
      <c r="M654" s="5"/>
    </row>
    <row r="655" spans="1:13" x14ac:dyDescent="0.25">
      <c r="A655" s="29"/>
      <c r="B655" s="74"/>
      <c r="C655" s="75"/>
      <c r="D655" s="29"/>
      <c r="E655" s="29"/>
      <c r="F655" s="29"/>
      <c r="G655" s="29"/>
      <c r="H655" s="27"/>
      <c r="I655" s="33"/>
      <c r="J655" s="5"/>
      <c r="K655" s="5"/>
      <c r="L655" s="5"/>
      <c r="M655" s="5"/>
    </row>
    <row r="656" spans="1:13" x14ac:dyDescent="0.25">
      <c r="A656" s="29"/>
      <c r="B656" s="74"/>
      <c r="C656" s="75"/>
      <c r="D656" s="29"/>
      <c r="E656" s="29"/>
      <c r="F656" s="29"/>
      <c r="G656" s="29"/>
      <c r="H656" s="27"/>
      <c r="I656" s="33"/>
      <c r="J656" s="5"/>
      <c r="K656" s="5"/>
      <c r="L656" s="5"/>
      <c r="M656" s="5"/>
    </row>
    <row r="657" spans="1:13" x14ac:dyDescent="0.25">
      <c r="A657" s="29"/>
      <c r="B657" s="74"/>
      <c r="C657" s="75"/>
      <c r="D657" s="29"/>
      <c r="E657" s="29"/>
      <c r="F657" s="29"/>
      <c r="G657" s="29"/>
      <c r="H657" s="27"/>
      <c r="I657" s="33"/>
      <c r="J657" s="5"/>
      <c r="K657" s="5"/>
      <c r="L657" s="5"/>
      <c r="M657" s="5"/>
    </row>
    <row r="658" spans="1:13" x14ac:dyDescent="0.25">
      <c r="A658" s="29"/>
      <c r="B658" s="74"/>
      <c r="C658" s="75"/>
      <c r="D658" s="29"/>
      <c r="E658" s="29"/>
      <c r="F658" s="29"/>
      <c r="G658" s="29"/>
      <c r="H658" s="27"/>
      <c r="I658" s="33"/>
      <c r="J658" s="5"/>
      <c r="K658" s="5"/>
      <c r="L658" s="5"/>
      <c r="M658" s="5"/>
    </row>
    <row r="659" spans="1:13" x14ac:dyDescent="0.25">
      <c r="A659" s="29"/>
      <c r="B659" s="74"/>
      <c r="C659" s="75"/>
      <c r="D659" s="29"/>
      <c r="E659" s="29"/>
      <c r="F659" s="29"/>
      <c r="G659" s="29"/>
      <c r="H659" s="27"/>
      <c r="I659" s="33"/>
      <c r="J659" s="5"/>
      <c r="K659" s="5"/>
      <c r="L659" s="5"/>
      <c r="M659" s="5"/>
    </row>
    <row r="660" spans="1:13" x14ac:dyDescent="0.25">
      <c r="A660" s="29"/>
      <c r="B660" s="74"/>
      <c r="C660" s="75"/>
      <c r="D660" s="29"/>
      <c r="E660" s="29"/>
      <c r="F660" s="29"/>
      <c r="G660" s="29"/>
      <c r="H660" s="27"/>
      <c r="I660" s="33"/>
      <c r="J660" s="5"/>
      <c r="K660" s="5"/>
      <c r="L660" s="5"/>
      <c r="M660" s="5"/>
    </row>
    <row r="661" spans="1:13" x14ac:dyDescent="0.25">
      <c r="A661" s="29"/>
      <c r="B661" s="74"/>
      <c r="C661" s="75"/>
      <c r="D661" s="29"/>
      <c r="E661" s="29"/>
      <c r="F661" s="29"/>
      <c r="G661" s="29"/>
      <c r="H661" s="27"/>
      <c r="I661" s="33"/>
      <c r="J661" s="5"/>
      <c r="K661" s="5"/>
      <c r="L661" s="5"/>
      <c r="M661" s="5"/>
    </row>
    <row r="662" spans="1:13" x14ac:dyDescent="0.25">
      <c r="A662" s="29"/>
      <c r="B662" s="74"/>
      <c r="C662" s="75"/>
      <c r="D662" s="29"/>
      <c r="E662" s="29"/>
      <c r="F662" s="29"/>
      <c r="G662" s="29"/>
      <c r="H662" s="27"/>
      <c r="I662" s="33"/>
      <c r="J662" s="5"/>
      <c r="K662" s="5"/>
      <c r="L662" s="5"/>
      <c r="M662" s="5"/>
    </row>
    <row r="663" spans="1:13" x14ac:dyDescent="0.25">
      <c r="A663" s="29"/>
      <c r="B663" s="74"/>
      <c r="C663" s="75"/>
      <c r="D663" s="29"/>
      <c r="E663" s="29"/>
      <c r="F663" s="29"/>
      <c r="G663" s="29"/>
      <c r="H663" s="27"/>
      <c r="I663" s="33"/>
      <c r="J663" s="5"/>
      <c r="K663" s="5"/>
      <c r="L663" s="5"/>
      <c r="M663" s="5"/>
    </row>
    <row r="664" spans="1:13" x14ac:dyDescent="0.25">
      <c r="A664" s="29"/>
      <c r="B664" s="74"/>
      <c r="C664" s="75"/>
      <c r="D664" s="29"/>
      <c r="E664" s="29"/>
      <c r="F664" s="29"/>
      <c r="G664" s="29"/>
      <c r="H664" s="27"/>
      <c r="I664" s="33"/>
      <c r="J664" s="5"/>
      <c r="K664" s="5"/>
      <c r="L664" s="5"/>
      <c r="M664" s="5"/>
    </row>
    <row r="665" spans="1:13" x14ac:dyDescent="0.25">
      <c r="A665" s="29"/>
      <c r="B665" s="74"/>
      <c r="C665" s="75"/>
      <c r="D665" s="29"/>
      <c r="E665" s="29"/>
      <c r="F665" s="29"/>
      <c r="G665" s="29"/>
      <c r="H665" s="27"/>
      <c r="I665" s="33"/>
      <c r="J665" s="5"/>
      <c r="K665" s="5"/>
      <c r="L665" s="5"/>
      <c r="M665" s="5"/>
    </row>
    <row r="666" spans="1:13" x14ac:dyDescent="0.25">
      <c r="A666" s="29"/>
      <c r="B666" s="74"/>
      <c r="C666" s="75"/>
      <c r="D666" s="29"/>
      <c r="E666" s="29"/>
      <c r="F666" s="29"/>
      <c r="G666" s="29"/>
      <c r="H666" s="27"/>
      <c r="I666" s="33"/>
      <c r="J666" s="5"/>
      <c r="K666" s="5"/>
      <c r="L666" s="5"/>
      <c r="M666" s="5"/>
    </row>
    <row r="667" spans="1:13" x14ac:dyDescent="0.25">
      <c r="A667" s="29"/>
      <c r="B667" s="74"/>
      <c r="C667" s="75"/>
      <c r="D667" s="29"/>
      <c r="E667" s="29"/>
      <c r="F667" s="29"/>
      <c r="G667" s="29"/>
      <c r="H667" s="27"/>
      <c r="I667" s="33"/>
      <c r="J667" s="5"/>
      <c r="K667" s="5"/>
      <c r="L667" s="5"/>
      <c r="M667" s="5"/>
    </row>
    <row r="668" spans="1:13" x14ac:dyDescent="0.25">
      <c r="A668" s="29"/>
      <c r="B668" s="74"/>
      <c r="C668" s="75"/>
      <c r="D668" s="29"/>
      <c r="E668" s="29"/>
      <c r="F668" s="29"/>
      <c r="G668" s="29"/>
      <c r="H668" s="27"/>
      <c r="I668" s="33"/>
      <c r="J668" s="5"/>
      <c r="K668" s="5"/>
      <c r="L668" s="5"/>
      <c r="M668" s="5"/>
    </row>
    <row r="669" spans="1:13" x14ac:dyDescent="0.25">
      <c r="A669" s="29"/>
      <c r="B669" s="74"/>
      <c r="C669" s="75"/>
      <c r="D669" s="29"/>
      <c r="E669" s="29"/>
      <c r="F669" s="29"/>
      <c r="G669" s="29"/>
      <c r="H669" s="27"/>
      <c r="I669" s="33"/>
      <c r="J669" s="5"/>
      <c r="K669" s="5"/>
      <c r="L669" s="5"/>
      <c r="M669" s="5"/>
    </row>
    <row r="670" spans="1:13" x14ac:dyDescent="0.25">
      <c r="A670" s="29"/>
      <c r="B670" s="74"/>
      <c r="C670" s="75"/>
      <c r="D670" s="29"/>
      <c r="E670" s="29"/>
      <c r="F670" s="29"/>
      <c r="G670" s="29"/>
      <c r="H670" s="27"/>
      <c r="I670" s="33"/>
      <c r="J670" s="5"/>
      <c r="K670" s="5"/>
      <c r="L670" s="5"/>
      <c r="M670" s="5"/>
    </row>
    <row r="671" spans="1:13" x14ac:dyDescent="0.25">
      <c r="A671" s="29"/>
      <c r="B671" s="74"/>
      <c r="C671" s="75"/>
      <c r="D671" s="29"/>
      <c r="E671" s="29"/>
      <c r="F671" s="29"/>
      <c r="G671" s="29"/>
      <c r="H671" s="27"/>
      <c r="I671" s="33"/>
      <c r="J671" s="5"/>
      <c r="K671" s="5"/>
      <c r="L671" s="5"/>
      <c r="M671" s="5"/>
    </row>
    <row r="672" spans="1:13" x14ac:dyDescent="0.25">
      <c r="A672" s="29"/>
      <c r="B672" s="74"/>
      <c r="C672" s="75"/>
      <c r="D672" s="29"/>
      <c r="E672" s="29"/>
      <c r="F672" s="29"/>
      <c r="G672" s="29"/>
      <c r="H672" s="27"/>
      <c r="I672" s="33"/>
      <c r="J672" s="5"/>
      <c r="K672" s="5"/>
      <c r="L672" s="5"/>
      <c r="M672" s="5"/>
    </row>
    <row r="673" spans="1:13" x14ac:dyDescent="0.25">
      <c r="A673" s="29"/>
      <c r="B673" s="74"/>
      <c r="C673" s="75"/>
      <c r="D673" s="29"/>
      <c r="E673" s="29"/>
      <c r="F673" s="29"/>
      <c r="G673" s="29"/>
      <c r="H673" s="27"/>
      <c r="I673" s="33"/>
      <c r="J673" s="5"/>
      <c r="K673" s="5"/>
      <c r="L673" s="5"/>
      <c r="M673" s="5"/>
    </row>
    <row r="674" spans="1:13" x14ac:dyDescent="0.25">
      <c r="A674" s="29"/>
      <c r="B674" s="74"/>
      <c r="C674" s="75"/>
      <c r="D674" s="29"/>
      <c r="E674" s="29"/>
      <c r="F674" s="29"/>
      <c r="G674" s="29"/>
      <c r="H674" s="27"/>
      <c r="I674" s="33"/>
      <c r="J674" s="5"/>
      <c r="K674" s="5"/>
      <c r="L674" s="5"/>
      <c r="M674" s="5"/>
    </row>
    <row r="675" spans="1:13" x14ac:dyDescent="0.25">
      <c r="A675" s="29"/>
      <c r="B675" s="74"/>
      <c r="C675" s="75"/>
      <c r="D675" s="29"/>
      <c r="E675" s="29"/>
      <c r="F675" s="29"/>
      <c r="G675" s="29"/>
      <c r="H675" s="27"/>
      <c r="I675" s="33"/>
      <c r="J675" s="5"/>
      <c r="K675" s="5"/>
      <c r="L675" s="5"/>
      <c r="M675" s="5"/>
    </row>
    <row r="676" spans="1:13" x14ac:dyDescent="0.25">
      <c r="A676" s="29"/>
      <c r="B676" s="74"/>
      <c r="C676" s="75"/>
      <c r="D676" s="29"/>
      <c r="E676" s="29"/>
      <c r="F676" s="29"/>
      <c r="G676" s="29"/>
      <c r="H676" s="27"/>
      <c r="I676" s="33"/>
      <c r="J676" s="5"/>
      <c r="K676" s="5"/>
      <c r="L676" s="5"/>
      <c r="M676" s="5"/>
    </row>
    <row r="677" spans="1:13" x14ac:dyDescent="0.25">
      <c r="A677" s="29"/>
      <c r="B677" s="74"/>
      <c r="C677" s="75"/>
      <c r="D677" s="29"/>
      <c r="E677" s="29"/>
      <c r="F677" s="29"/>
      <c r="G677" s="29"/>
      <c r="H677" s="27"/>
      <c r="I677" s="33"/>
      <c r="J677" s="5"/>
      <c r="K677" s="5"/>
      <c r="L677" s="5"/>
      <c r="M677" s="5"/>
    </row>
    <row r="678" spans="1:13" x14ac:dyDescent="0.25">
      <c r="A678" s="29"/>
      <c r="B678" s="74"/>
      <c r="C678" s="75"/>
      <c r="D678" s="29"/>
      <c r="E678" s="29"/>
      <c r="F678" s="29"/>
      <c r="G678" s="29"/>
      <c r="H678" s="27"/>
      <c r="I678" s="33"/>
      <c r="J678" s="5"/>
      <c r="K678" s="5"/>
      <c r="L678" s="5"/>
      <c r="M678" s="5"/>
    </row>
    <row r="679" spans="1:13" x14ac:dyDescent="0.25">
      <c r="A679" s="29"/>
      <c r="B679" s="74"/>
      <c r="C679" s="75"/>
      <c r="D679" s="29"/>
      <c r="E679" s="29"/>
      <c r="F679" s="29"/>
      <c r="G679" s="29"/>
      <c r="H679" s="27"/>
      <c r="I679" s="33"/>
      <c r="J679" s="5"/>
      <c r="K679" s="5"/>
      <c r="L679" s="5"/>
      <c r="M679" s="5"/>
    </row>
    <row r="680" spans="1:13" x14ac:dyDescent="0.25">
      <c r="A680" s="29"/>
      <c r="B680" s="74"/>
      <c r="C680" s="75"/>
      <c r="D680" s="29"/>
      <c r="E680" s="29"/>
      <c r="F680" s="29"/>
      <c r="G680" s="29"/>
      <c r="H680" s="27"/>
      <c r="I680" s="33"/>
      <c r="J680" s="5"/>
      <c r="K680" s="5"/>
      <c r="L680" s="5"/>
      <c r="M680" s="5"/>
    </row>
    <row r="681" spans="1:13" x14ac:dyDescent="0.25">
      <c r="A681" s="29"/>
      <c r="B681" s="74"/>
      <c r="C681" s="75"/>
      <c r="D681" s="29"/>
      <c r="E681" s="29"/>
      <c r="F681" s="29"/>
      <c r="G681" s="29"/>
      <c r="H681" s="27"/>
      <c r="I681" s="33"/>
      <c r="J681" s="5"/>
      <c r="K681" s="5"/>
      <c r="L681" s="5"/>
      <c r="M681" s="5"/>
    </row>
    <row r="682" spans="1:13" x14ac:dyDescent="0.25">
      <c r="A682" s="29"/>
      <c r="B682" s="74"/>
      <c r="C682" s="75"/>
      <c r="D682" s="29"/>
      <c r="E682" s="29"/>
      <c r="F682" s="29"/>
      <c r="G682" s="29"/>
      <c r="H682" s="27"/>
      <c r="I682" s="33"/>
      <c r="J682" s="5"/>
      <c r="K682" s="5"/>
      <c r="L682" s="5"/>
      <c r="M682" s="5"/>
    </row>
    <row r="683" spans="1:13" x14ac:dyDescent="0.25">
      <c r="A683" s="29"/>
      <c r="B683" s="74"/>
      <c r="C683" s="75"/>
      <c r="D683" s="29"/>
      <c r="E683" s="29"/>
      <c r="F683" s="29"/>
      <c r="G683" s="29"/>
      <c r="H683" s="27"/>
      <c r="I683" s="33"/>
      <c r="J683" s="5"/>
      <c r="K683" s="5"/>
      <c r="L683" s="5"/>
      <c r="M683" s="5"/>
    </row>
    <row r="684" spans="1:13" x14ac:dyDescent="0.25">
      <c r="A684" s="29"/>
      <c r="B684" s="74"/>
      <c r="C684" s="75"/>
      <c r="D684" s="29"/>
      <c r="E684" s="29"/>
      <c r="F684" s="29"/>
      <c r="G684" s="29"/>
      <c r="H684" s="27"/>
      <c r="I684" s="33"/>
      <c r="J684" s="5"/>
      <c r="K684" s="5"/>
      <c r="L684" s="5"/>
      <c r="M684" s="5"/>
    </row>
    <row r="685" spans="1:13" x14ac:dyDescent="0.25">
      <c r="A685" s="29"/>
      <c r="B685" s="74"/>
      <c r="C685" s="75"/>
      <c r="D685" s="29"/>
      <c r="E685" s="29"/>
      <c r="F685" s="29"/>
      <c r="G685" s="29"/>
      <c r="H685" s="27"/>
      <c r="I685" s="33"/>
      <c r="J685" s="5"/>
      <c r="K685" s="5"/>
      <c r="L685" s="5"/>
      <c r="M685" s="5"/>
    </row>
    <row r="686" spans="1:13" x14ac:dyDescent="0.25">
      <c r="A686" s="29"/>
      <c r="B686" s="74"/>
      <c r="C686" s="75"/>
      <c r="D686" s="29"/>
      <c r="E686" s="29"/>
      <c r="F686" s="29"/>
      <c r="G686" s="29"/>
      <c r="H686" s="27"/>
      <c r="I686" s="33"/>
      <c r="J686" s="5"/>
      <c r="K686" s="5"/>
      <c r="L686" s="5"/>
      <c r="M686" s="5"/>
    </row>
    <row r="687" spans="1:13" x14ac:dyDescent="0.25">
      <c r="A687" s="29"/>
      <c r="B687" s="74"/>
      <c r="C687" s="75"/>
      <c r="D687" s="29"/>
      <c r="E687" s="29"/>
      <c r="F687" s="29"/>
      <c r="G687" s="29"/>
      <c r="H687" s="27"/>
      <c r="I687" s="33"/>
      <c r="J687" s="5"/>
      <c r="K687" s="5"/>
      <c r="L687" s="5"/>
      <c r="M687" s="5"/>
    </row>
    <row r="688" spans="1:13" x14ac:dyDescent="0.25">
      <c r="A688" s="29"/>
      <c r="B688" s="74"/>
      <c r="C688" s="75"/>
      <c r="D688" s="29"/>
      <c r="E688" s="29"/>
      <c r="F688" s="29"/>
      <c r="G688" s="29"/>
      <c r="H688" s="27"/>
      <c r="I688" s="33"/>
      <c r="J688" s="5"/>
      <c r="K688" s="5"/>
      <c r="L688" s="5"/>
      <c r="M688" s="5"/>
    </row>
    <row r="689" spans="1:13" x14ac:dyDescent="0.25">
      <c r="A689" s="29"/>
      <c r="B689" s="74"/>
      <c r="C689" s="75"/>
      <c r="D689" s="29"/>
      <c r="E689" s="29"/>
      <c r="F689" s="29"/>
      <c r="G689" s="29"/>
      <c r="H689" s="27"/>
      <c r="I689" s="33"/>
      <c r="J689" s="5"/>
      <c r="K689" s="5"/>
      <c r="L689" s="5"/>
      <c r="M689" s="5"/>
    </row>
    <row r="690" spans="1:13" x14ac:dyDescent="0.25">
      <c r="A690" s="29"/>
      <c r="B690" s="74"/>
      <c r="C690" s="75"/>
      <c r="D690" s="29"/>
      <c r="E690" s="29"/>
      <c r="F690" s="29"/>
      <c r="G690" s="29"/>
      <c r="H690" s="27"/>
      <c r="I690" s="33"/>
      <c r="J690" s="5"/>
      <c r="K690" s="5"/>
      <c r="L690" s="5"/>
      <c r="M690" s="5"/>
    </row>
    <row r="691" spans="1:13" x14ac:dyDescent="0.25">
      <c r="A691" s="29"/>
      <c r="B691" s="74"/>
      <c r="C691" s="75"/>
      <c r="D691" s="29"/>
      <c r="E691" s="29"/>
      <c r="F691" s="29"/>
      <c r="G691" s="29"/>
      <c r="H691" s="27"/>
      <c r="I691" s="33"/>
      <c r="J691" s="5"/>
      <c r="K691" s="5"/>
      <c r="L691" s="5"/>
      <c r="M691" s="5"/>
    </row>
    <row r="692" spans="1:13" x14ac:dyDescent="0.25">
      <c r="A692" s="29"/>
      <c r="B692" s="74"/>
      <c r="C692" s="75"/>
      <c r="D692" s="29"/>
      <c r="E692" s="29"/>
      <c r="F692" s="29"/>
      <c r="G692" s="29"/>
      <c r="H692" s="27"/>
      <c r="I692" s="33"/>
      <c r="J692" s="5"/>
      <c r="K692" s="5"/>
      <c r="L692" s="5"/>
      <c r="M692" s="5"/>
    </row>
    <row r="693" spans="1:13" x14ac:dyDescent="0.25">
      <c r="A693" s="29"/>
      <c r="B693" s="74"/>
      <c r="C693" s="75"/>
      <c r="D693" s="29"/>
      <c r="E693" s="29"/>
      <c r="F693" s="29"/>
      <c r="G693" s="29"/>
      <c r="H693" s="27"/>
      <c r="I693" s="33"/>
      <c r="J693" s="5"/>
      <c r="K693" s="5"/>
      <c r="L693" s="5"/>
      <c r="M693" s="5"/>
    </row>
    <row r="694" spans="1:13" x14ac:dyDescent="0.25">
      <c r="A694" s="29"/>
      <c r="B694" s="74"/>
      <c r="C694" s="75"/>
      <c r="D694" s="29"/>
      <c r="E694" s="29"/>
      <c r="F694" s="29"/>
      <c r="G694" s="29"/>
      <c r="H694" s="27"/>
      <c r="I694" s="33"/>
      <c r="J694" s="5"/>
      <c r="K694" s="5"/>
      <c r="L694" s="5"/>
      <c r="M694" s="5"/>
    </row>
    <row r="695" spans="1:13" x14ac:dyDescent="0.25">
      <c r="A695" s="29"/>
      <c r="B695" s="74"/>
      <c r="C695" s="75"/>
      <c r="D695" s="29"/>
      <c r="E695" s="29"/>
      <c r="F695" s="29"/>
      <c r="G695" s="29"/>
      <c r="H695" s="27"/>
      <c r="I695" s="33"/>
      <c r="J695" s="5"/>
      <c r="K695" s="5"/>
      <c r="L695" s="5"/>
      <c r="M695" s="5"/>
    </row>
    <row r="696" spans="1:13" x14ac:dyDescent="0.25">
      <c r="A696" s="29"/>
      <c r="B696" s="74"/>
      <c r="C696" s="75"/>
      <c r="D696" s="29"/>
      <c r="E696" s="29"/>
      <c r="F696" s="29"/>
      <c r="G696" s="29"/>
      <c r="H696" s="27"/>
      <c r="I696" s="33"/>
      <c r="J696" s="5"/>
      <c r="K696" s="5"/>
      <c r="L696" s="5"/>
      <c r="M696" s="5"/>
    </row>
    <row r="697" spans="1:13" x14ac:dyDescent="0.25">
      <c r="A697" s="29"/>
      <c r="B697" s="74"/>
      <c r="C697" s="75"/>
      <c r="D697" s="29"/>
      <c r="E697" s="29"/>
      <c r="F697" s="29"/>
      <c r="G697" s="29"/>
      <c r="H697" s="27"/>
      <c r="I697" s="33"/>
      <c r="J697" s="5"/>
      <c r="K697" s="5"/>
      <c r="L697" s="5"/>
      <c r="M697" s="5"/>
    </row>
    <row r="698" spans="1:13" x14ac:dyDescent="0.25">
      <c r="A698" s="29"/>
      <c r="B698" s="74"/>
      <c r="C698" s="75"/>
      <c r="D698" s="29"/>
      <c r="E698" s="29"/>
      <c r="F698" s="29"/>
      <c r="G698" s="29"/>
      <c r="H698" s="27"/>
      <c r="I698" s="33"/>
      <c r="J698" s="5"/>
      <c r="K698" s="5"/>
      <c r="L698" s="5"/>
      <c r="M698" s="5"/>
    </row>
    <row r="699" spans="1:13" x14ac:dyDescent="0.25">
      <c r="A699" s="29"/>
      <c r="B699" s="74"/>
      <c r="C699" s="75"/>
      <c r="D699" s="29"/>
      <c r="E699" s="29"/>
      <c r="F699" s="29"/>
      <c r="G699" s="29"/>
      <c r="H699" s="27"/>
      <c r="I699" s="33"/>
      <c r="J699" s="5"/>
      <c r="K699" s="5"/>
      <c r="L699" s="5"/>
      <c r="M699" s="5"/>
    </row>
    <row r="700" spans="1:13" x14ac:dyDescent="0.25">
      <c r="A700" s="29"/>
      <c r="B700" s="74"/>
      <c r="C700" s="75"/>
      <c r="D700" s="29"/>
      <c r="E700" s="29"/>
      <c r="F700" s="29"/>
      <c r="G700" s="29"/>
      <c r="H700" s="27"/>
      <c r="I700" s="33"/>
      <c r="J700" s="5"/>
      <c r="K700" s="5"/>
      <c r="L700" s="5"/>
      <c r="M700" s="5"/>
    </row>
    <row r="701" spans="1:13" x14ac:dyDescent="0.25">
      <c r="A701" s="29"/>
      <c r="B701" s="74"/>
      <c r="C701" s="75"/>
      <c r="D701" s="29"/>
      <c r="E701" s="29"/>
      <c r="F701" s="29"/>
      <c r="G701" s="29"/>
      <c r="H701" s="27"/>
      <c r="I701" s="33"/>
      <c r="J701" s="5"/>
      <c r="K701" s="5"/>
      <c r="L701" s="5"/>
      <c r="M701" s="5"/>
    </row>
    <row r="702" spans="1:13" x14ac:dyDescent="0.25">
      <c r="A702" s="29"/>
      <c r="B702" s="74"/>
      <c r="C702" s="75"/>
      <c r="D702" s="29"/>
      <c r="E702" s="29"/>
      <c r="F702" s="29"/>
      <c r="G702" s="29"/>
      <c r="H702" s="27"/>
      <c r="I702" s="33"/>
      <c r="J702" s="5"/>
      <c r="K702" s="5"/>
      <c r="L702" s="5"/>
      <c r="M702" s="5"/>
    </row>
    <row r="703" spans="1:13" x14ac:dyDescent="0.25">
      <c r="A703" s="29"/>
      <c r="B703" s="74"/>
      <c r="C703" s="75"/>
      <c r="D703" s="29"/>
      <c r="E703" s="29"/>
      <c r="F703" s="29"/>
      <c r="G703" s="29"/>
      <c r="H703" s="27"/>
      <c r="I703" s="33"/>
      <c r="J703" s="5"/>
      <c r="K703" s="5"/>
      <c r="L703" s="5"/>
      <c r="M703" s="5"/>
    </row>
    <row r="704" spans="1:13" x14ac:dyDescent="0.25">
      <c r="A704" s="29"/>
      <c r="B704" s="74"/>
      <c r="C704" s="75"/>
      <c r="D704" s="29"/>
      <c r="E704" s="29"/>
      <c r="F704" s="29"/>
      <c r="G704" s="29"/>
      <c r="H704" s="27"/>
      <c r="I704" s="33"/>
      <c r="J704" s="5"/>
      <c r="K704" s="5"/>
      <c r="L704" s="5"/>
      <c r="M704" s="5"/>
    </row>
    <row r="705" spans="1:13" x14ac:dyDescent="0.25">
      <c r="A705" s="29"/>
      <c r="B705" s="74"/>
      <c r="C705" s="75"/>
      <c r="D705" s="29"/>
      <c r="E705" s="29"/>
      <c r="F705" s="29"/>
      <c r="G705" s="29"/>
      <c r="H705" s="27"/>
      <c r="I705" s="33"/>
      <c r="J705" s="5"/>
      <c r="K705" s="5"/>
      <c r="L705" s="5"/>
      <c r="M705" s="5"/>
    </row>
    <row r="706" spans="1:13" x14ac:dyDescent="0.25">
      <c r="A706" s="29"/>
      <c r="B706" s="74"/>
      <c r="C706" s="75"/>
      <c r="D706" s="29"/>
      <c r="E706" s="29"/>
      <c r="F706" s="29"/>
      <c r="G706" s="29"/>
      <c r="H706" s="27"/>
      <c r="I706" s="33"/>
      <c r="J706" s="5"/>
      <c r="K706" s="5"/>
      <c r="L706" s="5"/>
      <c r="M706" s="5"/>
    </row>
    <row r="707" spans="1:13" x14ac:dyDescent="0.25">
      <c r="A707" s="29"/>
      <c r="B707" s="74"/>
      <c r="C707" s="75"/>
      <c r="D707" s="29"/>
      <c r="E707" s="29"/>
      <c r="F707" s="29"/>
      <c r="G707" s="29"/>
      <c r="H707" s="27"/>
      <c r="I707" s="33"/>
      <c r="J707" s="5"/>
      <c r="K707" s="5"/>
      <c r="L707" s="5"/>
      <c r="M707" s="5"/>
    </row>
    <row r="708" spans="1:13" x14ac:dyDescent="0.25">
      <c r="A708" s="29"/>
      <c r="B708" s="74"/>
      <c r="C708" s="75"/>
      <c r="D708" s="29"/>
      <c r="E708" s="29"/>
      <c r="F708" s="29"/>
      <c r="G708" s="29"/>
      <c r="H708" s="27"/>
      <c r="I708" s="33"/>
      <c r="J708" s="5"/>
      <c r="K708" s="5"/>
      <c r="L708" s="5"/>
      <c r="M708" s="5"/>
    </row>
    <row r="709" spans="1:13" x14ac:dyDescent="0.25">
      <c r="A709" s="29"/>
      <c r="B709" s="74"/>
      <c r="C709" s="75"/>
      <c r="D709" s="29"/>
      <c r="E709" s="29"/>
      <c r="F709" s="29"/>
      <c r="G709" s="29"/>
      <c r="H709" s="27"/>
      <c r="I709" s="33"/>
      <c r="J709" s="5"/>
      <c r="K709" s="5"/>
      <c r="L709" s="5"/>
      <c r="M709" s="5"/>
    </row>
    <row r="710" spans="1:13" x14ac:dyDescent="0.25">
      <c r="A710" s="29"/>
      <c r="B710" s="74"/>
      <c r="C710" s="75"/>
      <c r="D710" s="29"/>
      <c r="E710" s="29"/>
      <c r="F710" s="29"/>
      <c r="G710" s="29"/>
      <c r="H710" s="27"/>
      <c r="I710" s="33"/>
      <c r="J710" s="5"/>
      <c r="K710" s="5"/>
      <c r="L710" s="5"/>
      <c r="M710" s="5"/>
    </row>
    <row r="711" spans="1:13" x14ac:dyDescent="0.25">
      <c r="A711" s="29"/>
      <c r="B711" s="74"/>
      <c r="C711" s="75"/>
      <c r="D711" s="29"/>
      <c r="E711" s="29"/>
      <c r="F711" s="29"/>
      <c r="G711" s="29"/>
      <c r="H711" s="27"/>
      <c r="I711" s="33"/>
      <c r="J711" s="5"/>
      <c r="K711" s="5"/>
      <c r="L711" s="5"/>
      <c r="M711" s="5"/>
    </row>
    <row r="712" spans="1:13" x14ac:dyDescent="0.25">
      <c r="A712" s="29"/>
      <c r="B712" s="74"/>
      <c r="C712" s="75"/>
      <c r="D712" s="29"/>
      <c r="E712" s="29"/>
      <c r="F712" s="29"/>
      <c r="G712" s="29"/>
      <c r="H712" s="27"/>
      <c r="I712" s="33"/>
      <c r="J712" s="5"/>
      <c r="K712" s="5"/>
      <c r="L712" s="5"/>
      <c r="M712" s="5"/>
    </row>
    <row r="713" spans="1:13" x14ac:dyDescent="0.25">
      <c r="A713" s="29"/>
      <c r="B713" s="74"/>
      <c r="C713" s="75"/>
      <c r="D713" s="29"/>
      <c r="E713" s="29"/>
      <c r="F713" s="29"/>
      <c r="G713" s="29"/>
      <c r="H713" s="27"/>
      <c r="I713" s="33"/>
      <c r="J713" s="5"/>
      <c r="K713" s="5"/>
      <c r="L713" s="5"/>
      <c r="M713" s="5"/>
    </row>
    <row r="714" spans="1:13" x14ac:dyDescent="0.25">
      <c r="A714" s="29"/>
      <c r="B714" s="74"/>
      <c r="C714" s="75"/>
      <c r="D714" s="29"/>
      <c r="E714" s="29"/>
      <c r="F714" s="29"/>
      <c r="G714" s="29"/>
      <c r="H714" s="27"/>
      <c r="I714" s="33"/>
      <c r="J714" s="5"/>
      <c r="K714" s="5"/>
      <c r="L714" s="5"/>
      <c r="M714" s="5"/>
    </row>
    <row r="715" spans="1:13" x14ac:dyDescent="0.25">
      <c r="A715" s="29"/>
      <c r="B715" s="74"/>
      <c r="C715" s="75"/>
      <c r="D715" s="29"/>
      <c r="E715" s="29"/>
      <c r="F715" s="29"/>
      <c r="G715" s="29"/>
      <c r="H715" s="27"/>
      <c r="I715" s="33"/>
      <c r="J715" s="5"/>
      <c r="K715" s="5"/>
      <c r="L715" s="5"/>
      <c r="M715" s="5"/>
    </row>
    <row r="716" spans="1:13" x14ac:dyDescent="0.25">
      <c r="A716" s="29"/>
      <c r="B716" s="74"/>
      <c r="C716" s="75"/>
      <c r="D716" s="29"/>
      <c r="E716" s="29"/>
      <c r="F716" s="29"/>
      <c r="G716" s="29"/>
      <c r="H716" s="27"/>
      <c r="I716" s="33"/>
      <c r="J716" s="5"/>
      <c r="K716" s="5"/>
      <c r="L716" s="5"/>
      <c r="M716" s="5"/>
    </row>
    <row r="717" spans="1:13" x14ac:dyDescent="0.25">
      <c r="A717" s="29"/>
      <c r="B717" s="74"/>
      <c r="C717" s="75"/>
      <c r="D717" s="29"/>
      <c r="E717" s="29"/>
      <c r="F717" s="29"/>
      <c r="G717" s="29"/>
      <c r="H717" s="27"/>
      <c r="I717" s="33"/>
      <c r="J717" s="5"/>
      <c r="K717" s="5"/>
      <c r="L717" s="5"/>
      <c r="M717" s="5"/>
    </row>
    <row r="718" spans="1:13" x14ac:dyDescent="0.25">
      <c r="A718" s="29"/>
      <c r="B718" s="74"/>
      <c r="C718" s="75"/>
      <c r="D718" s="29"/>
      <c r="E718" s="29"/>
      <c r="F718" s="29"/>
      <c r="G718" s="29"/>
      <c r="H718" s="27"/>
      <c r="I718" s="33"/>
      <c r="J718" s="5"/>
      <c r="K718" s="5"/>
      <c r="L718" s="5"/>
      <c r="M718" s="5"/>
    </row>
    <row r="719" spans="1:13" x14ac:dyDescent="0.25">
      <c r="A719" s="29"/>
      <c r="B719" s="74"/>
      <c r="C719" s="75"/>
      <c r="D719" s="29"/>
      <c r="E719" s="29"/>
      <c r="F719" s="29"/>
      <c r="G719" s="29"/>
      <c r="H719" s="27"/>
      <c r="I719" s="33"/>
      <c r="J719" s="5"/>
      <c r="K719" s="5"/>
      <c r="L719" s="5"/>
      <c r="M719" s="5"/>
    </row>
    <row r="720" spans="1:13" x14ac:dyDescent="0.25">
      <c r="A720" s="29"/>
      <c r="B720" s="74"/>
      <c r="C720" s="75"/>
      <c r="D720" s="29"/>
      <c r="E720" s="29"/>
      <c r="F720" s="29"/>
      <c r="G720" s="29"/>
      <c r="H720" s="27"/>
      <c r="I720" s="33"/>
      <c r="J720" s="5"/>
      <c r="K720" s="5"/>
      <c r="L720" s="5"/>
      <c r="M720" s="5"/>
    </row>
    <row r="721" spans="1:13" x14ac:dyDescent="0.25">
      <c r="A721" s="29"/>
      <c r="B721" s="74"/>
      <c r="C721" s="75"/>
      <c r="D721" s="29"/>
      <c r="E721" s="29"/>
      <c r="F721" s="29"/>
      <c r="G721" s="29"/>
      <c r="H721" s="27"/>
      <c r="I721" s="33"/>
      <c r="J721" s="5"/>
      <c r="K721" s="5"/>
      <c r="L721" s="5"/>
      <c r="M721" s="5"/>
    </row>
    <row r="722" spans="1:13" x14ac:dyDescent="0.25">
      <c r="A722" s="29"/>
      <c r="B722" s="74"/>
      <c r="C722" s="75"/>
      <c r="D722" s="29"/>
      <c r="E722" s="29"/>
      <c r="F722" s="29"/>
      <c r="G722" s="29"/>
      <c r="H722" s="27"/>
      <c r="I722" s="33"/>
      <c r="J722" s="5"/>
      <c r="K722" s="5"/>
      <c r="L722" s="5"/>
      <c r="M722" s="5"/>
    </row>
    <row r="723" spans="1:13" x14ac:dyDescent="0.25">
      <c r="A723" s="29"/>
      <c r="B723" s="74"/>
      <c r="C723" s="75"/>
      <c r="D723" s="29"/>
      <c r="E723" s="29"/>
      <c r="F723" s="29"/>
      <c r="G723" s="29"/>
      <c r="H723" s="27"/>
      <c r="I723" s="33"/>
      <c r="J723" s="5"/>
      <c r="K723" s="5"/>
      <c r="L723" s="5"/>
      <c r="M723" s="5"/>
    </row>
    <row r="724" spans="1:13" x14ac:dyDescent="0.25">
      <c r="A724" s="29"/>
      <c r="B724" s="74"/>
      <c r="C724" s="75"/>
      <c r="D724" s="29"/>
      <c r="E724" s="29"/>
      <c r="F724" s="29"/>
      <c r="G724" s="29"/>
      <c r="H724" s="27"/>
      <c r="I724" s="33"/>
      <c r="J724" s="5"/>
      <c r="K724" s="5"/>
      <c r="L724" s="5"/>
      <c r="M724" s="5"/>
    </row>
    <row r="725" spans="1:13" x14ac:dyDescent="0.25">
      <c r="A725" s="29"/>
      <c r="B725" s="74"/>
      <c r="C725" s="75"/>
      <c r="D725" s="29"/>
      <c r="E725" s="29"/>
      <c r="F725" s="29"/>
      <c r="G725" s="29"/>
      <c r="H725" s="27"/>
      <c r="I725" s="33"/>
      <c r="J725" s="5"/>
      <c r="K725" s="5"/>
      <c r="L725" s="5"/>
      <c r="M725" s="5"/>
    </row>
    <row r="726" spans="1:13" x14ac:dyDescent="0.25">
      <c r="A726" s="29"/>
      <c r="B726" s="74"/>
      <c r="C726" s="75"/>
      <c r="D726" s="29"/>
      <c r="E726" s="29"/>
      <c r="F726" s="29"/>
      <c r="G726" s="29"/>
      <c r="H726" s="27"/>
      <c r="I726" s="33"/>
      <c r="J726" s="5"/>
      <c r="K726" s="5"/>
      <c r="L726" s="5"/>
      <c r="M726" s="5"/>
    </row>
    <row r="727" spans="1:13" x14ac:dyDescent="0.25">
      <c r="A727" s="29"/>
      <c r="B727" s="74"/>
      <c r="C727" s="75"/>
      <c r="D727" s="29"/>
      <c r="E727" s="29"/>
      <c r="F727" s="29"/>
      <c r="G727" s="29"/>
      <c r="H727" s="27"/>
      <c r="I727" s="33"/>
      <c r="J727" s="5"/>
      <c r="K727" s="5"/>
      <c r="L727" s="5"/>
      <c r="M727" s="5"/>
    </row>
    <row r="728" spans="1:13" x14ac:dyDescent="0.25">
      <c r="A728" s="29"/>
      <c r="B728" s="74"/>
      <c r="C728" s="75"/>
      <c r="D728" s="29"/>
      <c r="E728" s="29"/>
      <c r="F728" s="29"/>
      <c r="G728" s="29"/>
      <c r="H728" s="27"/>
      <c r="I728" s="33"/>
      <c r="J728" s="5"/>
      <c r="K728" s="5"/>
      <c r="L728" s="5"/>
      <c r="M728" s="5"/>
    </row>
    <row r="729" spans="1:13" x14ac:dyDescent="0.25">
      <c r="A729" s="29"/>
      <c r="B729" s="74"/>
      <c r="C729" s="75"/>
      <c r="D729" s="29"/>
      <c r="E729" s="29"/>
      <c r="F729" s="29"/>
      <c r="G729" s="29"/>
      <c r="H729" s="27"/>
      <c r="I729" s="33"/>
      <c r="J729" s="5"/>
      <c r="K729" s="5"/>
      <c r="L729" s="5"/>
      <c r="M729" s="5"/>
    </row>
    <row r="730" spans="1:13" x14ac:dyDescent="0.25">
      <c r="A730" s="29"/>
      <c r="B730" s="74"/>
      <c r="C730" s="75"/>
      <c r="D730" s="29"/>
      <c r="E730" s="29"/>
      <c r="F730" s="29"/>
      <c r="G730" s="29"/>
      <c r="H730" s="27"/>
      <c r="I730" s="33"/>
      <c r="J730" s="5"/>
      <c r="K730" s="5"/>
      <c r="L730" s="5"/>
      <c r="M730" s="5"/>
    </row>
    <row r="731" spans="1:13" x14ac:dyDescent="0.25">
      <c r="A731" s="29"/>
      <c r="B731" s="74"/>
      <c r="C731" s="75"/>
      <c r="D731" s="29"/>
      <c r="E731" s="29"/>
      <c r="F731" s="29"/>
      <c r="G731" s="29"/>
      <c r="H731" s="27"/>
      <c r="I731" s="33"/>
      <c r="J731" s="5"/>
      <c r="K731" s="5"/>
      <c r="L731" s="5"/>
      <c r="M731" s="5"/>
    </row>
    <row r="732" spans="1:13" x14ac:dyDescent="0.25">
      <c r="A732" s="29"/>
      <c r="B732" s="74"/>
      <c r="C732" s="75"/>
      <c r="D732" s="29"/>
      <c r="E732" s="29"/>
      <c r="F732" s="29"/>
      <c r="G732" s="29"/>
      <c r="H732" s="27"/>
      <c r="I732" s="33"/>
      <c r="J732" s="5"/>
      <c r="K732" s="5"/>
      <c r="L732" s="5"/>
      <c r="M732" s="5"/>
    </row>
    <row r="733" spans="1:13" x14ac:dyDescent="0.25">
      <c r="A733" s="29"/>
      <c r="B733" s="74"/>
      <c r="C733" s="75"/>
      <c r="D733" s="29"/>
      <c r="E733" s="29"/>
      <c r="F733" s="29"/>
      <c r="G733" s="29"/>
      <c r="H733" s="27"/>
      <c r="I733" s="33"/>
      <c r="J733" s="5"/>
      <c r="K733" s="5"/>
      <c r="L733" s="5"/>
      <c r="M733" s="5"/>
    </row>
    <row r="734" spans="1:13" x14ac:dyDescent="0.25">
      <c r="A734" s="29"/>
      <c r="B734" s="74"/>
      <c r="C734" s="75"/>
      <c r="D734" s="29"/>
      <c r="E734" s="29"/>
      <c r="F734" s="29"/>
      <c r="G734" s="29"/>
      <c r="H734" s="27"/>
      <c r="I734" s="33"/>
      <c r="J734" s="5"/>
      <c r="K734" s="5"/>
      <c r="L734" s="5"/>
      <c r="M734" s="5"/>
    </row>
    <row r="735" spans="1:13" x14ac:dyDescent="0.25">
      <c r="A735" s="29"/>
      <c r="B735" s="74"/>
      <c r="C735" s="75"/>
      <c r="D735" s="29"/>
      <c r="E735" s="29"/>
      <c r="F735" s="29"/>
      <c r="G735" s="29"/>
      <c r="H735" s="27"/>
      <c r="I735" s="33"/>
      <c r="J735" s="5"/>
      <c r="K735" s="5"/>
      <c r="L735" s="5"/>
      <c r="M735" s="5"/>
    </row>
    <row r="736" spans="1:13" x14ac:dyDescent="0.25">
      <c r="A736" s="29"/>
      <c r="B736" s="74"/>
      <c r="C736" s="75"/>
      <c r="D736" s="29"/>
      <c r="E736" s="29"/>
      <c r="F736" s="29"/>
      <c r="G736" s="29"/>
      <c r="H736" s="27"/>
      <c r="I736" s="33"/>
      <c r="J736" s="5"/>
      <c r="K736" s="5"/>
      <c r="L736" s="5"/>
      <c r="M736" s="5"/>
    </row>
    <row r="737" spans="1:13" x14ac:dyDescent="0.25">
      <c r="A737" s="29"/>
      <c r="B737" s="74"/>
      <c r="C737" s="75"/>
      <c r="D737" s="29"/>
      <c r="E737" s="29"/>
      <c r="F737" s="29"/>
      <c r="G737" s="29"/>
      <c r="H737" s="27"/>
      <c r="I737" s="33"/>
      <c r="J737" s="5"/>
      <c r="K737" s="5"/>
      <c r="L737" s="5"/>
      <c r="M737" s="5"/>
    </row>
    <row r="738" spans="1:13" x14ac:dyDescent="0.25">
      <c r="A738" s="29"/>
      <c r="B738" s="74"/>
      <c r="C738" s="75"/>
      <c r="D738" s="29"/>
      <c r="E738" s="29"/>
      <c r="F738" s="29"/>
      <c r="G738" s="29"/>
      <c r="H738" s="27"/>
      <c r="I738" s="33"/>
      <c r="J738" s="5"/>
      <c r="K738" s="5"/>
      <c r="L738" s="5"/>
      <c r="M738" s="5"/>
    </row>
    <row r="739" spans="1:13" x14ac:dyDescent="0.25">
      <c r="A739" s="29"/>
      <c r="B739" s="74"/>
      <c r="C739" s="75"/>
      <c r="D739" s="29"/>
      <c r="E739" s="29"/>
      <c r="F739" s="29"/>
      <c r="G739" s="29"/>
      <c r="H739" s="27"/>
      <c r="I739" s="33"/>
      <c r="J739" s="5"/>
      <c r="K739" s="5"/>
      <c r="L739" s="5"/>
      <c r="M739" s="5"/>
    </row>
    <row r="740" spans="1:13" x14ac:dyDescent="0.25">
      <c r="A740" s="29"/>
      <c r="B740" s="74"/>
      <c r="C740" s="75"/>
      <c r="D740" s="29"/>
      <c r="E740" s="29"/>
      <c r="F740" s="29"/>
      <c r="G740" s="29"/>
      <c r="H740" s="27"/>
      <c r="I740" s="33"/>
      <c r="J740" s="5"/>
      <c r="K740" s="5"/>
      <c r="L740" s="5"/>
      <c r="M740" s="5"/>
    </row>
    <row r="741" spans="1:13" x14ac:dyDescent="0.25">
      <c r="A741" s="29"/>
      <c r="B741" s="74"/>
      <c r="C741" s="75"/>
      <c r="D741" s="29"/>
      <c r="E741" s="29"/>
      <c r="F741" s="29"/>
      <c r="G741" s="29"/>
      <c r="H741" s="27"/>
      <c r="I741" s="33"/>
      <c r="J741" s="5"/>
      <c r="K741" s="5"/>
      <c r="L741" s="5"/>
      <c r="M741" s="5"/>
    </row>
    <row r="742" spans="1:13" x14ac:dyDescent="0.25">
      <c r="A742" s="29"/>
      <c r="B742" s="74"/>
      <c r="C742" s="75"/>
      <c r="D742" s="29"/>
      <c r="E742" s="29"/>
      <c r="F742" s="29"/>
      <c r="G742" s="29"/>
      <c r="H742" s="27"/>
      <c r="I742" s="33"/>
      <c r="J742" s="5"/>
      <c r="K742" s="5"/>
      <c r="L742" s="5"/>
      <c r="M742" s="5"/>
    </row>
    <row r="743" spans="1:13" x14ac:dyDescent="0.25">
      <c r="A743" s="29"/>
      <c r="B743" s="74"/>
      <c r="C743" s="75"/>
      <c r="D743" s="29"/>
      <c r="E743" s="29"/>
      <c r="F743" s="29"/>
      <c r="G743" s="29"/>
      <c r="H743" s="27"/>
      <c r="I743" s="33"/>
      <c r="J743" s="5"/>
      <c r="K743" s="5"/>
      <c r="L743" s="5"/>
      <c r="M743" s="5"/>
    </row>
    <row r="744" spans="1:13" x14ac:dyDescent="0.25">
      <c r="A744" s="29"/>
      <c r="B744" s="74"/>
      <c r="C744" s="75"/>
      <c r="D744" s="29"/>
      <c r="E744" s="29"/>
      <c r="F744" s="29"/>
      <c r="G744" s="29"/>
      <c r="H744" s="27"/>
      <c r="I744" s="33"/>
      <c r="J744" s="5"/>
      <c r="K744" s="5"/>
      <c r="L744" s="5"/>
      <c r="M744" s="5"/>
    </row>
    <row r="745" spans="1:13" x14ac:dyDescent="0.25">
      <c r="A745" s="29"/>
      <c r="B745" s="74"/>
      <c r="C745" s="75"/>
      <c r="D745" s="29"/>
      <c r="E745" s="29"/>
      <c r="F745" s="29"/>
      <c r="G745" s="29"/>
      <c r="H745" s="27"/>
      <c r="I745" s="33"/>
      <c r="J745" s="5"/>
      <c r="K745" s="5"/>
      <c r="L745" s="5"/>
      <c r="M745" s="5"/>
    </row>
    <row r="746" spans="1:13" x14ac:dyDescent="0.25">
      <c r="A746" s="29"/>
      <c r="B746" s="74"/>
      <c r="C746" s="75"/>
      <c r="D746" s="29"/>
      <c r="E746" s="29"/>
      <c r="F746" s="29"/>
      <c r="G746" s="29"/>
      <c r="H746" s="27"/>
      <c r="I746" s="33"/>
      <c r="J746" s="5"/>
      <c r="K746" s="5"/>
      <c r="L746" s="5"/>
      <c r="M746" s="5"/>
    </row>
    <row r="747" spans="1:13" x14ac:dyDescent="0.25">
      <c r="A747" s="29"/>
      <c r="B747" s="74"/>
      <c r="C747" s="75"/>
      <c r="D747" s="29"/>
      <c r="E747" s="29"/>
      <c r="F747" s="29"/>
      <c r="G747" s="29"/>
      <c r="H747" s="27"/>
      <c r="I747" s="33"/>
      <c r="J747" s="5"/>
      <c r="K747" s="5"/>
      <c r="L747" s="5"/>
      <c r="M747" s="5"/>
    </row>
    <row r="748" spans="1:13" x14ac:dyDescent="0.25">
      <c r="A748" s="29"/>
      <c r="B748" s="74"/>
      <c r="C748" s="75"/>
      <c r="D748" s="29"/>
      <c r="E748" s="29"/>
      <c r="F748" s="29"/>
      <c r="G748" s="29"/>
      <c r="H748" s="27"/>
      <c r="I748" s="33"/>
      <c r="J748" s="5"/>
      <c r="K748" s="5"/>
      <c r="L748" s="5"/>
      <c r="M748" s="5"/>
    </row>
    <row r="749" spans="1:13" x14ac:dyDescent="0.25">
      <c r="A749" s="29"/>
      <c r="B749" s="74"/>
      <c r="C749" s="75"/>
      <c r="D749" s="29"/>
      <c r="E749" s="29"/>
      <c r="F749" s="29"/>
      <c r="G749" s="29"/>
      <c r="H749" s="27"/>
      <c r="I749" s="33"/>
      <c r="J749" s="5"/>
      <c r="K749" s="5"/>
      <c r="L749" s="5"/>
      <c r="M749" s="5"/>
    </row>
    <row r="750" spans="1:13" x14ac:dyDescent="0.25">
      <c r="A750" s="29"/>
      <c r="B750" s="74"/>
      <c r="C750" s="75"/>
      <c r="D750" s="29"/>
      <c r="E750" s="29"/>
      <c r="F750" s="29"/>
      <c r="G750" s="29"/>
      <c r="H750" s="27"/>
      <c r="I750" s="33"/>
      <c r="J750" s="5"/>
      <c r="K750" s="5"/>
      <c r="L750" s="5"/>
      <c r="M750" s="5"/>
    </row>
    <row r="751" spans="1:13" x14ac:dyDescent="0.25">
      <c r="A751" s="29"/>
      <c r="B751" s="74"/>
      <c r="C751" s="75"/>
      <c r="D751" s="29"/>
      <c r="E751" s="29"/>
      <c r="F751" s="29"/>
      <c r="G751" s="29"/>
      <c r="H751" s="27"/>
      <c r="I751" s="33"/>
      <c r="J751" s="5"/>
      <c r="K751" s="5"/>
      <c r="L751" s="5"/>
      <c r="M751" s="5"/>
    </row>
    <row r="752" spans="1:13" x14ac:dyDescent="0.25">
      <c r="A752" s="29"/>
      <c r="B752" s="74"/>
      <c r="C752" s="75"/>
      <c r="D752" s="29"/>
      <c r="E752" s="29"/>
      <c r="F752" s="29"/>
      <c r="G752" s="29"/>
      <c r="H752" s="27"/>
      <c r="I752" s="33"/>
      <c r="J752" s="5"/>
      <c r="K752" s="5"/>
      <c r="L752" s="5"/>
      <c r="M752" s="5"/>
    </row>
    <row r="753" spans="1:13" x14ac:dyDescent="0.25">
      <c r="A753" s="29"/>
      <c r="B753" s="74"/>
      <c r="C753" s="75"/>
      <c r="D753" s="29"/>
      <c r="E753" s="29"/>
      <c r="F753" s="29"/>
      <c r="G753" s="29"/>
      <c r="H753" s="27"/>
      <c r="I753" s="33"/>
      <c r="J753" s="5"/>
      <c r="K753" s="5"/>
      <c r="L753" s="5"/>
      <c r="M753" s="5"/>
    </row>
    <row r="754" spans="1:13" x14ac:dyDescent="0.25">
      <c r="A754" s="29"/>
      <c r="B754" s="74"/>
      <c r="C754" s="75"/>
      <c r="D754" s="29"/>
      <c r="E754" s="29"/>
      <c r="F754" s="29"/>
      <c r="G754" s="29"/>
      <c r="H754" s="27"/>
      <c r="I754" s="33"/>
      <c r="J754" s="5"/>
      <c r="K754" s="5"/>
      <c r="L754" s="5"/>
      <c r="M754" s="5"/>
    </row>
    <row r="755" spans="1:13" x14ac:dyDescent="0.25">
      <c r="A755" s="29"/>
      <c r="B755" s="74"/>
      <c r="C755" s="75"/>
      <c r="D755" s="29"/>
      <c r="E755" s="29"/>
      <c r="F755" s="29"/>
      <c r="G755" s="29"/>
      <c r="H755" s="27"/>
      <c r="I755" s="33"/>
      <c r="J755" s="5"/>
      <c r="K755" s="5"/>
      <c r="L755" s="5"/>
      <c r="M755" s="5"/>
    </row>
    <row r="756" spans="1:13" x14ac:dyDescent="0.25">
      <c r="A756" s="29"/>
      <c r="B756" s="74"/>
      <c r="C756" s="75"/>
      <c r="D756" s="29"/>
      <c r="E756" s="29"/>
      <c r="F756" s="29"/>
      <c r="G756" s="29"/>
      <c r="H756" s="27"/>
      <c r="I756" s="33"/>
      <c r="J756" s="5"/>
      <c r="K756" s="5"/>
      <c r="L756" s="5"/>
      <c r="M756" s="5"/>
    </row>
    <row r="757" spans="1:13" x14ac:dyDescent="0.25">
      <c r="A757" s="29"/>
      <c r="B757" s="74"/>
      <c r="C757" s="75"/>
      <c r="D757" s="29"/>
      <c r="E757" s="29"/>
      <c r="F757" s="29"/>
      <c r="G757" s="29"/>
      <c r="H757" s="27"/>
      <c r="I757" s="33"/>
      <c r="J757" s="5"/>
      <c r="K757" s="5"/>
      <c r="L757" s="5"/>
      <c r="M757" s="5"/>
    </row>
    <row r="758" spans="1:13" x14ac:dyDescent="0.25">
      <c r="A758" s="29"/>
      <c r="B758" s="74"/>
      <c r="C758" s="75"/>
      <c r="D758" s="29"/>
      <c r="E758" s="29"/>
      <c r="F758" s="29"/>
      <c r="G758" s="29"/>
      <c r="H758" s="27"/>
      <c r="I758" s="33"/>
      <c r="J758" s="5"/>
      <c r="K758" s="5"/>
      <c r="L758" s="5"/>
      <c r="M758" s="5"/>
    </row>
    <row r="759" spans="1:13" x14ac:dyDescent="0.25">
      <c r="A759" s="29"/>
      <c r="B759" s="74"/>
      <c r="C759" s="75"/>
      <c r="D759" s="29"/>
      <c r="E759" s="29"/>
      <c r="F759" s="29"/>
      <c r="G759" s="29"/>
      <c r="H759" s="27"/>
      <c r="I759" s="33"/>
      <c r="J759" s="5"/>
      <c r="K759" s="5"/>
      <c r="L759" s="5"/>
      <c r="M759" s="5"/>
    </row>
  </sheetData>
  <sheetProtection algorithmName="SHA-512" hashValue="K05o4jt/JvTmbx6ej7fIg2Y8mtLh22MIzlIYXbhpJ2/4nOMZ7YWkxPuKiRSbeLAlJoTkIM3Y0lh0C+ATgrZvlQ==" saltValue="LngzU6fG7rMokD4RYhashw==" spinCount="100000" sheet="1" objects="1" scenarios="1"/>
  <phoneticPr fontId="6" type="noConversion"/>
  <hyperlinks>
    <hyperlink ref="H2:I2" location="Instructions!A1" display="Return to Menu"/>
  </hyperlinks>
  <pageMargins left="0.75" right="0.75" top="1" bottom="1" header="0.5" footer="0.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tint="-0.249977111117893"/>
  </sheetPr>
  <dimension ref="A1:X206"/>
  <sheetViews>
    <sheetView topLeftCell="B1" zoomScaleNormal="100" workbookViewId="0">
      <selection activeCell="P15" sqref="P15"/>
    </sheetView>
  </sheetViews>
  <sheetFormatPr defaultRowHeight="13.2" x14ac:dyDescent="0.25"/>
  <cols>
    <col min="2" max="2" width="11.109375" customWidth="1"/>
    <col min="13" max="13" width="9.109375" customWidth="1"/>
    <col min="14" max="15" width="10" customWidth="1"/>
    <col min="16" max="16" width="10.6640625" customWidth="1"/>
    <col min="17" max="17" width="10" style="2" customWidth="1"/>
    <col min="18" max="18" width="10" customWidth="1"/>
    <col min="19" max="20" width="11" customWidth="1"/>
    <col min="21" max="21" width="11.33203125" customWidth="1"/>
  </cols>
  <sheetData>
    <row r="1" spans="1:24" ht="15.6" x14ac:dyDescent="0.3">
      <c r="A1" s="379" t="s">
        <v>757</v>
      </c>
      <c r="N1" s="398" t="s">
        <v>729</v>
      </c>
      <c r="P1" s="395" t="s">
        <v>730</v>
      </c>
      <c r="Q1" s="396" t="s">
        <v>731</v>
      </c>
    </row>
    <row r="2" spans="1:24" ht="16.8" x14ac:dyDescent="0.3">
      <c r="A2" s="80" t="s">
        <v>94</v>
      </c>
      <c r="B2" s="81" t="str">
        <f>Weather_Site!D2</f>
        <v>Nicholson Street Melbourne</v>
      </c>
      <c r="C2" s="81"/>
      <c r="D2" s="81"/>
      <c r="E2" s="81"/>
      <c r="H2" s="170" t="s">
        <v>202</v>
      </c>
      <c r="I2" s="169"/>
      <c r="J2" s="391"/>
      <c r="K2" s="391"/>
      <c r="L2" s="391"/>
      <c r="P2" s="395" t="s">
        <v>732</v>
      </c>
      <c r="Q2" s="396" t="s">
        <v>733</v>
      </c>
    </row>
    <row r="3" spans="1:24" x14ac:dyDescent="0.25">
      <c r="F3" s="393" t="s">
        <v>719</v>
      </c>
      <c r="M3" s="392"/>
      <c r="P3" s="395" t="s">
        <v>663</v>
      </c>
      <c r="Q3" s="397" t="s">
        <v>741</v>
      </c>
    </row>
    <row r="4" spans="1:24" x14ac:dyDescent="0.25">
      <c r="A4" s="380" t="s">
        <v>717</v>
      </c>
      <c r="B4" s="381"/>
      <c r="C4" s="381"/>
      <c r="D4" s="382"/>
      <c r="E4" s="418">
        <v>20</v>
      </c>
      <c r="F4" s="394" t="s">
        <v>722</v>
      </c>
      <c r="P4" s="395" t="s">
        <v>734</v>
      </c>
      <c r="Q4" s="396" t="s">
        <v>735</v>
      </c>
    </row>
    <row r="5" spans="1:24" x14ac:dyDescent="0.25">
      <c r="A5" s="380" t="s">
        <v>718</v>
      </c>
      <c r="B5" s="381"/>
      <c r="C5" s="381"/>
      <c r="D5" s="382"/>
      <c r="E5" s="418">
        <v>3</v>
      </c>
      <c r="F5" s="394" t="s">
        <v>720</v>
      </c>
      <c r="P5" s="395" t="s">
        <v>736</v>
      </c>
      <c r="Q5" s="396" t="s">
        <v>737</v>
      </c>
    </row>
    <row r="6" spans="1:24" ht="15" x14ac:dyDescent="0.25">
      <c r="A6" s="380" t="s">
        <v>750</v>
      </c>
      <c r="B6" s="381"/>
      <c r="C6" s="648"/>
      <c r="D6" s="647"/>
      <c r="E6" s="418">
        <v>8</v>
      </c>
      <c r="F6" s="401" t="s">
        <v>751</v>
      </c>
      <c r="H6" s="408"/>
      <c r="I6" s="390"/>
      <c r="J6" s="38"/>
      <c r="K6" s="38"/>
      <c r="L6" s="38"/>
      <c r="P6" s="395" t="s">
        <v>738</v>
      </c>
      <c r="Q6" s="396" t="s">
        <v>739</v>
      </c>
    </row>
    <row r="7" spans="1:24" x14ac:dyDescent="0.25">
      <c r="A7" s="400" t="s">
        <v>89</v>
      </c>
      <c r="B7" s="400"/>
      <c r="C7" s="649" t="s">
        <v>1046</v>
      </c>
      <c r="D7" s="650"/>
      <c r="H7" s="38"/>
      <c r="I7" s="38"/>
      <c r="J7" s="38"/>
      <c r="P7" s="395" t="s">
        <v>740</v>
      </c>
      <c r="Q7" s="396" t="s">
        <v>742</v>
      </c>
    </row>
    <row r="8" spans="1:24" ht="15" x14ac:dyDescent="0.25">
      <c r="H8" s="390"/>
      <c r="I8" s="390"/>
      <c r="J8" s="390"/>
      <c r="K8" s="390"/>
      <c r="L8" s="390"/>
      <c r="P8" s="395" t="s">
        <v>743</v>
      </c>
      <c r="Q8" s="396" t="s">
        <v>744</v>
      </c>
    </row>
    <row r="9" spans="1:24" x14ac:dyDescent="0.25">
      <c r="P9" s="395" t="s">
        <v>745</v>
      </c>
      <c r="Q9" s="396" t="s">
        <v>746</v>
      </c>
    </row>
    <row r="10" spans="1:24" ht="66" x14ac:dyDescent="0.25">
      <c r="A10" s="26" t="s">
        <v>28</v>
      </c>
      <c r="B10" s="26" t="s">
        <v>32</v>
      </c>
      <c r="C10" s="26" t="s">
        <v>27</v>
      </c>
      <c r="D10" s="26" t="s">
        <v>18</v>
      </c>
      <c r="E10" s="26" t="s">
        <v>19</v>
      </c>
      <c r="F10" s="26" t="s">
        <v>24</v>
      </c>
      <c r="G10" s="26" t="s">
        <v>20</v>
      </c>
      <c r="H10" s="387" t="s">
        <v>721</v>
      </c>
      <c r="I10" s="57" t="s">
        <v>113</v>
      </c>
      <c r="J10" s="57" t="s">
        <v>725</v>
      </c>
      <c r="K10" s="57" t="s">
        <v>726</v>
      </c>
      <c r="L10" s="57" t="s">
        <v>1055</v>
      </c>
      <c r="M10" s="387" t="s">
        <v>727</v>
      </c>
      <c r="N10" s="386" t="s">
        <v>723</v>
      </c>
      <c r="O10" s="388" t="s">
        <v>724</v>
      </c>
      <c r="P10" s="388" t="s">
        <v>728</v>
      </c>
      <c r="Q10" s="388" t="s">
        <v>747</v>
      </c>
      <c r="R10" s="388" t="s">
        <v>748</v>
      </c>
      <c r="S10" s="388" t="s">
        <v>749</v>
      </c>
      <c r="T10" s="388" t="s">
        <v>1057</v>
      </c>
      <c r="U10" s="388" t="s">
        <v>752</v>
      </c>
      <c r="V10" s="388" t="s">
        <v>43</v>
      </c>
      <c r="W10" s="409"/>
      <c r="X10" s="34"/>
    </row>
    <row r="11" spans="1:24" x14ac:dyDescent="0.25">
      <c r="A11" s="29" t="str">
        <f>Weather_Site!A12</f>
        <v>Sun</v>
      </c>
      <c r="B11" s="74">
        <f>Weather_Site!B12</f>
        <v>44549</v>
      </c>
      <c r="C11" s="75">
        <f>Weather_Site!C12</f>
        <v>0.16666666666666666</v>
      </c>
      <c r="D11" s="29">
        <f>Weather_Site!D12</f>
        <v>23.9</v>
      </c>
      <c r="E11" s="29">
        <f>Weather_Site!E12</f>
        <v>24.2</v>
      </c>
      <c r="F11" s="29">
        <f>Weather_Site!F12</f>
        <v>36</v>
      </c>
      <c r="G11" s="29">
        <f>Weather_Site!G12</f>
        <v>16</v>
      </c>
      <c r="H11" s="419"/>
      <c r="I11" s="27">
        <f>IF(Weather_Site!M12&lt;180,Weather_Site!M12+180,Weather_Site!M12-180)</f>
        <v>216</v>
      </c>
      <c r="J11" s="389">
        <f>'Forest(McArthur)'!U9</f>
        <v>4.7422908561024055</v>
      </c>
      <c r="K11" s="389">
        <f>'Forest(VESTA)'!J14</f>
        <v>5.1555860882510895</v>
      </c>
      <c r="L11" s="389">
        <f>4.74+0.108*E11-0.1*(D11-25)-(1.68+0.028*E11)</f>
        <v>5.1060000000000008</v>
      </c>
      <c r="M11" s="420"/>
      <c r="N11" s="31">
        <f>IF(H11&gt;0,1/(1+EXP(-(16.626+0.7536*H11-2.2569*IF(M11="",L11,M11)-34.106*$E$4/100))),0)</f>
        <v>0</v>
      </c>
      <c r="O11" s="31">
        <f>1/(1+EXP(-(14.626+0.2066*G11-1.8719*IF(M11="",L11,M11)-30.442*$E$4/100)))</f>
        <v>0.90765045807571021</v>
      </c>
      <c r="P11" s="31">
        <f>1/(1+EXP(-(-11.138+1.4054*G11-3.4217*IF(M11="",L11,M11))))</f>
        <v>2.1875127550793644E-3</v>
      </c>
      <c r="Q11" s="399">
        <f>IF(H11&gt;0,(4.0276+H11*EXP(-0.1246*IF(M11="",L11,M11)))*60,0)</f>
        <v>0</v>
      </c>
      <c r="R11" s="399">
        <f>O11*(3.337*G11*EXP(-0.1284*IF(M11="",L11,M11))*$E$5^-0.7073)*60</f>
        <v>693.98523141154055</v>
      </c>
      <c r="S11" s="322">
        <f>(9.5751*G11*EXP(-0.1795*IF(M11="",L11,M11))*($E$4/100)^0.3589)*60</f>
        <v>2063.0587622858911</v>
      </c>
      <c r="T11" s="322">
        <f>(S11*P11)+(MAX(Q11,R11)*(1-P11))</f>
        <v>696.98009722296968</v>
      </c>
      <c r="U11" s="402">
        <f>18600*$E$6/10*T11/3600</f>
        <v>2880.8510685216083</v>
      </c>
      <c r="V11" s="403">
        <f>0.01589*U11^0.633</f>
        <v>2.460370822636913</v>
      </c>
      <c r="W11" s="406"/>
    </row>
    <row r="12" spans="1:24" x14ac:dyDescent="0.25">
      <c r="A12" s="29" t="str">
        <f>Weather_Site!A13</f>
        <v>Sun</v>
      </c>
      <c r="B12" s="74">
        <f>Weather_Site!B13</f>
        <v>44549</v>
      </c>
      <c r="C12" s="75">
        <f>Weather_Site!C13</f>
        <v>0.20833333333333334</v>
      </c>
      <c r="D12" s="29">
        <f>Weather_Site!D13</f>
        <v>23.6</v>
      </c>
      <c r="E12" s="29">
        <f>Weather_Site!E13</f>
        <v>24.4</v>
      </c>
      <c r="F12" s="29">
        <f>Weather_Site!F13</f>
        <v>312</v>
      </c>
      <c r="G12" s="29">
        <f>Weather_Site!G13</f>
        <v>13</v>
      </c>
      <c r="H12" s="419"/>
      <c r="I12" s="27">
        <f>IF(Weather_Site!M13&lt;180,Weather_Site!M13+180,Weather_Site!M13-180)</f>
        <v>132</v>
      </c>
      <c r="J12" s="389">
        <f>'Forest(McArthur)'!U10</f>
        <v>4.771401334290938</v>
      </c>
      <c r="K12" s="389">
        <f>'Forest(VESTA)'!J15</f>
        <v>5.1898227944031854</v>
      </c>
      <c r="L12" s="389">
        <f t="shared" ref="L12:L15" si="0">4.74+0.108*E12-0.1*(D12-25)-(1.68+0.028*E12)</f>
        <v>5.1519999999999992</v>
      </c>
      <c r="M12" s="420"/>
      <c r="N12" s="31">
        <f t="shared" ref="N12:N15" si="1">IF(H12&gt;0,1/(1+EXP(-(16.626+0.7536*H12-2.2569*IF(M12="",L12,M12)-34.106*$E$4/100))),0)</f>
        <v>0</v>
      </c>
      <c r="O12" s="31">
        <f t="shared" ref="O12:O15" si="2">1/(1+EXP(-(14.626+0.2066*G12-1.8719*IF(M12="",L12,M12)-30.442*$E$4/100)))</f>
        <v>0.82911544612884558</v>
      </c>
      <c r="P12" s="31">
        <f t="shared" ref="P12:P15" si="3">1/(1+EXP(-(-11.138+1.4054*G12-3.4217*IF(M12="",L12,M12))))</f>
        <v>2.7635039718638892E-5</v>
      </c>
      <c r="Q12" s="399">
        <f t="shared" ref="Q12:Q15" si="4">IF(H12&gt;0,(4.0276+H12*EXP(-0.1246*IF(M12="",L12,M12)))*60,0)</f>
        <v>0</v>
      </c>
      <c r="R12" s="399">
        <f t="shared" ref="R12:R15" si="5">O12*(3.337*G12*EXP(-0.1284*IF(M12="",L12,M12))*$E$5^-0.7073)*60</f>
        <v>512.04114013590367</v>
      </c>
      <c r="S12" s="322">
        <f t="shared" ref="S12:S15" si="6">(9.5751*G12*EXP(-0.1795*IF(M12="",L12,M12))*($E$4/100)^0.3589)*60</f>
        <v>1662.4515542213583</v>
      </c>
      <c r="T12" s="322">
        <f t="shared" ref="T12:T15" si="7">(S12*P12)+(MAX(Q12,R12)*(1-P12))</f>
        <v>512.07293177338966</v>
      </c>
      <c r="U12" s="402">
        <f t="shared" ref="U12:U15" si="8">18600*$E$6/10*T12/3600</f>
        <v>2116.5681179966773</v>
      </c>
      <c r="V12" s="403">
        <f t="shared" ref="V12:V15" si="9">0.01589*U12^0.633</f>
        <v>2.0241799161106675</v>
      </c>
      <c r="W12" s="406"/>
    </row>
    <row r="13" spans="1:24" x14ac:dyDescent="0.25">
      <c r="A13" s="29" t="str">
        <f>Weather_Site!A14</f>
        <v>Sun</v>
      </c>
      <c r="B13" s="74">
        <f>Weather_Site!B14</f>
        <v>44549</v>
      </c>
      <c r="C13" s="75">
        <f>Weather_Site!C14</f>
        <v>0.25</v>
      </c>
      <c r="D13" s="29">
        <f>Weather_Site!D14</f>
        <v>22.7</v>
      </c>
      <c r="E13" s="29">
        <f>Weather_Site!E14</f>
        <v>27.3</v>
      </c>
      <c r="F13" s="29">
        <f>Weather_Site!F14</f>
        <v>336</v>
      </c>
      <c r="G13" s="29">
        <f>Weather_Site!G14</f>
        <v>16</v>
      </c>
      <c r="H13" s="419"/>
      <c r="I13" s="27">
        <f>IF(Weather_Site!M14&lt;180,Weather_Site!M14+180,Weather_Site!M14-180)</f>
        <v>156</v>
      </c>
      <c r="J13" s="389">
        <f>'Forest(McArthur)'!U11</f>
        <v>5.0764317746832441</v>
      </c>
      <c r="K13" s="389">
        <f>'Forest(VESTA)'!J16</f>
        <v>5.6107471720050883</v>
      </c>
      <c r="L13" s="389">
        <f t="shared" si="0"/>
        <v>5.4740000000000002</v>
      </c>
      <c r="M13" s="420"/>
      <c r="N13" s="31">
        <f t="shared" si="1"/>
        <v>0</v>
      </c>
      <c r="O13" s="31">
        <f t="shared" si="2"/>
        <v>0.83151735179485431</v>
      </c>
      <c r="P13" s="31">
        <f t="shared" si="3"/>
        <v>6.2197667235544746E-4</v>
      </c>
      <c r="Q13" s="399">
        <f t="shared" si="4"/>
        <v>0</v>
      </c>
      <c r="R13" s="399">
        <f t="shared" si="5"/>
        <v>606.43181598942044</v>
      </c>
      <c r="S13" s="322">
        <f t="shared" si="6"/>
        <v>1931.1848328442959</v>
      </c>
      <c r="T13" s="322">
        <f t="shared" si="7"/>
        <v>607.25578146253667</v>
      </c>
      <c r="U13" s="402">
        <f t="shared" si="8"/>
        <v>2509.9905633784851</v>
      </c>
      <c r="V13" s="403">
        <f t="shared" si="9"/>
        <v>2.2548431095706087</v>
      </c>
      <c r="W13" s="406"/>
    </row>
    <row r="14" spans="1:24" x14ac:dyDescent="0.25">
      <c r="A14" s="29" t="str">
        <f>Weather_Site!A15</f>
        <v>Sun</v>
      </c>
      <c r="B14" s="74">
        <f>Weather_Site!B15</f>
        <v>44549</v>
      </c>
      <c r="C14" s="75">
        <f>Weather_Site!C15</f>
        <v>0.29166666666666669</v>
      </c>
      <c r="D14" s="29">
        <f>Weather_Site!D15</f>
        <v>23</v>
      </c>
      <c r="E14" s="29">
        <f>Weather_Site!E15</f>
        <v>28.2</v>
      </c>
      <c r="F14" s="29">
        <f>Weather_Site!F15</f>
        <v>2</v>
      </c>
      <c r="G14" s="29">
        <f>Weather_Site!G15</f>
        <v>25</v>
      </c>
      <c r="H14" s="419"/>
      <c r="I14" s="27">
        <f>IF(Weather_Site!M15&lt;180,Weather_Site!M15+180,Weather_Site!M15-180)</f>
        <v>182</v>
      </c>
      <c r="J14" s="389">
        <f>'Forest(McArthur)'!U12</f>
        <v>5.1488511397470536</v>
      </c>
      <c r="K14" s="389">
        <f>'Forest(VESTA)'!J17</f>
        <v>5.7265079723032581</v>
      </c>
      <c r="L14" s="389">
        <f t="shared" si="0"/>
        <v>5.5160000000000009</v>
      </c>
      <c r="M14" s="420"/>
      <c r="N14" s="31">
        <f t="shared" si="1"/>
        <v>0</v>
      </c>
      <c r="O14" s="31">
        <f t="shared" si="2"/>
        <v>0.96698431744305291</v>
      </c>
      <c r="P14" s="31">
        <f t="shared" si="3"/>
        <v>0.99407659494957656</v>
      </c>
      <c r="Q14" s="399">
        <f t="shared" si="4"/>
        <v>0</v>
      </c>
      <c r="R14" s="399">
        <f t="shared" si="5"/>
        <v>1095.9936938246531</v>
      </c>
      <c r="S14" s="322">
        <f t="shared" si="6"/>
        <v>2994.8130838233515</v>
      </c>
      <c r="T14" s="322">
        <f t="shared" si="7"/>
        <v>2983.565607458791</v>
      </c>
      <c r="U14" s="402">
        <f t="shared" si="8"/>
        <v>12332.071177496337</v>
      </c>
      <c r="V14" s="403">
        <f t="shared" si="9"/>
        <v>6.1766031640623069</v>
      </c>
      <c r="W14" s="406"/>
    </row>
    <row r="15" spans="1:24" x14ac:dyDescent="0.25">
      <c r="A15" s="29" t="str">
        <f>Weather_Site!A16</f>
        <v>Sun</v>
      </c>
      <c r="B15" s="74">
        <f>Weather_Site!B16</f>
        <v>44549</v>
      </c>
      <c r="C15" s="75">
        <f>Weather_Site!C16</f>
        <v>0.33333333333333331</v>
      </c>
      <c r="D15" s="29">
        <f>Weather_Site!D16</f>
        <v>25.3</v>
      </c>
      <c r="E15" s="29">
        <f>Weather_Site!E16</f>
        <v>26</v>
      </c>
      <c r="F15" s="29">
        <f>Weather_Site!F16</f>
        <v>0</v>
      </c>
      <c r="G15" s="29">
        <f>Weather_Site!G16</f>
        <v>32</v>
      </c>
      <c r="H15" s="419"/>
      <c r="I15" s="27">
        <f>IF(Weather_Site!M16&lt;180,Weather_Site!M16+180,Weather_Site!M16-180)</f>
        <v>180</v>
      </c>
      <c r="J15" s="389">
        <f>'Forest(McArthur)'!U13</f>
        <v>4.8436693038426819</v>
      </c>
      <c r="K15" s="389">
        <f>'Forest(VESTA)'!J18</f>
        <v>5.3696737495995741</v>
      </c>
      <c r="L15" s="389">
        <f t="shared" si="0"/>
        <v>5.1099999999999994</v>
      </c>
      <c r="M15" s="420"/>
      <c r="N15" s="31">
        <f t="shared" si="1"/>
        <v>0</v>
      </c>
      <c r="O15" s="31">
        <f t="shared" si="2"/>
        <v>0.99625428868970112</v>
      </c>
      <c r="P15" s="31">
        <f t="shared" si="3"/>
        <v>0.99999992069090948</v>
      </c>
      <c r="Q15" s="399">
        <f t="shared" si="4"/>
        <v>0</v>
      </c>
      <c r="R15" s="399">
        <f t="shared" si="5"/>
        <v>1522.6803498588129</v>
      </c>
      <c r="S15" s="322">
        <f t="shared" si="6"/>
        <v>4123.1560354909479</v>
      </c>
      <c r="T15" s="322">
        <f t="shared" si="7"/>
        <v>4123.1558292495865</v>
      </c>
      <c r="U15" s="402">
        <f t="shared" si="8"/>
        <v>17042.377427564956</v>
      </c>
      <c r="V15" s="403">
        <f t="shared" si="9"/>
        <v>7.5802320486193713</v>
      </c>
      <c r="W15" s="406"/>
    </row>
    <row r="16" spans="1:24" x14ac:dyDescent="0.25">
      <c r="A16" s="383"/>
      <c r="B16" s="384"/>
      <c r="C16" s="385"/>
      <c r="D16" s="383"/>
      <c r="E16" s="383"/>
      <c r="F16" s="383"/>
      <c r="G16" s="383"/>
      <c r="H16" s="419"/>
      <c r="I16" s="413"/>
      <c r="J16" s="414"/>
      <c r="K16" s="414"/>
      <c r="L16" s="414"/>
      <c r="M16" s="420"/>
      <c r="N16" s="31"/>
      <c r="O16" s="31"/>
      <c r="P16" s="31"/>
      <c r="Q16" s="415"/>
      <c r="R16" s="415"/>
      <c r="S16" s="416"/>
      <c r="T16" s="416"/>
      <c r="U16" s="417"/>
      <c r="V16" s="403"/>
      <c r="W16" s="407"/>
    </row>
    <row r="17" spans="1:23" x14ac:dyDescent="0.25">
      <c r="A17" s="383"/>
      <c r="B17" s="384"/>
      <c r="C17" s="385"/>
      <c r="D17" s="383"/>
      <c r="E17" s="383"/>
      <c r="F17" s="383"/>
      <c r="G17" s="383"/>
      <c r="H17" s="419"/>
      <c r="I17" s="413"/>
      <c r="J17" s="414"/>
      <c r="K17" s="414"/>
      <c r="L17" s="414"/>
      <c r="M17" s="420"/>
      <c r="N17" s="31"/>
      <c r="O17" s="31"/>
      <c r="P17" s="31"/>
      <c r="Q17" s="415"/>
      <c r="R17" s="415"/>
      <c r="S17" s="416"/>
      <c r="T17" s="416"/>
      <c r="U17" s="417"/>
      <c r="V17" s="403"/>
      <c r="W17" s="404"/>
    </row>
    <row r="18" spans="1:23" x14ac:dyDescent="0.25">
      <c r="A18" s="383"/>
      <c r="B18" s="384"/>
      <c r="C18" s="385"/>
      <c r="D18" s="383"/>
      <c r="E18" s="383"/>
      <c r="F18" s="383"/>
      <c r="G18" s="383"/>
      <c r="H18" s="419"/>
      <c r="I18" s="413"/>
      <c r="J18" s="414"/>
      <c r="K18" s="414"/>
      <c r="L18" s="414"/>
      <c r="M18" s="420"/>
      <c r="N18" s="31"/>
      <c r="O18" s="31"/>
      <c r="P18" s="31"/>
      <c r="Q18" s="415"/>
      <c r="R18" s="415"/>
      <c r="S18" s="416"/>
      <c r="T18" s="416"/>
      <c r="U18" s="417"/>
      <c r="V18" s="403"/>
      <c r="W18" s="404"/>
    </row>
    <row r="19" spans="1:23" x14ac:dyDescent="0.25">
      <c r="A19" s="383"/>
      <c r="B19" s="384"/>
      <c r="C19" s="385"/>
      <c r="D19" s="383"/>
      <c r="E19" s="383"/>
      <c r="F19" s="383"/>
      <c r="G19" s="383"/>
      <c r="H19" s="419"/>
      <c r="I19" s="413"/>
      <c r="J19" s="414"/>
      <c r="K19" s="414"/>
      <c r="L19" s="414"/>
      <c r="M19" s="420"/>
      <c r="N19" s="31"/>
      <c r="O19" s="31"/>
      <c r="P19" s="31"/>
      <c r="Q19" s="415"/>
      <c r="R19" s="415"/>
      <c r="S19" s="416"/>
      <c r="T19" s="416"/>
      <c r="U19" s="417"/>
      <c r="V19" s="403"/>
      <c r="W19" s="404"/>
    </row>
    <row r="20" spans="1:23" x14ac:dyDescent="0.25">
      <c r="A20" s="383"/>
      <c r="B20" s="384"/>
      <c r="C20" s="385"/>
      <c r="D20" s="383"/>
      <c r="E20" s="383"/>
      <c r="F20" s="383"/>
      <c r="G20" s="383"/>
      <c r="H20" s="419"/>
      <c r="I20" s="413"/>
      <c r="J20" s="414"/>
      <c r="K20" s="414"/>
      <c r="L20" s="414"/>
      <c r="M20" s="420"/>
      <c r="N20" s="31"/>
      <c r="O20" s="31"/>
      <c r="P20" s="31"/>
      <c r="Q20" s="415"/>
      <c r="R20" s="415"/>
      <c r="S20" s="416"/>
      <c r="T20" s="416"/>
      <c r="U20" s="417"/>
      <c r="V20" s="403"/>
      <c r="W20" s="404"/>
    </row>
    <row r="21" spans="1:23" x14ac:dyDescent="0.25">
      <c r="A21" s="29"/>
      <c r="B21" s="74"/>
      <c r="C21" s="75"/>
      <c r="D21" s="29"/>
      <c r="E21" s="29"/>
      <c r="F21" s="29"/>
      <c r="G21" s="29"/>
      <c r="H21" s="419"/>
      <c r="I21" s="27"/>
      <c r="J21" s="389"/>
      <c r="K21" s="389"/>
      <c r="L21" s="389"/>
      <c r="M21" s="420"/>
      <c r="N21" s="31"/>
      <c r="O21" s="31"/>
      <c r="P21" s="31"/>
      <c r="Q21" s="399"/>
      <c r="R21" s="399"/>
      <c r="S21" s="322"/>
      <c r="T21" s="322"/>
      <c r="U21" s="402"/>
      <c r="V21" s="403"/>
      <c r="W21" s="404"/>
    </row>
    <row r="22" spans="1:23" x14ac:dyDescent="0.25">
      <c r="A22" s="29"/>
      <c r="B22" s="74"/>
      <c r="C22" s="75"/>
      <c r="D22" s="29"/>
      <c r="E22" s="29"/>
      <c r="F22" s="29"/>
      <c r="G22" s="29"/>
      <c r="H22" s="419"/>
      <c r="I22" s="27"/>
      <c r="J22" s="389"/>
      <c r="K22" s="389"/>
      <c r="L22" s="389"/>
      <c r="M22" s="420"/>
      <c r="N22" s="31"/>
      <c r="O22" s="31"/>
      <c r="P22" s="31"/>
      <c r="Q22" s="399"/>
      <c r="R22" s="399"/>
      <c r="S22" s="322"/>
      <c r="T22" s="322"/>
      <c r="U22" s="402"/>
      <c r="V22" s="403"/>
      <c r="W22" s="404"/>
    </row>
    <row r="23" spans="1:23" x14ac:dyDescent="0.25">
      <c r="A23" s="29"/>
      <c r="B23" s="74"/>
      <c r="C23" s="75"/>
      <c r="D23" s="29"/>
      <c r="E23" s="29"/>
      <c r="F23" s="29"/>
      <c r="G23" s="29"/>
      <c r="H23" s="419"/>
      <c r="I23" s="27"/>
      <c r="J23" s="389"/>
      <c r="K23" s="389"/>
      <c r="L23" s="389"/>
      <c r="M23" s="420"/>
      <c r="N23" s="31"/>
      <c r="O23" s="31"/>
      <c r="P23" s="31"/>
      <c r="Q23" s="399"/>
      <c r="R23" s="399"/>
      <c r="S23" s="322"/>
      <c r="T23" s="322"/>
      <c r="U23" s="402"/>
      <c r="V23" s="403"/>
      <c r="W23" s="404"/>
    </row>
    <row r="24" spans="1:23" x14ac:dyDescent="0.25">
      <c r="A24" s="29"/>
      <c r="B24" s="74"/>
      <c r="C24" s="75"/>
      <c r="D24" s="29"/>
      <c r="E24" s="29"/>
      <c r="F24" s="29"/>
      <c r="G24" s="29"/>
      <c r="H24" s="419"/>
      <c r="I24" s="27"/>
      <c r="J24" s="389"/>
      <c r="K24" s="389"/>
      <c r="L24" s="389"/>
      <c r="M24" s="420"/>
      <c r="N24" s="31"/>
      <c r="O24" s="31"/>
      <c r="P24" s="31"/>
      <c r="Q24" s="399"/>
      <c r="R24" s="399"/>
      <c r="S24" s="322"/>
      <c r="T24" s="322"/>
      <c r="U24" s="402"/>
      <c r="V24" s="403"/>
      <c r="W24" s="404"/>
    </row>
    <row r="25" spans="1:23" x14ac:dyDescent="0.25">
      <c r="A25" s="29"/>
      <c r="B25" s="74"/>
      <c r="C25" s="75"/>
      <c r="D25" s="29"/>
      <c r="E25" s="29"/>
      <c r="F25" s="29"/>
      <c r="G25" s="29"/>
      <c r="H25" s="419"/>
      <c r="I25" s="27"/>
      <c r="J25" s="389"/>
      <c r="K25" s="389"/>
      <c r="L25" s="389"/>
      <c r="M25" s="420"/>
      <c r="N25" s="31"/>
      <c r="O25" s="31"/>
      <c r="P25" s="31"/>
      <c r="Q25" s="399"/>
      <c r="R25" s="399"/>
      <c r="S25" s="322"/>
      <c r="T25" s="322"/>
      <c r="U25" s="402"/>
      <c r="V25" s="403"/>
      <c r="W25" s="404"/>
    </row>
    <row r="26" spans="1:23" x14ac:dyDescent="0.25">
      <c r="A26" s="383"/>
      <c r="B26" s="384"/>
      <c r="C26" s="385"/>
      <c r="D26" s="383"/>
      <c r="E26" s="383"/>
      <c r="F26" s="383"/>
      <c r="G26" s="383"/>
      <c r="H26" s="419"/>
      <c r="I26" s="413"/>
      <c r="J26" s="414"/>
      <c r="K26" s="414"/>
      <c r="L26" s="414"/>
      <c r="M26" s="420"/>
      <c r="N26" s="31"/>
      <c r="O26" s="31"/>
      <c r="P26" s="31"/>
      <c r="Q26" s="415"/>
      <c r="R26" s="415"/>
      <c r="S26" s="416"/>
      <c r="T26" s="416"/>
      <c r="U26" s="417"/>
      <c r="V26" s="403"/>
      <c r="W26" s="404"/>
    </row>
    <row r="27" spans="1:23" x14ac:dyDescent="0.25">
      <c r="A27" s="383"/>
      <c r="B27" s="384"/>
      <c r="C27" s="385"/>
      <c r="D27" s="383"/>
      <c r="E27" s="383"/>
      <c r="F27" s="383"/>
      <c r="G27" s="383"/>
      <c r="H27" s="419"/>
      <c r="I27" s="413"/>
      <c r="J27" s="414"/>
      <c r="K27" s="414"/>
      <c r="L27" s="414"/>
      <c r="M27" s="420"/>
      <c r="N27" s="31"/>
      <c r="O27" s="31"/>
      <c r="P27" s="31"/>
      <c r="Q27" s="415"/>
      <c r="R27" s="415"/>
      <c r="S27" s="416"/>
      <c r="T27" s="416"/>
      <c r="U27" s="417"/>
      <c r="V27" s="403"/>
      <c r="W27" s="404"/>
    </row>
    <row r="28" spans="1:23" x14ac:dyDescent="0.25">
      <c r="A28" s="383"/>
      <c r="B28" s="384"/>
      <c r="C28" s="385"/>
      <c r="D28" s="383"/>
      <c r="E28" s="383"/>
      <c r="F28" s="383"/>
      <c r="G28" s="383"/>
      <c r="H28" s="419"/>
      <c r="I28" s="413"/>
      <c r="J28" s="414"/>
      <c r="K28" s="414"/>
      <c r="L28" s="414"/>
      <c r="M28" s="420"/>
      <c r="N28" s="31"/>
      <c r="O28" s="31"/>
      <c r="P28" s="31"/>
      <c r="Q28" s="415"/>
      <c r="R28" s="415"/>
      <c r="S28" s="416"/>
      <c r="T28" s="416"/>
      <c r="U28" s="417"/>
      <c r="V28" s="403"/>
      <c r="W28" s="404"/>
    </row>
    <row r="29" spans="1:23" x14ac:dyDescent="0.25">
      <c r="A29" s="383"/>
      <c r="B29" s="384"/>
      <c r="C29" s="385"/>
      <c r="D29" s="383"/>
      <c r="E29" s="383"/>
      <c r="F29" s="383"/>
      <c r="G29" s="383"/>
      <c r="H29" s="419"/>
      <c r="I29" s="413"/>
      <c r="J29" s="414"/>
      <c r="K29" s="414"/>
      <c r="L29" s="414"/>
      <c r="M29" s="420"/>
      <c r="N29" s="31"/>
      <c r="O29" s="31"/>
      <c r="P29" s="31"/>
      <c r="Q29" s="415"/>
      <c r="R29" s="415"/>
      <c r="S29" s="416"/>
      <c r="T29" s="416"/>
      <c r="U29" s="417"/>
      <c r="V29" s="403"/>
    </row>
    <row r="30" spans="1:23" x14ac:dyDescent="0.25">
      <c r="A30" s="383"/>
      <c r="B30" s="384"/>
      <c r="C30" s="385"/>
      <c r="D30" s="383"/>
      <c r="E30" s="383"/>
      <c r="F30" s="383"/>
      <c r="G30" s="383"/>
      <c r="H30" s="419"/>
      <c r="I30" s="413"/>
      <c r="J30" s="414"/>
      <c r="K30" s="414"/>
      <c r="L30" s="414"/>
      <c r="M30" s="420"/>
      <c r="N30" s="31"/>
      <c r="O30" s="31"/>
      <c r="P30" s="31"/>
      <c r="Q30" s="415"/>
      <c r="R30" s="415"/>
      <c r="S30" s="416"/>
      <c r="T30" s="416"/>
      <c r="U30" s="417"/>
      <c r="V30" s="403"/>
    </row>
    <row r="31" spans="1:23" x14ac:dyDescent="0.25">
      <c r="A31" s="29"/>
      <c r="B31" s="74"/>
      <c r="C31" s="75"/>
      <c r="D31" s="29"/>
      <c r="E31" s="29"/>
      <c r="F31" s="29"/>
      <c r="G31" s="29"/>
      <c r="H31" s="419"/>
      <c r="I31" s="27"/>
      <c r="J31" s="389"/>
      <c r="K31" s="389"/>
      <c r="L31" s="389"/>
      <c r="M31" s="420"/>
      <c r="N31" s="31"/>
      <c r="O31" s="31"/>
      <c r="P31" s="31"/>
      <c r="Q31" s="399"/>
      <c r="R31" s="399"/>
      <c r="S31" s="322"/>
      <c r="T31" s="322"/>
      <c r="U31" s="402"/>
      <c r="V31" s="403"/>
    </row>
    <row r="32" spans="1:23" x14ac:dyDescent="0.25">
      <c r="A32" s="29"/>
      <c r="B32" s="74"/>
      <c r="C32" s="75"/>
      <c r="D32" s="29"/>
      <c r="E32" s="29"/>
      <c r="F32" s="29"/>
      <c r="G32" s="29"/>
      <c r="H32" s="419"/>
      <c r="I32" s="27"/>
      <c r="J32" s="389"/>
      <c r="K32" s="389"/>
      <c r="L32" s="389"/>
      <c r="M32" s="420"/>
      <c r="N32" s="31"/>
      <c r="O32" s="31"/>
      <c r="P32" s="31"/>
      <c r="Q32" s="399"/>
      <c r="R32" s="399"/>
      <c r="S32" s="322"/>
      <c r="T32" s="322"/>
      <c r="U32" s="402"/>
      <c r="V32" s="403"/>
    </row>
    <row r="33" spans="1:22" x14ac:dyDescent="0.25">
      <c r="A33" s="29"/>
      <c r="B33" s="74"/>
      <c r="C33" s="75"/>
      <c r="D33" s="29"/>
      <c r="E33" s="29"/>
      <c r="F33" s="29"/>
      <c r="G33" s="29"/>
      <c r="H33" s="419"/>
      <c r="I33" s="27"/>
      <c r="J33" s="389"/>
      <c r="K33" s="389"/>
      <c r="L33" s="389"/>
      <c r="M33" s="420"/>
      <c r="N33" s="31"/>
      <c r="O33" s="31"/>
      <c r="P33" s="31"/>
      <c r="Q33" s="399"/>
      <c r="R33" s="399"/>
      <c r="S33" s="322"/>
      <c r="T33" s="322"/>
      <c r="U33" s="402"/>
      <c r="V33" s="403"/>
    </row>
    <row r="34" spans="1:22" x14ac:dyDescent="0.25">
      <c r="A34" s="29"/>
      <c r="B34" s="74"/>
      <c r="C34" s="75"/>
      <c r="D34" s="29"/>
      <c r="E34" s="29"/>
      <c r="F34" s="29"/>
      <c r="G34" s="29"/>
      <c r="H34" s="419"/>
      <c r="I34" s="27"/>
      <c r="J34" s="389"/>
      <c r="K34" s="389"/>
      <c r="L34" s="389"/>
      <c r="M34" s="420"/>
      <c r="N34" s="31"/>
      <c r="O34" s="31"/>
      <c r="P34" s="31"/>
      <c r="Q34" s="399"/>
      <c r="R34" s="399"/>
      <c r="S34" s="322"/>
      <c r="T34" s="322"/>
      <c r="U34" s="402"/>
      <c r="V34" s="403"/>
    </row>
    <row r="35" spans="1:22" x14ac:dyDescent="0.25">
      <c r="A35" s="29"/>
      <c r="B35" s="74"/>
      <c r="C35" s="75"/>
      <c r="D35" s="29"/>
      <c r="E35" s="29"/>
      <c r="F35" s="29"/>
      <c r="G35" s="29"/>
      <c r="H35" s="419"/>
      <c r="I35" s="27"/>
      <c r="J35" s="389"/>
      <c r="K35" s="389"/>
      <c r="L35" s="389"/>
      <c r="M35" s="420"/>
      <c r="N35" s="31"/>
      <c r="O35" s="31"/>
      <c r="P35" s="31"/>
      <c r="Q35" s="399"/>
      <c r="R35" s="399"/>
      <c r="S35" s="322"/>
      <c r="T35" s="322"/>
      <c r="U35" s="402"/>
      <c r="V35" s="403"/>
    </row>
    <row r="36" spans="1:22" x14ac:dyDescent="0.25">
      <c r="A36" s="383"/>
      <c r="B36" s="384"/>
      <c r="C36" s="385"/>
      <c r="D36" s="383"/>
      <c r="E36" s="383"/>
      <c r="F36" s="383"/>
      <c r="G36" s="383"/>
      <c r="H36" s="419"/>
      <c r="I36" s="413"/>
      <c r="J36" s="414"/>
      <c r="K36" s="414"/>
      <c r="L36" s="414"/>
      <c r="M36" s="420"/>
      <c r="N36" s="31"/>
      <c r="O36" s="31"/>
      <c r="P36" s="31"/>
      <c r="Q36" s="415"/>
      <c r="R36" s="415"/>
      <c r="S36" s="416"/>
      <c r="T36" s="416"/>
      <c r="U36" s="417"/>
      <c r="V36" s="403"/>
    </row>
    <row r="37" spans="1:22" x14ac:dyDescent="0.25">
      <c r="A37" s="383"/>
      <c r="B37" s="384"/>
      <c r="C37" s="385"/>
      <c r="D37" s="383"/>
      <c r="E37" s="383"/>
      <c r="F37" s="383"/>
      <c r="G37" s="383"/>
      <c r="H37" s="419"/>
      <c r="I37" s="413"/>
      <c r="J37" s="414"/>
      <c r="K37" s="414"/>
      <c r="L37" s="414"/>
      <c r="M37" s="420"/>
      <c r="N37" s="31"/>
      <c r="O37" s="31"/>
      <c r="P37" s="31"/>
      <c r="Q37" s="415"/>
      <c r="R37" s="415"/>
      <c r="S37" s="416"/>
      <c r="T37" s="416"/>
      <c r="U37" s="417"/>
      <c r="V37" s="403"/>
    </row>
    <row r="38" spans="1:22" x14ac:dyDescent="0.25">
      <c r="A38" s="383"/>
      <c r="B38" s="384"/>
      <c r="C38" s="385"/>
      <c r="D38" s="383"/>
      <c r="E38" s="383"/>
      <c r="F38" s="383"/>
      <c r="G38" s="383"/>
      <c r="H38" s="419"/>
      <c r="I38" s="413"/>
      <c r="J38" s="414"/>
      <c r="K38" s="414"/>
      <c r="L38" s="414"/>
      <c r="M38" s="420"/>
      <c r="N38" s="31"/>
      <c r="O38" s="31"/>
      <c r="P38" s="31"/>
      <c r="Q38" s="415"/>
      <c r="R38" s="415"/>
      <c r="S38" s="416"/>
      <c r="T38" s="416"/>
      <c r="U38" s="417"/>
      <c r="V38" s="403"/>
    </row>
    <row r="39" spans="1:22" x14ac:dyDescent="0.25">
      <c r="A39" s="383"/>
      <c r="B39" s="384"/>
      <c r="C39" s="385"/>
      <c r="D39" s="383"/>
      <c r="E39" s="383"/>
      <c r="F39" s="383"/>
      <c r="G39" s="383"/>
      <c r="H39" s="419"/>
      <c r="I39" s="413"/>
      <c r="J39" s="414"/>
      <c r="K39" s="414"/>
      <c r="L39" s="414"/>
      <c r="M39" s="420"/>
      <c r="N39" s="31"/>
      <c r="O39" s="31"/>
      <c r="P39" s="31"/>
      <c r="Q39" s="415"/>
      <c r="R39" s="415"/>
      <c r="S39" s="416"/>
      <c r="T39" s="416"/>
      <c r="U39" s="417"/>
      <c r="V39" s="403"/>
    </row>
    <row r="40" spans="1:22" x14ac:dyDescent="0.25">
      <c r="A40" s="383"/>
      <c r="B40" s="384"/>
      <c r="C40" s="385"/>
      <c r="D40" s="383"/>
      <c r="E40" s="383"/>
      <c r="F40" s="383"/>
      <c r="G40" s="383"/>
      <c r="H40" s="419"/>
      <c r="I40" s="413"/>
      <c r="J40" s="414"/>
      <c r="K40" s="414"/>
      <c r="L40" s="414"/>
      <c r="M40" s="420"/>
      <c r="N40" s="31"/>
      <c r="O40" s="31"/>
      <c r="P40" s="31"/>
      <c r="Q40" s="415"/>
      <c r="R40" s="415"/>
      <c r="S40" s="416"/>
      <c r="T40" s="416"/>
      <c r="U40" s="417"/>
      <c r="V40" s="403"/>
    </row>
    <row r="41" spans="1:22" x14ac:dyDescent="0.25">
      <c r="A41" s="29"/>
      <c r="B41" s="74"/>
      <c r="C41" s="75"/>
      <c r="D41" s="29"/>
      <c r="E41" s="29"/>
      <c r="F41" s="29"/>
      <c r="G41" s="29"/>
      <c r="H41" s="419"/>
      <c r="I41" s="27"/>
      <c r="J41" s="389"/>
      <c r="K41" s="389"/>
      <c r="L41" s="389"/>
      <c r="M41" s="420"/>
      <c r="N41" s="31"/>
      <c r="O41" s="31"/>
      <c r="P41" s="31"/>
      <c r="Q41" s="399"/>
      <c r="R41" s="399"/>
      <c r="S41" s="322"/>
      <c r="T41" s="322"/>
      <c r="U41" s="402"/>
      <c r="V41" s="403"/>
    </row>
    <row r="42" spans="1:22" x14ac:dyDescent="0.25">
      <c r="A42" s="29"/>
      <c r="B42" s="74"/>
      <c r="C42" s="75"/>
      <c r="D42" s="29"/>
      <c r="E42" s="29"/>
      <c r="F42" s="29"/>
      <c r="G42" s="29"/>
      <c r="H42" s="419"/>
      <c r="I42" s="27"/>
      <c r="J42" s="389"/>
      <c r="K42" s="389"/>
      <c r="L42" s="389"/>
      <c r="M42" s="420"/>
      <c r="N42" s="31"/>
      <c r="O42" s="31"/>
      <c r="P42" s="31"/>
      <c r="Q42" s="399"/>
      <c r="R42" s="399"/>
      <c r="S42" s="322"/>
      <c r="T42" s="322"/>
      <c r="U42" s="402"/>
      <c r="V42" s="403"/>
    </row>
    <row r="43" spans="1:22" x14ac:dyDescent="0.25">
      <c r="A43" s="29"/>
      <c r="B43" s="74"/>
      <c r="C43" s="75"/>
      <c r="D43" s="29"/>
      <c r="E43" s="29"/>
      <c r="F43" s="29"/>
      <c r="G43" s="29"/>
      <c r="H43" s="419"/>
      <c r="I43" s="27"/>
      <c r="J43" s="389"/>
      <c r="K43" s="389"/>
      <c r="L43" s="389"/>
      <c r="M43" s="420"/>
      <c r="N43" s="31"/>
      <c r="O43" s="31"/>
      <c r="P43" s="31"/>
      <c r="Q43" s="399"/>
      <c r="R43" s="399"/>
      <c r="S43" s="322"/>
      <c r="T43" s="322"/>
      <c r="U43" s="402"/>
      <c r="V43" s="403"/>
    </row>
    <row r="44" spans="1:22" x14ac:dyDescent="0.25">
      <c r="A44" s="29"/>
      <c r="B44" s="74"/>
      <c r="C44" s="75"/>
      <c r="D44" s="29"/>
      <c r="E44" s="29"/>
      <c r="F44" s="29"/>
      <c r="G44" s="29"/>
      <c r="H44" s="419"/>
      <c r="I44" s="27"/>
      <c r="J44" s="389"/>
      <c r="K44" s="389"/>
      <c r="L44" s="389"/>
      <c r="M44" s="420"/>
      <c r="N44" s="31"/>
      <c r="O44" s="31"/>
      <c r="P44" s="31"/>
      <c r="Q44" s="399"/>
      <c r="R44" s="399"/>
      <c r="S44" s="322"/>
      <c r="T44" s="322"/>
      <c r="U44" s="402"/>
      <c r="V44" s="403"/>
    </row>
    <row r="45" spans="1:22" x14ac:dyDescent="0.25">
      <c r="A45" s="29"/>
      <c r="B45" s="74"/>
      <c r="C45" s="75"/>
      <c r="D45" s="29"/>
      <c r="E45" s="29"/>
      <c r="F45" s="29"/>
      <c r="G45" s="29"/>
      <c r="H45" s="419"/>
      <c r="I45" s="27"/>
      <c r="J45" s="389"/>
      <c r="K45" s="389"/>
      <c r="L45" s="389"/>
      <c r="M45" s="420"/>
      <c r="N45" s="31"/>
      <c r="O45" s="31"/>
      <c r="P45" s="31"/>
      <c r="Q45" s="399"/>
      <c r="R45" s="399"/>
      <c r="S45" s="322"/>
      <c r="T45" s="322"/>
      <c r="U45" s="402"/>
      <c r="V45" s="403"/>
    </row>
    <row r="46" spans="1:22" x14ac:dyDescent="0.25">
      <c r="A46" s="383"/>
      <c r="B46" s="384"/>
      <c r="C46" s="385"/>
      <c r="D46" s="383"/>
      <c r="E46" s="383"/>
      <c r="F46" s="383"/>
      <c r="G46" s="383"/>
      <c r="H46" s="419"/>
      <c r="I46" s="413"/>
      <c r="J46" s="414"/>
      <c r="K46" s="414"/>
      <c r="L46" s="414"/>
      <c r="M46" s="420"/>
      <c r="N46" s="31"/>
      <c r="O46" s="31"/>
      <c r="P46" s="31"/>
      <c r="Q46" s="415"/>
      <c r="R46" s="415"/>
      <c r="S46" s="416"/>
      <c r="T46" s="416"/>
      <c r="U46" s="417"/>
      <c r="V46" s="403"/>
    </row>
    <row r="47" spans="1:22" x14ac:dyDescent="0.25">
      <c r="A47" s="383"/>
      <c r="B47" s="384"/>
      <c r="C47" s="385"/>
      <c r="D47" s="383"/>
      <c r="E47" s="383"/>
      <c r="F47" s="383"/>
      <c r="G47" s="383"/>
      <c r="H47" s="419"/>
      <c r="I47" s="413"/>
      <c r="J47" s="414"/>
      <c r="K47" s="414"/>
      <c r="L47" s="414"/>
      <c r="M47" s="420"/>
      <c r="N47" s="31"/>
      <c r="O47" s="31"/>
      <c r="P47" s="31"/>
      <c r="Q47" s="415"/>
      <c r="R47" s="415"/>
      <c r="S47" s="416"/>
      <c r="T47" s="416"/>
      <c r="U47" s="417"/>
      <c r="V47" s="403"/>
    </row>
    <row r="48" spans="1:22" x14ac:dyDescent="0.25">
      <c r="A48" s="383"/>
      <c r="B48" s="384"/>
      <c r="C48" s="385"/>
      <c r="D48" s="383"/>
      <c r="E48" s="383"/>
      <c r="F48" s="383"/>
      <c r="G48" s="383"/>
      <c r="H48" s="419"/>
      <c r="I48" s="413"/>
      <c r="J48" s="414"/>
      <c r="K48" s="414"/>
      <c r="L48" s="414"/>
      <c r="M48" s="420"/>
      <c r="N48" s="31"/>
      <c r="O48" s="31"/>
      <c r="P48" s="31"/>
      <c r="Q48" s="415"/>
      <c r="R48" s="415"/>
      <c r="S48" s="416"/>
      <c r="T48" s="416"/>
      <c r="U48" s="417"/>
      <c r="V48" s="403"/>
    </row>
    <row r="49" spans="1:22" x14ac:dyDescent="0.25">
      <c r="A49" s="383"/>
      <c r="B49" s="384"/>
      <c r="C49" s="385"/>
      <c r="D49" s="383"/>
      <c r="E49" s="383"/>
      <c r="F49" s="383"/>
      <c r="G49" s="383"/>
      <c r="H49" s="419"/>
      <c r="I49" s="413"/>
      <c r="J49" s="414"/>
      <c r="K49" s="414"/>
      <c r="L49" s="414"/>
      <c r="M49" s="420"/>
      <c r="N49" s="31"/>
      <c r="O49" s="31"/>
      <c r="P49" s="31"/>
      <c r="Q49" s="415"/>
      <c r="R49" s="415"/>
      <c r="S49" s="416"/>
      <c r="T49" s="416"/>
      <c r="U49" s="417"/>
      <c r="V49" s="403"/>
    </row>
    <row r="50" spans="1:22" x14ac:dyDescent="0.25">
      <c r="A50" s="383"/>
      <c r="B50" s="384"/>
      <c r="C50" s="385"/>
      <c r="D50" s="383"/>
      <c r="E50" s="383"/>
      <c r="F50" s="383"/>
      <c r="G50" s="383"/>
      <c r="H50" s="419"/>
      <c r="I50" s="413"/>
      <c r="J50" s="414"/>
      <c r="K50" s="414"/>
      <c r="L50" s="414"/>
      <c r="M50" s="420"/>
      <c r="N50" s="31"/>
      <c r="O50" s="31"/>
      <c r="P50" s="31"/>
      <c r="Q50" s="415"/>
      <c r="R50" s="415"/>
      <c r="S50" s="416"/>
      <c r="T50" s="416"/>
      <c r="U50" s="417"/>
      <c r="V50" s="403"/>
    </row>
    <row r="51" spans="1:22" x14ac:dyDescent="0.25">
      <c r="A51" s="29"/>
      <c r="B51" s="74"/>
      <c r="C51" s="75"/>
      <c r="D51" s="29"/>
      <c r="E51" s="29"/>
      <c r="F51" s="29"/>
      <c r="G51" s="29"/>
      <c r="H51" s="419"/>
      <c r="I51" s="27"/>
      <c r="J51" s="389"/>
      <c r="K51" s="389"/>
      <c r="L51" s="389"/>
      <c r="M51" s="420"/>
      <c r="N51" s="31"/>
      <c r="O51" s="31"/>
      <c r="P51" s="31"/>
      <c r="Q51" s="399"/>
      <c r="R51" s="399"/>
      <c r="S51" s="322"/>
      <c r="T51" s="322"/>
      <c r="U51" s="402"/>
      <c r="V51" s="403"/>
    </row>
    <row r="52" spans="1:22" x14ac:dyDescent="0.25">
      <c r="A52" s="29"/>
      <c r="B52" s="74"/>
      <c r="C52" s="75"/>
      <c r="D52" s="29"/>
      <c r="E52" s="29"/>
      <c r="F52" s="29"/>
      <c r="G52" s="29"/>
      <c r="H52" s="419"/>
      <c r="I52" s="27"/>
      <c r="J52" s="389"/>
      <c r="K52" s="389"/>
      <c r="L52" s="389"/>
      <c r="M52" s="420"/>
      <c r="N52" s="31"/>
      <c r="O52" s="31"/>
      <c r="P52" s="31"/>
      <c r="Q52" s="399"/>
      <c r="R52" s="399"/>
      <c r="S52" s="322"/>
      <c r="T52" s="322"/>
      <c r="U52" s="402"/>
      <c r="V52" s="403"/>
    </row>
    <row r="53" spans="1:22" x14ac:dyDescent="0.25">
      <c r="A53" s="29"/>
      <c r="B53" s="74"/>
      <c r="C53" s="75"/>
      <c r="D53" s="29"/>
      <c r="E53" s="29"/>
      <c r="F53" s="29"/>
      <c r="G53" s="29"/>
      <c r="H53" s="419"/>
      <c r="I53" s="27"/>
      <c r="J53" s="389"/>
      <c r="K53" s="389"/>
      <c r="L53" s="389"/>
      <c r="M53" s="420"/>
      <c r="N53" s="31"/>
      <c r="O53" s="31"/>
      <c r="P53" s="31"/>
      <c r="Q53" s="399"/>
      <c r="R53" s="399"/>
      <c r="S53" s="322"/>
      <c r="T53" s="322"/>
      <c r="U53" s="402"/>
      <c r="V53" s="403"/>
    </row>
    <row r="54" spans="1:22" x14ac:dyDescent="0.25">
      <c r="A54" s="29"/>
      <c r="B54" s="74"/>
      <c r="C54" s="75"/>
      <c r="D54" s="29"/>
      <c r="E54" s="29"/>
      <c r="F54" s="29"/>
      <c r="G54" s="29"/>
      <c r="H54" s="419"/>
      <c r="I54" s="27"/>
      <c r="J54" s="389"/>
      <c r="K54" s="389"/>
      <c r="L54" s="389"/>
      <c r="M54" s="420"/>
      <c r="N54" s="31"/>
      <c r="O54" s="31"/>
      <c r="P54" s="31"/>
      <c r="Q54" s="399"/>
      <c r="R54" s="399"/>
      <c r="S54" s="322"/>
      <c r="T54" s="322"/>
      <c r="U54" s="402"/>
      <c r="V54" s="403"/>
    </row>
    <row r="55" spans="1:22" x14ac:dyDescent="0.25">
      <c r="A55" s="29"/>
      <c r="B55" s="74"/>
      <c r="C55" s="75"/>
      <c r="D55" s="29"/>
      <c r="E55" s="29"/>
      <c r="F55" s="29"/>
      <c r="G55" s="29"/>
      <c r="H55" s="419"/>
      <c r="I55" s="27"/>
      <c r="J55" s="389"/>
      <c r="K55" s="389"/>
      <c r="L55" s="389"/>
      <c r="M55" s="420"/>
      <c r="N55" s="31"/>
      <c r="O55" s="31"/>
      <c r="P55" s="31"/>
      <c r="Q55" s="399"/>
      <c r="R55" s="399"/>
      <c r="S55" s="322"/>
      <c r="T55" s="322"/>
      <c r="U55" s="402"/>
      <c r="V55" s="403"/>
    </row>
    <row r="56" spans="1:22" x14ac:dyDescent="0.25">
      <c r="A56" s="383"/>
      <c r="B56" s="384"/>
      <c r="C56" s="385"/>
      <c r="D56" s="383"/>
      <c r="E56" s="383"/>
      <c r="F56" s="383"/>
      <c r="G56" s="383"/>
      <c r="H56" s="419"/>
      <c r="I56" s="413"/>
      <c r="J56" s="414"/>
      <c r="K56" s="414"/>
      <c r="L56" s="414"/>
      <c r="M56" s="420"/>
      <c r="N56" s="31"/>
      <c r="O56" s="31"/>
      <c r="P56" s="31"/>
      <c r="Q56" s="415"/>
      <c r="R56" s="415"/>
      <c r="S56" s="416"/>
      <c r="T56" s="416"/>
      <c r="U56" s="417"/>
      <c r="V56" s="403"/>
    </row>
    <row r="57" spans="1:22" x14ac:dyDescent="0.25">
      <c r="A57" s="383"/>
      <c r="B57" s="384"/>
      <c r="C57" s="385"/>
      <c r="D57" s="383"/>
      <c r="E57" s="383"/>
      <c r="F57" s="383"/>
      <c r="G57" s="383"/>
      <c r="H57" s="419"/>
      <c r="I57" s="413"/>
      <c r="J57" s="414"/>
      <c r="K57" s="414"/>
      <c r="L57" s="414"/>
      <c r="M57" s="420"/>
      <c r="N57" s="31"/>
      <c r="O57" s="31"/>
      <c r="P57" s="31"/>
      <c r="Q57" s="415"/>
      <c r="R57" s="415"/>
      <c r="S57" s="416"/>
      <c r="T57" s="416"/>
      <c r="U57" s="417"/>
      <c r="V57" s="403"/>
    </row>
    <row r="58" spans="1:22" x14ac:dyDescent="0.25">
      <c r="A58" s="383"/>
      <c r="B58" s="384"/>
      <c r="C58" s="385"/>
      <c r="D58" s="383"/>
      <c r="E58" s="383"/>
      <c r="F58" s="383"/>
      <c r="G58" s="383"/>
      <c r="H58" s="419"/>
      <c r="I58" s="413"/>
      <c r="J58" s="414"/>
      <c r="K58" s="414"/>
      <c r="L58" s="414"/>
      <c r="M58" s="420"/>
      <c r="N58" s="31"/>
      <c r="O58" s="31"/>
      <c r="P58" s="31"/>
      <c r="Q58" s="415"/>
      <c r="R58" s="415"/>
      <c r="S58" s="416"/>
      <c r="T58" s="416"/>
      <c r="U58" s="417"/>
      <c r="V58" s="403"/>
    </row>
    <row r="59" spans="1:22" x14ac:dyDescent="0.25">
      <c r="A59" s="383"/>
      <c r="B59" s="384"/>
      <c r="C59" s="385"/>
      <c r="D59" s="383"/>
      <c r="E59" s="383"/>
      <c r="F59" s="383"/>
      <c r="G59" s="383"/>
      <c r="H59" s="419"/>
      <c r="I59" s="413"/>
      <c r="J59" s="414"/>
      <c r="K59" s="414"/>
      <c r="L59" s="414"/>
      <c r="M59" s="420"/>
      <c r="N59" s="31"/>
      <c r="O59" s="31"/>
      <c r="P59" s="31"/>
      <c r="Q59" s="415"/>
      <c r="R59" s="415"/>
      <c r="S59" s="416"/>
      <c r="T59" s="416"/>
      <c r="U59" s="417"/>
      <c r="V59" s="403"/>
    </row>
    <row r="60" spans="1:22" x14ac:dyDescent="0.25">
      <c r="A60" s="383"/>
      <c r="B60" s="384"/>
      <c r="C60" s="385"/>
      <c r="D60" s="383"/>
      <c r="E60" s="383"/>
      <c r="F60" s="383"/>
      <c r="G60" s="383"/>
      <c r="H60" s="419"/>
      <c r="I60" s="413"/>
      <c r="J60" s="414"/>
      <c r="K60" s="414"/>
      <c r="L60" s="414"/>
      <c r="M60" s="420"/>
      <c r="N60" s="31"/>
      <c r="O60" s="31"/>
      <c r="P60" s="31"/>
      <c r="Q60" s="415"/>
      <c r="R60" s="415"/>
      <c r="S60" s="416"/>
      <c r="T60" s="416"/>
      <c r="U60" s="417"/>
      <c r="V60" s="403"/>
    </row>
    <row r="61" spans="1:22" x14ac:dyDescent="0.25">
      <c r="A61" s="29"/>
      <c r="B61" s="74"/>
      <c r="C61" s="75"/>
      <c r="D61" s="29"/>
      <c r="E61" s="29"/>
      <c r="F61" s="29"/>
      <c r="G61" s="29"/>
      <c r="H61" s="419"/>
      <c r="I61" s="27"/>
      <c r="J61" s="389"/>
      <c r="K61" s="389"/>
      <c r="L61" s="389"/>
      <c r="M61" s="420"/>
      <c r="N61" s="31"/>
      <c r="O61" s="31"/>
      <c r="P61" s="31"/>
      <c r="Q61" s="399"/>
      <c r="R61" s="399"/>
      <c r="S61" s="322"/>
      <c r="T61" s="322"/>
      <c r="U61" s="402"/>
      <c r="V61" s="403"/>
    </row>
    <row r="62" spans="1:22" x14ac:dyDescent="0.25">
      <c r="A62" s="29"/>
      <c r="B62" s="74"/>
      <c r="C62" s="75"/>
      <c r="D62" s="29"/>
      <c r="E62" s="29"/>
      <c r="F62" s="29"/>
      <c r="G62" s="29"/>
      <c r="H62" s="419"/>
      <c r="I62" s="27"/>
      <c r="J62" s="389"/>
      <c r="K62" s="389"/>
      <c r="L62" s="389"/>
      <c r="M62" s="420"/>
      <c r="N62" s="31"/>
      <c r="O62" s="31"/>
      <c r="P62" s="31"/>
      <c r="Q62" s="399"/>
      <c r="R62" s="399"/>
      <c r="S62" s="322"/>
      <c r="T62" s="322"/>
      <c r="U62" s="402"/>
      <c r="V62" s="403"/>
    </row>
    <row r="63" spans="1:22" x14ac:dyDescent="0.25">
      <c r="A63" s="29"/>
      <c r="B63" s="74"/>
      <c r="C63" s="75"/>
      <c r="D63" s="29"/>
      <c r="E63" s="29"/>
      <c r="F63" s="29"/>
      <c r="G63" s="29"/>
      <c r="H63" s="419"/>
      <c r="I63" s="27"/>
      <c r="J63" s="389"/>
      <c r="K63" s="389"/>
      <c r="L63" s="389"/>
      <c r="M63" s="420"/>
      <c r="N63" s="31"/>
      <c r="O63" s="31"/>
      <c r="P63" s="31"/>
      <c r="Q63" s="399"/>
      <c r="R63" s="399"/>
      <c r="S63" s="322"/>
      <c r="T63" s="322"/>
      <c r="U63" s="402"/>
      <c r="V63" s="403"/>
    </row>
    <row r="64" spans="1:22" x14ac:dyDescent="0.25">
      <c r="A64" s="29"/>
      <c r="B64" s="74"/>
      <c r="C64" s="75"/>
      <c r="D64" s="29"/>
      <c r="E64" s="29"/>
      <c r="F64" s="29"/>
      <c r="G64" s="29"/>
      <c r="H64" s="419"/>
      <c r="I64" s="27"/>
      <c r="J64" s="389"/>
      <c r="K64" s="389"/>
      <c r="L64" s="389"/>
      <c r="M64" s="420"/>
      <c r="N64" s="31"/>
      <c r="O64" s="31"/>
      <c r="P64" s="31"/>
      <c r="Q64" s="399"/>
      <c r="R64" s="399"/>
      <c r="S64" s="322"/>
      <c r="T64" s="322"/>
      <c r="U64" s="402"/>
      <c r="V64" s="403"/>
    </row>
    <row r="65" spans="1:22" x14ac:dyDescent="0.25">
      <c r="A65" s="29"/>
      <c r="B65" s="74"/>
      <c r="C65" s="75"/>
      <c r="D65" s="29"/>
      <c r="E65" s="29"/>
      <c r="F65" s="29"/>
      <c r="G65" s="29"/>
      <c r="H65" s="419"/>
      <c r="I65" s="27"/>
      <c r="J65" s="389"/>
      <c r="K65" s="389"/>
      <c r="L65" s="389"/>
      <c r="M65" s="420"/>
      <c r="N65" s="31"/>
      <c r="O65" s="31"/>
      <c r="P65" s="31"/>
      <c r="Q65" s="399"/>
      <c r="R65" s="399"/>
      <c r="S65" s="322"/>
      <c r="T65" s="322"/>
      <c r="U65" s="402"/>
      <c r="V65" s="403"/>
    </row>
    <row r="66" spans="1:22" x14ac:dyDescent="0.25">
      <c r="A66" s="383"/>
      <c r="B66" s="384"/>
      <c r="C66" s="385"/>
      <c r="D66" s="383"/>
      <c r="E66" s="383"/>
      <c r="F66" s="383"/>
      <c r="G66" s="383"/>
      <c r="H66" s="419"/>
      <c r="I66" s="413"/>
      <c r="J66" s="414"/>
      <c r="K66" s="414"/>
      <c r="L66" s="414"/>
      <c r="M66" s="420"/>
      <c r="N66" s="31"/>
      <c r="O66" s="31"/>
      <c r="P66" s="31"/>
      <c r="Q66" s="415"/>
      <c r="R66" s="415"/>
      <c r="S66" s="416"/>
      <c r="T66" s="416"/>
      <c r="U66" s="417"/>
      <c r="V66" s="403"/>
    </row>
    <row r="67" spans="1:22" x14ac:dyDescent="0.25">
      <c r="A67" s="383"/>
      <c r="B67" s="384"/>
      <c r="C67" s="385"/>
      <c r="D67" s="383"/>
      <c r="E67" s="383"/>
      <c r="F67" s="383"/>
      <c r="G67" s="383"/>
      <c r="H67" s="419"/>
      <c r="I67" s="413"/>
      <c r="J67" s="414"/>
      <c r="K67" s="414"/>
      <c r="L67" s="414"/>
      <c r="M67" s="420"/>
      <c r="N67" s="31"/>
      <c r="O67" s="31"/>
      <c r="P67" s="31"/>
      <c r="Q67" s="415"/>
      <c r="R67" s="415"/>
      <c r="S67" s="416"/>
      <c r="T67" s="416"/>
      <c r="U67" s="417"/>
      <c r="V67" s="403"/>
    </row>
    <row r="68" spans="1:22" x14ac:dyDescent="0.25">
      <c r="A68" s="383"/>
      <c r="B68" s="384"/>
      <c r="C68" s="385"/>
      <c r="D68" s="383"/>
      <c r="E68" s="383"/>
      <c r="F68" s="383"/>
      <c r="G68" s="383"/>
      <c r="H68" s="419"/>
      <c r="I68" s="413"/>
      <c r="J68" s="414"/>
      <c r="K68" s="414"/>
      <c r="L68" s="414"/>
      <c r="M68" s="420"/>
      <c r="N68" s="31"/>
      <c r="O68" s="31"/>
      <c r="P68" s="31"/>
      <c r="Q68" s="415"/>
      <c r="R68" s="415"/>
      <c r="S68" s="416"/>
      <c r="T68" s="416"/>
      <c r="U68" s="417"/>
      <c r="V68" s="403"/>
    </row>
    <row r="69" spans="1:22" x14ac:dyDescent="0.25">
      <c r="A69" s="383"/>
      <c r="B69" s="384"/>
      <c r="C69" s="385"/>
      <c r="D69" s="383"/>
      <c r="E69" s="383"/>
      <c r="F69" s="383"/>
      <c r="G69" s="383"/>
      <c r="H69" s="419"/>
      <c r="I69" s="413"/>
      <c r="J69" s="414"/>
      <c r="K69" s="414"/>
      <c r="L69" s="414"/>
      <c r="M69" s="420"/>
      <c r="N69" s="31"/>
      <c r="O69" s="31"/>
      <c r="P69" s="31"/>
      <c r="Q69" s="415"/>
      <c r="R69" s="415"/>
      <c r="S69" s="416"/>
      <c r="T69" s="416"/>
      <c r="U69" s="417"/>
      <c r="V69" s="403"/>
    </row>
    <row r="70" spans="1:22" x14ac:dyDescent="0.25">
      <c r="A70" s="383"/>
      <c r="B70" s="384"/>
      <c r="C70" s="385"/>
      <c r="D70" s="383"/>
      <c r="E70" s="383"/>
      <c r="F70" s="383"/>
      <c r="G70" s="383"/>
      <c r="H70" s="419"/>
      <c r="I70" s="413"/>
      <c r="J70" s="414"/>
      <c r="K70" s="414"/>
      <c r="L70" s="414"/>
      <c r="M70" s="420"/>
      <c r="N70" s="31"/>
      <c r="O70" s="31"/>
      <c r="P70" s="31"/>
      <c r="Q70" s="415"/>
      <c r="R70" s="415"/>
      <c r="S70" s="416"/>
      <c r="T70" s="416"/>
      <c r="U70" s="417"/>
      <c r="V70" s="403"/>
    </row>
    <row r="71" spans="1:22" x14ac:dyDescent="0.25">
      <c r="A71" s="29"/>
      <c r="B71" s="74"/>
      <c r="C71" s="75"/>
      <c r="D71" s="29"/>
      <c r="E71" s="29"/>
      <c r="F71" s="29"/>
      <c r="G71" s="29"/>
      <c r="H71" s="419"/>
      <c r="I71" s="27"/>
      <c r="J71" s="389"/>
      <c r="K71" s="389"/>
      <c r="L71" s="389"/>
      <c r="M71" s="420"/>
      <c r="N71" s="31"/>
      <c r="O71" s="31"/>
      <c r="P71" s="31"/>
      <c r="Q71" s="399"/>
      <c r="R71" s="399"/>
      <c r="S71" s="322"/>
      <c r="T71" s="322"/>
      <c r="U71" s="402"/>
      <c r="V71" s="403"/>
    </row>
    <row r="72" spans="1:22" x14ac:dyDescent="0.25">
      <c r="A72" s="29"/>
      <c r="B72" s="74"/>
      <c r="C72" s="75"/>
      <c r="D72" s="29"/>
      <c r="E72" s="29"/>
      <c r="F72" s="29"/>
      <c r="G72" s="29"/>
      <c r="H72" s="419"/>
      <c r="I72" s="27"/>
      <c r="J72" s="389"/>
      <c r="K72" s="389"/>
      <c r="L72" s="389"/>
      <c r="M72" s="420"/>
      <c r="N72" s="31"/>
      <c r="O72" s="31"/>
      <c r="P72" s="31"/>
      <c r="Q72" s="399"/>
      <c r="R72" s="399"/>
      <c r="S72" s="322"/>
      <c r="T72" s="322"/>
      <c r="U72" s="402"/>
      <c r="V72" s="403"/>
    </row>
    <row r="73" spans="1:22" x14ac:dyDescent="0.25">
      <c r="A73" s="29"/>
      <c r="B73" s="74"/>
      <c r="C73" s="75"/>
      <c r="D73" s="29"/>
      <c r="E73" s="29"/>
      <c r="F73" s="29"/>
      <c r="G73" s="29"/>
      <c r="H73" s="419"/>
      <c r="I73" s="27"/>
      <c r="J73" s="389"/>
      <c r="K73" s="389"/>
      <c r="L73" s="389"/>
      <c r="M73" s="420"/>
      <c r="N73" s="31"/>
      <c r="O73" s="31"/>
      <c r="P73" s="31"/>
      <c r="Q73" s="399"/>
      <c r="R73" s="399"/>
      <c r="S73" s="322"/>
      <c r="T73" s="322"/>
      <c r="U73" s="402"/>
      <c r="V73" s="403"/>
    </row>
    <row r="74" spans="1:22" x14ac:dyDescent="0.25">
      <c r="A74" s="29"/>
      <c r="B74" s="74"/>
      <c r="C74" s="75"/>
      <c r="D74" s="29"/>
      <c r="E74" s="29"/>
      <c r="F74" s="29"/>
      <c r="G74" s="29"/>
      <c r="H74" s="419"/>
      <c r="I74" s="27"/>
      <c r="J74" s="389"/>
      <c r="K74" s="389"/>
      <c r="L74" s="389"/>
      <c r="M74" s="420"/>
      <c r="N74" s="31"/>
      <c r="O74" s="31"/>
      <c r="P74" s="31"/>
      <c r="Q74" s="399"/>
      <c r="R74" s="399"/>
      <c r="S74" s="322"/>
      <c r="T74" s="322"/>
      <c r="U74" s="402"/>
      <c r="V74" s="403"/>
    </row>
    <row r="75" spans="1:22" x14ac:dyDescent="0.25">
      <c r="A75" s="29"/>
      <c r="B75" s="74"/>
      <c r="C75" s="75"/>
      <c r="D75" s="29"/>
      <c r="E75" s="29"/>
      <c r="F75" s="29"/>
      <c r="G75" s="29"/>
      <c r="H75" s="419"/>
      <c r="I75" s="27"/>
      <c r="J75" s="389"/>
      <c r="K75" s="389"/>
      <c r="L75" s="389"/>
      <c r="M75" s="420"/>
      <c r="N75" s="31"/>
      <c r="O75" s="31"/>
      <c r="P75" s="31"/>
      <c r="Q75" s="399"/>
      <c r="R75" s="399"/>
      <c r="S75" s="322"/>
      <c r="T75" s="322"/>
      <c r="U75" s="402"/>
      <c r="V75" s="403"/>
    </row>
    <row r="76" spans="1:22" x14ac:dyDescent="0.25">
      <c r="A76" s="383"/>
      <c r="B76" s="384"/>
      <c r="C76" s="385"/>
      <c r="D76" s="383"/>
      <c r="E76" s="383"/>
      <c r="F76" s="383"/>
      <c r="G76" s="383"/>
      <c r="H76" s="419"/>
      <c r="I76" s="413"/>
      <c r="J76" s="414"/>
      <c r="K76" s="414"/>
      <c r="L76" s="414"/>
      <c r="M76" s="420"/>
      <c r="N76" s="31"/>
      <c r="O76" s="31"/>
      <c r="P76" s="31"/>
      <c r="Q76" s="415"/>
      <c r="R76" s="415"/>
      <c r="S76" s="416"/>
      <c r="T76" s="416"/>
      <c r="U76" s="417"/>
      <c r="V76" s="403"/>
    </row>
    <row r="77" spans="1:22" x14ac:dyDescent="0.25">
      <c r="A77" s="383"/>
      <c r="B77" s="384"/>
      <c r="C77" s="385"/>
      <c r="D77" s="383"/>
      <c r="E77" s="383"/>
      <c r="F77" s="383"/>
      <c r="G77" s="383"/>
      <c r="H77" s="419"/>
      <c r="I77" s="413"/>
      <c r="J77" s="414"/>
      <c r="K77" s="414"/>
      <c r="L77" s="414"/>
      <c r="M77" s="420"/>
      <c r="N77" s="31"/>
      <c r="O77" s="31"/>
      <c r="P77" s="31"/>
      <c r="Q77" s="415"/>
      <c r="R77" s="415"/>
      <c r="S77" s="416"/>
      <c r="T77" s="416"/>
      <c r="U77" s="417"/>
      <c r="V77" s="403"/>
    </row>
    <row r="78" spans="1:22" x14ac:dyDescent="0.25">
      <c r="A78" s="383"/>
      <c r="B78" s="384"/>
      <c r="C78" s="385"/>
      <c r="D78" s="383"/>
      <c r="E78" s="383"/>
      <c r="F78" s="383"/>
      <c r="G78" s="383"/>
      <c r="H78" s="419"/>
      <c r="I78" s="413"/>
      <c r="J78" s="414"/>
      <c r="K78" s="414"/>
      <c r="L78" s="414"/>
      <c r="M78" s="420"/>
      <c r="N78" s="31"/>
      <c r="O78" s="31"/>
      <c r="P78" s="31"/>
      <c r="Q78" s="415"/>
      <c r="R78" s="415"/>
      <c r="S78" s="416"/>
      <c r="T78" s="416"/>
      <c r="U78" s="417"/>
      <c r="V78" s="403"/>
    </row>
    <row r="79" spans="1:22" x14ac:dyDescent="0.25">
      <c r="A79" s="383"/>
      <c r="B79" s="384"/>
      <c r="C79" s="385"/>
      <c r="D79" s="383"/>
      <c r="E79" s="383"/>
      <c r="F79" s="383"/>
      <c r="G79" s="383"/>
      <c r="H79" s="419"/>
      <c r="I79" s="413"/>
      <c r="J79" s="414"/>
      <c r="K79" s="414"/>
      <c r="L79" s="414"/>
      <c r="M79" s="420"/>
      <c r="N79" s="31"/>
      <c r="O79" s="31"/>
      <c r="P79" s="31"/>
      <c r="Q79" s="415"/>
      <c r="R79" s="415"/>
      <c r="S79" s="416"/>
      <c r="T79" s="416"/>
      <c r="U79" s="417"/>
      <c r="V79" s="403"/>
    </row>
    <row r="80" spans="1:22" x14ac:dyDescent="0.25">
      <c r="A80" s="383"/>
      <c r="B80" s="384"/>
      <c r="C80" s="385"/>
      <c r="D80" s="383"/>
      <c r="E80" s="383"/>
      <c r="F80" s="383"/>
      <c r="G80" s="383"/>
      <c r="H80" s="419"/>
      <c r="I80" s="413"/>
      <c r="J80" s="414"/>
      <c r="K80" s="414"/>
      <c r="L80" s="414"/>
      <c r="M80" s="420"/>
      <c r="N80" s="31"/>
      <c r="O80" s="31"/>
      <c r="P80" s="31"/>
      <c r="Q80" s="415"/>
      <c r="R80" s="415"/>
      <c r="S80" s="416"/>
      <c r="T80" s="416"/>
      <c r="U80" s="417"/>
      <c r="V80" s="403"/>
    </row>
    <row r="81" spans="1:22" x14ac:dyDescent="0.25">
      <c r="A81" s="29"/>
      <c r="B81" s="74"/>
      <c r="C81" s="75"/>
      <c r="D81" s="29"/>
      <c r="E81" s="29"/>
      <c r="F81" s="29"/>
      <c r="G81" s="29"/>
      <c r="H81" s="419"/>
      <c r="I81" s="27"/>
      <c r="J81" s="389"/>
      <c r="K81" s="389"/>
      <c r="L81" s="389"/>
      <c r="M81" s="420"/>
      <c r="N81" s="31"/>
      <c r="O81" s="31"/>
      <c r="P81" s="31"/>
      <c r="Q81" s="399"/>
      <c r="R81" s="399"/>
      <c r="S81" s="322"/>
      <c r="T81" s="322"/>
      <c r="U81" s="402"/>
      <c r="V81" s="403"/>
    </row>
    <row r="82" spans="1:22" x14ac:dyDescent="0.25">
      <c r="A82" s="29"/>
      <c r="B82" s="74"/>
      <c r="C82" s="75"/>
      <c r="D82" s="29"/>
      <c r="E82" s="29"/>
      <c r="F82" s="29"/>
      <c r="G82" s="29"/>
      <c r="H82" s="419"/>
      <c r="I82" s="27"/>
      <c r="J82" s="389"/>
      <c r="K82" s="389"/>
      <c r="L82" s="389"/>
      <c r="M82" s="420"/>
      <c r="N82" s="31"/>
      <c r="O82" s="31"/>
      <c r="P82" s="31"/>
      <c r="Q82" s="399"/>
      <c r="R82" s="399"/>
      <c r="S82" s="322"/>
      <c r="T82" s="322"/>
      <c r="U82" s="402"/>
      <c r="V82" s="403"/>
    </row>
    <row r="83" spans="1:22" x14ac:dyDescent="0.25">
      <c r="A83" s="29"/>
      <c r="B83" s="74"/>
      <c r="C83" s="75"/>
      <c r="D83" s="29"/>
      <c r="E83" s="29"/>
      <c r="F83" s="29"/>
      <c r="G83" s="29"/>
      <c r="H83" s="419"/>
      <c r="I83" s="27"/>
      <c r="J83" s="389"/>
      <c r="K83" s="389"/>
      <c r="L83" s="389"/>
      <c r="M83" s="420"/>
      <c r="N83" s="31"/>
      <c r="O83" s="31"/>
      <c r="P83" s="31"/>
      <c r="Q83" s="399"/>
      <c r="R83" s="399"/>
      <c r="S83" s="322"/>
      <c r="T83" s="322"/>
      <c r="U83" s="402"/>
      <c r="V83" s="403"/>
    </row>
    <row r="84" spans="1:22" x14ac:dyDescent="0.25">
      <c r="A84" s="29"/>
      <c r="B84" s="74"/>
      <c r="C84" s="75"/>
      <c r="D84" s="29"/>
      <c r="E84" s="29"/>
      <c r="F84" s="29"/>
      <c r="G84" s="29"/>
      <c r="H84" s="419"/>
      <c r="I84" s="27"/>
      <c r="J84" s="389"/>
      <c r="K84" s="389"/>
      <c r="L84" s="389"/>
      <c r="M84" s="420"/>
      <c r="N84" s="31"/>
      <c r="O84" s="31"/>
      <c r="P84" s="31"/>
      <c r="Q84" s="399"/>
      <c r="R84" s="399"/>
      <c r="S84" s="322"/>
      <c r="T84" s="322"/>
      <c r="U84" s="402"/>
      <c r="V84" s="403"/>
    </row>
    <row r="85" spans="1:22" x14ac:dyDescent="0.25">
      <c r="A85" s="29"/>
      <c r="B85" s="74"/>
      <c r="C85" s="75"/>
      <c r="D85" s="29"/>
      <c r="E85" s="29"/>
      <c r="F85" s="29"/>
      <c r="G85" s="29"/>
      <c r="H85" s="419"/>
      <c r="I85" s="27"/>
      <c r="J85" s="389"/>
      <c r="K85" s="389"/>
      <c r="L85" s="389"/>
      <c r="M85" s="420"/>
      <c r="N85" s="31"/>
      <c r="O85" s="31"/>
      <c r="P85" s="31"/>
      <c r="Q85" s="399"/>
      <c r="R85" s="399"/>
      <c r="S85" s="322"/>
      <c r="T85" s="322"/>
      <c r="U85" s="402"/>
      <c r="V85" s="403"/>
    </row>
    <row r="86" spans="1:22" x14ac:dyDescent="0.25">
      <c r="A86" s="383"/>
      <c r="B86" s="384"/>
      <c r="C86" s="385"/>
      <c r="D86" s="383"/>
      <c r="E86" s="383"/>
      <c r="F86" s="383"/>
      <c r="G86" s="383"/>
      <c r="H86" s="419"/>
      <c r="I86" s="413"/>
      <c r="J86" s="414"/>
      <c r="K86" s="414"/>
      <c r="L86" s="414"/>
      <c r="M86" s="420"/>
      <c r="N86" s="31"/>
      <c r="O86" s="31"/>
      <c r="P86" s="31"/>
      <c r="Q86" s="415"/>
      <c r="R86" s="415"/>
      <c r="S86" s="416"/>
      <c r="T86" s="416"/>
      <c r="U86" s="417"/>
      <c r="V86" s="403"/>
    </row>
    <row r="87" spans="1:22" x14ac:dyDescent="0.25">
      <c r="A87" s="383"/>
      <c r="B87" s="384"/>
      <c r="C87" s="385"/>
      <c r="D87" s="383"/>
      <c r="E87" s="383"/>
      <c r="F87" s="383"/>
      <c r="G87" s="383"/>
      <c r="H87" s="419"/>
      <c r="I87" s="413"/>
      <c r="J87" s="414"/>
      <c r="K87" s="414"/>
      <c r="L87" s="414"/>
      <c r="M87" s="420"/>
      <c r="N87" s="31"/>
      <c r="O87" s="31"/>
      <c r="P87" s="31"/>
      <c r="Q87" s="415"/>
      <c r="R87" s="415"/>
      <c r="S87" s="416"/>
      <c r="T87" s="416"/>
      <c r="U87" s="417"/>
      <c r="V87" s="403"/>
    </row>
    <row r="88" spans="1:22" x14ac:dyDescent="0.25">
      <c r="A88" s="383"/>
      <c r="B88" s="384"/>
      <c r="C88" s="385"/>
      <c r="D88" s="383"/>
      <c r="E88" s="383"/>
      <c r="F88" s="383"/>
      <c r="G88" s="383"/>
      <c r="H88" s="419"/>
      <c r="I88" s="413"/>
      <c r="J88" s="414"/>
      <c r="K88" s="414"/>
      <c r="L88" s="414"/>
      <c r="M88" s="420"/>
      <c r="N88" s="31"/>
      <c r="O88" s="31"/>
      <c r="P88" s="31"/>
      <c r="Q88" s="415"/>
      <c r="R88" s="415"/>
      <c r="S88" s="416"/>
      <c r="T88" s="416"/>
      <c r="U88" s="417"/>
      <c r="V88" s="403"/>
    </row>
    <row r="89" spans="1:22" x14ac:dyDescent="0.25">
      <c r="A89" s="383"/>
      <c r="B89" s="384"/>
      <c r="C89" s="385"/>
      <c r="D89" s="383"/>
      <c r="E89" s="383"/>
      <c r="F89" s="383"/>
      <c r="G89" s="383"/>
      <c r="H89" s="419"/>
      <c r="I89" s="413"/>
      <c r="J89" s="414"/>
      <c r="K89" s="414"/>
      <c r="L89" s="414"/>
      <c r="M89" s="420"/>
      <c r="N89" s="31"/>
      <c r="O89" s="31"/>
      <c r="P89" s="31"/>
      <c r="Q89" s="415"/>
      <c r="R89" s="415"/>
      <c r="S89" s="416"/>
      <c r="T89" s="416"/>
      <c r="U89" s="417"/>
      <c r="V89" s="403"/>
    </row>
    <row r="90" spans="1:22" x14ac:dyDescent="0.25">
      <c r="A90" s="383"/>
      <c r="B90" s="384"/>
      <c r="C90" s="385"/>
      <c r="D90" s="383"/>
      <c r="E90" s="383"/>
      <c r="F90" s="383"/>
      <c r="G90" s="383"/>
      <c r="H90" s="419"/>
      <c r="I90" s="413"/>
      <c r="J90" s="414"/>
      <c r="K90" s="414"/>
      <c r="L90" s="414"/>
      <c r="M90" s="420"/>
      <c r="N90" s="31"/>
      <c r="O90" s="31"/>
      <c r="P90" s="31"/>
      <c r="Q90" s="415"/>
      <c r="R90" s="415"/>
      <c r="S90" s="416"/>
      <c r="T90" s="416"/>
      <c r="U90" s="417"/>
      <c r="V90" s="403"/>
    </row>
    <row r="91" spans="1:22" x14ac:dyDescent="0.25">
      <c r="A91" s="29"/>
      <c r="B91" s="74"/>
      <c r="C91" s="75"/>
      <c r="D91" s="29"/>
      <c r="E91" s="29"/>
      <c r="F91" s="29"/>
      <c r="G91" s="29"/>
      <c r="H91" s="419"/>
      <c r="I91" s="27"/>
      <c r="J91" s="389"/>
      <c r="K91" s="389"/>
      <c r="L91" s="389"/>
      <c r="M91" s="420"/>
      <c r="N91" s="31"/>
      <c r="O91" s="31"/>
      <c r="P91" s="31"/>
      <c r="Q91" s="399"/>
      <c r="R91" s="399"/>
      <c r="S91" s="322"/>
      <c r="T91" s="322"/>
      <c r="U91" s="402"/>
      <c r="V91" s="403"/>
    </row>
    <row r="92" spans="1:22" x14ac:dyDescent="0.25">
      <c r="A92" s="29"/>
      <c r="B92" s="74"/>
      <c r="C92" s="75"/>
      <c r="D92" s="29"/>
      <c r="E92" s="29"/>
      <c r="F92" s="29"/>
      <c r="G92" s="29"/>
      <c r="H92" s="419"/>
      <c r="I92" s="27"/>
      <c r="J92" s="389"/>
      <c r="K92" s="389"/>
      <c r="L92" s="389"/>
      <c r="M92" s="420"/>
      <c r="N92" s="31"/>
      <c r="O92" s="31"/>
      <c r="P92" s="31"/>
      <c r="Q92" s="399"/>
      <c r="R92" s="399"/>
      <c r="S92" s="322"/>
      <c r="T92" s="322"/>
      <c r="U92" s="402"/>
      <c r="V92" s="403"/>
    </row>
    <row r="93" spans="1:22" x14ac:dyDescent="0.25">
      <c r="A93" s="29"/>
      <c r="B93" s="74"/>
      <c r="C93" s="75"/>
      <c r="D93" s="29"/>
      <c r="E93" s="29"/>
      <c r="F93" s="29"/>
      <c r="G93" s="29"/>
      <c r="H93" s="419"/>
      <c r="I93" s="27"/>
      <c r="J93" s="389"/>
      <c r="K93" s="389"/>
      <c r="L93" s="389"/>
      <c r="M93" s="420"/>
      <c r="N93" s="31"/>
      <c r="O93" s="31"/>
      <c r="P93" s="31"/>
      <c r="Q93" s="399"/>
      <c r="R93" s="399"/>
      <c r="S93" s="322"/>
      <c r="T93" s="322"/>
      <c r="U93" s="402"/>
      <c r="V93" s="403"/>
    </row>
    <row r="94" spans="1:22" x14ac:dyDescent="0.25">
      <c r="A94" s="29"/>
      <c r="B94" s="74"/>
      <c r="C94" s="75"/>
      <c r="D94" s="29"/>
      <c r="E94" s="29"/>
      <c r="F94" s="29"/>
      <c r="G94" s="29"/>
      <c r="H94" s="419"/>
      <c r="I94" s="27"/>
      <c r="J94" s="389"/>
      <c r="K94" s="389"/>
      <c r="L94" s="389"/>
      <c r="M94" s="420"/>
      <c r="N94" s="31"/>
      <c r="O94" s="31"/>
      <c r="P94" s="31"/>
      <c r="Q94" s="399"/>
      <c r="R94" s="399"/>
      <c r="S94" s="322"/>
      <c r="T94" s="322"/>
      <c r="U94" s="402"/>
      <c r="V94" s="403"/>
    </row>
    <row r="95" spans="1:22" x14ac:dyDescent="0.25">
      <c r="A95" s="29"/>
      <c r="B95" s="74"/>
      <c r="C95" s="75"/>
      <c r="D95" s="29"/>
      <c r="E95" s="29"/>
      <c r="F95" s="29"/>
      <c r="G95" s="29"/>
      <c r="H95" s="419"/>
      <c r="I95" s="27"/>
      <c r="J95" s="389"/>
      <c r="K95" s="389"/>
      <c r="L95" s="389"/>
      <c r="M95" s="420"/>
      <c r="N95" s="31"/>
      <c r="O95" s="31"/>
      <c r="P95" s="31"/>
      <c r="Q95" s="399"/>
      <c r="R95" s="399"/>
      <c r="S95" s="322"/>
      <c r="T95" s="322"/>
      <c r="U95" s="402"/>
      <c r="V95" s="403"/>
    </row>
    <row r="96" spans="1:22" x14ac:dyDescent="0.25">
      <c r="A96" s="383"/>
      <c r="B96" s="384"/>
      <c r="C96" s="385"/>
      <c r="D96" s="383"/>
      <c r="E96" s="383"/>
      <c r="F96" s="383"/>
      <c r="G96" s="383"/>
      <c r="H96" s="419"/>
      <c r="I96" s="413"/>
      <c r="J96" s="414"/>
      <c r="K96" s="414"/>
      <c r="L96" s="414"/>
      <c r="M96" s="420"/>
      <c r="N96" s="31"/>
      <c r="O96" s="31"/>
      <c r="P96" s="31"/>
      <c r="Q96" s="415"/>
      <c r="R96" s="415"/>
      <c r="S96" s="416"/>
      <c r="T96" s="416"/>
      <c r="U96" s="417"/>
      <c r="V96" s="403"/>
    </row>
    <row r="97" spans="1:22" x14ac:dyDescent="0.25">
      <c r="A97" s="383"/>
      <c r="B97" s="384"/>
      <c r="C97" s="385"/>
      <c r="D97" s="383"/>
      <c r="E97" s="383"/>
      <c r="F97" s="383"/>
      <c r="G97" s="383"/>
      <c r="H97" s="419"/>
      <c r="I97" s="413"/>
      <c r="J97" s="414"/>
      <c r="K97" s="414"/>
      <c r="L97" s="414"/>
      <c r="M97" s="420"/>
      <c r="N97" s="31"/>
      <c r="O97" s="31"/>
      <c r="P97" s="31"/>
      <c r="Q97" s="415"/>
      <c r="R97" s="415"/>
      <c r="S97" s="416"/>
      <c r="T97" s="416"/>
      <c r="U97" s="417"/>
      <c r="V97" s="403"/>
    </row>
    <row r="98" spans="1:22" x14ac:dyDescent="0.25">
      <c r="A98" s="383"/>
      <c r="B98" s="384"/>
      <c r="C98" s="385"/>
      <c r="D98" s="383"/>
      <c r="E98" s="383"/>
      <c r="F98" s="383"/>
      <c r="G98" s="383"/>
      <c r="H98" s="419"/>
      <c r="I98" s="413"/>
      <c r="J98" s="414"/>
      <c r="K98" s="414"/>
      <c r="L98" s="414"/>
      <c r="M98" s="420"/>
      <c r="N98" s="31"/>
      <c r="O98" s="31"/>
      <c r="P98" s="31"/>
      <c r="Q98" s="415"/>
      <c r="R98" s="415"/>
      <c r="S98" s="416"/>
      <c r="T98" s="416"/>
      <c r="U98" s="417"/>
      <c r="V98" s="403"/>
    </row>
    <row r="99" spans="1:22" x14ac:dyDescent="0.25">
      <c r="A99" s="383"/>
      <c r="B99" s="384"/>
      <c r="C99" s="385"/>
      <c r="D99" s="383"/>
      <c r="E99" s="383"/>
      <c r="F99" s="383"/>
      <c r="G99" s="383"/>
      <c r="H99" s="419"/>
      <c r="I99" s="413"/>
      <c r="J99" s="414"/>
      <c r="K99" s="414"/>
      <c r="L99" s="414"/>
      <c r="M99" s="420"/>
      <c r="N99" s="31"/>
      <c r="O99" s="31"/>
      <c r="P99" s="31"/>
      <c r="Q99" s="415"/>
      <c r="R99" s="415"/>
      <c r="S99" s="416"/>
      <c r="T99" s="416"/>
      <c r="U99" s="417"/>
      <c r="V99" s="403"/>
    </row>
    <row r="100" spans="1:22" x14ac:dyDescent="0.25">
      <c r="A100" s="383"/>
      <c r="B100" s="384"/>
      <c r="C100" s="385"/>
      <c r="D100" s="383"/>
      <c r="E100" s="383"/>
      <c r="F100" s="383"/>
      <c r="G100" s="383"/>
      <c r="H100" s="419"/>
      <c r="I100" s="413"/>
      <c r="J100" s="414"/>
      <c r="K100" s="414"/>
      <c r="L100" s="414"/>
      <c r="M100" s="420"/>
      <c r="N100" s="31"/>
      <c r="O100" s="31"/>
      <c r="P100" s="31"/>
      <c r="Q100" s="415"/>
      <c r="R100" s="415"/>
      <c r="S100" s="416"/>
      <c r="T100" s="416"/>
      <c r="U100" s="417"/>
      <c r="V100" s="403"/>
    </row>
    <row r="101" spans="1:22" x14ac:dyDescent="0.25">
      <c r="A101" s="29"/>
      <c r="B101" s="74"/>
      <c r="C101" s="75"/>
      <c r="D101" s="29"/>
      <c r="E101" s="29"/>
      <c r="F101" s="29"/>
      <c r="G101" s="29"/>
      <c r="H101" s="419"/>
      <c r="I101" s="27"/>
      <c r="J101" s="389"/>
      <c r="K101" s="389"/>
      <c r="L101" s="389"/>
      <c r="M101" s="420"/>
      <c r="N101" s="31"/>
      <c r="O101" s="31"/>
      <c r="P101" s="31"/>
      <c r="Q101" s="399"/>
      <c r="R101" s="399"/>
      <c r="S101" s="322"/>
      <c r="T101" s="322"/>
      <c r="U101" s="402"/>
      <c r="V101" s="403"/>
    </row>
    <row r="102" spans="1:22" x14ac:dyDescent="0.25">
      <c r="A102" s="29"/>
      <c r="B102" s="74"/>
      <c r="C102" s="75"/>
      <c r="D102" s="29"/>
      <c r="E102" s="29"/>
      <c r="F102" s="29"/>
      <c r="G102" s="29"/>
      <c r="H102" s="419"/>
      <c r="I102" s="27"/>
      <c r="J102" s="389"/>
      <c r="K102" s="389"/>
      <c r="L102" s="389"/>
      <c r="M102" s="420"/>
      <c r="N102" s="31"/>
      <c r="O102" s="31"/>
      <c r="P102" s="31"/>
      <c r="Q102" s="399"/>
      <c r="R102" s="399"/>
      <c r="S102" s="322"/>
      <c r="T102" s="322"/>
      <c r="U102" s="402"/>
      <c r="V102" s="403"/>
    </row>
    <row r="103" spans="1:22" x14ac:dyDescent="0.25">
      <c r="A103" s="29"/>
      <c r="B103" s="74"/>
      <c r="C103" s="75"/>
      <c r="D103" s="29"/>
      <c r="E103" s="29"/>
      <c r="F103" s="29"/>
      <c r="G103" s="29"/>
      <c r="H103" s="419"/>
      <c r="I103" s="27"/>
      <c r="J103" s="389"/>
      <c r="K103" s="389"/>
      <c r="L103" s="389"/>
      <c r="M103" s="420"/>
      <c r="N103" s="31"/>
      <c r="O103" s="31"/>
      <c r="P103" s="31"/>
      <c r="Q103" s="399"/>
      <c r="R103" s="399"/>
      <c r="S103" s="322"/>
      <c r="T103" s="322"/>
      <c r="U103" s="402"/>
      <c r="V103" s="403"/>
    </row>
    <row r="104" spans="1:22" x14ac:dyDescent="0.25">
      <c r="A104" s="29"/>
      <c r="B104" s="74"/>
      <c r="C104" s="75"/>
      <c r="D104" s="29"/>
      <c r="E104" s="29"/>
      <c r="F104" s="29"/>
      <c r="G104" s="29"/>
      <c r="H104" s="419"/>
      <c r="I104" s="27"/>
      <c r="J104" s="389"/>
      <c r="K104" s="389"/>
      <c r="L104" s="389"/>
      <c r="M104" s="420"/>
      <c r="N104" s="31"/>
      <c r="O104" s="31"/>
      <c r="P104" s="31"/>
      <c r="Q104" s="399"/>
      <c r="R104" s="399"/>
      <c r="S104" s="322"/>
      <c r="T104" s="322"/>
      <c r="U104" s="402"/>
      <c r="V104" s="403"/>
    </row>
    <row r="105" spans="1:22" x14ac:dyDescent="0.25">
      <c r="A105" s="29"/>
      <c r="B105" s="74"/>
      <c r="C105" s="75"/>
      <c r="D105" s="29"/>
      <c r="E105" s="29"/>
      <c r="F105" s="29"/>
      <c r="G105" s="29"/>
      <c r="H105" s="419"/>
      <c r="I105" s="27"/>
      <c r="J105" s="389"/>
      <c r="K105" s="389"/>
      <c r="L105" s="389"/>
      <c r="M105" s="420"/>
      <c r="N105" s="31"/>
      <c r="O105" s="31"/>
      <c r="P105" s="31"/>
      <c r="Q105" s="399"/>
      <c r="R105" s="399"/>
      <c r="S105" s="322"/>
      <c r="T105" s="322"/>
      <c r="U105" s="402"/>
      <c r="V105" s="403"/>
    </row>
    <row r="106" spans="1:22" x14ac:dyDescent="0.25">
      <c r="A106" s="383"/>
      <c r="B106" s="384"/>
      <c r="C106" s="385"/>
      <c r="D106" s="383"/>
      <c r="E106" s="383"/>
      <c r="F106" s="383"/>
      <c r="G106" s="383"/>
      <c r="H106" s="419"/>
      <c r="I106" s="413"/>
      <c r="J106" s="414"/>
      <c r="K106" s="414"/>
      <c r="L106" s="414"/>
      <c r="M106" s="420"/>
      <c r="N106" s="31"/>
      <c r="O106" s="31"/>
      <c r="P106" s="31"/>
      <c r="Q106" s="415"/>
      <c r="R106" s="415"/>
      <c r="S106" s="416"/>
      <c r="T106" s="416"/>
      <c r="U106" s="417"/>
      <c r="V106" s="403"/>
    </row>
    <row r="107" spans="1:22" x14ac:dyDescent="0.25">
      <c r="A107" s="383"/>
      <c r="B107" s="384"/>
      <c r="C107" s="385"/>
      <c r="D107" s="383"/>
      <c r="E107" s="383"/>
      <c r="F107" s="383"/>
      <c r="G107" s="383"/>
      <c r="H107" s="419"/>
      <c r="I107" s="413"/>
      <c r="J107" s="414"/>
      <c r="K107" s="414"/>
      <c r="L107" s="414"/>
      <c r="M107" s="420"/>
      <c r="N107" s="31"/>
      <c r="O107" s="31"/>
      <c r="P107" s="31"/>
      <c r="Q107" s="415"/>
      <c r="R107" s="415"/>
      <c r="S107" s="416"/>
      <c r="T107" s="416"/>
      <c r="U107" s="417"/>
      <c r="V107" s="403"/>
    </row>
    <row r="108" spans="1:22" x14ac:dyDescent="0.25">
      <c r="A108" s="383"/>
      <c r="B108" s="384"/>
      <c r="C108" s="385"/>
      <c r="D108" s="383"/>
      <c r="E108" s="383"/>
      <c r="F108" s="383"/>
      <c r="G108" s="383"/>
      <c r="H108" s="419"/>
      <c r="I108" s="413"/>
      <c r="J108" s="414"/>
      <c r="K108" s="414"/>
      <c r="L108" s="414"/>
      <c r="M108" s="420"/>
      <c r="N108" s="31"/>
      <c r="O108" s="31"/>
      <c r="P108" s="31"/>
      <c r="Q108" s="415"/>
      <c r="R108" s="415"/>
      <c r="S108" s="416"/>
      <c r="T108" s="416"/>
      <c r="U108" s="417"/>
      <c r="V108" s="403"/>
    </row>
    <row r="109" spans="1:22" x14ac:dyDescent="0.25">
      <c r="A109" s="383"/>
      <c r="B109" s="384"/>
      <c r="C109" s="385"/>
      <c r="D109" s="383"/>
      <c r="E109" s="383"/>
      <c r="F109" s="383"/>
      <c r="G109" s="383"/>
      <c r="H109" s="419"/>
      <c r="I109" s="413"/>
      <c r="J109" s="414"/>
      <c r="K109" s="414"/>
      <c r="L109" s="414"/>
      <c r="M109" s="420"/>
      <c r="N109" s="31"/>
      <c r="O109" s="31"/>
      <c r="P109" s="31"/>
      <c r="Q109" s="415"/>
      <c r="R109" s="415"/>
      <c r="S109" s="416"/>
      <c r="T109" s="416"/>
      <c r="U109" s="417"/>
      <c r="V109" s="403"/>
    </row>
    <row r="110" spans="1:22" x14ac:dyDescent="0.25">
      <c r="A110" s="383"/>
      <c r="B110" s="384"/>
      <c r="C110" s="385"/>
      <c r="D110" s="383"/>
      <c r="E110" s="383"/>
      <c r="F110" s="383"/>
      <c r="G110" s="383"/>
      <c r="H110" s="419"/>
      <c r="I110" s="413"/>
      <c r="J110" s="414"/>
      <c r="K110" s="414"/>
      <c r="L110" s="414"/>
      <c r="M110" s="420"/>
      <c r="N110" s="31"/>
      <c r="O110" s="31"/>
      <c r="P110" s="31"/>
      <c r="Q110" s="415"/>
      <c r="R110" s="415"/>
      <c r="S110" s="416"/>
      <c r="T110" s="416"/>
      <c r="U110" s="417"/>
      <c r="V110" s="403"/>
    </row>
    <row r="111" spans="1:22" x14ac:dyDescent="0.25">
      <c r="A111" s="29"/>
      <c r="B111" s="74"/>
      <c r="C111" s="75"/>
      <c r="D111" s="29"/>
      <c r="E111" s="29"/>
      <c r="F111" s="29"/>
      <c r="G111" s="29"/>
      <c r="H111" s="419"/>
      <c r="I111" s="27"/>
      <c r="J111" s="389"/>
      <c r="K111" s="389"/>
      <c r="L111" s="389"/>
      <c r="M111" s="420"/>
      <c r="N111" s="31"/>
      <c r="O111" s="31"/>
      <c r="P111" s="31"/>
      <c r="Q111" s="399"/>
      <c r="R111" s="399"/>
      <c r="S111" s="322"/>
      <c r="T111" s="322"/>
      <c r="U111" s="402"/>
      <c r="V111" s="403"/>
    </row>
    <row r="112" spans="1:22" x14ac:dyDescent="0.25">
      <c r="A112" s="29"/>
      <c r="B112" s="74"/>
      <c r="C112" s="75"/>
      <c r="D112" s="29"/>
      <c r="E112" s="29"/>
      <c r="F112" s="29"/>
      <c r="G112" s="29"/>
      <c r="H112" s="419"/>
      <c r="I112" s="27"/>
      <c r="J112" s="389"/>
      <c r="K112" s="389"/>
      <c r="L112" s="389"/>
      <c r="M112" s="420"/>
      <c r="N112" s="31"/>
      <c r="O112" s="31"/>
      <c r="P112" s="31"/>
      <c r="Q112" s="399"/>
      <c r="R112" s="399"/>
      <c r="S112" s="322"/>
      <c r="T112" s="322"/>
      <c r="U112" s="402"/>
      <c r="V112" s="403"/>
    </row>
    <row r="113" spans="1:22" x14ac:dyDescent="0.25">
      <c r="A113" s="29"/>
      <c r="B113" s="74"/>
      <c r="C113" s="75"/>
      <c r="D113" s="29"/>
      <c r="E113" s="29"/>
      <c r="F113" s="29"/>
      <c r="G113" s="29"/>
      <c r="H113" s="419"/>
      <c r="I113" s="27"/>
      <c r="J113" s="389"/>
      <c r="K113" s="389"/>
      <c r="L113" s="389"/>
      <c r="M113" s="420"/>
      <c r="N113" s="31"/>
      <c r="O113" s="31"/>
      <c r="P113" s="31"/>
      <c r="Q113" s="399"/>
      <c r="R113" s="399"/>
      <c r="S113" s="322"/>
      <c r="T113" s="322"/>
      <c r="U113" s="402"/>
      <c r="V113" s="403"/>
    </row>
    <row r="114" spans="1:22" x14ac:dyDescent="0.25">
      <c r="A114" s="29"/>
      <c r="B114" s="74"/>
      <c r="C114" s="75"/>
      <c r="D114" s="29"/>
      <c r="E114" s="29"/>
      <c r="F114" s="29"/>
      <c r="G114" s="29"/>
      <c r="H114" s="419"/>
      <c r="I114" s="27"/>
      <c r="J114" s="389"/>
      <c r="K114" s="389"/>
      <c r="L114" s="389"/>
      <c r="M114" s="420"/>
      <c r="N114" s="31"/>
      <c r="O114" s="31"/>
      <c r="P114" s="31"/>
      <c r="Q114" s="399"/>
      <c r="R114" s="399"/>
      <c r="S114" s="322"/>
      <c r="T114" s="322"/>
      <c r="U114" s="402"/>
      <c r="V114" s="403"/>
    </row>
    <row r="115" spans="1:22" x14ac:dyDescent="0.25">
      <c r="A115" s="29"/>
      <c r="B115" s="74"/>
      <c r="C115" s="75"/>
      <c r="D115" s="29"/>
      <c r="E115" s="29"/>
      <c r="F115" s="29"/>
      <c r="G115" s="29"/>
      <c r="H115" s="419"/>
      <c r="I115" s="27"/>
      <c r="J115" s="389"/>
      <c r="K115" s="389"/>
      <c r="L115" s="389"/>
      <c r="M115" s="420"/>
      <c r="N115" s="31"/>
      <c r="O115" s="31"/>
      <c r="P115" s="31"/>
      <c r="Q115" s="399"/>
      <c r="R115" s="399"/>
      <c r="S115" s="322"/>
      <c r="T115" s="322"/>
      <c r="U115" s="402"/>
      <c r="V115" s="403"/>
    </row>
    <row r="116" spans="1:22" x14ac:dyDescent="0.25">
      <c r="A116" s="383"/>
      <c r="B116" s="384"/>
      <c r="C116" s="385"/>
      <c r="D116" s="383"/>
      <c r="E116" s="383"/>
      <c r="F116" s="383"/>
      <c r="G116" s="383"/>
      <c r="H116" s="419"/>
      <c r="I116" s="413"/>
      <c r="J116" s="414"/>
      <c r="K116" s="414"/>
      <c r="L116" s="414"/>
      <c r="M116" s="420"/>
      <c r="N116" s="31"/>
      <c r="O116" s="31"/>
      <c r="P116" s="31"/>
      <c r="Q116" s="415"/>
      <c r="R116" s="415"/>
      <c r="S116" s="416"/>
      <c r="T116" s="416"/>
      <c r="U116" s="417"/>
      <c r="V116" s="403"/>
    </row>
    <row r="117" spans="1:22" x14ac:dyDescent="0.25">
      <c r="A117" s="383"/>
      <c r="B117" s="384"/>
      <c r="C117" s="385"/>
      <c r="D117" s="383"/>
      <c r="E117" s="383"/>
      <c r="F117" s="383"/>
      <c r="G117" s="383"/>
      <c r="H117" s="419"/>
      <c r="I117" s="413"/>
      <c r="J117" s="414"/>
      <c r="K117" s="414"/>
      <c r="L117" s="414"/>
      <c r="M117" s="420"/>
      <c r="N117" s="31"/>
      <c r="O117" s="31"/>
      <c r="P117" s="31"/>
      <c r="Q117" s="415"/>
      <c r="R117" s="415"/>
      <c r="S117" s="416"/>
      <c r="T117" s="416"/>
      <c r="U117" s="417"/>
      <c r="V117" s="403"/>
    </row>
    <row r="118" spans="1:22" x14ac:dyDescent="0.25">
      <c r="A118" s="383"/>
      <c r="B118" s="384"/>
      <c r="C118" s="385"/>
      <c r="D118" s="383"/>
      <c r="E118" s="383"/>
      <c r="F118" s="383"/>
      <c r="G118" s="383"/>
      <c r="H118" s="419"/>
      <c r="I118" s="413"/>
      <c r="J118" s="414"/>
      <c r="K118" s="414"/>
      <c r="L118" s="414"/>
      <c r="M118" s="420"/>
      <c r="N118" s="31"/>
      <c r="O118" s="31"/>
      <c r="P118" s="31"/>
      <c r="Q118" s="415"/>
      <c r="R118" s="415"/>
      <c r="S118" s="416"/>
      <c r="T118" s="416"/>
      <c r="U118" s="417"/>
      <c r="V118" s="403"/>
    </row>
    <row r="119" spans="1:22" x14ac:dyDescent="0.25">
      <c r="A119" s="383"/>
      <c r="B119" s="384"/>
      <c r="C119" s="385"/>
      <c r="D119" s="383"/>
      <c r="E119" s="383"/>
      <c r="F119" s="383"/>
      <c r="G119" s="383"/>
      <c r="H119" s="419"/>
      <c r="I119" s="413"/>
      <c r="J119" s="414"/>
      <c r="K119" s="414"/>
      <c r="L119" s="414"/>
      <c r="M119" s="420"/>
      <c r="N119" s="31"/>
      <c r="O119" s="31"/>
      <c r="P119" s="31"/>
      <c r="Q119" s="415"/>
      <c r="R119" s="415"/>
      <c r="S119" s="416"/>
      <c r="T119" s="416"/>
      <c r="U119" s="417"/>
      <c r="V119" s="403"/>
    </row>
    <row r="120" spans="1:22" x14ac:dyDescent="0.25">
      <c r="A120" s="383"/>
      <c r="B120" s="384"/>
      <c r="C120" s="385"/>
      <c r="D120" s="383"/>
      <c r="E120" s="383"/>
      <c r="F120" s="383"/>
      <c r="G120" s="383"/>
      <c r="H120" s="419"/>
      <c r="I120" s="413"/>
      <c r="J120" s="414"/>
      <c r="K120" s="414"/>
      <c r="L120" s="414"/>
      <c r="M120" s="420"/>
      <c r="N120" s="31"/>
      <c r="O120" s="31"/>
      <c r="P120" s="31"/>
      <c r="Q120" s="415"/>
      <c r="R120" s="415"/>
      <c r="S120" s="416"/>
      <c r="T120" s="416"/>
      <c r="U120" s="417"/>
      <c r="V120" s="403"/>
    </row>
    <row r="121" spans="1:22" x14ac:dyDescent="0.25">
      <c r="A121" s="29"/>
      <c r="B121" s="74"/>
      <c r="C121" s="75"/>
      <c r="D121" s="29"/>
      <c r="E121" s="29"/>
      <c r="F121" s="29"/>
      <c r="G121" s="29"/>
      <c r="H121" s="419"/>
      <c r="I121" s="27"/>
      <c r="J121" s="389"/>
      <c r="K121" s="389"/>
      <c r="L121" s="389"/>
      <c r="M121" s="420"/>
      <c r="N121" s="31"/>
      <c r="O121" s="31"/>
      <c r="P121" s="31"/>
      <c r="Q121" s="399"/>
      <c r="R121" s="399"/>
      <c r="S121" s="322"/>
      <c r="T121" s="322"/>
      <c r="U121" s="402"/>
      <c r="V121" s="403"/>
    </row>
    <row r="122" spans="1:22" x14ac:dyDescent="0.25">
      <c r="A122" s="29"/>
      <c r="B122" s="74"/>
      <c r="C122" s="75"/>
      <c r="D122" s="29"/>
      <c r="E122" s="29"/>
      <c r="F122" s="29"/>
      <c r="G122" s="29"/>
      <c r="H122" s="419"/>
      <c r="I122" s="27"/>
      <c r="J122" s="389"/>
      <c r="K122" s="389"/>
      <c r="L122" s="389"/>
      <c r="M122" s="420"/>
      <c r="N122" s="31"/>
      <c r="O122" s="31"/>
      <c r="P122" s="31"/>
      <c r="Q122" s="399"/>
      <c r="R122" s="399"/>
      <c r="S122" s="322"/>
      <c r="T122" s="322"/>
      <c r="U122" s="402"/>
      <c r="V122" s="403"/>
    </row>
    <row r="123" spans="1:22" x14ac:dyDescent="0.25">
      <c r="A123" s="29"/>
      <c r="B123" s="74"/>
      <c r="C123" s="75"/>
      <c r="D123" s="29"/>
      <c r="E123" s="29"/>
      <c r="F123" s="29"/>
      <c r="G123" s="29"/>
      <c r="H123" s="419"/>
      <c r="I123" s="27"/>
      <c r="J123" s="389"/>
      <c r="K123" s="389"/>
      <c r="L123" s="389"/>
      <c r="M123" s="420"/>
      <c r="N123" s="31"/>
      <c r="O123" s="31"/>
      <c r="P123" s="31"/>
      <c r="Q123" s="399"/>
      <c r="R123" s="399"/>
      <c r="S123" s="322"/>
      <c r="T123" s="322"/>
      <c r="U123" s="402"/>
      <c r="V123" s="403"/>
    </row>
    <row r="124" spans="1:22" x14ac:dyDescent="0.25">
      <c r="A124" s="29"/>
      <c r="B124" s="74"/>
      <c r="C124" s="75"/>
      <c r="D124" s="29"/>
      <c r="E124" s="29"/>
      <c r="F124" s="29"/>
      <c r="G124" s="29"/>
      <c r="H124" s="419"/>
      <c r="I124" s="27"/>
      <c r="J124" s="389"/>
      <c r="K124" s="389"/>
      <c r="L124" s="389"/>
      <c r="M124" s="420"/>
      <c r="N124" s="31"/>
      <c r="O124" s="31"/>
      <c r="P124" s="31"/>
      <c r="Q124" s="399"/>
      <c r="R124" s="399"/>
      <c r="S124" s="322"/>
      <c r="T124" s="322"/>
      <c r="U124" s="402"/>
      <c r="V124" s="403"/>
    </row>
    <row r="125" spans="1:22" x14ac:dyDescent="0.25">
      <c r="A125" s="29"/>
      <c r="B125" s="74"/>
      <c r="C125" s="75"/>
      <c r="D125" s="29"/>
      <c r="E125" s="29"/>
      <c r="F125" s="29"/>
      <c r="G125" s="29"/>
      <c r="H125" s="419"/>
      <c r="I125" s="27"/>
      <c r="J125" s="389"/>
      <c r="K125" s="389"/>
      <c r="L125" s="389"/>
      <c r="M125" s="420"/>
      <c r="N125" s="31"/>
      <c r="O125" s="31"/>
      <c r="P125" s="31"/>
      <c r="Q125" s="399"/>
      <c r="R125" s="399"/>
      <c r="S125" s="322"/>
      <c r="T125" s="322"/>
      <c r="U125" s="402"/>
      <c r="V125" s="403"/>
    </row>
    <row r="126" spans="1:22" x14ac:dyDescent="0.25">
      <c r="A126" s="383"/>
      <c r="B126" s="384"/>
      <c r="C126" s="385"/>
      <c r="D126" s="383"/>
      <c r="E126" s="383"/>
      <c r="F126" s="383"/>
      <c r="G126" s="383"/>
      <c r="H126" s="419"/>
      <c r="I126" s="413"/>
      <c r="J126" s="414"/>
      <c r="K126" s="414"/>
      <c r="L126" s="414"/>
      <c r="M126" s="420"/>
      <c r="N126" s="31"/>
      <c r="O126" s="31"/>
      <c r="P126" s="31"/>
      <c r="Q126" s="415"/>
      <c r="R126" s="415"/>
      <c r="S126" s="416"/>
      <c r="T126" s="416"/>
      <c r="U126" s="417"/>
      <c r="V126" s="403"/>
    </row>
    <row r="127" spans="1:22" x14ac:dyDescent="0.25">
      <c r="A127" s="383"/>
      <c r="B127" s="384"/>
      <c r="C127" s="385"/>
      <c r="D127" s="383"/>
      <c r="E127" s="383"/>
      <c r="F127" s="383"/>
      <c r="G127" s="383"/>
      <c r="H127" s="419"/>
      <c r="I127" s="413"/>
      <c r="J127" s="414"/>
      <c r="K127" s="414"/>
      <c r="L127" s="414"/>
      <c r="M127" s="420"/>
      <c r="N127" s="31"/>
      <c r="O127" s="31"/>
      <c r="P127" s="31"/>
      <c r="Q127" s="415"/>
      <c r="R127" s="415"/>
      <c r="S127" s="416"/>
      <c r="T127" s="416"/>
      <c r="U127" s="417"/>
      <c r="V127" s="403"/>
    </row>
    <row r="128" spans="1:22" x14ac:dyDescent="0.25">
      <c r="A128" s="383"/>
      <c r="B128" s="384"/>
      <c r="C128" s="385"/>
      <c r="D128" s="383"/>
      <c r="E128" s="383"/>
      <c r="F128" s="383"/>
      <c r="G128" s="383"/>
      <c r="H128" s="419"/>
      <c r="I128" s="413"/>
      <c r="J128" s="414"/>
      <c r="K128" s="414"/>
      <c r="L128" s="414"/>
      <c r="M128" s="420"/>
      <c r="N128" s="31"/>
      <c r="O128" s="31"/>
      <c r="P128" s="31"/>
      <c r="Q128" s="415"/>
      <c r="R128" s="415"/>
      <c r="S128" s="416"/>
      <c r="T128" s="416"/>
      <c r="U128" s="417"/>
      <c r="V128" s="403"/>
    </row>
    <row r="129" spans="1:22" x14ac:dyDescent="0.25">
      <c r="A129" s="383"/>
      <c r="B129" s="384"/>
      <c r="C129" s="385"/>
      <c r="D129" s="383"/>
      <c r="E129" s="383"/>
      <c r="F129" s="383"/>
      <c r="G129" s="383"/>
      <c r="H129" s="419"/>
      <c r="I129" s="413"/>
      <c r="J129" s="414"/>
      <c r="K129" s="414"/>
      <c r="L129" s="414"/>
      <c r="M129" s="420"/>
      <c r="N129" s="31"/>
      <c r="O129" s="31"/>
      <c r="P129" s="31"/>
      <c r="Q129" s="415"/>
      <c r="R129" s="415"/>
      <c r="S129" s="416"/>
      <c r="T129" s="416"/>
      <c r="U129" s="417"/>
      <c r="V129" s="403"/>
    </row>
    <row r="130" spans="1:22" x14ac:dyDescent="0.25">
      <c r="A130" s="383"/>
      <c r="B130" s="384"/>
      <c r="C130" s="385"/>
      <c r="D130" s="383"/>
      <c r="E130" s="383"/>
      <c r="F130" s="383"/>
      <c r="G130" s="383"/>
      <c r="H130" s="419"/>
      <c r="I130" s="413"/>
      <c r="J130" s="414"/>
      <c r="K130" s="414"/>
      <c r="L130" s="414"/>
      <c r="M130" s="420"/>
      <c r="N130" s="31"/>
      <c r="O130" s="31"/>
      <c r="P130" s="31"/>
      <c r="Q130" s="415"/>
      <c r="R130" s="415"/>
      <c r="S130" s="416"/>
      <c r="T130" s="416"/>
      <c r="U130" s="417"/>
      <c r="V130" s="403"/>
    </row>
    <row r="131" spans="1:22" x14ac:dyDescent="0.25">
      <c r="A131" s="29"/>
      <c r="B131" s="74"/>
      <c r="C131" s="75"/>
      <c r="D131" s="29"/>
      <c r="E131" s="29"/>
      <c r="F131" s="29"/>
      <c r="G131" s="29"/>
      <c r="H131" s="419"/>
      <c r="I131" s="27"/>
      <c r="J131" s="389"/>
      <c r="K131" s="389"/>
      <c r="L131" s="389"/>
      <c r="M131" s="420"/>
      <c r="N131" s="31"/>
      <c r="O131" s="31"/>
      <c r="P131" s="31"/>
      <c r="Q131" s="399"/>
      <c r="R131" s="399"/>
      <c r="S131" s="322"/>
      <c r="T131" s="322"/>
      <c r="U131" s="402"/>
      <c r="V131" s="403"/>
    </row>
    <row r="132" spans="1:22" x14ac:dyDescent="0.25">
      <c r="A132" s="29"/>
      <c r="B132" s="74"/>
      <c r="C132" s="75"/>
      <c r="D132" s="29"/>
      <c r="E132" s="29"/>
      <c r="F132" s="29"/>
      <c r="G132" s="29"/>
      <c r="H132" s="419"/>
      <c r="I132" s="27"/>
      <c r="J132" s="389"/>
      <c r="K132" s="389"/>
      <c r="L132" s="389"/>
      <c r="M132" s="420"/>
      <c r="N132" s="31"/>
      <c r="O132" s="31"/>
      <c r="P132" s="31"/>
      <c r="Q132" s="399"/>
      <c r="R132" s="399"/>
      <c r="S132" s="322"/>
      <c r="T132" s="322"/>
      <c r="U132" s="402"/>
      <c r="V132" s="403"/>
    </row>
    <row r="133" spans="1:22" x14ac:dyDescent="0.25">
      <c r="A133" s="29"/>
      <c r="B133" s="74"/>
      <c r="C133" s="75"/>
      <c r="D133" s="29"/>
      <c r="E133" s="29"/>
      <c r="F133" s="29"/>
      <c r="G133" s="29"/>
      <c r="H133" s="419"/>
      <c r="I133" s="27"/>
      <c r="J133" s="389"/>
      <c r="K133" s="389"/>
      <c r="L133" s="389"/>
      <c r="M133" s="420"/>
      <c r="N133" s="31"/>
      <c r="O133" s="31"/>
      <c r="P133" s="31"/>
      <c r="Q133" s="399"/>
      <c r="R133" s="399"/>
      <c r="S133" s="322"/>
      <c r="T133" s="322"/>
      <c r="U133" s="402"/>
      <c r="V133" s="403"/>
    </row>
    <row r="134" spans="1:22" x14ac:dyDescent="0.25">
      <c r="A134" s="29"/>
      <c r="B134" s="74"/>
      <c r="C134" s="75"/>
      <c r="D134" s="29"/>
      <c r="E134" s="29"/>
      <c r="F134" s="29"/>
      <c r="G134" s="29"/>
      <c r="H134" s="419"/>
      <c r="I134" s="27"/>
      <c r="J134" s="389"/>
      <c r="K134" s="389"/>
      <c r="L134" s="389"/>
      <c r="M134" s="420"/>
      <c r="N134" s="31"/>
      <c r="O134" s="31"/>
      <c r="P134" s="31"/>
      <c r="Q134" s="399"/>
      <c r="R134" s="399"/>
      <c r="S134" s="322"/>
      <c r="T134" s="322"/>
      <c r="U134" s="402"/>
      <c r="V134" s="403"/>
    </row>
    <row r="135" spans="1:22" x14ac:dyDescent="0.25">
      <c r="A135" s="29"/>
      <c r="B135" s="74"/>
      <c r="C135" s="75"/>
      <c r="D135" s="29"/>
      <c r="E135" s="29"/>
      <c r="F135" s="29"/>
      <c r="G135" s="29"/>
      <c r="H135" s="419"/>
      <c r="I135" s="27"/>
      <c r="J135" s="389"/>
      <c r="K135" s="389"/>
      <c r="L135" s="389"/>
      <c r="M135" s="420"/>
      <c r="N135" s="31"/>
      <c r="O135" s="31"/>
      <c r="P135" s="31"/>
      <c r="Q135" s="399"/>
      <c r="R135" s="399"/>
      <c r="S135" s="322"/>
      <c r="T135" s="322"/>
      <c r="U135" s="402"/>
      <c r="V135" s="403"/>
    </row>
    <row r="136" spans="1:22" x14ac:dyDescent="0.25">
      <c r="A136" s="383"/>
      <c r="B136" s="384"/>
      <c r="C136" s="385"/>
      <c r="D136" s="383"/>
      <c r="E136" s="383"/>
      <c r="F136" s="383"/>
      <c r="G136" s="383"/>
      <c r="H136" s="419"/>
      <c r="I136" s="413"/>
      <c r="J136" s="414"/>
      <c r="K136" s="414"/>
      <c r="L136" s="414"/>
      <c r="M136" s="420"/>
      <c r="N136" s="31"/>
      <c r="O136" s="31"/>
      <c r="P136" s="31"/>
      <c r="Q136" s="415"/>
      <c r="R136" s="415"/>
      <c r="S136" s="416"/>
      <c r="T136" s="416"/>
      <c r="U136" s="417"/>
      <c r="V136" s="403"/>
    </row>
    <row r="137" spans="1:22" x14ac:dyDescent="0.25">
      <c r="A137" s="383"/>
      <c r="B137" s="384"/>
      <c r="C137" s="385"/>
      <c r="D137" s="383"/>
      <c r="E137" s="383"/>
      <c r="F137" s="383"/>
      <c r="G137" s="383"/>
      <c r="H137" s="419"/>
      <c r="I137" s="413"/>
      <c r="J137" s="414"/>
      <c r="K137" s="414"/>
      <c r="L137" s="414"/>
      <c r="M137" s="420"/>
      <c r="N137" s="31"/>
      <c r="O137" s="31"/>
      <c r="P137" s="31"/>
      <c r="Q137" s="415"/>
      <c r="R137" s="415"/>
      <c r="S137" s="416"/>
      <c r="T137" s="416"/>
      <c r="U137" s="417"/>
      <c r="V137" s="403"/>
    </row>
    <row r="138" spans="1:22" x14ac:dyDescent="0.25">
      <c r="A138" s="383"/>
      <c r="B138" s="384"/>
      <c r="C138" s="385"/>
      <c r="D138" s="383"/>
      <c r="E138" s="383"/>
      <c r="F138" s="383"/>
      <c r="G138" s="383"/>
      <c r="H138" s="419"/>
      <c r="I138" s="413"/>
      <c r="J138" s="414"/>
      <c r="K138" s="414"/>
      <c r="L138" s="414"/>
      <c r="M138" s="420"/>
      <c r="N138" s="31"/>
      <c r="O138" s="31"/>
      <c r="P138" s="31"/>
      <c r="Q138" s="415"/>
      <c r="R138" s="415"/>
      <c r="S138" s="416"/>
      <c r="T138" s="416"/>
      <c r="U138" s="417"/>
      <c r="V138" s="403"/>
    </row>
    <row r="139" spans="1:22" x14ac:dyDescent="0.25">
      <c r="A139" s="383"/>
      <c r="B139" s="384"/>
      <c r="C139" s="385"/>
      <c r="D139" s="383"/>
      <c r="E139" s="383"/>
      <c r="F139" s="383"/>
      <c r="G139" s="383"/>
      <c r="H139" s="419"/>
      <c r="I139" s="413"/>
      <c r="J139" s="414"/>
      <c r="K139" s="414"/>
      <c r="L139" s="414"/>
      <c r="M139" s="420"/>
      <c r="N139" s="31"/>
      <c r="O139" s="31"/>
      <c r="P139" s="31"/>
      <c r="Q139" s="415"/>
      <c r="R139" s="415"/>
      <c r="S139" s="416"/>
      <c r="T139" s="416"/>
      <c r="U139" s="417"/>
      <c r="V139" s="403"/>
    </row>
    <row r="140" spans="1:22" x14ac:dyDescent="0.25">
      <c r="A140" s="383"/>
      <c r="B140" s="384"/>
      <c r="C140" s="385"/>
      <c r="D140" s="383"/>
      <c r="E140" s="383"/>
      <c r="F140" s="383"/>
      <c r="G140" s="383"/>
      <c r="H140" s="419"/>
      <c r="I140" s="413"/>
      <c r="J140" s="414"/>
      <c r="K140" s="414"/>
      <c r="L140" s="414"/>
      <c r="M140" s="420"/>
      <c r="N140" s="31"/>
      <c r="O140" s="31"/>
      <c r="P140" s="31"/>
      <c r="Q140" s="415"/>
      <c r="R140" s="415"/>
      <c r="S140" s="416"/>
      <c r="T140" s="416"/>
      <c r="U140" s="417"/>
      <c r="V140" s="403"/>
    </row>
    <row r="141" spans="1:22" x14ac:dyDescent="0.25">
      <c r="A141" s="29"/>
      <c r="B141" s="74"/>
      <c r="C141" s="75"/>
      <c r="D141" s="29"/>
      <c r="E141" s="29"/>
      <c r="F141" s="29"/>
      <c r="G141" s="29"/>
      <c r="H141" s="419"/>
      <c r="I141" s="27"/>
      <c r="J141" s="389"/>
      <c r="K141" s="389"/>
      <c r="L141" s="389"/>
      <c r="M141" s="420"/>
      <c r="N141" s="31"/>
      <c r="O141" s="31"/>
      <c r="P141" s="31"/>
      <c r="Q141" s="399"/>
      <c r="R141" s="399"/>
      <c r="S141" s="322"/>
      <c r="T141" s="322"/>
      <c r="U141" s="402"/>
      <c r="V141" s="403"/>
    </row>
    <row r="142" spans="1:22" x14ac:dyDescent="0.25">
      <c r="A142" s="29"/>
      <c r="B142" s="74"/>
      <c r="C142" s="75"/>
      <c r="D142" s="29"/>
      <c r="E142" s="29"/>
      <c r="F142" s="29"/>
      <c r="G142" s="29"/>
      <c r="H142" s="419"/>
      <c r="I142" s="27"/>
      <c r="J142" s="389"/>
      <c r="K142" s="389"/>
      <c r="L142" s="389"/>
      <c r="M142" s="420"/>
      <c r="N142" s="31"/>
      <c r="O142" s="31"/>
      <c r="P142" s="31"/>
      <c r="Q142" s="399"/>
      <c r="R142" s="399"/>
      <c r="S142" s="322"/>
      <c r="T142" s="322"/>
      <c r="U142" s="402"/>
      <c r="V142" s="403"/>
    </row>
    <row r="143" spans="1:22" x14ac:dyDescent="0.25">
      <c r="A143" s="29"/>
      <c r="B143" s="74"/>
      <c r="C143" s="75"/>
      <c r="D143" s="29"/>
      <c r="E143" s="29"/>
      <c r="F143" s="29"/>
      <c r="G143" s="29"/>
      <c r="H143" s="419"/>
      <c r="I143" s="27"/>
      <c r="J143" s="389"/>
      <c r="K143" s="389"/>
      <c r="L143" s="389"/>
      <c r="M143" s="420"/>
      <c r="N143" s="31"/>
      <c r="O143" s="31"/>
      <c r="P143" s="31"/>
      <c r="Q143" s="399"/>
      <c r="R143" s="399"/>
      <c r="S143" s="322"/>
      <c r="T143" s="322"/>
      <c r="U143" s="402"/>
      <c r="V143" s="403"/>
    </row>
    <row r="144" spans="1:22" x14ac:dyDescent="0.25">
      <c r="A144" s="29"/>
      <c r="B144" s="74"/>
      <c r="C144" s="75"/>
      <c r="D144" s="29"/>
      <c r="E144" s="29"/>
      <c r="F144" s="29"/>
      <c r="G144" s="29"/>
      <c r="H144" s="419"/>
      <c r="I144" s="27"/>
      <c r="J144" s="389"/>
      <c r="K144" s="389"/>
      <c r="L144" s="389"/>
      <c r="M144" s="420"/>
      <c r="N144" s="31"/>
      <c r="O144" s="31"/>
      <c r="P144" s="31"/>
      <c r="Q144" s="399"/>
      <c r="R144" s="399"/>
      <c r="S144" s="322"/>
      <c r="T144" s="322"/>
      <c r="U144" s="402"/>
      <c r="V144" s="403"/>
    </row>
    <row r="145" spans="1:22" x14ac:dyDescent="0.25">
      <c r="A145" s="29"/>
      <c r="B145" s="74"/>
      <c r="C145" s="75"/>
      <c r="D145" s="29"/>
      <c r="E145" s="29"/>
      <c r="F145" s="29"/>
      <c r="G145" s="29"/>
      <c r="H145" s="419"/>
      <c r="I145" s="27"/>
      <c r="J145" s="389"/>
      <c r="K145" s="389"/>
      <c r="L145" s="389"/>
      <c r="M145" s="420"/>
      <c r="N145" s="31"/>
      <c r="O145" s="31"/>
      <c r="P145" s="31"/>
      <c r="Q145" s="399"/>
      <c r="R145" s="399"/>
      <c r="S145" s="322"/>
      <c r="T145" s="322"/>
      <c r="U145" s="402"/>
      <c r="V145" s="403"/>
    </row>
    <row r="146" spans="1:22" x14ac:dyDescent="0.25">
      <c r="A146" s="383"/>
      <c r="B146" s="384"/>
      <c r="C146" s="385"/>
      <c r="D146" s="383"/>
      <c r="E146" s="383"/>
      <c r="F146" s="383"/>
      <c r="G146" s="383"/>
      <c r="H146" s="419"/>
      <c r="I146" s="413"/>
      <c r="J146" s="414"/>
      <c r="K146" s="414"/>
      <c r="L146" s="414"/>
      <c r="M146" s="420"/>
      <c r="N146" s="31"/>
      <c r="O146" s="31"/>
      <c r="P146" s="31"/>
      <c r="Q146" s="415"/>
      <c r="R146" s="415"/>
      <c r="S146" s="416"/>
      <c r="T146" s="416"/>
      <c r="U146" s="417"/>
      <c r="V146" s="403"/>
    </row>
    <row r="147" spans="1:22" x14ac:dyDescent="0.25">
      <c r="A147" s="383"/>
      <c r="B147" s="384"/>
      <c r="C147" s="385"/>
      <c r="D147" s="383"/>
      <c r="E147" s="383"/>
      <c r="F147" s="383"/>
      <c r="G147" s="383"/>
      <c r="H147" s="419"/>
      <c r="I147" s="413"/>
      <c r="J147" s="414"/>
      <c r="K147" s="414"/>
      <c r="L147" s="414"/>
      <c r="M147" s="420"/>
      <c r="N147" s="31"/>
      <c r="O147" s="31"/>
      <c r="P147" s="31"/>
      <c r="Q147" s="415"/>
      <c r="R147" s="415"/>
      <c r="S147" s="416"/>
      <c r="T147" s="416"/>
      <c r="U147" s="417"/>
      <c r="V147" s="403"/>
    </row>
    <row r="148" spans="1:22" x14ac:dyDescent="0.25">
      <c r="A148" s="383"/>
      <c r="B148" s="384"/>
      <c r="C148" s="385"/>
      <c r="D148" s="383"/>
      <c r="E148" s="383"/>
      <c r="F148" s="383"/>
      <c r="G148" s="383"/>
      <c r="H148" s="419"/>
      <c r="I148" s="413"/>
      <c r="J148" s="414"/>
      <c r="K148" s="414"/>
      <c r="L148" s="414"/>
      <c r="M148" s="420"/>
      <c r="N148" s="31"/>
      <c r="O148" s="31"/>
      <c r="P148" s="31"/>
      <c r="Q148" s="415"/>
      <c r="R148" s="415"/>
      <c r="S148" s="416"/>
      <c r="T148" s="416"/>
      <c r="U148" s="417"/>
      <c r="V148" s="403"/>
    </row>
    <row r="149" spans="1:22" x14ac:dyDescent="0.25">
      <c r="A149" s="383"/>
      <c r="B149" s="384"/>
      <c r="C149" s="385"/>
      <c r="D149" s="383"/>
      <c r="E149" s="383"/>
      <c r="F149" s="383"/>
      <c r="G149" s="383"/>
      <c r="H149" s="419"/>
      <c r="I149" s="413"/>
      <c r="J149" s="414"/>
      <c r="K149" s="414"/>
      <c r="L149" s="414"/>
      <c r="M149" s="420"/>
      <c r="N149" s="31"/>
      <c r="O149" s="31"/>
      <c r="P149" s="31"/>
      <c r="Q149" s="415"/>
      <c r="R149" s="415"/>
      <c r="S149" s="416"/>
      <c r="T149" s="416"/>
      <c r="U149" s="417"/>
      <c r="V149" s="403"/>
    </row>
    <row r="150" spans="1:22" x14ac:dyDescent="0.25">
      <c r="A150" s="383"/>
      <c r="B150" s="384"/>
      <c r="C150" s="385"/>
      <c r="D150" s="383"/>
      <c r="E150" s="383"/>
      <c r="F150" s="383"/>
      <c r="G150" s="383"/>
      <c r="H150" s="419"/>
      <c r="I150" s="413"/>
      <c r="J150" s="414"/>
      <c r="K150" s="414"/>
      <c r="L150" s="414"/>
      <c r="M150" s="420"/>
      <c r="N150" s="31"/>
      <c r="O150" s="31"/>
      <c r="P150" s="31"/>
      <c r="Q150" s="415"/>
      <c r="R150" s="415"/>
      <c r="S150" s="416"/>
      <c r="T150" s="416"/>
      <c r="U150" s="417"/>
      <c r="V150" s="403"/>
    </row>
    <row r="151" spans="1:22" x14ac:dyDescent="0.25">
      <c r="A151" s="29"/>
      <c r="B151" s="74"/>
      <c r="C151" s="75"/>
      <c r="D151" s="29"/>
      <c r="E151" s="29"/>
      <c r="F151" s="29"/>
      <c r="G151" s="29"/>
      <c r="H151" s="419"/>
      <c r="I151" s="27"/>
      <c r="J151" s="389"/>
      <c r="K151" s="389"/>
      <c r="L151" s="389"/>
      <c r="M151" s="420"/>
      <c r="N151" s="31"/>
      <c r="O151" s="31"/>
      <c r="P151" s="31"/>
      <c r="Q151" s="399"/>
      <c r="R151" s="399"/>
      <c r="S151" s="322"/>
      <c r="T151" s="322"/>
      <c r="U151" s="402"/>
      <c r="V151" s="403"/>
    </row>
    <row r="152" spans="1:22" x14ac:dyDescent="0.25">
      <c r="A152" s="29"/>
      <c r="B152" s="74"/>
      <c r="C152" s="75"/>
      <c r="D152" s="29"/>
      <c r="E152" s="29"/>
      <c r="F152" s="29"/>
      <c r="G152" s="29"/>
      <c r="H152" s="419"/>
      <c r="I152" s="27"/>
      <c r="J152" s="389"/>
      <c r="K152" s="389"/>
      <c r="L152" s="389"/>
      <c r="M152" s="420"/>
      <c r="N152" s="31"/>
      <c r="O152" s="31"/>
      <c r="P152" s="31"/>
      <c r="Q152" s="399"/>
      <c r="R152" s="399"/>
      <c r="S152" s="322"/>
      <c r="T152" s="322"/>
      <c r="U152" s="402"/>
      <c r="V152" s="403"/>
    </row>
    <row r="153" spans="1:22" x14ac:dyDescent="0.25">
      <c r="A153" s="29"/>
      <c r="B153" s="74"/>
      <c r="C153" s="75"/>
      <c r="D153" s="29"/>
      <c r="E153" s="29"/>
      <c r="F153" s="29"/>
      <c r="G153" s="29"/>
      <c r="H153" s="419"/>
      <c r="I153" s="27"/>
      <c r="J153" s="389"/>
      <c r="K153" s="389"/>
      <c r="L153" s="389"/>
      <c r="M153" s="420"/>
      <c r="N153" s="31"/>
      <c r="O153" s="31"/>
      <c r="P153" s="31"/>
      <c r="Q153" s="399"/>
      <c r="R153" s="399"/>
      <c r="S153" s="322"/>
      <c r="T153" s="322"/>
      <c r="U153" s="402"/>
      <c r="V153" s="403"/>
    </row>
    <row r="154" spans="1:22" x14ac:dyDescent="0.25">
      <c r="A154" s="29"/>
      <c r="B154" s="74"/>
      <c r="C154" s="75"/>
      <c r="D154" s="29"/>
      <c r="E154" s="29"/>
      <c r="F154" s="29"/>
      <c r="G154" s="29"/>
      <c r="H154" s="419"/>
      <c r="I154" s="27"/>
      <c r="J154" s="389"/>
      <c r="K154" s="389"/>
      <c r="L154" s="389"/>
      <c r="M154" s="420"/>
      <c r="N154" s="31"/>
      <c r="O154" s="31"/>
      <c r="P154" s="31"/>
      <c r="Q154" s="399"/>
      <c r="R154" s="399"/>
      <c r="S154" s="322"/>
      <c r="T154" s="322"/>
      <c r="U154" s="402"/>
      <c r="V154" s="403"/>
    </row>
    <row r="155" spans="1:22" x14ac:dyDescent="0.25">
      <c r="A155" s="29"/>
      <c r="B155" s="74"/>
      <c r="C155" s="75"/>
      <c r="D155" s="29"/>
      <c r="E155" s="29"/>
      <c r="F155" s="29"/>
      <c r="G155" s="29"/>
      <c r="H155" s="419"/>
      <c r="I155" s="27"/>
      <c r="J155" s="389"/>
      <c r="K155" s="389"/>
      <c r="L155" s="389"/>
      <c r="M155" s="420"/>
      <c r="N155" s="31"/>
      <c r="O155" s="31"/>
      <c r="P155" s="31"/>
      <c r="Q155" s="399"/>
      <c r="R155" s="399"/>
      <c r="S155" s="322"/>
      <c r="T155" s="322"/>
      <c r="U155" s="402"/>
      <c r="V155" s="403"/>
    </row>
    <row r="156" spans="1:22" x14ac:dyDescent="0.25">
      <c r="A156" s="383"/>
      <c r="B156" s="384"/>
      <c r="C156" s="385"/>
      <c r="D156" s="383"/>
      <c r="E156" s="383"/>
      <c r="F156" s="383"/>
      <c r="G156" s="383"/>
      <c r="H156" s="419"/>
      <c r="I156" s="413"/>
      <c r="J156" s="414"/>
      <c r="K156" s="414"/>
      <c r="L156" s="414"/>
      <c r="M156" s="420"/>
      <c r="N156" s="31"/>
      <c r="O156" s="31"/>
      <c r="P156" s="31"/>
      <c r="Q156" s="415"/>
      <c r="R156" s="415"/>
      <c r="S156" s="416"/>
      <c r="T156" s="416"/>
      <c r="U156" s="417"/>
      <c r="V156" s="403"/>
    </row>
    <row r="157" spans="1:22" x14ac:dyDescent="0.25">
      <c r="A157" s="383"/>
      <c r="B157" s="384"/>
      <c r="C157" s="385"/>
      <c r="D157" s="383"/>
      <c r="E157" s="383"/>
      <c r="F157" s="383"/>
      <c r="G157" s="383"/>
      <c r="H157" s="419"/>
      <c r="I157" s="413"/>
      <c r="J157" s="414"/>
      <c r="K157" s="414"/>
      <c r="L157" s="414"/>
      <c r="M157" s="420"/>
      <c r="N157" s="31"/>
      <c r="O157" s="31"/>
      <c r="P157" s="31"/>
      <c r="Q157" s="415"/>
      <c r="R157" s="415"/>
      <c r="S157" s="416"/>
      <c r="T157" s="416"/>
      <c r="U157" s="417"/>
      <c r="V157" s="403"/>
    </row>
    <row r="158" spans="1:22" x14ac:dyDescent="0.25">
      <c r="A158" s="383"/>
      <c r="B158" s="384"/>
      <c r="C158" s="385"/>
      <c r="D158" s="383"/>
      <c r="E158" s="383"/>
      <c r="F158" s="383"/>
      <c r="G158" s="383"/>
      <c r="H158" s="419"/>
      <c r="I158" s="413"/>
      <c r="J158" s="414"/>
      <c r="K158" s="414"/>
      <c r="L158" s="414"/>
      <c r="M158" s="420"/>
      <c r="N158" s="31"/>
      <c r="O158" s="31"/>
      <c r="P158" s="31"/>
      <c r="Q158" s="415"/>
      <c r="R158" s="415"/>
      <c r="S158" s="416"/>
      <c r="T158" s="416"/>
      <c r="U158" s="417"/>
      <c r="V158" s="403"/>
    </row>
    <row r="159" spans="1:22" x14ac:dyDescent="0.25">
      <c r="A159" s="383"/>
      <c r="B159" s="384"/>
      <c r="C159" s="385"/>
      <c r="D159" s="383"/>
      <c r="E159" s="383"/>
      <c r="F159" s="383"/>
      <c r="G159" s="383"/>
      <c r="H159" s="419"/>
      <c r="I159" s="413"/>
      <c r="J159" s="414"/>
      <c r="K159" s="414"/>
      <c r="L159" s="414"/>
      <c r="M159" s="420"/>
      <c r="N159" s="31"/>
      <c r="O159" s="31"/>
      <c r="P159" s="31"/>
      <c r="Q159" s="415"/>
      <c r="R159" s="415"/>
      <c r="S159" s="416"/>
      <c r="T159" s="416"/>
      <c r="U159" s="417"/>
      <c r="V159" s="403"/>
    </row>
    <row r="160" spans="1:22" x14ac:dyDescent="0.25">
      <c r="A160" s="383"/>
      <c r="B160" s="384"/>
      <c r="C160" s="385"/>
      <c r="D160" s="383"/>
      <c r="E160" s="383"/>
      <c r="F160" s="383"/>
      <c r="G160" s="383"/>
      <c r="H160" s="419"/>
      <c r="I160" s="413"/>
      <c r="J160" s="414"/>
      <c r="K160" s="414"/>
      <c r="L160" s="414"/>
      <c r="M160" s="420"/>
      <c r="N160" s="31"/>
      <c r="O160" s="31"/>
      <c r="P160" s="31"/>
      <c r="Q160" s="415"/>
      <c r="R160" s="415"/>
      <c r="S160" s="416"/>
      <c r="T160" s="416"/>
      <c r="U160" s="417"/>
      <c r="V160" s="403"/>
    </row>
    <row r="161" spans="1:22" x14ac:dyDescent="0.25">
      <c r="A161" s="29"/>
      <c r="B161" s="74"/>
      <c r="C161" s="75"/>
      <c r="D161" s="29"/>
      <c r="E161" s="29"/>
      <c r="F161" s="29"/>
      <c r="G161" s="29"/>
      <c r="H161" s="419"/>
      <c r="I161" s="27"/>
      <c r="J161" s="389"/>
      <c r="K161" s="389"/>
      <c r="L161" s="389"/>
      <c r="M161" s="420"/>
      <c r="N161" s="31"/>
      <c r="O161" s="31"/>
      <c r="P161" s="31"/>
      <c r="Q161" s="399"/>
      <c r="R161" s="399"/>
      <c r="S161" s="322"/>
      <c r="T161" s="322"/>
      <c r="U161" s="402"/>
      <c r="V161" s="403"/>
    </row>
    <row r="162" spans="1:22" x14ac:dyDescent="0.25">
      <c r="A162" s="29"/>
      <c r="B162" s="74"/>
      <c r="C162" s="75"/>
      <c r="D162" s="29"/>
      <c r="E162" s="29"/>
      <c r="F162" s="29"/>
      <c r="G162" s="29"/>
      <c r="H162" s="419"/>
      <c r="I162" s="27"/>
      <c r="J162" s="389"/>
      <c r="K162" s="389"/>
      <c r="L162" s="389"/>
      <c r="M162" s="420"/>
      <c r="N162" s="31"/>
      <c r="O162" s="31"/>
      <c r="P162" s="31"/>
      <c r="Q162" s="399"/>
      <c r="R162" s="399"/>
      <c r="S162" s="322"/>
      <c r="T162" s="322"/>
      <c r="U162" s="402"/>
      <c r="V162" s="403"/>
    </row>
    <row r="163" spans="1:22" x14ac:dyDescent="0.25">
      <c r="A163" s="29"/>
      <c r="B163" s="74"/>
      <c r="C163" s="75"/>
      <c r="D163" s="29"/>
      <c r="E163" s="29"/>
      <c r="F163" s="29"/>
      <c r="G163" s="29"/>
      <c r="H163" s="419"/>
      <c r="I163" s="27"/>
      <c r="J163" s="389"/>
      <c r="K163" s="389"/>
      <c r="L163" s="389"/>
      <c r="M163" s="420"/>
      <c r="N163" s="31"/>
      <c r="O163" s="31"/>
      <c r="P163" s="31"/>
      <c r="Q163" s="399"/>
      <c r="R163" s="399"/>
      <c r="S163" s="322"/>
      <c r="T163" s="322"/>
      <c r="U163" s="402"/>
      <c r="V163" s="403"/>
    </row>
    <row r="164" spans="1:22" x14ac:dyDescent="0.25">
      <c r="A164" s="29"/>
      <c r="B164" s="74"/>
      <c r="C164" s="75"/>
      <c r="D164" s="29"/>
      <c r="E164" s="29"/>
      <c r="F164" s="29"/>
      <c r="G164" s="29"/>
      <c r="H164" s="419"/>
      <c r="I164" s="27"/>
      <c r="J164" s="389"/>
      <c r="K164" s="389"/>
      <c r="L164" s="389"/>
      <c r="M164" s="420"/>
      <c r="N164" s="31"/>
      <c r="O164" s="31"/>
      <c r="P164" s="31"/>
      <c r="Q164" s="399"/>
      <c r="R164" s="399"/>
      <c r="S164" s="322"/>
      <c r="T164" s="322"/>
      <c r="U164" s="402"/>
      <c r="V164" s="403"/>
    </row>
    <row r="165" spans="1:22" x14ac:dyDescent="0.25">
      <c r="A165" s="29"/>
      <c r="B165" s="74"/>
      <c r="C165" s="75"/>
      <c r="D165" s="29"/>
      <c r="E165" s="29"/>
      <c r="F165" s="29"/>
      <c r="G165" s="29"/>
      <c r="H165" s="419"/>
      <c r="I165" s="27"/>
      <c r="J165" s="389"/>
      <c r="K165" s="389"/>
      <c r="L165" s="389"/>
      <c r="M165" s="420"/>
      <c r="N165" s="31"/>
      <c r="O165" s="31"/>
      <c r="P165" s="31"/>
      <c r="Q165" s="399"/>
      <c r="R165" s="399"/>
      <c r="S165" s="322"/>
      <c r="T165" s="322"/>
      <c r="U165" s="402"/>
      <c r="V165" s="403"/>
    </row>
    <row r="166" spans="1:22" x14ac:dyDescent="0.25">
      <c r="A166" s="383"/>
      <c r="B166" s="384"/>
      <c r="C166" s="385"/>
      <c r="D166" s="383"/>
      <c r="E166" s="383"/>
      <c r="F166" s="383"/>
      <c r="G166" s="383"/>
      <c r="H166" s="419"/>
      <c r="I166" s="413"/>
      <c r="J166" s="414"/>
      <c r="K166" s="414"/>
      <c r="L166" s="414"/>
      <c r="M166" s="420"/>
      <c r="N166" s="31"/>
      <c r="O166" s="31"/>
      <c r="P166" s="31"/>
      <c r="Q166" s="415"/>
      <c r="R166" s="415"/>
      <c r="S166" s="416"/>
      <c r="T166" s="416"/>
      <c r="U166" s="417"/>
      <c r="V166" s="403"/>
    </row>
    <row r="167" spans="1:22" x14ac:dyDescent="0.25">
      <c r="A167" s="383"/>
      <c r="B167" s="384"/>
      <c r="C167" s="385"/>
      <c r="D167" s="383"/>
      <c r="E167" s="383"/>
      <c r="F167" s="383"/>
      <c r="G167" s="383"/>
      <c r="H167" s="419"/>
      <c r="I167" s="413"/>
      <c r="J167" s="414"/>
      <c r="K167" s="414"/>
      <c r="L167" s="414"/>
      <c r="M167" s="420"/>
      <c r="N167" s="31"/>
      <c r="O167" s="31"/>
      <c r="P167" s="31"/>
      <c r="Q167" s="415"/>
      <c r="R167" s="415"/>
      <c r="S167" s="416"/>
      <c r="T167" s="416"/>
      <c r="U167" s="417"/>
      <c r="V167" s="403"/>
    </row>
    <row r="168" spans="1:22" x14ac:dyDescent="0.25">
      <c r="A168" s="383"/>
      <c r="B168" s="384"/>
      <c r="C168" s="385"/>
      <c r="D168" s="383"/>
      <c r="E168" s="383"/>
      <c r="F168" s="383"/>
      <c r="G168" s="383"/>
      <c r="H168" s="419"/>
      <c r="I168" s="413"/>
      <c r="J168" s="414"/>
      <c r="K168" s="414"/>
      <c r="L168" s="414"/>
      <c r="M168" s="420"/>
      <c r="N168" s="31"/>
      <c r="O168" s="31"/>
      <c r="P168" s="31"/>
      <c r="Q168" s="415"/>
      <c r="R168" s="415"/>
      <c r="S168" s="416"/>
      <c r="T168" s="416"/>
      <c r="U168" s="417"/>
      <c r="V168" s="403"/>
    </row>
    <row r="169" spans="1:22" x14ac:dyDescent="0.25">
      <c r="A169" s="383"/>
      <c r="B169" s="384"/>
      <c r="C169" s="385"/>
      <c r="D169" s="383"/>
      <c r="E169" s="383"/>
      <c r="F169" s="383"/>
      <c r="G169" s="383"/>
      <c r="H169" s="419"/>
      <c r="I169" s="413"/>
      <c r="J169" s="414"/>
      <c r="K169" s="414"/>
      <c r="L169" s="414"/>
      <c r="M169" s="420"/>
      <c r="N169" s="31"/>
      <c r="O169" s="31"/>
      <c r="P169" s="31"/>
      <c r="Q169" s="415"/>
      <c r="R169" s="415"/>
      <c r="S169" s="416"/>
      <c r="T169" s="416"/>
      <c r="U169" s="417"/>
      <c r="V169" s="403"/>
    </row>
    <row r="170" spans="1:22" x14ac:dyDescent="0.25">
      <c r="A170" s="383"/>
      <c r="B170" s="384"/>
      <c r="C170" s="385"/>
      <c r="D170" s="383"/>
      <c r="E170" s="383"/>
      <c r="F170" s="383"/>
      <c r="G170" s="383"/>
      <c r="H170" s="419"/>
      <c r="I170" s="413"/>
      <c r="J170" s="414"/>
      <c r="K170" s="414"/>
      <c r="L170" s="414"/>
      <c r="M170" s="420"/>
      <c r="N170" s="31"/>
      <c r="O170" s="31"/>
      <c r="P170" s="31"/>
      <c r="Q170" s="415"/>
      <c r="R170" s="415"/>
      <c r="S170" s="416"/>
      <c r="T170" s="416"/>
      <c r="U170" s="417"/>
      <c r="V170" s="403"/>
    </row>
    <row r="171" spans="1:22" x14ac:dyDescent="0.25">
      <c r="A171" s="29"/>
      <c r="B171" s="74"/>
      <c r="C171" s="75"/>
      <c r="D171" s="29"/>
      <c r="E171" s="29"/>
      <c r="F171" s="29"/>
      <c r="G171" s="29"/>
      <c r="H171" s="419"/>
      <c r="I171" s="27"/>
      <c r="J171" s="389"/>
      <c r="K171" s="389"/>
      <c r="L171" s="389"/>
      <c r="M171" s="420"/>
      <c r="N171" s="31"/>
      <c r="O171" s="31"/>
      <c r="P171" s="31"/>
      <c r="Q171" s="399"/>
      <c r="R171" s="399"/>
      <c r="S171" s="322"/>
      <c r="T171" s="322"/>
      <c r="U171" s="402"/>
      <c r="V171" s="403"/>
    </row>
    <row r="172" spans="1:22" x14ac:dyDescent="0.25">
      <c r="A172" s="29"/>
      <c r="B172" s="74"/>
      <c r="C172" s="75"/>
      <c r="D172" s="29"/>
      <c r="E172" s="29"/>
      <c r="F172" s="29"/>
      <c r="G172" s="29"/>
      <c r="H172" s="419"/>
      <c r="I172" s="27"/>
      <c r="J172" s="389"/>
      <c r="K172" s="389"/>
      <c r="L172" s="389"/>
      <c r="M172" s="420"/>
      <c r="N172" s="31"/>
      <c r="O172" s="31"/>
      <c r="P172" s="31"/>
      <c r="Q172" s="399"/>
      <c r="R172" s="399"/>
      <c r="S172" s="322"/>
      <c r="T172" s="322"/>
      <c r="U172" s="402"/>
      <c r="V172" s="403"/>
    </row>
    <row r="173" spans="1:22" x14ac:dyDescent="0.25">
      <c r="A173" s="29"/>
      <c r="B173" s="74"/>
      <c r="C173" s="75"/>
      <c r="D173" s="29"/>
      <c r="E173" s="29"/>
      <c r="F173" s="29"/>
      <c r="G173" s="29"/>
      <c r="H173" s="419"/>
      <c r="I173" s="27"/>
      <c r="J173" s="389"/>
      <c r="K173" s="389"/>
      <c r="L173" s="389"/>
      <c r="M173" s="420"/>
      <c r="N173" s="31"/>
      <c r="O173" s="31"/>
      <c r="P173" s="31"/>
      <c r="Q173" s="399"/>
      <c r="R173" s="399"/>
      <c r="S173" s="322"/>
      <c r="T173" s="322"/>
      <c r="U173" s="402"/>
      <c r="V173" s="403"/>
    </row>
    <row r="174" spans="1:22" x14ac:dyDescent="0.25">
      <c r="A174" s="29"/>
      <c r="B174" s="74"/>
      <c r="C174" s="75"/>
      <c r="D174" s="29"/>
      <c r="E174" s="29"/>
      <c r="F174" s="29"/>
      <c r="G174" s="29"/>
      <c r="H174" s="419"/>
      <c r="I174" s="27"/>
      <c r="J174" s="389"/>
      <c r="K174" s="389"/>
      <c r="L174" s="389"/>
      <c r="M174" s="420"/>
      <c r="N174" s="31"/>
      <c r="O174" s="31"/>
      <c r="P174" s="31"/>
      <c r="Q174" s="399"/>
      <c r="R174" s="399"/>
      <c r="S174" s="322"/>
      <c r="T174" s="322"/>
      <c r="U174" s="402"/>
      <c r="V174" s="403"/>
    </row>
    <row r="175" spans="1:22" x14ac:dyDescent="0.25">
      <c r="A175" s="29"/>
      <c r="B175" s="74"/>
      <c r="C175" s="75"/>
      <c r="D175" s="29"/>
      <c r="E175" s="29"/>
      <c r="F175" s="29"/>
      <c r="G175" s="29"/>
      <c r="H175" s="419"/>
      <c r="I175" s="27"/>
      <c r="J175" s="389"/>
      <c r="K175" s="389"/>
      <c r="L175" s="389"/>
      <c r="M175" s="420"/>
      <c r="N175" s="31"/>
      <c r="O175" s="31"/>
      <c r="P175" s="31"/>
      <c r="Q175" s="399"/>
      <c r="R175" s="399"/>
      <c r="S175" s="322"/>
      <c r="T175" s="322"/>
      <c r="U175" s="402"/>
      <c r="V175" s="403"/>
    </row>
    <row r="176" spans="1:22" x14ac:dyDescent="0.25">
      <c r="A176" s="383"/>
      <c r="B176" s="384"/>
      <c r="C176" s="385"/>
      <c r="D176" s="383"/>
      <c r="E176" s="383"/>
      <c r="F176" s="383"/>
      <c r="G176" s="383"/>
      <c r="H176" s="419"/>
      <c r="I176" s="413"/>
      <c r="J176" s="414"/>
      <c r="K176" s="414"/>
      <c r="L176" s="414"/>
      <c r="M176" s="420"/>
      <c r="N176" s="31"/>
      <c r="O176" s="31"/>
      <c r="P176" s="31"/>
      <c r="Q176" s="415"/>
      <c r="R176" s="415"/>
      <c r="S176" s="416"/>
      <c r="T176" s="416"/>
      <c r="U176" s="417"/>
      <c r="V176" s="403"/>
    </row>
    <row r="177" spans="1:22" x14ac:dyDescent="0.25">
      <c r="A177" s="383"/>
      <c r="B177" s="384"/>
      <c r="C177" s="385"/>
      <c r="D177" s="383"/>
      <c r="E177" s="383"/>
      <c r="F177" s="383"/>
      <c r="G177" s="383"/>
      <c r="H177" s="419"/>
      <c r="I177" s="413"/>
      <c r="J177" s="414"/>
      <c r="K177" s="414"/>
      <c r="L177" s="414"/>
      <c r="M177" s="420"/>
      <c r="N177" s="31"/>
      <c r="O177" s="31"/>
      <c r="P177" s="31"/>
      <c r="Q177" s="415"/>
      <c r="R177" s="415"/>
      <c r="S177" s="416"/>
      <c r="T177" s="416"/>
      <c r="U177" s="417"/>
      <c r="V177" s="403"/>
    </row>
    <row r="178" spans="1:22" x14ac:dyDescent="0.25">
      <c r="A178" s="383"/>
      <c r="B178" s="384"/>
      <c r="C178" s="385"/>
      <c r="D178" s="383"/>
      <c r="E178" s="383"/>
      <c r="F178" s="383"/>
      <c r="G178" s="383"/>
      <c r="H178" s="419"/>
      <c r="I178" s="413"/>
      <c r="J178" s="414"/>
      <c r="K178" s="414"/>
      <c r="L178" s="414"/>
      <c r="M178" s="420"/>
      <c r="N178" s="31"/>
      <c r="O178" s="31"/>
      <c r="P178" s="31"/>
      <c r="Q178" s="415"/>
      <c r="R178" s="415"/>
      <c r="S178" s="416"/>
      <c r="T178" s="416"/>
      <c r="U178" s="417"/>
      <c r="V178" s="403"/>
    </row>
    <row r="179" spans="1:22" x14ac:dyDescent="0.25">
      <c r="A179" s="383"/>
      <c r="B179" s="384"/>
      <c r="C179" s="385"/>
      <c r="D179" s="383"/>
      <c r="E179" s="383"/>
      <c r="F179" s="383"/>
      <c r="G179" s="383"/>
      <c r="H179" s="419"/>
      <c r="I179" s="413"/>
      <c r="J179" s="414"/>
      <c r="K179" s="414"/>
      <c r="L179" s="414"/>
      <c r="M179" s="420"/>
      <c r="N179" s="31"/>
      <c r="O179" s="31"/>
      <c r="P179" s="31"/>
      <c r="Q179" s="415"/>
      <c r="R179" s="415"/>
      <c r="S179" s="416"/>
      <c r="T179" s="416"/>
      <c r="U179" s="417"/>
      <c r="V179" s="403"/>
    </row>
    <row r="180" spans="1:22" x14ac:dyDescent="0.25">
      <c r="A180" s="383"/>
      <c r="B180" s="384"/>
      <c r="C180" s="385"/>
      <c r="D180" s="383"/>
      <c r="E180" s="383"/>
      <c r="F180" s="383"/>
      <c r="G180" s="383"/>
      <c r="H180" s="419"/>
      <c r="I180" s="413"/>
      <c r="J180" s="414"/>
      <c r="K180" s="414"/>
      <c r="L180" s="414"/>
      <c r="M180" s="420"/>
      <c r="N180" s="31"/>
      <c r="O180" s="31"/>
      <c r="P180" s="31"/>
      <c r="Q180" s="415"/>
      <c r="R180" s="415"/>
      <c r="S180" s="416"/>
      <c r="T180" s="416"/>
      <c r="U180" s="417"/>
      <c r="V180" s="403"/>
    </row>
    <row r="181" spans="1:22" x14ac:dyDescent="0.25">
      <c r="A181" s="29"/>
      <c r="B181" s="74"/>
      <c r="C181" s="75"/>
      <c r="D181" s="29"/>
      <c r="E181" s="29"/>
      <c r="F181" s="29"/>
      <c r="G181" s="29"/>
      <c r="H181" s="419"/>
      <c r="I181" s="27"/>
      <c r="J181" s="389"/>
      <c r="K181" s="389"/>
      <c r="L181" s="389"/>
      <c r="M181" s="420"/>
      <c r="N181" s="31"/>
      <c r="O181" s="31"/>
      <c r="P181" s="31"/>
      <c r="Q181" s="399"/>
      <c r="R181" s="399"/>
      <c r="S181" s="322"/>
      <c r="T181" s="322"/>
      <c r="U181" s="402"/>
      <c r="V181" s="403"/>
    </row>
    <row r="182" spans="1:22" x14ac:dyDescent="0.25">
      <c r="A182" s="29"/>
      <c r="B182" s="74"/>
      <c r="C182" s="75"/>
      <c r="D182" s="29"/>
      <c r="E182" s="29"/>
      <c r="F182" s="29"/>
      <c r="G182" s="29"/>
      <c r="H182" s="419"/>
      <c r="I182" s="27"/>
      <c r="J182" s="389"/>
      <c r="K182" s="389"/>
      <c r="L182" s="389"/>
      <c r="M182" s="420"/>
      <c r="N182" s="31"/>
      <c r="O182" s="31"/>
      <c r="P182" s="31"/>
      <c r="Q182" s="399"/>
      <c r="R182" s="399"/>
      <c r="S182" s="322"/>
      <c r="T182" s="322"/>
      <c r="U182" s="402"/>
      <c r="V182" s="403"/>
    </row>
    <row r="183" spans="1:22" x14ac:dyDescent="0.25">
      <c r="A183" s="29"/>
      <c r="B183" s="74"/>
      <c r="C183" s="75"/>
      <c r="D183" s="29"/>
      <c r="E183" s="29"/>
      <c r="F183" s="29"/>
      <c r="G183" s="29"/>
      <c r="H183" s="419"/>
      <c r="I183" s="27"/>
      <c r="J183" s="389"/>
      <c r="K183" s="389"/>
      <c r="L183" s="389"/>
      <c r="M183" s="420"/>
      <c r="N183" s="31"/>
      <c r="O183" s="31"/>
      <c r="P183" s="31"/>
      <c r="Q183" s="399"/>
      <c r="R183" s="399"/>
      <c r="S183" s="322"/>
      <c r="T183" s="322"/>
      <c r="U183" s="402"/>
      <c r="V183" s="403"/>
    </row>
    <row r="184" spans="1:22" x14ac:dyDescent="0.25">
      <c r="A184" s="29"/>
      <c r="B184" s="74"/>
      <c r="C184" s="75"/>
      <c r="D184" s="29"/>
      <c r="E184" s="29"/>
      <c r="F184" s="29"/>
      <c r="G184" s="29"/>
      <c r="H184" s="419"/>
      <c r="I184" s="27"/>
      <c r="J184" s="389"/>
      <c r="K184" s="389"/>
      <c r="L184" s="389"/>
      <c r="M184" s="420"/>
      <c r="N184" s="31"/>
      <c r="O184" s="31"/>
      <c r="P184" s="31"/>
      <c r="Q184" s="399"/>
      <c r="R184" s="399"/>
      <c r="S184" s="322"/>
      <c r="T184" s="322"/>
      <c r="U184" s="402"/>
      <c r="V184" s="403"/>
    </row>
    <row r="185" spans="1:22" x14ac:dyDescent="0.25">
      <c r="A185" s="29"/>
      <c r="B185" s="74"/>
      <c r="C185" s="75"/>
      <c r="D185" s="29"/>
      <c r="E185" s="29"/>
      <c r="F185" s="29"/>
      <c r="G185" s="29"/>
      <c r="H185" s="419"/>
      <c r="I185" s="27"/>
      <c r="J185" s="389"/>
      <c r="K185" s="389"/>
      <c r="L185" s="389"/>
      <c r="M185" s="420"/>
      <c r="N185" s="31"/>
      <c r="O185" s="31"/>
      <c r="P185" s="31"/>
      <c r="Q185" s="399"/>
      <c r="R185" s="399"/>
      <c r="S185" s="322"/>
      <c r="T185" s="322"/>
      <c r="U185" s="402"/>
      <c r="V185" s="403"/>
    </row>
    <row r="186" spans="1:22" x14ac:dyDescent="0.25">
      <c r="A186" s="383"/>
      <c r="B186" s="384"/>
      <c r="C186" s="385"/>
      <c r="D186" s="383"/>
      <c r="E186" s="383"/>
      <c r="F186" s="383"/>
      <c r="G186" s="383"/>
      <c r="H186" s="419"/>
      <c r="I186" s="413"/>
      <c r="J186" s="414"/>
      <c r="K186" s="414"/>
      <c r="L186" s="414"/>
      <c r="M186" s="420"/>
      <c r="N186" s="31"/>
      <c r="O186" s="31"/>
      <c r="P186" s="31"/>
      <c r="Q186" s="415"/>
      <c r="R186" s="415"/>
      <c r="S186" s="416"/>
      <c r="T186" s="416"/>
      <c r="U186" s="417"/>
      <c r="V186" s="403"/>
    </row>
    <row r="187" spans="1:22" x14ac:dyDescent="0.25">
      <c r="A187" s="383"/>
      <c r="B187" s="384"/>
      <c r="C187" s="385"/>
      <c r="D187" s="383"/>
      <c r="E187" s="383"/>
      <c r="F187" s="383"/>
      <c r="G187" s="383"/>
      <c r="H187" s="419"/>
      <c r="I187" s="413"/>
      <c r="J187" s="414"/>
      <c r="K187" s="414"/>
      <c r="L187" s="414"/>
      <c r="M187" s="420"/>
      <c r="N187" s="31"/>
      <c r="O187" s="31"/>
      <c r="P187" s="31"/>
      <c r="Q187" s="415"/>
      <c r="R187" s="415"/>
      <c r="S187" s="416"/>
      <c r="T187" s="416"/>
      <c r="U187" s="417"/>
      <c r="V187" s="403"/>
    </row>
    <row r="188" spans="1:22" x14ac:dyDescent="0.25">
      <c r="A188" s="383"/>
      <c r="B188" s="384"/>
      <c r="C188" s="385"/>
      <c r="D188" s="383"/>
      <c r="E188" s="383"/>
      <c r="F188" s="383"/>
      <c r="G188" s="383"/>
      <c r="H188" s="419"/>
      <c r="I188" s="413"/>
      <c r="J188" s="414"/>
      <c r="K188" s="414"/>
      <c r="L188" s="414"/>
      <c r="M188" s="420"/>
      <c r="N188" s="31"/>
      <c r="O188" s="31"/>
      <c r="P188" s="31"/>
      <c r="Q188" s="415"/>
      <c r="R188" s="415"/>
      <c r="S188" s="416"/>
      <c r="T188" s="416"/>
      <c r="U188" s="417"/>
      <c r="V188" s="403"/>
    </row>
    <row r="189" spans="1:22" x14ac:dyDescent="0.25">
      <c r="A189" s="383"/>
      <c r="B189" s="384"/>
      <c r="C189" s="385"/>
      <c r="D189" s="383"/>
      <c r="E189" s="383"/>
      <c r="F189" s="383"/>
      <c r="G189" s="383"/>
      <c r="H189" s="419"/>
      <c r="I189" s="413"/>
      <c r="J189" s="414"/>
      <c r="K189" s="414"/>
      <c r="L189" s="414"/>
      <c r="M189" s="420"/>
      <c r="N189" s="31"/>
      <c r="O189" s="31"/>
      <c r="P189" s="31"/>
      <c r="Q189" s="415"/>
      <c r="R189" s="415"/>
      <c r="S189" s="416"/>
      <c r="T189" s="416"/>
      <c r="U189" s="417"/>
      <c r="V189" s="403"/>
    </row>
    <row r="190" spans="1:22" x14ac:dyDescent="0.25">
      <c r="A190" s="383"/>
      <c r="B190" s="384"/>
      <c r="C190" s="385"/>
      <c r="D190" s="383"/>
      <c r="E190" s="383"/>
      <c r="F190" s="383"/>
      <c r="G190" s="383"/>
      <c r="H190" s="419"/>
      <c r="I190" s="413"/>
      <c r="J190" s="414"/>
      <c r="K190" s="414"/>
      <c r="L190" s="414"/>
      <c r="M190" s="420"/>
      <c r="N190" s="31"/>
      <c r="O190" s="31"/>
      <c r="P190" s="31"/>
      <c r="Q190" s="415"/>
      <c r="R190" s="415"/>
      <c r="S190" s="416"/>
      <c r="T190" s="416"/>
      <c r="U190" s="417"/>
      <c r="V190" s="403"/>
    </row>
    <row r="191" spans="1:22" x14ac:dyDescent="0.25">
      <c r="A191" s="29"/>
      <c r="B191" s="74"/>
      <c r="C191" s="75"/>
      <c r="D191" s="29"/>
      <c r="E191" s="29"/>
      <c r="F191" s="29"/>
      <c r="G191" s="29"/>
      <c r="H191" s="419"/>
      <c r="I191" s="27"/>
      <c r="J191" s="389"/>
      <c r="K191" s="389"/>
      <c r="L191" s="389"/>
      <c r="M191" s="420"/>
      <c r="N191" s="31"/>
      <c r="O191" s="31"/>
      <c r="P191" s="31"/>
      <c r="Q191" s="399"/>
      <c r="R191" s="399"/>
      <c r="S191" s="322"/>
      <c r="T191" s="322"/>
      <c r="U191" s="402"/>
      <c r="V191" s="403"/>
    </row>
    <row r="192" spans="1:22" x14ac:dyDescent="0.25">
      <c r="A192" s="29"/>
      <c r="B192" s="74"/>
      <c r="C192" s="75"/>
      <c r="D192" s="29"/>
      <c r="E192" s="29"/>
      <c r="F192" s="29"/>
      <c r="G192" s="29"/>
      <c r="H192" s="419"/>
      <c r="I192" s="27"/>
      <c r="J192" s="389"/>
      <c r="K192" s="389"/>
      <c r="L192" s="389"/>
      <c r="M192" s="420"/>
      <c r="N192" s="31"/>
      <c r="O192" s="31"/>
      <c r="P192" s="31"/>
      <c r="Q192" s="399"/>
      <c r="R192" s="399"/>
      <c r="S192" s="322"/>
      <c r="T192" s="322"/>
      <c r="U192" s="402"/>
      <c r="V192" s="403"/>
    </row>
    <row r="193" spans="1:22" x14ac:dyDescent="0.25">
      <c r="A193" s="29"/>
      <c r="B193" s="74"/>
      <c r="C193" s="75"/>
      <c r="D193" s="29"/>
      <c r="E193" s="29"/>
      <c r="F193" s="29"/>
      <c r="G193" s="29"/>
      <c r="H193" s="419"/>
      <c r="I193" s="27"/>
      <c r="J193" s="389"/>
      <c r="K193" s="389"/>
      <c r="L193" s="389"/>
      <c r="M193" s="420"/>
      <c r="N193" s="31"/>
      <c r="O193" s="31"/>
      <c r="P193" s="31"/>
      <c r="Q193" s="399"/>
      <c r="R193" s="399"/>
      <c r="S193" s="322"/>
      <c r="T193" s="322"/>
      <c r="U193" s="402"/>
      <c r="V193" s="403"/>
    </row>
    <row r="194" spans="1:22" x14ac:dyDescent="0.25">
      <c r="A194" s="29"/>
      <c r="B194" s="74"/>
      <c r="C194" s="75"/>
      <c r="D194" s="29"/>
      <c r="E194" s="29"/>
      <c r="F194" s="29"/>
      <c r="G194" s="29"/>
      <c r="H194" s="419"/>
      <c r="I194" s="27"/>
      <c r="J194" s="389"/>
      <c r="K194" s="389"/>
      <c r="L194" s="389"/>
      <c r="M194" s="420"/>
      <c r="N194" s="31"/>
      <c r="O194" s="31"/>
      <c r="P194" s="31"/>
      <c r="Q194" s="399"/>
      <c r="R194" s="399"/>
      <c r="S194" s="322"/>
      <c r="T194" s="322"/>
      <c r="U194" s="402"/>
      <c r="V194" s="403"/>
    </row>
    <row r="195" spans="1:22" x14ac:dyDescent="0.25">
      <c r="A195" s="29"/>
      <c r="B195" s="74"/>
      <c r="C195" s="75"/>
      <c r="D195" s="29"/>
      <c r="E195" s="29"/>
      <c r="F195" s="29"/>
      <c r="G195" s="29"/>
      <c r="H195" s="419"/>
      <c r="I195" s="27"/>
      <c r="J195" s="389"/>
      <c r="K195" s="389"/>
      <c r="L195" s="389"/>
      <c r="M195" s="420"/>
      <c r="N195" s="31"/>
      <c r="O195" s="31"/>
      <c r="P195" s="31"/>
      <c r="Q195" s="399"/>
      <c r="R195" s="399"/>
      <c r="S195" s="322"/>
      <c r="T195" s="322"/>
      <c r="U195" s="402"/>
      <c r="V195" s="403"/>
    </row>
    <row r="196" spans="1:22" x14ac:dyDescent="0.25">
      <c r="A196" s="383"/>
      <c r="B196" s="384"/>
      <c r="C196" s="385"/>
      <c r="D196" s="383"/>
      <c r="E196" s="383"/>
      <c r="F196" s="383"/>
      <c r="G196" s="383"/>
      <c r="H196" s="419"/>
      <c r="I196" s="413"/>
      <c r="J196" s="414"/>
      <c r="K196" s="414"/>
      <c r="L196" s="414"/>
      <c r="M196" s="420"/>
      <c r="N196" s="31"/>
      <c r="O196" s="31"/>
      <c r="P196" s="31"/>
      <c r="Q196" s="415"/>
      <c r="R196" s="415"/>
      <c r="S196" s="416"/>
      <c r="T196" s="416"/>
      <c r="U196" s="417"/>
      <c r="V196" s="403"/>
    </row>
    <row r="197" spans="1:22" x14ac:dyDescent="0.25">
      <c r="A197" s="383"/>
      <c r="B197" s="384"/>
      <c r="C197" s="385"/>
      <c r="D197" s="383"/>
      <c r="E197" s="383"/>
      <c r="F197" s="383"/>
      <c r="G197" s="383"/>
      <c r="H197" s="419"/>
      <c r="I197" s="413"/>
      <c r="J197" s="414"/>
      <c r="K197" s="414"/>
      <c r="L197" s="414"/>
      <c r="M197" s="420"/>
      <c r="N197" s="31"/>
      <c r="O197" s="31"/>
      <c r="P197" s="31"/>
      <c r="Q197" s="415"/>
      <c r="R197" s="415"/>
      <c r="S197" s="416"/>
      <c r="T197" s="416"/>
      <c r="U197" s="417"/>
      <c r="V197" s="403"/>
    </row>
    <row r="198" spans="1:22" x14ac:dyDescent="0.25">
      <c r="A198" s="383"/>
      <c r="B198" s="384"/>
      <c r="C198" s="385"/>
      <c r="D198" s="383"/>
      <c r="E198" s="383"/>
      <c r="F198" s="383"/>
      <c r="G198" s="383"/>
      <c r="H198" s="419"/>
      <c r="I198" s="413"/>
      <c r="J198" s="414"/>
      <c r="K198" s="414"/>
      <c r="L198" s="414"/>
      <c r="M198" s="420"/>
      <c r="N198" s="31"/>
      <c r="O198" s="31"/>
      <c r="P198" s="31"/>
      <c r="Q198" s="415"/>
      <c r="R198" s="415"/>
      <c r="S198" s="416"/>
      <c r="T198" s="416"/>
      <c r="U198" s="417"/>
      <c r="V198" s="403"/>
    </row>
    <row r="199" spans="1:22" x14ac:dyDescent="0.25">
      <c r="A199" s="383"/>
      <c r="B199" s="384"/>
      <c r="C199" s="385"/>
      <c r="D199" s="383"/>
      <c r="E199" s="383"/>
      <c r="F199" s="383"/>
      <c r="G199" s="383"/>
      <c r="H199" s="419"/>
      <c r="I199" s="413"/>
      <c r="J199" s="414"/>
      <c r="K199" s="414"/>
      <c r="L199" s="414"/>
      <c r="M199" s="420"/>
      <c r="N199" s="31"/>
      <c r="O199" s="31"/>
      <c r="P199" s="31"/>
      <c r="Q199" s="415"/>
      <c r="R199" s="415"/>
      <c r="S199" s="416"/>
      <c r="T199" s="416"/>
      <c r="U199" s="417"/>
      <c r="V199" s="403"/>
    </row>
    <row r="200" spans="1:22" x14ac:dyDescent="0.25">
      <c r="A200" s="383"/>
      <c r="B200" s="384"/>
      <c r="C200" s="385"/>
      <c r="D200" s="383"/>
      <c r="E200" s="383"/>
      <c r="F200" s="383"/>
      <c r="G200" s="383"/>
      <c r="H200" s="419"/>
      <c r="I200" s="413"/>
      <c r="J200" s="414"/>
      <c r="K200" s="414"/>
      <c r="L200" s="414"/>
      <c r="M200" s="420"/>
      <c r="N200" s="31"/>
      <c r="O200" s="31"/>
      <c r="P200" s="31"/>
      <c r="Q200" s="415"/>
      <c r="R200" s="415"/>
      <c r="S200" s="416"/>
      <c r="T200" s="416"/>
      <c r="U200" s="417"/>
      <c r="V200" s="403"/>
    </row>
    <row r="201" spans="1:22" x14ac:dyDescent="0.25">
      <c r="A201" s="29"/>
      <c r="B201" s="74"/>
      <c r="C201" s="75"/>
      <c r="D201" s="29"/>
      <c r="E201" s="29"/>
      <c r="F201" s="29"/>
      <c r="G201" s="29"/>
      <c r="H201" s="419"/>
      <c r="I201" s="27"/>
      <c r="J201" s="389"/>
      <c r="K201" s="389"/>
      <c r="L201" s="389"/>
      <c r="M201" s="420"/>
      <c r="N201" s="31"/>
      <c r="O201" s="31"/>
      <c r="P201" s="31"/>
      <c r="Q201" s="399"/>
      <c r="R201" s="399"/>
      <c r="S201" s="322"/>
      <c r="T201" s="322"/>
      <c r="U201" s="402"/>
      <c r="V201" s="403"/>
    </row>
    <row r="202" spans="1:22" x14ac:dyDescent="0.25">
      <c r="A202" s="29"/>
      <c r="B202" s="74"/>
      <c r="C202" s="75"/>
      <c r="D202" s="29"/>
      <c r="E202" s="29"/>
      <c r="F202" s="29"/>
      <c r="G202" s="29"/>
      <c r="H202" s="419"/>
      <c r="I202" s="27"/>
      <c r="J202" s="389"/>
      <c r="K202" s="389"/>
      <c r="L202" s="389"/>
      <c r="M202" s="420"/>
      <c r="N202" s="31"/>
      <c r="O202" s="31"/>
      <c r="P202" s="31"/>
      <c r="Q202" s="399"/>
      <c r="R202" s="399"/>
      <c r="S202" s="322"/>
      <c r="T202" s="322"/>
      <c r="U202" s="402"/>
      <c r="V202" s="403"/>
    </row>
    <row r="203" spans="1:22" x14ac:dyDescent="0.25">
      <c r="A203" s="29"/>
      <c r="B203" s="74"/>
      <c r="C203" s="75"/>
      <c r="D203" s="29"/>
      <c r="E203" s="29"/>
      <c r="F203" s="29"/>
      <c r="G203" s="29"/>
      <c r="H203" s="419"/>
      <c r="I203" s="27"/>
      <c r="J203" s="389"/>
      <c r="K203" s="389"/>
      <c r="L203" s="389"/>
      <c r="M203" s="420"/>
      <c r="N203" s="31"/>
      <c r="O203" s="31"/>
      <c r="P203" s="31"/>
      <c r="Q203" s="399"/>
      <c r="R203" s="399"/>
      <c r="S203" s="322"/>
      <c r="T203" s="322"/>
      <c r="U203" s="402"/>
      <c r="V203" s="403"/>
    </row>
    <row r="204" spans="1:22" x14ac:dyDescent="0.25">
      <c r="A204" s="29"/>
      <c r="B204" s="74"/>
      <c r="C204" s="75"/>
      <c r="D204" s="29"/>
      <c r="E204" s="29"/>
      <c r="F204" s="29"/>
      <c r="G204" s="29"/>
      <c r="H204" s="419"/>
      <c r="I204" s="27"/>
      <c r="J204" s="389"/>
      <c r="K204" s="389"/>
      <c r="L204" s="389"/>
      <c r="M204" s="420"/>
      <c r="N204" s="31"/>
      <c r="O204" s="31"/>
      <c r="P204" s="31"/>
      <c r="Q204" s="399"/>
      <c r="R204" s="399"/>
      <c r="S204" s="322"/>
      <c r="T204" s="322"/>
      <c r="U204" s="402"/>
      <c r="V204" s="403"/>
    </row>
    <row r="205" spans="1:22" x14ac:dyDescent="0.25">
      <c r="A205" s="29"/>
      <c r="B205" s="74"/>
      <c r="C205" s="75"/>
      <c r="D205" s="29"/>
      <c r="E205" s="29"/>
      <c r="F205" s="29"/>
      <c r="G205" s="29"/>
      <c r="H205" s="419"/>
      <c r="I205" s="27"/>
      <c r="J205" s="389"/>
      <c r="K205" s="389"/>
      <c r="L205" s="389"/>
      <c r="M205" s="420"/>
      <c r="N205" s="31"/>
      <c r="O205" s="31"/>
      <c r="P205" s="31"/>
      <c r="Q205" s="399"/>
      <c r="R205" s="399"/>
      <c r="S205" s="322"/>
      <c r="T205" s="322"/>
      <c r="U205" s="402"/>
      <c r="V205" s="403"/>
    </row>
    <row r="206" spans="1:22" x14ac:dyDescent="0.25">
      <c r="A206" s="29"/>
      <c r="B206" s="74"/>
      <c r="C206" s="75"/>
      <c r="D206" s="29"/>
      <c r="E206" s="29"/>
      <c r="F206" s="29"/>
      <c r="G206" s="29"/>
      <c r="H206" s="419"/>
      <c r="I206" s="27"/>
      <c r="J206" s="389"/>
      <c r="K206" s="389"/>
      <c r="L206" s="389"/>
      <c r="M206" s="420"/>
      <c r="N206" s="31"/>
      <c r="O206" s="31"/>
      <c r="P206" s="31"/>
      <c r="Q206" s="399"/>
      <c r="R206" s="399"/>
      <c r="S206" s="322"/>
      <c r="T206" s="322"/>
      <c r="U206" s="402"/>
      <c r="V206" s="403"/>
    </row>
  </sheetData>
  <sheetProtection algorithmName="SHA-512" hashValue="gKA8fyF4owQudQs/o52BShDcJy32NXbJNVjunzTRSgWqLJNpbRr/jY059hm22Pe/WAcE55UzgG5Sq85Vmpvn2w==" saltValue="tIEf4rnSsEumHjwO0exaGA==" spinCount="100000" sheet="1" objects="1" scenarios="1"/>
  <conditionalFormatting sqref="N11:O206">
    <cfRule type="colorScale" priority="3">
      <colorScale>
        <cfvo type="num" val="0.4"/>
        <cfvo type="num" val="1"/>
        <color theme="4" tint="0.79998168889431442"/>
        <color rgb="FFFF9B9B"/>
      </colorScale>
    </cfRule>
  </conditionalFormatting>
  <conditionalFormatting sqref="P11:P206">
    <cfRule type="colorScale" priority="2">
      <colorScale>
        <cfvo type="num" val="0.5"/>
        <cfvo type="num" val="1"/>
        <color theme="8" tint="0.79998168889431442"/>
        <color rgb="FFFF9B9B"/>
      </colorScale>
    </cfRule>
  </conditionalFormatting>
  <conditionalFormatting sqref="V11:V206">
    <cfRule type="colorScale" priority="1">
      <colorScale>
        <cfvo type="num" val="0"/>
        <cfvo type="num" val="4"/>
        <cfvo type="num" val="8"/>
        <color rgb="FF63BE7B"/>
        <color rgb="FFFFEB84"/>
        <color rgb="FFF8696B"/>
      </colorScale>
    </cfRule>
  </conditionalFormatting>
  <hyperlinks>
    <hyperlink ref="H2:I2" location="Instructions!A1" display="Return to Menu"/>
  </hyperlink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13"/>
  </sheetPr>
  <dimension ref="A1:U763"/>
  <sheetViews>
    <sheetView topLeftCell="B1" zoomScale="85" workbookViewId="0">
      <selection activeCell="T13" sqref="T13"/>
    </sheetView>
  </sheetViews>
  <sheetFormatPr defaultRowHeight="13.2" x14ac:dyDescent="0.25"/>
  <cols>
    <col min="1" max="1" width="11.44140625" customWidth="1"/>
    <col min="2" max="2" width="13" customWidth="1"/>
    <col min="11" max="11" width="9.5546875" bestFit="1" customWidth="1"/>
    <col min="12" max="12" width="9.5546875" customWidth="1"/>
    <col min="21" max="21" width="0" hidden="1" customWidth="1"/>
  </cols>
  <sheetData>
    <row r="1" spans="1:21" ht="15.6" x14ac:dyDescent="0.3">
      <c r="A1" s="56" t="s">
        <v>141</v>
      </c>
    </row>
    <row r="2" spans="1:21" ht="16.8" x14ac:dyDescent="0.3">
      <c r="A2" s="80" t="s">
        <v>94</v>
      </c>
      <c r="B2" s="81" t="str">
        <f>Weather_Site!D2</f>
        <v>Nicholson Street Melbourne</v>
      </c>
      <c r="C2" s="81"/>
      <c r="D2" s="81"/>
      <c r="E2" s="81"/>
      <c r="H2" s="170" t="s">
        <v>202</v>
      </c>
      <c r="I2" s="169"/>
    </row>
    <row r="3" spans="1:21" x14ac:dyDescent="0.25">
      <c r="D3" s="108" t="s">
        <v>179</v>
      </c>
    </row>
    <row r="4" spans="1:21" x14ac:dyDescent="0.25">
      <c r="A4" s="280" t="s">
        <v>124</v>
      </c>
      <c r="B4" s="280"/>
      <c r="C4" s="281">
        <v>60</v>
      </c>
      <c r="D4" s="109">
        <v>20</v>
      </c>
    </row>
    <row r="5" spans="1:21" x14ac:dyDescent="0.25">
      <c r="A5" s="280" t="s">
        <v>125</v>
      </c>
      <c r="B5" s="280"/>
      <c r="C5" s="281">
        <v>0</v>
      </c>
      <c r="D5" s="109">
        <v>0</v>
      </c>
    </row>
    <row r="6" spans="1:21" x14ac:dyDescent="0.25">
      <c r="A6" s="280" t="s">
        <v>126</v>
      </c>
      <c r="B6" s="280"/>
      <c r="C6" s="281">
        <v>1</v>
      </c>
      <c r="D6" s="108">
        <v>2</v>
      </c>
    </row>
    <row r="7" spans="1:21" x14ac:dyDescent="0.25">
      <c r="A7" s="7" t="s">
        <v>127</v>
      </c>
      <c r="B7" s="7"/>
      <c r="C7" s="106">
        <f>IF(C5&gt;0,(IF(C6=1,(0.629*(IF(C4=0,20,C4)*C5)^0.38),(0.305*(IF(C4=0,20,C4)*C5)^0.58))),IF(C6=1,(11.73*(1-EXP(-0.106*IF(C4=0,20,C4)))),(44.61*(1-EXP(-0.041*IF(C4=0,20,C4))))))</f>
        <v>11.709714528469915</v>
      </c>
      <c r="D7" s="110"/>
    </row>
    <row r="8" spans="1:21" x14ac:dyDescent="0.25">
      <c r="A8" s="35" t="s">
        <v>35</v>
      </c>
      <c r="B8" s="35"/>
      <c r="C8" s="107">
        <f>Weather_Site!D6</f>
        <v>0</v>
      </c>
      <c r="D8" s="108">
        <v>0</v>
      </c>
    </row>
    <row r="12" spans="1:21" ht="66" x14ac:dyDescent="0.25">
      <c r="A12" s="26" t="s">
        <v>28</v>
      </c>
      <c r="B12" s="26" t="s">
        <v>32</v>
      </c>
      <c r="C12" s="26" t="s">
        <v>27</v>
      </c>
      <c r="D12" s="26" t="s">
        <v>18</v>
      </c>
      <c r="E12" s="26" t="s">
        <v>19</v>
      </c>
      <c r="F12" s="26" t="s">
        <v>24</v>
      </c>
      <c r="G12" s="26" t="s">
        <v>20</v>
      </c>
      <c r="H12" s="91" t="s">
        <v>17</v>
      </c>
      <c r="I12" s="91" t="s">
        <v>16</v>
      </c>
      <c r="J12" s="57" t="s">
        <v>128</v>
      </c>
      <c r="K12" s="57" t="s">
        <v>129</v>
      </c>
      <c r="L12" s="57" t="s">
        <v>113</v>
      </c>
      <c r="M12" s="92" t="s">
        <v>130</v>
      </c>
      <c r="N12" s="92" t="s">
        <v>131</v>
      </c>
      <c r="O12" s="92" t="s">
        <v>132</v>
      </c>
      <c r="P12" s="92" t="s">
        <v>133</v>
      </c>
      <c r="Q12" s="92" t="s">
        <v>134</v>
      </c>
      <c r="R12" s="92" t="s">
        <v>135</v>
      </c>
      <c r="S12" s="92" t="s">
        <v>137</v>
      </c>
      <c r="T12" s="92" t="s">
        <v>136</v>
      </c>
    </row>
    <row r="13" spans="1:21" x14ac:dyDescent="0.25">
      <c r="A13" s="3" t="str">
        <f>Weather_Site!A12</f>
        <v>Sun</v>
      </c>
      <c r="B13" s="58">
        <f>Weather_Site!B12</f>
        <v>44549</v>
      </c>
      <c r="C13" s="59">
        <f>Weather_Site!C12</f>
        <v>0.16666666666666666</v>
      </c>
      <c r="D13" s="3">
        <f>Weather_Site!D12</f>
        <v>23.9</v>
      </c>
      <c r="E13" s="3">
        <f>Weather_Site!E12</f>
        <v>24.2</v>
      </c>
      <c r="F13" s="3">
        <f>Weather_Site!F12</f>
        <v>36</v>
      </c>
      <c r="G13" s="3">
        <f>Weather_Site!G12</f>
        <v>16</v>
      </c>
      <c r="H13" s="3">
        <f>Weather_Site!I12</f>
        <v>10</v>
      </c>
      <c r="I13" s="3">
        <f>Weather_Site!J12</f>
        <v>10</v>
      </c>
      <c r="J13" s="32">
        <f>((1/273.16-0.000184*LN(((0.611*EXP((17.2694*((D13+273.16)-273.16))/((D13+273.16)-35.86)))*(E13/100))/0.611))^-1)-273.16</f>
        <v>2.2332938621797211</v>
      </c>
      <c r="K13" s="32">
        <f>EXP(1.66+0.0214*E13-0.0292*J13)+(67.128*(1-EXP(-3.132*H13))*EXP(-0.0858*(I13*24)))</f>
        <v>8.2702755563931998</v>
      </c>
      <c r="L13" s="27">
        <f>IF(Weather_Site!M12&lt;180,Weather_Site!M12+180,Weather_Site!M12-180)</f>
        <v>216</v>
      </c>
      <c r="M13" s="33">
        <f>(0.678*IF((G13*0.66)&lt;0.5,0.5,(G13*0.66))^1.313*EXP(-0.0243*K13)*(1-EXP(-0.116*IF($C$4=0,20,$C$4)))*EXP(0.0693*$C$8))*60</f>
        <v>734.10828302223717</v>
      </c>
      <c r="N13" s="32">
        <f>0.148*(((18637-(24*K13))*M13/60*$C$7)/600)^0.403</f>
        <v>4.3519594338002836</v>
      </c>
      <c r="O13" s="33">
        <f>M13*0.4</f>
        <v>293.64331320889488</v>
      </c>
      <c r="P13" s="32">
        <f>N13*0.6</f>
        <v>2.6111756602801699</v>
      </c>
      <c r="Q13" s="33">
        <f>0.1*M13</f>
        <v>73.41082830222372</v>
      </c>
      <c r="R13" s="33">
        <f>0.5*N13</f>
        <v>2.1759797169001418</v>
      </c>
      <c r="S13" s="33">
        <f>0.65*(M13/60)^1.02</f>
        <v>8.361311590227487</v>
      </c>
      <c r="T13" s="31">
        <f>IF(I5=1,(1/(1+EXP(-(-1+0.68*(G13*0.66)-0.07*K13-0.0037*(G13*0.66)*K13+2.1*1)))),(1/(1+EXP(-(-1+0.68*(G13*0.66)-0.07*K13-0.0037*(G13*0.66)*K13+2.1*2)))))</f>
        <v>0.99992354597372146</v>
      </c>
      <c r="U13">
        <f>0</f>
        <v>0</v>
      </c>
    </row>
    <row r="14" spans="1:21" x14ac:dyDescent="0.25">
      <c r="A14" s="3" t="str">
        <f>Weather_Site!A13</f>
        <v>Sun</v>
      </c>
      <c r="B14" s="58">
        <f>Weather_Site!B13</f>
        <v>44549</v>
      </c>
      <c r="C14" s="59">
        <f>Weather_Site!C13</f>
        <v>0.20833333333333334</v>
      </c>
      <c r="D14" s="3">
        <f>Weather_Site!D13</f>
        <v>23.6</v>
      </c>
      <c r="E14" s="3">
        <f>Weather_Site!E13</f>
        <v>24.4</v>
      </c>
      <c r="F14" s="3">
        <f>Weather_Site!F13</f>
        <v>312</v>
      </c>
      <c r="G14" s="3">
        <f>Weather_Site!G13</f>
        <v>13</v>
      </c>
      <c r="H14" s="3">
        <f>Weather_Site!I13</f>
        <v>10</v>
      </c>
      <c r="I14" s="3">
        <f>Weather_Site!J13</f>
        <v>10</v>
      </c>
      <c r="J14" s="32">
        <f t="shared" ref="J14:J17" si="0">((1/273.16-0.000184*LN(((0.611*EXP((17.2694*((D14+273.16)-273.16))/((D14+273.16)-35.86)))*(E14/100))/0.611))^-1)-273.16</f>
        <v>2.0964647435835673</v>
      </c>
      <c r="K14" s="32">
        <f t="shared" ref="K14:K17" si="1">EXP(1.66+0.0214*E14-0.0292*J14)+(67.128*(1-EXP(-3.132*H14))*EXP(-0.0858*(I14*24)))</f>
        <v>8.3389994459698862</v>
      </c>
      <c r="L14" s="27">
        <f>IF(Weather_Site!M13&lt;180,Weather_Site!M13+180,Weather_Site!M13-180)</f>
        <v>132</v>
      </c>
      <c r="M14" s="33">
        <f t="shared" ref="M14:M17" si="2">(0.678*IF((G14*0.66)&lt;0.5,0.5,(G14*0.66))^1.313*EXP(-0.0243*K14)*(1-EXP(-0.116*IF($C$4=0,20,$C$4)))*EXP(0.0693*$C$8))*60</f>
        <v>557.99838371931412</v>
      </c>
      <c r="N14" s="32">
        <f t="shared" ref="N14:N17" si="3">0.148*(((18637-(24*K14))*M14/60*$C$7)/600)^0.403</f>
        <v>3.8963766032857743</v>
      </c>
      <c r="O14" s="33">
        <f t="shared" ref="O14:O17" si="4">M14*0.4</f>
        <v>223.19935348772566</v>
      </c>
      <c r="P14" s="32">
        <f t="shared" ref="P14:P17" si="5">N14*0.6</f>
        <v>2.3378259619714643</v>
      </c>
      <c r="Q14" s="33">
        <f t="shared" ref="Q14:Q17" si="6">0.1*M14</f>
        <v>55.799838371931415</v>
      </c>
      <c r="R14" s="33">
        <f t="shared" ref="R14:R17" si="7">0.5*N14</f>
        <v>1.9481883016428871</v>
      </c>
      <c r="S14" s="33">
        <f t="shared" ref="S14:S17" si="8">0.65*(M14/60)^1.02</f>
        <v>6.3206927694711501</v>
      </c>
      <c r="T14" s="31">
        <f t="shared" ref="T14:T17" si="9">IF(I6=1,(1/(1+EXP(-(-1+0.68*(G14*0.66)-0.07*K14-0.0037*(G14*0.66)*K14+2.1*1)))),(1/(1+EXP(-(-1+0.68*(G14*0.66)-0.07*K14-0.0037*(G14*0.66)*K14+2.1*2)))))</f>
        <v>0.99972153513540907</v>
      </c>
      <c r="U14">
        <f>0</f>
        <v>0</v>
      </c>
    </row>
    <row r="15" spans="1:21" x14ac:dyDescent="0.25">
      <c r="A15" s="3" t="str">
        <f>Weather_Site!A14</f>
        <v>Sun</v>
      </c>
      <c r="B15" s="58">
        <f>Weather_Site!B14</f>
        <v>44549</v>
      </c>
      <c r="C15" s="59">
        <f>Weather_Site!C14</f>
        <v>0.25</v>
      </c>
      <c r="D15" s="3">
        <f>Weather_Site!D14</f>
        <v>22.7</v>
      </c>
      <c r="E15" s="3">
        <f>Weather_Site!E14</f>
        <v>27.3</v>
      </c>
      <c r="F15" s="3">
        <f>Weather_Site!F14</f>
        <v>336</v>
      </c>
      <c r="G15" s="3">
        <f>Weather_Site!G14</f>
        <v>16</v>
      </c>
      <c r="H15" s="3">
        <f>Weather_Site!I14</f>
        <v>10</v>
      </c>
      <c r="I15" s="3">
        <f>Weather_Site!J14</f>
        <v>10</v>
      </c>
      <c r="J15" s="32">
        <f t="shared" si="0"/>
        <v>2.9064726001817576</v>
      </c>
      <c r="K15" s="32">
        <f t="shared" si="1"/>
        <v>8.6655119930653992</v>
      </c>
      <c r="L15" s="27">
        <f>IF(Weather_Site!M14&lt;180,Weather_Site!M14+180,Weather_Site!M14-180)</f>
        <v>156</v>
      </c>
      <c r="M15" s="33">
        <f t="shared" si="2"/>
        <v>727.09147641673098</v>
      </c>
      <c r="N15" s="32">
        <f t="shared" si="3"/>
        <v>4.3342487697697516</v>
      </c>
      <c r="O15" s="33">
        <f t="shared" si="4"/>
        <v>290.83659056669239</v>
      </c>
      <c r="P15" s="32">
        <f t="shared" si="5"/>
        <v>2.6005492618618509</v>
      </c>
      <c r="Q15" s="33">
        <f t="shared" si="6"/>
        <v>72.709147641673098</v>
      </c>
      <c r="R15" s="33">
        <f t="shared" si="7"/>
        <v>2.1671243848848758</v>
      </c>
      <c r="S15" s="33">
        <f t="shared" si="8"/>
        <v>8.2798013226039107</v>
      </c>
      <c r="T15" s="31">
        <f t="shared" si="9"/>
        <v>0.99992017829522117</v>
      </c>
      <c r="U15">
        <f>0</f>
        <v>0</v>
      </c>
    </row>
    <row r="16" spans="1:21" x14ac:dyDescent="0.25">
      <c r="A16" s="3" t="str">
        <f>Weather_Site!A15</f>
        <v>Sun</v>
      </c>
      <c r="B16" s="58">
        <f>Weather_Site!B15</f>
        <v>44549</v>
      </c>
      <c r="C16" s="59">
        <f>Weather_Site!C15</f>
        <v>0.29166666666666669</v>
      </c>
      <c r="D16" s="3">
        <f>Weather_Site!D15</f>
        <v>23</v>
      </c>
      <c r="E16" s="3">
        <f>Weather_Site!E15</f>
        <v>28.2</v>
      </c>
      <c r="F16" s="3">
        <f>Weather_Site!F15</f>
        <v>2</v>
      </c>
      <c r="G16" s="3">
        <f>Weather_Site!G15</f>
        <v>25</v>
      </c>
      <c r="H16" s="3">
        <f>Weather_Site!I15</f>
        <v>10</v>
      </c>
      <c r="I16" s="3">
        <f>Weather_Site!J15</f>
        <v>2</v>
      </c>
      <c r="J16" s="32">
        <f t="shared" si="0"/>
        <v>3.6178835409108956</v>
      </c>
      <c r="K16" s="32">
        <f t="shared" si="1"/>
        <v>9.7446170853315319</v>
      </c>
      <c r="L16" s="27">
        <f>IF(Weather_Site!M15&lt;180,Weather_Site!M15+180,Weather_Site!M15-180)</f>
        <v>182</v>
      </c>
      <c r="M16" s="33">
        <f t="shared" si="2"/>
        <v>1272.5843192295094</v>
      </c>
      <c r="N16" s="32">
        <f t="shared" si="3"/>
        <v>5.4279520341331944</v>
      </c>
      <c r="O16" s="33">
        <f t="shared" si="4"/>
        <v>509.03372769180379</v>
      </c>
      <c r="P16" s="32">
        <f t="shared" si="5"/>
        <v>3.2567712204799166</v>
      </c>
      <c r="Q16" s="33">
        <f t="shared" si="6"/>
        <v>127.25843192295095</v>
      </c>
      <c r="R16" s="33">
        <f t="shared" si="7"/>
        <v>2.7139760170665972</v>
      </c>
      <c r="S16" s="33">
        <f t="shared" si="8"/>
        <v>14.654782599685765</v>
      </c>
      <c r="T16" s="31">
        <f t="shared" si="9"/>
        <v>0.99999804079129895</v>
      </c>
      <c r="U16">
        <f>0</f>
        <v>0</v>
      </c>
    </row>
    <row r="17" spans="1:21" x14ac:dyDescent="0.25">
      <c r="A17" s="3" t="str">
        <f>Weather_Site!A16</f>
        <v>Sun</v>
      </c>
      <c r="B17" s="58">
        <f>Weather_Site!B16</f>
        <v>44549</v>
      </c>
      <c r="C17" s="59">
        <f>Weather_Site!C16</f>
        <v>0.33333333333333331</v>
      </c>
      <c r="D17" s="3">
        <f>Weather_Site!D16</f>
        <v>25.3</v>
      </c>
      <c r="E17" s="3">
        <f>Weather_Site!E16</f>
        <v>26</v>
      </c>
      <c r="F17" s="3">
        <f>Weather_Site!F16</f>
        <v>0</v>
      </c>
      <c r="G17" s="3">
        <f>Weather_Site!G16</f>
        <v>32</v>
      </c>
      <c r="H17" s="3">
        <f>Weather_Site!I16</f>
        <v>30</v>
      </c>
      <c r="I17" s="3">
        <f>Weather_Site!J16</f>
        <v>3</v>
      </c>
      <c r="J17" s="32">
        <f t="shared" si="0"/>
        <v>4.4189158446973806</v>
      </c>
      <c r="K17" s="32">
        <f t="shared" si="1"/>
        <v>8.2029785261757784</v>
      </c>
      <c r="L17" s="27">
        <f>IF(Weather_Site!M16&lt;180,Weather_Site!M16+180,Weather_Site!M16-180)</f>
        <v>180</v>
      </c>
      <c r="M17" s="33">
        <f t="shared" si="2"/>
        <v>1826.9334103864537</v>
      </c>
      <c r="N17" s="32">
        <f t="shared" si="3"/>
        <v>6.2845342022690041</v>
      </c>
      <c r="O17" s="33">
        <f t="shared" si="4"/>
        <v>730.77336415458149</v>
      </c>
      <c r="P17" s="32">
        <f t="shared" si="5"/>
        <v>3.7707205213614023</v>
      </c>
      <c r="Q17" s="33">
        <f t="shared" si="6"/>
        <v>182.69334103864537</v>
      </c>
      <c r="R17" s="33">
        <f t="shared" si="7"/>
        <v>3.142267101134502</v>
      </c>
      <c r="S17" s="33">
        <f t="shared" si="8"/>
        <v>21.191234322119335</v>
      </c>
      <c r="T17" s="31">
        <f t="shared" si="9"/>
        <v>0.9999999204100517</v>
      </c>
      <c r="U17">
        <f>0</f>
        <v>0</v>
      </c>
    </row>
    <row r="18" spans="1:21" x14ac:dyDescent="0.25">
      <c r="A18" s="66"/>
      <c r="B18" s="67"/>
      <c r="C18" s="68"/>
      <c r="D18" s="66"/>
      <c r="E18" s="66"/>
      <c r="F18" s="66"/>
      <c r="G18" s="66"/>
      <c r="H18" s="66"/>
      <c r="I18" s="66"/>
      <c r="J18" s="51"/>
      <c r="K18" s="51"/>
      <c r="L18" s="48"/>
      <c r="M18" s="52"/>
      <c r="N18" s="51"/>
      <c r="O18" s="52"/>
      <c r="P18" s="51"/>
      <c r="Q18" s="52"/>
      <c r="R18" s="52"/>
      <c r="S18" s="52"/>
      <c r="T18" s="54"/>
      <c r="U18">
        <f>0</f>
        <v>0</v>
      </c>
    </row>
    <row r="19" spans="1:21" x14ac:dyDescent="0.25">
      <c r="A19" s="66"/>
      <c r="B19" s="67"/>
      <c r="C19" s="68"/>
      <c r="D19" s="66"/>
      <c r="E19" s="66"/>
      <c r="F19" s="66"/>
      <c r="G19" s="66"/>
      <c r="H19" s="66"/>
      <c r="I19" s="66"/>
      <c r="J19" s="51"/>
      <c r="K19" s="51"/>
      <c r="L19" s="48"/>
      <c r="M19" s="52"/>
      <c r="N19" s="51"/>
      <c r="O19" s="52"/>
      <c r="P19" s="51"/>
      <c r="Q19" s="52"/>
      <c r="R19" s="52"/>
      <c r="S19" s="52"/>
      <c r="T19" s="54"/>
      <c r="U19">
        <f>0</f>
        <v>0</v>
      </c>
    </row>
    <row r="20" spans="1:21" x14ac:dyDescent="0.25">
      <c r="A20" s="66"/>
      <c r="B20" s="67"/>
      <c r="C20" s="68"/>
      <c r="D20" s="66"/>
      <c r="E20" s="66"/>
      <c r="F20" s="66"/>
      <c r="G20" s="66"/>
      <c r="H20" s="66"/>
      <c r="I20" s="66"/>
      <c r="J20" s="51"/>
      <c r="K20" s="51"/>
      <c r="L20" s="48"/>
      <c r="M20" s="52"/>
      <c r="N20" s="51"/>
      <c r="O20" s="52"/>
      <c r="P20" s="51"/>
      <c r="Q20" s="52"/>
      <c r="R20" s="52"/>
      <c r="S20" s="52"/>
      <c r="T20" s="54"/>
      <c r="U20">
        <f>0</f>
        <v>0</v>
      </c>
    </row>
    <row r="21" spans="1:21" x14ac:dyDescent="0.25">
      <c r="A21" s="66"/>
      <c r="B21" s="67"/>
      <c r="C21" s="68"/>
      <c r="D21" s="66"/>
      <c r="E21" s="66"/>
      <c r="F21" s="66"/>
      <c r="G21" s="66"/>
      <c r="H21" s="66"/>
      <c r="I21" s="66"/>
      <c r="J21" s="51"/>
      <c r="K21" s="51"/>
      <c r="L21" s="48"/>
      <c r="M21" s="52"/>
      <c r="N21" s="51"/>
      <c r="O21" s="52"/>
      <c r="P21" s="51"/>
      <c r="Q21" s="52"/>
      <c r="R21" s="52"/>
      <c r="S21" s="52"/>
      <c r="T21" s="54"/>
      <c r="U21">
        <f>0</f>
        <v>0</v>
      </c>
    </row>
    <row r="22" spans="1:21" x14ac:dyDescent="0.25">
      <c r="A22" s="66"/>
      <c r="B22" s="67"/>
      <c r="C22" s="68"/>
      <c r="D22" s="66"/>
      <c r="E22" s="66"/>
      <c r="F22" s="66"/>
      <c r="G22" s="66"/>
      <c r="H22" s="66"/>
      <c r="I22" s="66"/>
      <c r="J22" s="51"/>
      <c r="K22" s="51"/>
      <c r="L22" s="48"/>
      <c r="M22" s="52"/>
      <c r="N22" s="51"/>
      <c r="O22" s="52"/>
      <c r="P22" s="51"/>
      <c r="Q22" s="52"/>
      <c r="R22" s="52"/>
      <c r="S22" s="52"/>
      <c r="T22" s="54"/>
      <c r="U22">
        <f>0</f>
        <v>0</v>
      </c>
    </row>
    <row r="23" spans="1:21" x14ac:dyDescent="0.25">
      <c r="A23" s="3"/>
      <c r="B23" s="58"/>
      <c r="C23" s="59"/>
      <c r="D23" s="3"/>
      <c r="E23" s="3"/>
      <c r="F23" s="3"/>
      <c r="G23" s="3"/>
      <c r="H23" s="3"/>
      <c r="I23" s="3"/>
      <c r="J23" s="32"/>
      <c r="K23" s="32"/>
      <c r="L23" s="27"/>
      <c r="M23" s="33"/>
      <c r="N23" s="32"/>
      <c r="O23" s="33"/>
      <c r="P23" s="32"/>
      <c r="Q23" s="33"/>
      <c r="R23" s="33"/>
      <c r="S23" s="33"/>
      <c r="T23" s="31"/>
      <c r="U23">
        <f>0</f>
        <v>0</v>
      </c>
    </row>
    <row r="24" spans="1:21" x14ac:dyDescent="0.25">
      <c r="A24" s="3"/>
      <c r="B24" s="58"/>
      <c r="C24" s="59"/>
      <c r="D24" s="3"/>
      <c r="E24" s="3"/>
      <c r="F24" s="3"/>
      <c r="G24" s="3"/>
      <c r="H24" s="3"/>
      <c r="I24" s="3"/>
      <c r="J24" s="32"/>
      <c r="K24" s="32"/>
      <c r="L24" s="27"/>
      <c r="M24" s="33"/>
      <c r="N24" s="32"/>
      <c r="O24" s="33"/>
      <c r="P24" s="32"/>
      <c r="Q24" s="33"/>
      <c r="R24" s="33"/>
      <c r="S24" s="33"/>
      <c r="T24" s="31"/>
      <c r="U24">
        <f>0</f>
        <v>0</v>
      </c>
    </row>
    <row r="25" spans="1:21" x14ac:dyDescent="0.25">
      <c r="A25" s="3"/>
      <c r="B25" s="58"/>
      <c r="C25" s="59"/>
      <c r="D25" s="3"/>
      <c r="E25" s="3"/>
      <c r="F25" s="3"/>
      <c r="G25" s="3"/>
      <c r="H25" s="3"/>
      <c r="I25" s="3"/>
      <c r="J25" s="32"/>
      <c r="K25" s="32"/>
      <c r="L25" s="27"/>
      <c r="M25" s="33"/>
      <c r="N25" s="32"/>
      <c r="O25" s="33"/>
      <c r="P25" s="32"/>
      <c r="Q25" s="33"/>
      <c r="R25" s="33"/>
      <c r="S25" s="33"/>
      <c r="T25" s="31"/>
      <c r="U25">
        <f>0</f>
        <v>0</v>
      </c>
    </row>
    <row r="26" spans="1:21" x14ac:dyDescent="0.25">
      <c r="A26" s="3"/>
      <c r="B26" s="58"/>
      <c r="C26" s="59"/>
      <c r="D26" s="3"/>
      <c r="E26" s="3"/>
      <c r="F26" s="3"/>
      <c r="G26" s="3"/>
      <c r="H26" s="3"/>
      <c r="I26" s="3"/>
      <c r="J26" s="32"/>
      <c r="K26" s="32"/>
      <c r="L26" s="27"/>
      <c r="M26" s="33"/>
      <c r="N26" s="32"/>
      <c r="O26" s="33"/>
      <c r="P26" s="32"/>
      <c r="Q26" s="33"/>
      <c r="R26" s="33"/>
      <c r="S26" s="33"/>
      <c r="T26" s="31"/>
      <c r="U26">
        <f>0</f>
        <v>0</v>
      </c>
    </row>
    <row r="27" spans="1:21" x14ac:dyDescent="0.25">
      <c r="A27" s="3"/>
      <c r="B27" s="58"/>
      <c r="C27" s="59"/>
      <c r="D27" s="3"/>
      <c r="E27" s="3"/>
      <c r="F27" s="3"/>
      <c r="G27" s="3"/>
      <c r="H27" s="3"/>
      <c r="I27" s="3"/>
      <c r="J27" s="32"/>
      <c r="K27" s="32"/>
      <c r="L27" s="27"/>
      <c r="M27" s="33"/>
      <c r="N27" s="32"/>
      <c r="O27" s="33"/>
      <c r="P27" s="32"/>
      <c r="Q27" s="33"/>
      <c r="R27" s="33"/>
      <c r="S27" s="33"/>
      <c r="T27" s="31"/>
      <c r="U27">
        <f>0</f>
        <v>0</v>
      </c>
    </row>
    <row r="28" spans="1:21" x14ac:dyDescent="0.25">
      <c r="A28" s="66"/>
      <c r="B28" s="67"/>
      <c r="C28" s="68"/>
      <c r="D28" s="66"/>
      <c r="E28" s="66"/>
      <c r="F28" s="66"/>
      <c r="G28" s="66"/>
      <c r="H28" s="66"/>
      <c r="I28" s="66"/>
      <c r="J28" s="51"/>
      <c r="K28" s="51"/>
      <c r="L28" s="48"/>
      <c r="M28" s="52"/>
      <c r="N28" s="51"/>
      <c r="O28" s="52"/>
      <c r="P28" s="51"/>
      <c r="Q28" s="52"/>
      <c r="R28" s="52"/>
      <c r="S28" s="52"/>
      <c r="T28" s="54"/>
      <c r="U28">
        <f>0</f>
        <v>0</v>
      </c>
    </row>
    <row r="29" spans="1:21" x14ac:dyDescent="0.25">
      <c r="A29" s="66"/>
      <c r="B29" s="67"/>
      <c r="C29" s="68"/>
      <c r="D29" s="66"/>
      <c r="E29" s="66"/>
      <c r="F29" s="66"/>
      <c r="G29" s="66"/>
      <c r="H29" s="66"/>
      <c r="I29" s="66"/>
      <c r="J29" s="51"/>
      <c r="K29" s="51"/>
      <c r="L29" s="48"/>
      <c r="M29" s="52"/>
      <c r="N29" s="51"/>
      <c r="O29" s="52"/>
      <c r="P29" s="51"/>
      <c r="Q29" s="52"/>
      <c r="R29" s="52"/>
      <c r="S29" s="52"/>
      <c r="T29" s="54"/>
      <c r="U29">
        <f>0</f>
        <v>0</v>
      </c>
    </row>
    <row r="30" spans="1:21" x14ac:dyDescent="0.25">
      <c r="A30" s="66"/>
      <c r="B30" s="67"/>
      <c r="C30" s="68"/>
      <c r="D30" s="66"/>
      <c r="E30" s="66"/>
      <c r="F30" s="66"/>
      <c r="G30" s="66"/>
      <c r="H30" s="66"/>
      <c r="I30" s="66"/>
      <c r="J30" s="51"/>
      <c r="K30" s="51"/>
      <c r="L30" s="48"/>
      <c r="M30" s="52"/>
      <c r="N30" s="51"/>
      <c r="O30" s="52"/>
      <c r="P30" s="51"/>
      <c r="Q30" s="52"/>
      <c r="R30" s="52"/>
      <c r="S30" s="52"/>
      <c r="T30" s="54"/>
      <c r="U30">
        <f>0</f>
        <v>0</v>
      </c>
    </row>
    <row r="31" spans="1:21" x14ac:dyDescent="0.25">
      <c r="A31" s="66"/>
      <c r="B31" s="67"/>
      <c r="C31" s="68"/>
      <c r="D31" s="66"/>
      <c r="E31" s="66"/>
      <c r="F31" s="66"/>
      <c r="G31" s="66"/>
      <c r="H31" s="66"/>
      <c r="I31" s="66"/>
      <c r="J31" s="51"/>
      <c r="K31" s="51"/>
      <c r="L31" s="48"/>
      <c r="M31" s="52"/>
      <c r="N31" s="51"/>
      <c r="O31" s="52"/>
      <c r="P31" s="51"/>
      <c r="Q31" s="52"/>
      <c r="R31" s="52"/>
      <c r="S31" s="52"/>
      <c r="T31" s="54"/>
      <c r="U31">
        <f>0</f>
        <v>0</v>
      </c>
    </row>
    <row r="32" spans="1:21" x14ac:dyDescent="0.25">
      <c r="A32" s="66"/>
      <c r="B32" s="67"/>
      <c r="C32" s="68"/>
      <c r="D32" s="66"/>
      <c r="E32" s="66"/>
      <c r="F32" s="66"/>
      <c r="G32" s="66"/>
      <c r="H32" s="66"/>
      <c r="I32" s="66"/>
      <c r="J32" s="51"/>
      <c r="K32" s="51"/>
      <c r="L32" s="48"/>
      <c r="M32" s="52"/>
      <c r="N32" s="51"/>
      <c r="O32" s="52"/>
      <c r="P32" s="51"/>
      <c r="Q32" s="52"/>
      <c r="R32" s="52"/>
      <c r="S32" s="52"/>
      <c r="T32" s="54"/>
      <c r="U32">
        <f>0</f>
        <v>0</v>
      </c>
    </row>
    <row r="33" spans="1:21" x14ac:dyDescent="0.25">
      <c r="A33" s="3"/>
      <c r="B33" s="58"/>
      <c r="C33" s="59"/>
      <c r="D33" s="3"/>
      <c r="E33" s="3"/>
      <c r="F33" s="3"/>
      <c r="G33" s="3"/>
      <c r="H33" s="3"/>
      <c r="I33" s="3"/>
      <c r="J33" s="32"/>
      <c r="K33" s="32"/>
      <c r="L33" s="27"/>
      <c r="M33" s="33"/>
      <c r="N33" s="32"/>
      <c r="O33" s="33"/>
      <c r="P33" s="32"/>
      <c r="Q33" s="33"/>
      <c r="R33" s="33"/>
      <c r="S33" s="33"/>
      <c r="T33" s="31"/>
      <c r="U33">
        <f>0</f>
        <v>0</v>
      </c>
    </row>
    <row r="34" spans="1:21" x14ac:dyDescent="0.25">
      <c r="A34" s="3"/>
      <c r="B34" s="58"/>
      <c r="C34" s="59"/>
      <c r="D34" s="3"/>
      <c r="E34" s="3"/>
      <c r="F34" s="3"/>
      <c r="G34" s="3"/>
      <c r="H34" s="3"/>
      <c r="I34" s="3"/>
      <c r="J34" s="32"/>
      <c r="K34" s="32"/>
      <c r="L34" s="27"/>
      <c r="M34" s="33"/>
      <c r="N34" s="32"/>
      <c r="O34" s="33"/>
      <c r="P34" s="32"/>
      <c r="Q34" s="33"/>
      <c r="R34" s="33"/>
      <c r="S34" s="33"/>
      <c r="T34" s="31"/>
      <c r="U34">
        <f>0</f>
        <v>0</v>
      </c>
    </row>
    <row r="35" spans="1:21" x14ac:dyDescent="0.25">
      <c r="A35" s="3"/>
      <c r="B35" s="58"/>
      <c r="C35" s="59"/>
      <c r="D35" s="3"/>
      <c r="E35" s="3"/>
      <c r="F35" s="3"/>
      <c r="G35" s="3"/>
      <c r="H35" s="3"/>
      <c r="I35" s="3"/>
      <c r="J35" s="32"/>
      <c r="K35" s="32"/>
      <c r="L35" s="27"/>
      <c r="M35" s="33"/>
      <c r="N35" s="32"/>
      <c r="O35" s="33"/>
      <c r="P35" s="32"/>
      <c r="Q35" s="33"/>
      <c r="R35" s="33"/>
      <c r="S35" s="33"/>
      <c r="T35" s="31"/>
      <c r="U35">
        <f>0</f>
        <v>0</v>
      </c>
    </row>
    <row r="36" spans="1:21" x14ac:dyDescent="0.25">
      <c r="A36" s="3"/>
      <c r="B36" s="58"/>
      <c r="C36" s="59"/>
      <c r="D36" s="3"/>
      <c r="E36" s="3"/>
      <c r="F36" s="3"/>
      <c r="G36" s="3"/>
      <c r="H36" s="3"/>
      <c r="I36" s="3"/>
      <c r="J36" s="32"/>
      <c r="K36" s="32"/>
      <c r="L36" s="27"/>
      <c r="M36" s="33"/>
      <c r="N36" s="32"/>
      <c r="O36" s="33"/>
      <c r="P36" s="32"/>
      <c r="Q36" s="33"/>
      <c r="R36" s="33"/>
      <c r="S36" s="33"/>
      <c r="T36" s="31"/>
      <c r="U36">
        <f>0</f>
        <v>0</v>
      </c>
    </row>
    <row r="37" spans="1:21" x14ac:dyDescent="0.25">
      <c r="A37" s="3"/>
      <c r="B37" s="58"/>
      <c r="C37" s="59"/>
      <c r="D37" s="3"/>
      <c r="E37" s="3"/>
      <c r="F37" s="3"/>
      <c r="G37" s="3"/>
      <c r="H37" s="3"/>
      <c r="I37" s="3"/>
      <c r="J37" s="32"/>
      <c r="K37" s="32"/>
      <c r="L37" s="27"/>
      <c r="M37" s="33"/>
      <c r="N37" s="32"/>
      <c r="O37" s="33"/>
      <c r="P37" s="32"/>
      <c r="Q37" s="33"/>
      <c r="R37" s="33"/>
      <c r="S37" s="33"/>
      <c r="T37" s="31"/>
      <c r="U37">
        <f>0</f>
        <v>0</v>
      </c>
    </row>
    <row r="38" spans="1:21" x14ac:dyDescent="0.25">
      <c r="A38" s="66"/>
      <c r="B38" s="67"/>
      <c r="C38" s="68"/>
      <c r="D38" s="66"/>
      <c r="E38" s="66"/>
      <c r="F38" s="66"/>
      <c r="G38" s="66"/>
      <c r="H38" s="66"/>
      <c r="I38" s="66"/>
      <c r="J38" s="51"/>
      <c r="K38" s="51"/>
      <c r="L38" s="48"/>
      <c r="M38" s="52"/>
      <c r="N38" s="51"/>
      <c r="O38" s="52"/>
      <c r="P38" s="51"/>
      <c r="Q38" s="52"/>
      <c r="R38" s="52"/>
      <c r="S38" s="52"/>
      <c r="T38" s="54"/>
      <c r="U38">
        <f>0</f>
        <v>0</v>
      </c>
    </row>
    <row r="39" spans="1:21" x14ac:dyDescent="0.25">
      <c r="A39" s="66"/>
      <c r="B39" s="67"/>
      <c r="C39" s="68"/>
      <c r="D39" s="66"/>
      <c r="E39" s="66"/>
      <c r="F39" s="66"/>
      <c r="G39" s="66"/>
      <c r="H39" s="66"/>
      <c r="I39" s="66"/>
      <c r="J39" s="51"/>
      <c r="K39" s="51"/>
      <c r="L39" s="48"/>
      <c r="M39" s="52"/>
      <c r="N39" s="51"/>
      <c r="O39" s="52"/>
      <c r="P39" s="51"/>
      <c r="Q39" s="52"/>
      <c r="R39" s="52"/>
      <c r="S39" s="52"/>
      <c r="T39" s="54"/>
      <c r="U39">
        <f>0</f>
        <v>0</v>
      </c>
    </row>
    <row r="40" spans="1:21" x14ac:dyDescent="0.25">
      <c r="A40" s="66"/>
      <c r="B40" s="67"/>
      <c r="C40" s="68"/>
      <c r="D40" s="66"/>
      <c r="E40" s="66"/>
      <c r="F40" s="66"/>
      <c r="G40" s="66"/>
      <c r="H40" s="66"/>
      <c r="I40" s="66"/>
      <c r="J40" s="51"/>
      <c r="K40" s="51"/>
      <c r="L40" s="48"/>
      <c r="M40" s="52"/>
      <c r="N40" s="51"/>
      <c r="O40" s="52"/>
      <c r="P40" s="51"/>
      <c r="Q40" s="52"/>
      <c r="R40" s="52"/>
      <c r="S40" s="52"/>
      <c r="T40" s="54"/>
      <c r="U40">
        <f>0</f>
        <v>0</v>
      </c>
    </row>
    <row r="41" spans="1:21" x14ac:dyDescent="0.25">
      <c r="A41" s="66"/>
      <c r="B41" s="67"/>
      <c r="C41" s="68"/>
      <c r="D41" s="66"/>
      <c r="E41" s="66"/>
      <c r="F41" s="66"/>
      <c r="G41" s="66"/>
      <c r="H41" s="66"/>
      <c r="I41" s="66"/>
      <c r="J41" s="51"/>
      <c r="K41" s="51"/>
      <c r="L41" s="48"/>
      <c r="M41" s="52"/>
      <c r="N41" s="51"/>
      <c r="O41" s="52"/>
      <c r="P41" s="51"/>
      <c r="Q41" s="52"/>
      <c r="R41" s="52"/>
      <c r="S41" s="52"/>
      <c r="T41" s="54"/>
      <c r="U41">
        <f>0</f>
        <v>0</v>
      </c>
    </row>
    <row r="42" spans="1:21" x14ac:dyDescent="0.25">
      <c r="A42" s="66"/>
      <c r="B42" s="67"/>
      <c r="C42" s="68"/>
      <c r="D42" s="66"/>
      <c r="E42" s="66"/>
      <c r="F42" s="66"/>
      <c r="G42" s="66"/>
      <c r="H42" s="66"/>
      <c r="I42" s="66"/>
      <c r="J42" s="51"/>
      <c r="K42" s="51"/>
      <c r="L42" s="48"/>
      <c r="M42" s="52"/>
      <c r="N42" s="51"/>
      <c r="O42" s="52"/>
      <c r="P42" s="51"/>
      <c r="Q42" s="52"/>
      <c r="R42" s="52"/>
      <c r="S42" s="52"/>
      <c r="T42" s="54"/>
      <c r="U42">
        <f>0</f>
        <v>0</v>
      </c>
    </row>
    <row r="43" spans="1:21" x14ac:dyDescent="0.25">
      <c r="A43" s="3"/>
      <c r="B43" s="58"/>
      <c r="C43" s="59"/>
      <c r="D43" s="3"/>
      <c r="E43" s="3"/>
      <c r="F43" s="3"/>
      <c r="G43" s="3"/>
      <c r="H43" s="3"/>
      <c r="I43" s="3"/>
      <c r="J43" s="32"/>
      <c r="K43" s="32"/>
      <c r="L43" s="27"/>
      <c r="M43" s="33"/>
      <c r="N43" s="32"/>
      <c r="O43" s="33"/>
      <c r="P43" s="32"/>
      <c r="Q43" s="33"/>
      <c r="R43" s="33"/>
      <c r="S43" s="33"/>
      <c r="T43" s="31"/>
    </row>
    <row r="44" spans="1:21" x14ac:dyDescent="0.25">
      <c r="A44" s="3"/>
      <c r="B44" s="58"/>
      <c r="C44" s="59"/>
      <c r="D44" s="3"/>
      <c r="E44" s="3"/>
      <c r="F44" s="3"/>
      <c r="G44" s="3"/>
      <c r="H44" s="3"/>
      <c r="I44" s="3"/>
      <c r="J44" s="32"/>
      <c r="K44" s="32"/>
      <c r="L44" s="27"/>
      <c r="M44" s="33"/>
      <c r="N44" s="32"/>
      <c r="O44" s="33"/>
      <c r="P44" s="32"/>
      <c r="Q44" s="33"/>
      <c r="R44" s="33"/>
      <c r="S44" s="33"/>
      <c r="T44" s="31"/>
    </row>
    <row r="45" spans="1:21" x14ac:dyDescent="0.25">
      <c r="A45" s="3"/>
      <c r="B45" s="58"/>
      <c r="C45" s="59"/>
      <c r="D45" s="3"/>
      <c r="E45" s="3"/>
      <c r="F45" s="3"/>
      <c r="G45" s="3"/>
      <c r="H45" s="3"/>
      <c r="I45" s="3"/>
      <c r="J45" s="32"/>
      <c r="K45" s="32"/>
      <c r="L45" s="27"/>
      <c r="M45" s="33"/>
      <c r="N45" s="32"/>
      <c r="O45" s="33"/>
      <c r="P45" s="32"/>
      <c r="Q45" s="33"/>
      <c r="R45" s="33"/>
      <c r="S45" s="33"/>
      <c r="T45" s="31"/>
    </row>
    <row r="46" spans="1:21" x14ac:dyDescent="0.25">
      <c r="A46" s="3"/>
      <c r="B46" s="58"/>
      <c r="C46" s="59"/>
      <c r="D46" s="3"/>
      <c r="E46" s="3"/>
      <c r="F46" s="3"/>
      <c r="G46" s="3"/>
      <c r="H46" s="3"/>
      <c r="I46" s="3"/>
      <c r="J46" s="32"/>
      <c r="K46" s="32"/>
      <c r="L46" s="27"/>
      <c r="M46" s="33"/>
      <c r="N46" s="32"/>
      <c r="O46" s="33"/>
      <c r="P46" s="32"/>
      <c r="Q46" s="33"/>
      <c r="R46" s="33"/>
      <c r="S46" s="33"/>
      <c r="T46" s="31"/>
    </row>
    <row r="47" spans="1:21" x14ac:dyDescent="0.25">
      <c r="A47" s="3"/>
      <c r="B47" s="58"/>
      <c r="C47" s="59"/>
      <c r="D47" s="3"/>
      <c r="E47" s="3"/>
      <c r="F47" s="3"/>
      <c r="G47" s="3"/>
      <c r="H47" s="3"/>
      <c r="I47" s="3"/>
      <c r="J47" s="32"/>
      <c r="K47" s="32"/>
      <c r="L47" s="27"/>
      <c r="M47" s="33"/>
      <c r="N47" s="32"/>
      <c r="O47" s="33"/>
      <c r="P47" s="32"/>
      <c r="Q47" s="33"/>
      <c r="R47" s="33"/>
      <c r="S47" s="33"/>
      <c r="T47" s="31"/>
    </row>
    <row r="48" spans="1:21" x14ac:dyDescent="0.25">
      <c r="A48" s="66"/>
      <c r="B48" s="67"/>
      <c r="C48" s="68"/>
      <c r="D48" s="66"/>
      <c r="E48" s="66"/>
      <c r="F48" s="66"/>
      <c r="G48" s="66"/>
      <c r="H48" s="66"/>
      <c r="I48" s="66"/>
      <c r="J48" s="51"/>
      <c r="K48" s="51"/>
      <c r="L48" s="48"/>
      <c r="M48" s="52"/>
      <c r="N48" s="51"/>
      <c r="O48" s="52"/>
      <c r="P48" s="51"/>
      <c r="Q48" s="52"/>
      <c r="R48" s="52"/>
      <c r="S48" s="52"/>
      <c r="T48" s="54"/>
    </row>
    <row r="49" spans="1:20" x14ac:dyDescent="0.25">
      <c r="A49" s="66"/>
      <c r="B49" s="67"/>
      <c r="C49" s="68"/>
      <c r="D49" s="66"/>
      <c r="E49" s="66"/>
      <c r="F49" s="66"/>
      <c r="G49" s="66"/>
      <c r="H49" s="66"/>
      <c r="I49" s="66"/>
      <c r="J49" s="51"/>
      <c r="K49" s="51"/>
      <c r="L49" s="48"/>
      <c r="M49" s="52"/>
      <c r="N49" s="51"/>
      <c r="O49" s="52"/>
      <c r="P49" s="51"/>
      <c r="Q49" s="52"/>
      <c r="R49" s="52"/>
      <c r="S49" s="52"/>
      <c r="T49" s="54"/>
    </row>
    <row r="50" spans="1:20" x14ac:dyDescent="0.25">
      <c r="A50" s="66"/>
      <c r="B50" s="67"/>
      <c r="C50" s="68"/>
      <c r="D50" s="66"/>
      <c r="E50" s="66"/>
      <c r="F50" s="66"/>
      <c r="G50" s="66"/>
      <c r="H50" s="66"/>
      <c r="I50" s="66"/>
      <c r="J50" s="51"/>
      <c r="K50" s="51"/>
      <c r="L50" s="48"/>
      <c r="M50" s="52"/>
      <c r="N50" s="51"/>
      <c r="O50" s="52"/>
      <c r="P50" s="51"/>
      <c r="Q50" s="52"/>
      <c r="R50" s="52"/>
      <c r="S50" s="52"/>
      <c r="T50" s="54"/>
    </row>
    <row r="51" spans="1:20" x14ac:dyDescent="0.25">
      <c r="A51" s="66"/>
      <c r="B51" s="67"/>
      <c r="C51" s="68"/>
      <c r="D51" s="66"/>
      <c r="E51" s="66"/>
      <c r="F51" s="66"/>
      <c r="G51" s="66"/>
      <c r="H51" s="66"/>
      <c r="I51" s="66"/>
      <c r="J51" s="51"/>
      <c r="K51" s="51"/>
      <c r="L51" s="48"/>
      <c r="M51" s="52"/>
      <c r="N51" s="51"/>
      <c r="O51" s="52"/>
      <c r="P51" s="51"/>
      <c r="Q51" s="52"/>
      <c r="R51" s="52"/>
      <c r="S51" s="52"/>
      <c r="T51" s="54"/>
    </row>
    <row r="52" spans="1:20" x14ac:dyDescent="0.25">
      <c r="A52" s="66"/>
      <c r="B52" s="67"/>
      <c r="C52" s="68"/>
      <c r="D52" s="66"/>
      <c r="E52" s="66"/>
      <c r="F52" s="66"/>
      <c r="G52" s="66"/>
      <c r="H52" s="66"/>
      <c r="I52" s="66"/>
      <c r="J52" s="51"/>
      <c r="K52" s="51"/>
      <c r="L52" s="48"/>
      <c r="M52" s="52"/>
      <c r="N52" s="51"/>
      <c r="O52" s="52"/>
      <c r="P52" s="51"/>
      <c r="Q52" s="52"/>
      <c r="R52" s="52"/>
      <c r="S52" s="52"/>
      <c r="T52" s="54"/>
    </row>
    <row r="53" spans="1:20" x14ac:dyDescent="0.25">
      <c r="A53" s="3"/>
      <c r="B53" s="58"/>
      <c r="C53" s="59"/>
      <c r="D53" s="3"/>
      <c r="E53" s="3"/>
      <c r="F53" s="3"/>
      <c r="G53" s="3"/>
      <c r="H53" s="3"/>
      <c r="I53" s="3"/>
      <c r="J53" s="32"/>
      <c r="K53" s="32"/>
      <c r="L53" s="27"/>
      <c r="M53" s="33"/>
      <c r="N53" s="32"/>
      <c r="O53" s="33"/>
      <c r="P53" s="32"/>
      <c r="Q53" s="33"/>
      <c r="R53" s="33"/>
      <c r="S53" s="33"/>
      <c r="T53" s="31"/>
    </row>
    <row r="54" spans="1:20" x14ac:dyDescent="0.25">
      <c r="A54" s="3"/>
      <c r="B54" s="58"/>
      <c r="C54" s="59"/>
      <c r="D54" s="3"/>
      <c r="E54" s="3"/>
      <c r="F54" s="3"/>
      <c r="G54" s="3"/>
      <c r="H54" s="3"/>
      <c r="I54" s="3"/>
      <c r="J54" s="32"/>
      <c r="K54" s="32"/>
      <c r="L54" s="27"/>
      <c r="M54" s="33"/>
      <c r="N54" s="32"/>
      <c r="O54" s="33"/>
      <c r="P54" s="32"/>
      <c r="Q54" s="33"/>
      <c r="R54" s="33"/>
      <c r="S54" s="33"/>
      <c r="T54" s="31"/>
    </row>
    <row r="55" spans="1:20" x14ac:dyDescent="0.25">
      <c r="A55" s="3"/>
      <c r="B55" s="58"/>
      <c r="C55" s="59"/>
      <c r="D55" s="3"/>
      <c r="E55" s="3"/>
      <c r="F55" s="3"/>
      <c r="G55" s="3"/>
      <c r="H55" s="3"/>
      <c r="I55" s="3"/>
      <c r="J55" s="32"/>
      <c r="K55" s="32"/>
      <c r="L55" s="27"/>
      <c r="M55" s="33"/>
      <c r="N55" s="32"/>
      <c r="O55" s="33"/>
      <c r="P55" s="32"/>
      <c r="Q55" s="33"/>
      <c r="R55" s="33"/>
      <c r="S55" s="33"/>
      <c r="T55" s="31"/>
    </row>
    <row r="56" spans="1:20" x14ac:dyDescent="0.25">
      <c r="A56" s="3"/>
      <c r="B56" s="58"/>
      <c r="C56" s="59"/>
      <c r="D56" s="3"/>
      <c r="E56" s="3"/>
      <c r="F56" s="3"/>
      <c r="G56" s="3"/>
      <c r="H56" s="3"/>
      <c r="I56" s="3"/>
      <c r="J56" s="32"/>
      <c r="K56" s="32"/>
      <c r="L56" s="27"/>
      <c r="M56" s="33"/>
      <c r="N56" s="32"/>
      <c r="O56" s="33"/>
      <c r="P56" s="32"/>
      <c r="Q56" s="33"/>
      <c r="R56" s="33"/>
      <c r="S56" s="33"/>
      <c r="T56" s="31"/>
    </row>
    <row r="57" spans="1:20" x14ac:dyDescent="0.25">
      <c r="A57" s="3"/>
      <c r="B57" s="58"/>
      <c r="C57" s="59"/>
      <c r="D57" s="3"/>
      <c r="E57" s="3"/>
      <c r="F57" s="3"/>
      <c r="G57" s="3"/>
      <c r="H57" s="3"/>
      <c r="I57" s="3"/>
      <c r="J57" s="32"/>
      <c r="K57" s="32"/>
      <c r="L57" s="27"/>
      <c r="M57" s="33"/>
      <c r="N57" s="32"/>
      <c r="O57" s="33"/>
      <c r="P57" s="32"/>
      <c r="Q57" s="33"/>
      <c r="R57" s="33"/>
      <c r="S57" s="33"/>
      <c r="T57" s="31"/>
    </row>
    <row r="58" spans="1:20" x14ac:dyDescent="0.25">
      <c r="A58" s="66"/>
      <c r="B58" s="67"/>
      <c r="C58" s="68"/>
      <c r="D58" s="66"/>
      <c r="E58" s="66"/>
      <c r="F58" s="66"/>
      <c r="G58" s="66"/>
      <c r="H58" s="66"/>
      <c r="I58" s="66"/>
      <c r="J58" s="51"/>
      <c r="K58" s="51"/>
      <c r="L58" s="48"/>
      <c r="M58" s="52"/>
      <c r="N58" s="51"/>
      <c r="O58" s="52"/>
      <c r="P58" s="51"/>
      <c r="Q58" s="52"/>
      <c r="R58" s="52"/>
      <c r="S58" s="52"/>
      <c r="T58" s="54"/>
    </row>
    <row r="59" spans="1:20" x14ac:dyDescent="0.25">
      <c r="A59" s="66"/>
      <c r="B59" s="67"/>
      <c r="C59" s="68"/>
      <c r="D59" s="66"/>
      <c r="E59" s="66"/>
      <c r="F59" s="66"/>
      <c r="G59" s="66"/>
      <c r="H59" s="66"/>
      <c r="I59" s="66"/>
      <c r="J59" s="51"/>
      <c r="K59" s="51"/>
      <c r="L59" s="48"/>
      <c r="M59" s="52"/>
      <c r="N59" s="51"/>
      <c r="O59" s="52"/>
      <c r="P59" s="51"/>
      <c r="Q59" s="52"/>
      <c r="R59" s="52"/>
      <c r="S59" s="52"/>
      <c r="T59" s="54"/>
    </row>
    <row r="60" spans="1:20" x14ac:dyDescent="0.25">
      <c r="A60" s="66"/>
      <c r="B60" s="67"/>
      <c r="C60" s="68"/>
      <c r="D60" s="66"/>
      <c r="E60" s="66"/>
      <c r="F60" s="66"/>
      <c r="G60" s="66"/>
      <c r="H60" s="66"/>
      <c r="I60" s="66"/>
      <c r="J60" s="51"/>
      <c r="K60" s="51"/>
      <c r="L60" s="48"/>
      <c r="M60" s="52"/>
      <c r="N60" s="51"/>
      <c r="O60" s="52"/>
      <c r="P60" s="51"/>
      <c r="Q60" s="52"/>
      <c r="R60" s="52"/>
      <c r="S60" s="52"/>
      <c r="T60" s="54"/>
    </row>
    <row r="61" spans="1:20" x14ac:dyDescent="0.25">
      <c r="A61" s="66"/>
      <c r="B61" s="67"/>
      <c r="C61" s="68"/>
      <c r="D61" s="66"/>
      <c r="E61" s="66"/>
      <c r="F61" s="66"/>
      <c r="G61" s="66"/>
      <c r="H61" s="66"/>
      <c r="I61" s="66"/>
      <c r="J61" s="51"/>
      <c r="K61" s="51"/>
      <c r="L61" s="48"/>
      <c r="M61" s="52"/>
      <c r="N61" s="51"/>
      <c r="O61" s="52"/>
      <c r="P61" s="51"/>
      <c r="Q61" s="52"/>
      <c r="R61" s="52"/>
      <c r="S61" s="52"/>
      <c r="T61" s="54"/>
    </row>
    <row r="62" spans="1:20" x14ac:dyDescent="0.25">
      <c r="A62" s="66"/>
      <c r="B62" s="67"/>
      <c r="C62" s="68"/>
      <c r="D62" s="66"/>
      <c r="E62" s="66"/>
      <c r="F62" s="66"/>
      <c r="G62" s="66"/>
      <c r="H62" s="66"/>
      <c r="I62" s="66"/>
      <c r="J62" s="51"/>
      <c r="K62" s="51"/>
      <c r="L62" s="48"/>
      <c r="M62" s="52"/>
      <c r="N62" s="51"/>
      <c r="O62" s="52"/>
      <c r="P62" s="51"/>
      <c r="Q62" s="52"/>
      <c r="R62" s="52"/>
      <c r="S62" s="52"/>
      <c r="T62" s="54"/>
    </row>
    <row r="63" spans="1:20" x14ac:dyDescent="0.25">
      <c r="A63" s="3"/>
      <c r="B63" s="58"/>
      <c r="C63" s="59"/>
      <c r="D63" s="3"/>
      <c r="E63" s="3"/>
      <c r="F63" s="3"/>
      <c r="G63" s="3"/>
      <c r="H63" s="3"/>
      <c r="I63" s="3"/>
      <c r="J63" s="32"/>
      <c r="K63" s="32"/>
      <c r="L63" s="27"/>
      <c r="M63" s="33"/>
      <c r="N63" s="32"/>
      <c r="O63" s="33"/>
      <c r="P63" s="32"/>
      <c r="Q63" s="33"/>
      <c r="R63" s="33"/>
      <c r="S63" s="33"/>
      <c r="T63" s="31"/>
    </row>
    <row r="64" spans="1:20" x14ac:dyDescent="0.25">
      <c r="A64" s="3"/>
      <c r="B64" s="58"/>
      <c r="C64" s="59"/>
      <c r="D64" s="3"/>
      <c r="E64" s="3"/>
      <c r="F64" s="3"/>
      <c r="G64" s="3"/>
      <c r="H64" s="3"/>
      <c r="I64" s="3"/>
      <c r="J64" s="32"/>
      <c r="K64" s="32"/>
      <c r="L64" s="27"/>
      <c r="M64" s="33"/>
      <c r="N64" s="32"/>
      <c r="O64" s="33"/>
      <c r="P64" s="32"/>
      <c r="Q64" s="33"/>
      <c r="R64" s="33"/>
      <c r="S64" s="33"/>
      <c r="T64" s="31"/>
    </row>
    <row r="65" spans="1:20" x14ac:dyDescent="0.25">
      <c r="A65" s="3"/>
      <c r="B65" s="58"/>
      <c r="C65" s="59"/>
      <c r="D65" s="3"/>
      <c r="E65" s="3"/>
      <c r="F65" s="3"/>
      <c r="G65" s="3"/>
      <c r="H65" s="3"/>
      <c r="I65" s="3"/>
      <c r="J65" s="32"/>
      <c r="K65" s="32"/>
      <c r="L65" s="27"/>
      <c r="M65" s="33"/>
      <c r="N65" s="32"/>
      <c r="O65" s="33"/>
      <c r="P65" s="32"/>
      <c r="Q65" s="33"/>
      <c r="R65" s="33"/>
      <c r="S65" s="33"/>
      <c r="T65" s="31"/>
    </row>
    <row r="66" spans="1:20" x14ac:dyDescent="0.25">
      <c r="A66" s="3"/>
      <c r="B66" s="58"/>
      <c r="C66" s="59"/>
      <c r="D66" s="3"/>
      <c r="E66" s="3"/>
      <c r="F66" s="3"/>
      <c r="G66" s="3"/>
      <c r="H66" s="3"/>
      <c r="I66" s="3"/>
      <c r="J66" s="32"/>
      <c r="K66" s="32"/>
      <c r="L66" s="27"/>
      <c r="M66" s="33"/>
      <c r="N66" s="32"/>
      <c r="O66" s="33"/>
      <c r="P66" s="32"/>
      <c r="Q66" s="33"/>
      <c r="R66" s="33"/>
      <c r="S66" s="33"/>
      <c r="T66" s="31"/>
    </row>
    <row r="67" spans="1:20" x14ac:dyDescent="0.25">
      <c r="A67" s="3"/>
      <c r="B67" s="58"/>
      <c r="C67" s="59"/>
      <c r="D67" s="3"/>
      <c r="E67" s="3"/>
      <c r="F67" s="3"/>
      <c r="G67" s="3"/>
      <c r="H67" s="3"/>
      <c r="I67" s="3"/>
      <c r="J67" s="32"/>
      <c r="K67" s="32"/>
      <c r="L67" s="27"/>
      <c r="M67" s="33"/>
      <c r="N67" s="32"/>
      <c r="O67" s="33"/>
      <c r="P67" s="32"/>
      <c r="Q67" s="33"/>
      <c r="R67" s="33"/>
      <c r="S67" s="33"/>
      <c r="T67" s="31"/>
    </row>
    <row r="68" spans="1:20" x14ac:dyDescent="0.25">
      <c r="A68" s="66"/>
      <c r="B68" s="67"/>
      <c r="C68" s="68"/>
      <c r="D68" s="66"/>
      <c r="E68" s="66"/>
      <c r="F68" s="66"/>
      <c r="G68" s="66"/>
      <c r="H68" s="66"/>
      <c r="I68" s="66"/>
      <c r="J68" s="51"/>
      <c r="K68" s="51"/>
      <c r="L68" s="48"/>
      <c r="M68" s="52"/>
      <c r="N68" s="51"/>
      <c r="O68" s="52"/>
      <c r="P68" s="51"/>
      <c r="Q68" s="52"/>
      <c r="R68" s="52"/>
      <c r="S68" s="52"/>
      <c r="T68" s="54"/>
    </row>
    <row r="69" spans="1:20" x14ac:dyDescent="0.25">
      <c r="A69" s="66"/>
      <c r="B69" s="67"/>
      <c r="C69" s="68"/>
      <c r="D69" s="66"/>
      <c r="E69" s="66"/>
      <c r="F69" s="66"/>
      <c r="G69" s="66"/>
      <c r="H69" s="66"/>
      <c r="I69" s="66"/>
      <c r="J69" s="51"/>
      <c r="K69" s="51"/>
      <c r="L69" s="48"/>
      <c r="M69" s="52"/>
      <c r="N69" s="51"/>
      <c r="O69" s="52"/>
      <c r="P69" s="51"/>
      <c r="Q69" s="52"/>
      <c r="R69" s="52"/>
      <c r="S69" s="52"/>
      <c r="T69" s="54"/>
    </row>
    <row r="70" spans="1:20" x14ac:dyDescent="0.25">
      <c r="A70" s="66"/>
      <c r="B70" s="67"/>
      <c r="C70" s="68"/>
      <c r="D70" s="66"/>
      <c r="E70" s="66"/>
      <c r="F70" s="66"/>
      <c r="G70" s="66"/>
      <c r="H70" s="66"/>
      <c r="I70" s="66"/>
      <c r="J70" s="51"/>
      <c r="K70" s="51"/>
      <c r="L70" s="48"/>
      <c r="M70" s="52"/>
      <c r="N70" s="51"/>
      <c r="O70" s="52"/>
      <c r="P70" s="51"/>
      <c r="Q70" s="52"/>
      <c r="R70" s="52"/>
      <c r="S70" s="52"/>
      <c r="T70" s="54"/>
    </row>
    <row r="71" spans="1:20" x14ac:dyDescent="0.25">
      <c r="A71" s="66"/>
      <c r="B71" s="67"/>
      <c r="C71" s="68"/>
      <c r="D71" s="66"/>
      <c r="E71" s="66"/>
      <c r="F71" s="66"/>
      <c r="G71" s="66"/>
      <c r="H71" s="66"/>
      <c r="I71" s="66"/>
      <c r="J71" s="51"/>
      <c r="K71" s="51"/>
      <c r="L71" s="48"/>
      <c r="M71" s="52"/>
      <c r="N71" s="51"/>
      <c r="O71" s="52"/>
      <c r="P71" s="51"/>
      <c r="Q71" s="52"/>
      <c r="R71" s="52"/>
      <c r="S71" s="52"/>
      <c r="T71" s="54"/>
    </row>
    <row r="72" spans="1:20" x14ac:dyDescent="0.25">
      <c r="A72" s="66"/>
      <c r="B72" s="67"/>
      <c r="C72" s="68"/>
      <c r="D72" s="66"/>
      <c r="E72" s="66"/>
      <c r="F72" s="66"/>
      <c r="G72" s="66"/>
      <c r="H72" s="66"/>
      <c r="I72" s="66"/>
      <c r="J72" s="51"/>
      <c r="K72" s="51"/>
      <c r="L72" s="48"/>
      <c r="M72" s="52"/>
      <c r="N72" s="51"/>
      <c r="O72" s="52"/>
      <c r="P72" s="51"/>
      <c r="Q72" s="52"/>
      <c r="R72" s="52"/>
      <c r="S72" s="52"/>
      <c r="T72" s="54"/>
    </row>
    <row r="73" spans="1:20" x14ac:dyDescent="0.25">
      <c r="A73" s="3"/>
      <c r="B73" s="58"/>
      <c r="C73" s="59"/>
      <c r="D73" s="3"/>
      <c r="E73" s="3"/>
      <c r="F73" s="3"/>
      <c r="G73" s="3"/>
      <c r="H73" s="3"/>
      <c r="I73" s="3"/>
      <c r="J73" s="32"/>
      <c r="K73" s="32"/>
      <c r="L73" s="27"/>
      <c r="M73" s="33"/>
      <c r="N73" s="32"/>
      <c r="O73" s="33"/>
      <c r="P73" s="32"/>
      <c r="Q73" s="33"/>
      <c r="R73" s="33"/>
      <c r="S73" s="33"/>
      <c r="T73" s="31"/>
    </row>
    <row r="74" spans="1:20" x14ac:dyDescent="0.25">
      <c r="A74" s="3"/>
      <c r="B74" s="58"/>
      <c r="C74" s="59"/>
      <c r="D74" s="3"/>
      <c r="E74" s="3"/>
      <c r="F74" s="3"/>
      <c r="G74" s="3"/>
      <c r="H74" s="3"/>
      <c r="I74" s="3"/>
      <c r="J74" s="32"/>
      <c r="K74" s="32"/>
      <c r="L74" s="27"/>
      <c r="M74" s="33"/>
      <c r="N74" s="32"/>
      <c r="O74" s="33"/>
      <c r="P74" s="32"/>
      <c r="Q74" s="33"/>
      <c r="R74" s="33"/>
      <c r="S74" s="33"/>
      <c r="T74" s="31"/>
    </row>
    <row r="75" spans="1:20" x14ac:dyDescent="0.25">
      <c r="A75" s="3"/>
      <c r="B75" s="58"/>
      <c r="C75" s="59"/>
      <c r="D75" s="3"/>
      <c r="E75" s="3"/>
      <c r="F75" s="3"/>
      <c r="G75" s="3"/>
      <c r="H75" s="3"/>
      <c r="I75" s="3"/>
      <c r="J75" s="32"/>
      <c r="K75" s="32"/>
      <c r="L75" s="27"/>
      <c r="M75" s="33"/>
      <c r="N75" s="32"/>
      <c r="O75" s="33"/>
      <c r="P75" s="32"/>
      <c r="Q75" s="33"/>
      <c r="R75" s="33"/>
      <c r="S75" s="33"/>
      <c r="T75" s="31"/>
    </row>
    <row r="76" spans="1:20" x14ac:dyDescent="0.25">
      <c r="A76" s="3"/>
      <c r="B76" s="58"/>
      <c r="C76" s="59"/>
      <c r="D76" s="3"/>
      <c r="E76" s="3"/>
      <c r="F76" s="3"/>
      <c r="G76" s="3"/>
      <c r="H76" s="3"/>
      <c r="I76" s="3"/>
      <c r="J76" s="32"/>
      <c r="K76" s="32"/>
      <c r="L76" s="27"/>
      <c r="M76" s="33"/>
      <c r="N76" s="32"/>
      <c r="O76" s="33"/>
      <c r="P76" s="32"/>
      <c r="Q76" s="33"/>
      <c r="R76" s="33"/>
      <c r="S76" s="33"/>
      <c r="T76" s="31"/>
    </row>
    <row r="77" spans="1:20" x14ac:dyDescent="0.25">
      <c r="A77" s="3"/>
      <c r="B77" s="58"/>
      <c r="C77" s="59"/>
      <c r="D77" s="3"/>
      <c r="E77" s="3"/>
      <c r="F77" s="3"/>
      <c r="G77" s="3"/>
      <c r="H77" s="3"/>
      <c r="I77" s="3"/>
      <c r="J77" s="32"/>
      <c r="K77" s="32"/>
      <c r="L77" s="27"/>
      <c r="M77" s="33"/>
      <c r="N77" s="32"/>
      <c r="O77" s="33"/>
      <c r="P77" s="32"/>
      <c r="Q77" s="33"/>
      <c r="R77" s="33"/>
      <c r="S77" s="33"/>
      <c r="T77" s="31"/>
    </row>
    <row r="78" spans="1:20" x14ac:dyDescent="0.25">
      <c r="A78" s="66"/>
      <c r="B78" s="67"/>
      <c r="C78" s="68"/>
      <c r="D78" s="66"/>
      <c r="E78" s="66"/>
      <c r="F78" s="66"/>
      <c r="G78" s="66"/>
      <c r="H78" s="66"/>
      <c r="I78" s="66"/>
      <c r="J78" s="51"/>
      <c r="K78" s="51"/>
      <c r="L78" s="48"/>
      <c r="M78" s="52"/>
      <c r="N78" s="51"/>
      <c r="O78" s="52"/>
      <c r="P78" s="51"/>
      <c r="Q78" s="52"/>
      <c r="R78" s="52"/>
      <c r="S78" s="52"/>
      <c r="T78" s="54"/>
    </row>
    <row r="79" spans="1:20" x14ac:dyDescent="0.25">
      <c r="A79" s="66"/>
      <c r="B79" s="67"/>
      <c r="C79" s="68"/>
      <c r="D79" s="66"/>
      <c r="E79" s="66"/>
      <c r="F79" s="66"/>
      <c r="G79" s="66"/>
      <c r="H79" s="66"/>
      <c r="I79" s="66"/>
      <c r="J79" s="51"/>
      <c r="K79" s="51"/>
      <c r="L79" s="48"/>
      <c r="M79" s="52"/>
      <c r="N79" s="51"/>
      <c r="O79" s="52"/>
      <c r="P79" s="51"/>
      <c r="Q79" s="52"/>
      <c r="R79" s="52"/>
      <c r="S79" s="52"/>
      <c r="T79" s="54"/>
    </row>
    <row r="80" spans="1:20" x14ac:dyDescent="0.25">
      <c r="A80" s="66"/>
      <c r="B80" s="67"/>
      <c r="C80" s="68"/>
      <c r="D80" s="66"/>
      <c r="E80" s="66"/>
      <c r="F80" s="66"/>
      <c r="G80" s="66"/>
      <c r="H80" s="66"/>
      <c r="I80" s="66"/>
      <c r="J80" s="51"/>
      <c r="K80" s="51"/>
      <c r="L80" s="48"/>
      <c r="M80" s="52"/>
      <c r="N80" s="51"/>
      <c r="O80" s="52"/>
      <c r="P80" s="51"/>
      <c r="Q80" s="52"/>
      <c r="R80" s="52"/>
      <c r="S80" s="52"/>
      <c r="T80" s="54"/>
    </row>
    <row r="81" spans="1:20" x14ac:dyDescent="0.25">
      <c r="A81" s="66"/>
      <c r="B81" s="67"/>
      <c r="C81" s="68"/>
      <c r="D81" s="66"/>
      <c r="E81" s="66"/>
      <c r="F81" s="66"/>
      <c r="G81" s="66"/>
      <c r="H81" s="66"/>
      <c r="I81" s="66"/>
      <c r="J81" s="51"/>
      <c r="K81" s="51"/>
      <c r="L81" s="48"/>
      <c r="M81" s="52"/>
      <c r="N81" s="51"/>
      <c r="O81" s="52"/>
      <c r="P81" s="51"/>
      <c r="Q81" s="52"/>
      <c r="R81" s="52"/>
      <c r="S81" s="52"/>
      <c r="T81" s="54"/>
    </row>
    <row r="82" spans="1:20" x14ac:dyDescent="0.25">
      <c r="A82" s="66"/>
      <c r="B82" s="67"/>
      <c r="C82" s="68"/>
      <c r="D82" s="66"/>
      <c r="E82" s="66"/>
      <c r="F82" s="66"/>
      <c r="G82" s="66"/>
      <c r="H82" s="66"/>
      <c r="I82" s="66"/>
      <c r="J82" s="51"/>
      <c r="K82" s="51"/>
      <c r="L82" s="48"/>
      <c r="M82" s="52"/>
      <c r="N82" s="51"/>
      <c r="O82" s="52"/>
      <c r="P82" s="51"/>
      <c r="Q82" s="52"/>
      <c r="R82" s="52"/>
      <c r="S82" s="52"/>
      <c r="T82" s="54"/>
    </row>
    <row r="83" spans="1:20" x14ac:dyDescent="0.25">
      <c r="A83" s="3"/>
      <c r="B83" s="58"/>
      <c r="C83" s="59"/>
      <c r="D83" s="3"/>
      <c r="E83" s="3"/>
      <c r="F83" s="3"/>
      <c r="G83" s="3"/>
      <c r="H83" s="3"/>
      <c r="I83" s="3"/>
      <c r="J83" s="32"/>
      <c r="K83" s="32"/>
      <c r="L83" s="27"/>
      <c r="M83" s="33"/>
      <c r="N83" s="32"/>
      <c r="O83" s="33"/>
      <c r="P83" s="32"/>
      <c r="Q83" s="33"/>
      <c r="R83" s="33"/>
      <c r="S83" s="33"/>
      <c r="T83" s="31"/>
    </row>
    <row r="84" spans="1:20" x14ac:dyDescent="0.25">
      <c r="A84" s="3"/>
      <c r="B84" s="58"/>
      <c r="C84" s="59"/>
      <c r="D84" s="3"/>
      <c r="E84" s="3"/>
      <c r="F84" s="3"/>
      <c r="G84" s="3"/>
      <c r="H84" s="3"/>
      <c r="I84" s="3"/>
      <c r="J84" s="32"/>
      <c r="K84" s="32"/>
      <c r="L84" s="27"/>
      <c r="M84" s="33"/>
      <c r="N84" s="32"/>
      <c r="O84" s="33"/>
      <c r="P84" s="32"/>
      <c r="Q84" s="33"/>
      <c r="R84" s="33"/>
      <c r="S84" s="33"/>
      <c r="T84" s="31"/>
    </row>
    <row r="85" spans="1:20" x14ac:dyDescent="0.25">
      <c r="A85" s="3"/>
      <c r="B85" s="58"/>
      <c r="C85" s="59"/>
      <c r="D85" s="3"/>
      <c r="E85" s="3"/>
      <c r="F85" s="3"/>
      <c r="G85" s="3"/>
      <c r="H85" s="3"/>
      <c r="I85" s="3"/>
      <c r="J85" s="32"/>
      <c r="K85" s="32"/>
      <c r="L85" s="27"/>
      <c r="M85" s="33"/>
      <c r="N85" s="32"/>
      <c r="O85" s="33"/>
      <c r="P85" s="32"/>
      <c r="Q85" s="33"/>
      <c r="R85" s="33"/>
      <c r="S85" s="33"/>
      <c r="T85" s="31"/>
    </row>
    <row r="86" spans="1:20" x14ac:dyDescent="0.25">
      <c r="A86" s="3"/>
      <c r="B86" s="58"/>
      <c r="C86" s="59"/>
      <c r="D86" s="3"/>
      <c r="E86" s="3"/>
      <c r="F86" s="3"/>
      <c r="G86" s="3"/>
      <c r="H86" s="3"/>
      <c r="I86" s="3"/>
      <c r="J86" s="32"/>
      <c r="K86" s="32"/>
      <c r="L86" s="27"/>
      <c r="M86" s="33"/>
      <c r="N86" s="32"/>
      <c r="O86" s="33"/>
      <c r="P86" s="32"/>
      <c r="Q86" s="33"/>
      <c r="R86" s="33"/>
      <c r="S86" s="33"/>
      <c r="T86" s="31"/>
    </row>
    <row r="87" spans="1:20" x14ac:dyDescent="0.25">
      <c r="A87" s="3"/>
      <c r="B87" s="58"/>
      <c r="C87" s="59"/>
      <c r="D87" s="3"/>
      <c r="E87" s="3"/>
      <c r="F87" s="3"/>
      <c r="G87" s="3"/>
      <c r="H87" s="3"/>
      <c r="I87" s="3"/>
      <c r="J87" s="32"/>
      <c r="K87" s="32"/>
      <c r="L87" s="27"/>
      <c r="M87" s="33"/>
      <c r="N87" s="32"/>
      <c r="O87" s="33"/>
      <c r="P87" s="32"/>
      <c r="Q87" s="33"/>
      <c r="R87" s="33"/>
      <c r="S87" s="33"/>
      <c r="T87" s="31"/>
    </row>
    <row r="88" spans="1:20" x14ac:dyDescent="0.25">
      <c r="A88" s="66"/>
      <c r="B88" s="67"/>
      <c r="C88" s="68"/>
      <c r="D88" s="66"/>
      <c r="E88" s="66"/>
      <c r="F88" s="66"/>
      <c r="G88" s="66"/>
      <c r="H88" s="66"/>
      <c r="I88" s="66"/>
      <c r="J88" s="51"/>
      <c r="K88" s="51"/>
      <c r="L88" s="48"/>
      <c r="M88" s="52"/>
      <c r="N88" s="51"/>
      <c r="O88" s="52"/>
      <c r="P88" s="51"/>
      <c r="Q88" s="52"/>
      <c r="R88" s="52"/>
      <c r="S88" s="52"/>
      <c r="T88" s="54"/>
    </row>
    <row r="89" spans="1:20" x14ac:dyDescent="0.25">
      <c r="A89" s="66"/>
      <c r="B89" s="67"/>
      <c r="C89" s="68"/>
      <c r="D89" s="66"/>
      <c r="E89" s="66"/>
      <c r="F89" s="66"/>
      <c r="G89" s="66"/>
      <c r="H89" s="66"/>
      <c r="I89" s="66"/>
      <c r="J89" s="51"/>
      <c r="K89" s="51"/>
      <c r="L89" s="48"/>
      <c r="M89" s="52"/>
      <c r="N89" s="51"/>
      <c r="O89" s="52"/>
      <c r="P89" s="51"/>
      <c r="Q89" s="52"/>
      <c r="R89" s="52"/>
      <c r="S89" s="52"/>
      <c r="T89" s="54"/>
    </row>
    <row r="90" spans="1:20" x14ac:dyDescent="0.25">
      <c r="A90" s="66"/>
      <c r="B90" s="67"/>
      <c r="C90" s="68"/>
      <c r="D90" s="66"/>
      <c r="E90" s="66"/>
      <c r="F90" s="66"/>
      <c r="G90" s="66"/>
      <c r="H90" s="66"/>
      <c r="I90" s="66"/>
      <c r="J90" s="51"/>
      <c r="K90" s="51"/>
      <c r="L90" s="48"/>
      <c r="M90" s="52"/>
      <c r="N90" s="51"/>
      <c r="O90" s="52"/>
      <c r="P90" s="51"/>
      <c r="Q90" s="52"/>
      <c r="R90" s="52"/>
      <c r="S90" s="52"/>
      <c r="T90" s="54"/>
    </row>
    <row r="91" spans="1:20" x14ac:dyDescent="0.25">
      <c r="A91" s="66"/>
      <c r="B91" s="67"/>
      <c r="C91" s="68"/>
      <c r="D91" s="66"/>
      <c r="E91" s="66"/>
      <c r="F91" s="66"/>
      <c r="G91" s="66"/>
      <c r="H91" s="66"/>
      <c r="I91" s="66"/>
      <c r="J91" s="51"/>
      <c r="K91" s="51"/>
      <c r="L91" s="48"/>
      <c r="M91" s="52"/>
      <c r="N91" s="51"/>
      <c r="O91" s="52"/>
      <c r="P91" s="51"/>
      <c r="Q91" s="52"/>
      <c r="R91" s="52"/>
      <c r="S91" s="52"/>
      <c r="T91" s="54"/>
    </row>
    <row r="92" spans="1:20" x14ac:dyDescent="0.25">
      <c r="A92" s="66"/>
      <c r="B92" s="67"/>
      <c r="C92" s="68"/>
      <c r="D92" s="66"/>
      <c r="E92" s="66"/>
      <c r="F92" s="66"/>
      <c r="G92" s="66"/>
      <c r="H92" s="66"/>
      <c r="I92" s="66"/>
      <c r="J92" s="51"/>
      <c r="K92" s="51"/>
      <c r="L92" s="48"/>
      <c r="M92" s="52"/>
      <c r="N92" s="51"/>
      <c r="O92" s="52"/>
      <c r="P92" s="51"/>
      <c r="Q92" s="52"/>
      <c r="R92" s="52"/>
      <c r="S92" s="52"/>
      <c r="T92" s="54"/>
    </row>
    <row r="93" spans="1:20" x14ac:dyDescent="0.25">
      <c r="A93" s="3"/>
      <c r="B93" s="58"/>
      <c r="C93" s="59"/>
      <c r="D93" s="3"/>
      <c r="E93" s="3"/>
      <c r="F93" s="3"/>
      <c r="G93" s="3"/>
      <c r="H93" s="3"/>
      <c r="I93" s="3"/>
      <c r="J93" s="32"/>
      <c r="K93" s="32"/>
      <c r="L93" s="27"/>
      <c r="M93" s="33"/>
      <c r="N93" s="32"/>
      <c r="O93" s="33"/>
      <c r="P93" s="32"/>
      <c r="Q93" s="33"/>
      <c r="R93" s="33"/>
      <c r="S93" s="33"/>
      <c r="T93" s="31"/>
    </row>
    <row r="94" spans="1:20" x14ac:dyDescent="0.25">
      <c r="A94" s="3"/>
      <c r="B94" s="58"/>
      <c r="C94" s="59"/>
      <c r="D94" s="3"/>
      <c r="E94" s="3"/>
      <c r="F94" s="3"/>
      <c r="G94" s="3"/>
      <c r="H94" s="3"/>
      <c r="I94" s="3"/>
      <c r="J94" s="32"/>
      <c r="K94" s="32"/>
      <c r="L94" s="27"/>
      <c r="M94" s="33"/>
      <c r="N94" s="32"/>
      <c r="O94" s="33"/>
      <c r="P94" s="32"/>
      <c r="Q94" s="33"/>
      <c r="R94" s="33"/>
      <c r="S94" s="33"/>
      <c r="T94" s="31"/>
    </row>
    <row r="95" spans="1:20" x14ac:dyDescent="0.25">
      <c r="A95" s="3"/>
      <c r="B95" s="58"/>
      <c r="C95" s="59"/>
      <c r="D95" s="3"/>
      <c r="E95" s="3"/>
      <c r="F95" s="3"/>
      <c r="G95" s="3"/>
      <c r="H95" s="3"/>
      <c r="I95" s="3"/>
      <c r="J95" s="32"/>
      <c r="K95" s="32"/>
      <c r="L95" s="27"/>
      <c r="M95" s="33"/>
      <c r="N95" s="32"/>
      <c r="O95" s="33"/>
      <c r="P95" s="32"/>
      <c r="Q95" s="33"/>
      <c r="R95" s="33"/>
      <c r="S95" s="33"/>
      <c r="T95" s="31"/>
    </row>
    <row r="96" spans="1:20" x14ac:dyDescent="0.25">
      <c r="A96" s="3"/>
      <c r="B96" s="58"/>
      <c r="C96" s="59"/>
      <c r="D96" s="3"/>
      <c r="E96" s="3"/>
      <c r="F96" s="3"/>
      <c r="G96" s="3"/>
      <c r="H96" s="3"/>
      <c r="I96" s="3"/>
      <c r="J96" s="32"/>
      <c r="K96" s="32"/>
      <c r="L96" s="27"/>
      <c r="M96" s="33"/>
      <c r="N96" s="32"/>
      <c r="O96" s="33"/>
      <c r="P96" s="32"/>
      <c r="Q96" s="33"/>
      <c r="R96" s="33"/>
      <c r="S96" s="33"/>
      <c r="T96" s="31"/>
    </row>
    <row r="97" spans="1:20" x14ac:dyDescent="0.25">
      <c r="A97" s="3"/>
      <c r="B97" s="58"/>
      <c r="C97" s="59"/>
      <c r="D97" s="3"/>
      <c r="E97" s="3"/>
      <c r="F97" s="3"/>
      <c r="G97" s="3"/>
      <c r="H97" s="3"/>
      <c r="I97" s="3"/>
      <c r="J97" s="32"/>
      <c r="K97" s="32"/>
      <c r="L97" s="27"/>
      <c r="M97" s="33"/>
      <c r="N97" s="32"/>
      <c r="O97" s="33"/>
      <c r="P97" s="32"/>
      <c r="Q97" s="33"/>
      <c r="R97" s="33"/>
      <c r="S97" s="33"/>
      <c r="T97" s="31"/>
    </row>
    <row r="98" spans="1:20" x14ac:dyDescent="0.25">
      <c r="A98" s="66"/>
      <c r="B98" s="67"/>
      <c r="C98" s="68"/>
      <c r="D98" s="66"/>
      <c r="E98" s="66"/>
      <c r="F98" s="66"/>
      <c r="G98" s="66"/>
      <c r="H98" s="66"/>
      <c r="I98" s="66"/>
      <c r="J98" s="51"/>
      <c r="K98" s="51"/>
      <c r="L98" s="48"/>
      <c r="M98" s="52"/>
      <c r="N98" s="51"/>
      <c r="O98" s="52"/>
      <c r="P98" s="51"/>
      <c r="Q98" s="52"/>
      <c r="R98" s="52"/>
      <c r="S98" s="52"/>
      <c r="T98" s="54"/>
    </row>
    <row r="99" spans="1:20" x14ac:dyDescent="0.25">
      <c r="A99" s="66"/>
      <c r="B99" s="67"/>
      <c r="C99" s="68"/>
      <c r="D99" s="66"/>
      <c r="E99" s="66"/>
      <c r="F99" s="66"/>
      <c r="G99" s="66"/>
      <c r="H99" s="66"/>
      <c r="I99" s="66"/>
      <c r="J99" s="51"/>
      <c r="K99" s="51"/>
      <c r="L99" s="48"/>
      <c r="M99" s="52"/>
      <c r="N99" s="51"/>
      <c r="O99" s="52"/>
      <c r="P99" s="51"/>
      <c r="Q99" s="52"/>
      <c r="R99" s="52"/>
      <c r="S99" s="52"/>
      <c r="T99" s="54"/>
    </row>
    <row r="100" spans="1:20" x14ac:dyDescent="0.25">
      <c r="A100" s="66"/>
      <c r="B100" s="67"/>
      <c r="C100" s="68"/>
      <c r="D100" s="66"/>
      <c r="E100" s="66"/>
      <c r="F100" s="66"/>
      <c r="G100" s="66"/>
      <c r="H100" s="66"/>
      <c r="I100" s="66"/>
      <c r="J100" s="51"/>
      <c r="K100" s="51"/>
      <c r="L100" s="48"/>
      <c r="M100" s="52"/>
      <c r="N100" s="51"/>
      <c r="O100" s="52"/>
      <c r="P100" s="51"/>
      <c r="Q100" s="52"/>
      <c r="R100" s="52"/>
      <c r="S100" s="52"/>
      <c r="T100" s="54"/>
    </row>
    <row r="101" spans="1:20" x14ac:dyDescent="0.25">
      <c r="A101" s="66"/>
      <c r="B101" s="67"/>
      <c r="C101" s="68"/>
      <c r="D101" s="66"/>
      <c r="E101" s="66"/>
      <c r="F101" s="66"/>
      <c r="G101" s="66"/>
      <c r="H101" s="66"/>
      <c r="I101" s="66"/>
      <c r="J101" s="51"/>
      <c r="K101" s="51"/>
      <c r="L101" s="48"/>
      <c r="M101" s="52"/>
      <c r="N101" s="51"/>
      <c r="O101" s="52"/>
      <c r="P101" s="51"/>
      <c r="Q101" s="52"/>
      <c r="R101" s="52"/>
      <c r="S101" s="52"/>
      <c r="T101" s="54"/>
    </row>
    <row r="102" spans="1:20" x14ac:dyDescent="0.25">
      <c r="A102" s="66"/>
      <c r="B102" s="67"/>
      <c r="C102" s="68"/>
      <c r="D102" s="66"/>
      <c r="E102" s="66"/>
      <c r="F102" s="66"/>
      <c r="G102" s="66"/>
      <c r="H102" s="66"/>
      <c r="I102" s="66"/>
      <c r="J102" s="51"/>
      <c r="K102" s="51"/>
      <c r="L102" s="48"/>
      <c r="M102" s="52"/>
      <c r="N102" s="51"/>
      <c r="O102" s="52"/>
      <c r="P102" s="51"/>
      <c r="Q102" s="52"/>
      <c r="R102" s="52"/>
      <c r="S102" s="52"/>
      <c r="T102" s="54"/>
    </row>
    <row r="103" spans="1:20" x14ac:dyDescent="0.25">
      <c r="A103" s="3"/>
      <c r="B103" s="58"/>
      <c r="C103" s="59"/>
      <c r="D103" s="3"/>
      <c r="E103" s="3"/>
      <c r="F103" s="3"/>
      <c r="G103" s="3"/>
      <c r="H103" s="3"/>
      <c r="I103" s="3"/>
      <c r="J103" s="32"/>
      <c r="K103" s="32"/>
      <c r="L103" s="27"/>
      <c r="M103" s="33"/>
      <c r="N103" s="32"/>
      <c r="O103" s="33"/>
      <c r="P103" s="32"/>
      <c r="Q103" s="33"/>
      <c r="R103" s="33"/>
      <c r="S103" s="33"/>
      <c r="T103" s="31"/>
    </row>
    <row r="104" spans="1:20" x14ac:dyDescent="0.25">
      <c r="A104" s="3"/>
      <c r="B104" s="58"/>
      <c r="C104" s="59"/>
      <c r="D104" s="3"/>
      <c r="E104" s="3"/>
      <c r="F104" s="3"/>
      <c r="G104" s="3"/>
      <c r="H104" s="3"/>
      <c r="I104" s="3"/>
      <c r="J104" s="32"/>
      <c r="K104" s="32"/>
      <c r="L104" s="27"/>
      <c r="M104" s="33"/>
      <c r="N104" s="32"/>
      <c r="O104" s="33"/>
      <c r="P104" s="32"/>
      <c r="Q104" s="33"/>
      <c r="R104" s="33"/>
      <c r="S104" s="33"/>
      <c r="T104" s="31"/>
    </row>
    <row r="105" spans="1:20" x14ac:dyDescent="0.25">
      <c r="A105" s="3"/>
      <c r="B105" s="58"/>
      <c r="C105" s="59"/>
      <c r="D105" s="3"/>
      <c r="E105" s="3"/>
      <c r="F105" s="3"/>
      <c r="G105" s="3"/>
      <c r="H105" s="3"/>
      <c r="I105" s="3"/>
      <c r="J105" s="32"/>
      <c r="K105" s="32"/>
      <c r="L105" s="27"/>
      <c r="M105" s="33"/>
      <c r="N105" s="32"/>
      <c r="O105" s="33"/>
      <c r="P105" s="32"/>
      <c r="Q105" s="33"/>
      <c r="R105" s="33"/>
      <c r="S105" s="33"/>
      <c r="T105" s="31"/>
    </row>
    <row r="106" spans="1:20" x14ac:dyDescent="0.25">
      <c r="A106" s="3"/>
      <c r="B106" s="58"/>
      <c r="C106" s="59"/>
      <c r="D106" s="3"/>
      <c r="E106" s="3"/>
      <c r="F106" s="3"/>
      <c r="G106" s="3"/>
      <c r="H106" s="3"/>
      <c r="I106" s="3"/>
      <c r="J106" s="32"/>
      <c r="K106" s="32"/>
      <c r="L106" s="27"/>
      <c r="M106" s="33"/>
      <c r="N106" s="32"/>
      <c r="O106" s="33"/>
      <c r="P106" s="32"/>
      <c r="Q106" s="33"/>
      <c r="R106" s="33"/>
      <c r="S106" s="33"/>
      <c r="T106" s="31"/>
    </row>
    <row r="107" spans="1:20" x14ac:dyDescent="0.25">
      <c r="A107" s="3"/>
      <c r="B107" s="58"/>
      <c r="C107" s="59"/>
      <c r="D107" s="3"/>
      <c r="E107" s="3"/>
      <c r="F107" s="3"/>
      <c r="G107" s="3"/>
      <c r="H107" s="3"/>
      <c r="I107" s="3"/>
      <c r="J107" s="32"/>
      <c r="K107" s="32"/>
      <c r="L107" s="27"/>
      <c r="M107" s="33"/>
      <c r="N107" s="32"/>
      <c r="O107" s="33"/>
      <c r="P107" s="32"/>
      <c r="Q107" s="33"/>
      <c r="R107" s="33"/>
      <c r="S107" s="33"/>
      <c r="T107" s="31"/>
    </row>
    <row r="108" spans="1:20" x14ac:dyDescent="0.25">
      <c r="A108" s="66"/>
      <c r="B108" s="67"/>
      <c r="C108" s="68"/>
      <c r="D108" s="66"/>
      <c r="E108" s="66"/>
      <c r="F108" s="66"/>
      <c r="G108" s="66"/>
      <c r="H108" s="66"/>
      <c r="I108" s="66"/>
      <c r="J108" s="51"/>
      <c r="K108" s="51"/>
      <c r="L108" s="48"/>
      <c r="M108" s="52"/>
      <c r="N108" s="51"/>
      <c r="O108" s="52"/>
      <c r="P108" s="51"/>
      <c r="Q108" s="52"/>
      <c r="R108" s="52"/>
      <c r="S108" s="52"/>
      <c r="T108" s="54"/>
    </row>
    <row r="109" spans="1:20" x14ac:dyDescent="0.25">
      <c r="A109" s="66"/>
      <c r="B109" s="67"/>
      <c r="C109" s="68"/>
      <c r="D109" s="66"/>
      <c r="E109" s="66"/>
      <c r="F109" s="66"/>
      <c r="G109" s="66"/>
      <c r="H109" s="66"/>
      <c r="I109" s="66"/>
      <c r="J109" s="51"/>
      <c r="K109" s="51"/>
      <c r="L109" s="48"/>
      <c r="M109" s="52"/>
      <c r="N109" s="51"/>
      <c r="O109" s="52"/>
      <c r="P109" s="51"/>
      <c r="Q109" s="52"/>
      <c r="R109" s="52"/>
      <c r="S109" s="52"/>
      <c r="T109" s="54"/>
    </row>
    <row r="110" spans="1:20" x14ac:dyDescent="0.25">
      <c r="A110" s="66"/>
      <c r="B110" s="67"/>
      <c r="C110" s="68"/>
      <c r="D110" s="66"/>
      <c r="E110" s="66"/>
      <c r="F110" s="66"/>
      <c r="G110" s="66"/>
      <c r="H110" s="66"/>
      <c r="I110" s="66"/>
      <c r="J110" s="51"/>
      <c r="K110" s="51"/>
      <c r="L110" s="48"/>
      <c r="M110" s="52"/>
      <c r="N110" s="51"/>
      <c r="O110" s="52"/>
      <c r="P110" s="51"/>
      <c r="Q110" s="52"/>
      <c r="R110" s="52"/>
      <c r="S110" s="52"/>
      <c r="T110" s="54"/>
    </row>
    <row r="111" spans="1:20" x14ac:dyDescent="0.25">
      <c r="A111" s="66"/>
      <c r="B111" s="67"/>
      <c r="C111" s="68"/>
      <c r="D111" s="66"/>
      <c r="E111" s="66"/>
      <c r="F111" s="66"/>
      <c r="G111" s="66"/>
      <c r="H111" s="66"/>
      <c r="I111" s="66"/>
      <c r="J111" s="51"/>
      <c r="K111" s="51"/>
      <c r="L111" s="48"/>
      <c r="M111" s="52"/>
      <c r="N111" s="51"/>
      <c r="O111" s="52"/>
      <c r="P111" s="51"/>
      <c r="Q111" s="52"/>
      <c r="R111" s="52"/>
      <c r="S111" s="52"/>
      <c r="T111" s="54"/>
    </row>
    <row r="112" spans="1:20" x14ac:dyDescent="0.25">
      <c r="A112" s="66"/>
      <c r="B112" s="67"/>
      <c r="C112" s="68"/>
      <c r="D112" s="66"/>
      <c r="E112" s="66"/>
      <c r="F112" s="66"/>
      <c r="G112" s="66"/>
      <c r="H112" s="66"/>
      <c r="I112" s="66"/>
      <c r="J112" s="51"/>
      <c r="K112" s="51"/>
      <c r="L112" s="48"/>
      <c r="M112" s="52"/>
      <c r="N112" s="51"/>
      <c r="O112" s="52"/>
      <c r="P112" s="51"/>
      <c r="Q112" s="52"/>
      <c r="R112" s="52"/>
      <c r="S112" s="52"/>
      <c r="T112" s="54"/>
    </row>
    <row r="113" spans="1:20" x14ac:dyDescent="0.25">
      <c r="A113" s="3"/>
      <c r="B113" s="58"/>
      <c r="C113" s="59"/>
      <c r="D113" s="3"/>
      <c r="E113" s="3"/>
      <c r="F113" s="3"/>
      <c r="G113" s="3"/>
      <c r="H113" s="3"/>
      <c r="I113" s="3"/>
      <c r="J113" s="32"/>
      <c r="K113" s="32"/>
      <c r="L113" s="27"/>
      <c r="M113" s="33"/>
      <c r="N113" s="32"/>
      <c r="O113" s="33"/>
      <c r="P113" s="32"/>
      <c r="Q113" s="33"/>
      <c r="R113" s="33"/>
      <c r="S113" s="33"/>
      <c r="T113" s="31"/>
    </row>
    <row r="114" spans="1:20" x14ac:dyDescent="0.25">
      <c r="A114" s="3"/>
      <c r="B114" s="58"/>
      <c r="C114" s="59"/>
      <c r="D114" s="3"/>
      <c r="E114" s="3"/>
      <c r="F114" s="3"/>
      <c r="G114" s="3"/>
      <c r="H114" s="3"/>
      <c r="I114" s="3"/>
      <c r="J114" s="32"/>
      <c r="K114" s="32"/>
      <c r="L114" s="27"/>
      <c r="M114" s="33"/>
      <c r="N114" s="32"/>
      <c r="O114" s="33"/>
      <c r="P114" s="32"/>
      <c r="Q114" s="33"/>
      <c r="R114" s="33"/>
      <c r="S114" s="33"/>
      <c r="T114" s="31"/>
    </row>
    <row r="115" spans="1:20" x14ac:dyDescent="0.25">
      <c r="A115" s="3"/>
      <c r="B115" s="58"/>
      <c r="C115" s="59"/>
      <c r="D115" s="3"/>
      <c r="E115" s="3"/>
      <c r="F115" s="3"/>
      <c r="G115" s="3"/>
      <c r="H115" s="3"/>
      <c r="I115" s="3"/>
      <c r="J115" s="32"/>
      <c r="K115" s="32"/>
      <c r="L115" s="27"/>
      <c r="M115" s="33"/>
      <c r="N115" s="32"/>
      <c r="O115" s="33"/>
      <c r="P115" s="32"/>
      <c r="Q115" s="33"/>
      <c r="R115" s="33"/>
      <c r="S115" s="33"/>
      <c r="T115" s="31"/>
    </row>
    <row r="116" spans="1:20" x14ac:dyDescent="0.25">
      <c r="A116" s="3"/>
      <c r="B116" s="58"/>
      <c r="C116" s="59"/>
      <c r="D116" s="3"/>
      <c r="E116" s="3"/>
      <c r="F116" s="3"/>
      <c r="G116" s="3"/>
      <c r="H116" s="3"/>
      <c r="I116" s="3"/>
      <c r="J116" s="32"/>
      <c r="K116" s="32"/>
      <c r="L116" s="27"/>
      <c r="M116" s="33"/>
      <c r="N116" s="32"/>
      <c r="O116" s="33"/>
      <c r="P116" s="32"/>
      <c r="Q116" s="33"/>
      <c r="R116" s="33"/>
      <c r="S116" s="33"/>
      <c r="T116" s="31"/>
    </row>
    <row r="117" spans="1:20" x14ac:dyDescent="0.25">
      <c r="A117" s="3"/>
      <c r="B117" s="58"/>
      <c r="C117" s="59"/>
      <c r="D117" s="3"/>
      <c r="E117" s="3"/>
      <c r="F117" s="3"/>
      <c r="G117" s="3"/>
      <c r="H117" s="3"/>
      <c r="I117" s="3"/>
      <c r="J117" s="32"/>
      <c r="K117" s="32"/>
      <c r="L117" s="27"/>
      <c r="M117" s="33"/>
      <c r="N117" s="32"/>
      <c r="O117" s="33"/>
      <c r="P117" s="32"/>
      <c r="Q117" s="33"/>
      <c r="R117" s="33"/>
      <c r="S117" s="33"/>
      <c r="T117" s="31"/>
    </row>
    <row r="118" spans="1:20" x14ac:dyDescent="0.25">
      <c r="A118" s="66"/>
      <c r="B118" s="67"/>
      <c r="C118" s="68"/>
      <c r="D118" s="66"/>
      <c r="E118" s="66"/>
      <c r="F118" s="66"/>
      <c r="G118" s="66"/>
      <c r="H118" s="66"/>
      <c r="I118" s="66"/>
      <c r="J118" s="51"/>
      <c r="K118" s="51"/>
      <c r="L118" s="48"/>
      <c r="M118" s="52"/>
      <c r="N118" s="51"/>
      <c r="O118" s="52"/>
      <c r="P118" s="51"/>
      <c r="Q118" s="52"/>
      <c r="R118" s="52"/>
      <c r="S118" s="52"/>
      <c r="T118" s="54"/>
    </row>
    <row r="119" spans="1:20" x14ac:dyDescent="0.25">
      <c r="A119" s="66"/>
      <c r="B119" s="67"/>
      <c r="C119" s="68"/>
      <c r="D119" s="66"/>
      <c r="E119" s="66"/>
      <c r="F119" s="66"/>
      <c r="G119" s="66"/>
      <c r="H119" s="66"/>
      <c r="I119" s="66"/>
      <c r="J119" s="51"/>
      <c r="K119" s="51"/>
      <c r="L119" s="48"/>
      <c r="M119" s="52"/>
      <c r="N119" s="51"/>
      <c r="O119" s="52"/>
      <c r="P119" s="51"/>
      <c r="Q119" s="52"/>
      <c r="R119" s="52"/>
      <c r="S119" s="52"/>
      <c r="T119" s="54"/>
    </row>
    <row r="120" spans="1:20" x14ac:dyDescent="0.25">
      <c r="A120" s="66"/>
      <c r="B120" s="67"/>
      <c r="C120" s="68"/>
      <c r="D120" s="66"/>
      <c r="E120" s="66"/>
      <c r="F120" s="66"/>
      <c r="G120" s="66"/>
      <c r="H120" s="66"/>
      <c r="I120" s="66"/>
      <c r="J120" s="51"/>
      <c r="K120" s="51"/>
      <c r="L120" s="48"/>
      <c r="M120" s="52"/>
      <c r="N120" s="51"/>
      <c r="O120" s="52"/>
      <c r="P120" s="51"/>
      <c r="Q120" s="52"/>
      <c r="R120" s="52"/>
      <c r="S120" s="52"/>
      <c r="T120" s="54"/>
    </row>
    <row r="121" spans="1:20" x14ac:dyDescent="0.25">
      <c r="A121" s="66"/>
      <c r="B121" s="67"/>
      <c r="C121" s="68"/>
      <c r="D121" s="66"/>
      <c r="E121" s="66"/>
      <c r="F121" s="66"/>
      <c r="G121" s="66"/>
      <c r="H121" s="66"/>
      <c r="I121" s="66"/>
      <c r="J121" s="51"/>
      <c r="K121" s="51"/>
      <c r="L121" s="48"/>
      <c r="M121" s="52"/>
      <c r="N121" s="51"/>
      <c r="O121" s="52"/>
      <c r="P121" s="51"/>
      <c r="Q121" s="52"/>
      <c r="R121" s="52"/>
      <c r="S121" s="52"/>
      <c r="T121" s="54"/>
    </row>
    <row r="122" spans="1:20" x14ac:dyDescent="0.25">
      <c r="A122" s="66"/>
      <c r="B122" s="67"/>
      <c r="C122" s="68"/>
      <c r="D122" s="66"/>
      <c r="E122" s="66"/>
      <c r="F122" s="66"/>
      <c r="G122" s="66"/>
      <c r="H122" s="66"/>
      <c r="I122" s="66"/>
      <c r="J122" s="51"/>
      <c r="K122" s="51"/>
      <c r="L122" s="48"/>
      <c r="M122" s="52"/>
      <c r="N122" s="51"/>
      <c r="O122" s="52"/>
      <c r="P122" s="51"/>
      <c r="Q122" s="52"/>
      <c r="R122" s="52"/>
      <c r="S122" s="52"/>
      <c r="T122" s="54"/>
    </row>
    <row r="123" spans="1:20" x14ac:dyDescent="0.25">
      <c r="A123" s="3"/>
      <c r="B123" s="58"/>
      <c r="C123" s="59"/>
      <c r="D123" s="3"/>
      <c r="E123" s="3"/>
      <c r="F123" s="3"/>
      <c r="G123" s="3"/>
      <c r="H123" s="3"/>
      <c r="I123" s="3"/>
      <c r="J123" s="32"/>
      <c r="K123" s="32"/>
      <c r="L123" s="27"/>
      <c r="M123" s="33"/>
      <c r="N123" s="32"/>
      <c r="O123" s="33"/>
      <c r="P123" s="32"/>
      <c r="Q123" s="33"/>
      <c r="R123" s="33"/>
      <c r="S123" s="33"/>
      <c r="T123" s="31"/>
    </row>
    <row r="124" spans="1:20" x14ac:dyDescent="0.25">
      <c r="A124" s="3"/>
      <c r="B124" s="58"/>
      <c r="C124" s="59"/>
      <c r="D124" s="3"/>
      <c r="E124" s="3"/>
      <c r="F124" s="3"/>
      <c r="G124" s="3"/>
      <c r="H124" s="3"/>
      <c r="I124" s="3"/>
      <c r="J124" s="32"/>
      <c r="K124" s="32"/>
      <c r="L124" s="27"/>
      <c r="M124" s="33"/>
      <c r="N124" s="32"/>
      <c r="O124" s="33"/>
      <c r="P124" s="32"/>
      <c r="Q124" s="33"/>
      <c r="R124" s="33"/>
      <c r="S124" s="33"/>
      <c r="T124" s="31"/>
    </row>
    <row r="125" spans="1:20" x14ac:dyDescent="0.25">
      <c r="A125" s="3"/>
      <c r="B125" s="58"/>
      <c r="C125" s="59"/>
      <c r="D125" s="3"/>
      <c r="E125" s="3"/>
      <c r="F125" s="3"/>
      <c r="G125" s="3"/>
      <c r="H125" s="3"/>
      <c r="I125" s="3"/>
      <c r="J125" s="32"/>
      <c r="K125" s="32"/>
      <c r="L125" s="27"/>
      <c r="M125" s="33"/>
      <c r="N125" s="32"/>
      <c r="O125" s="33"/>
      <c r="P125" s="32"/>
      <c r="Q125" s="33"/>
      <c r="R125" s="33"/>
      <c r="S125" s="33"/>
      <c r="T125" s="31"/>
    </row>
    <row r="126" spans="1:20" x14ac:dyDescent="0.25">
      <c r="A126" s="3"/>
      <c r="B126" s="58"/>
      <c r="C126" s="59"/>
      <c r="D126" s="3"/>
      <c r="E126" s="3"/>
      <c r="F126" s="3"/>
      <c r="G126" s="3"/>
      <c r="H126" s="3"/>
      <c r="I126" s="3"/>
      <c r="J126" s="32"/>
      <c r="K126" s="32"/>
      <c r="L126" s="27"/>
      <c r="M126" s="33"/>
      <c r="N126" s="32"/>
      <c r="O126" s="33"/>
      <c r="P126" s="32"/>
      <c r="Q126" s="33"/>
      <c r="R126" s="33"/>
      <c r="S126" s="33"/>
      <c r="T126" s="31"/>
    </row>
    <row r="127" spans="1:20" x14ac:dyDescent="0.25">
      <c r="A127" s="3"/>
      <c r="B127" s="58"/>
      <c r="C127" s="59"/>
      <c r="D127" s="3"/>
      <c r="E127" s="3"/>
      <c r="F127" s="3"/>
      <c r="G127" s="3"/>
      <c r="H127" s="3"/>
      <c r="I127" s="3"/>
      <c r="J127" s="32"/>
      <c r="K127" s="32"/>
      <c r="L127" s="27"/>
      <c r="M127" s="33"/>
      <c r="N127" s="32"/>
      <c r="O127" s="33"/>
      <c r="P127" s="32"/>
      <c r="Q127" s="33"/>
      <c r="R127" s="33"/>
      <c r="S127" s="33"/>
      <c r="T127" s="31"/>
    </row>
    <row r="128" spans="1:20" x14ac:dyDescent="0.25">
      <c r="A128" s="66"/>
      <c r="B128" s="67"/>
      <c r="C128" s="68"/>
      <c r="D128" s="66"/>
      <c r="E128" s="66"/>
      <c r="F128" s="66"/>
      <c r="G128" s="66"/>
      <c r="H128" s="66"/>
      <c r="I128" s="66"/>
      <c r="J128" s="51"/>
      <c r="K128" s="51"/>
      <c r="L128" s="48"/>
      <c r="M128" s="52"/>
      <c r="N128" s="51"/>
      <c r="O128" s="52"/>
      <c r="P128" s="51"/>
      <c r="Q128" s="52"/>
      <c r="R128" s="52"/>
      <c r="S128" s="52"/>
      <c r="T128" s="54"/>
    </row>
    <row r="129" spans="1:20" x14ac:dyDescent="0.25">
      <c r="A129" s="66"/>
      <c r="B129" s="67"/>
      <c r="C129" s="68"/>
      <c r="D129" s="66"/>
      <c r="E129" s="66"/>
      <c r="F129" s="66"/>
      <c r="G129" s="66"/>
      <c r="H129" s="66"/>
      <c r="I129" s="66"/>
      <c r="J129" s="51"/>
      <c r="K129" s="51"/>
      <c r="L129" s="48"/>
      <c r="M129" s="52"/>
      <c r="N129" s="51"/>
      <c r="O129" s="52"/>
      <c r="P129" s="51"/>
      <c r="Q129" s="52"/>
      <c r="R129" s="52"/>
      <c r="S129" s="52"/>
      <c r="T129" s="54"/>
    </row>
    <row r="130" spans="1:20" x14ac:dyDescent="0.25">
      <c r="A130" s="66"/>
      <c r="B130" s="67"/>
      <c r="C130" s="68"/>
      <c r="D130" s="66"/>
      <c r="E130" s="66"/>
      <c r="F130" s="66"/>
      <c r="G130" s="66"/>
      <c r="H130" s="66"/>
      <c r="I130" s="66"/>
      <c r="J130" s="51"/>
      <c r="K130" s="51"/>
      <c r="L130" s="48"/>
      <c r="M130" s="52"/>
      <c r="N130" s="51"/>
      <c r="O130" s="52"/>
      <c r="P130" s="51"/>
      <c r="Q130" s="52"/>
      <c r="R130" s="52"/>
      <c r="S130" s="52"/>
      <c r="T130" s="54"/>
    </row>
    <row r="131" spans="1:20" x14ac:dyDescent="0.25">
      <c r="A131" s="66"/>
      <c r="B131" s="67"/>
      <c r="C131" s="68"/>
      <c r="D131" s="66"/>
      <c r="E131" s="66"/>
      <c r="F131" s="66"/>
      <c r="G131" s="66"/>
      <c r="H131" s="66"/>
      <c r="I131" s="66"/>
      <c r="J131" s="51"/>
      <c r="K131" s="51"/>
      <c r="L131" s="48"/>
      <c r="M131" s="52"/>
      <c r="N131" s="51"/>
      <c r="O131" s="52"/>
      <c r="P131" s="51"/>
      <c r="Q131" s="52"/>
      <c r="R131" s="52"/>
      <c r="S131" s="52"/>
      <c r="T131" s="54"/>
    </row>
    <row r="132" spans="1:20" x14ac:dyDescent="0.25">
      <c r="A132" s="66"/>
      <c r="B132" s="67"/>
      <c r="C132" s="68"/>
      <c r="D132" s="66"/>
      <c r="E132" s="66"/>
      <c r="F132" s="66"/>
      <c r="G132" s="66"/>
      <c r="H132" s="66"/>
      <c r="I132" s="66"/>
      <c r="J132" s="51"/>
      <c r="K132" s="51"/>
      <c r="L132" s="48"/>
      <c r="M132" s="52"/>
      <c r="N132" s="51"/>
      <c r="O132" s="52"/>
      <c r="P132" s="51"/>
      <c r="Q132" s="52"/>
      <c r="R132" s="52"/>
      <c r="S132" s="52"/>
      <c r="T132" s="54"/>
    </row>
    <row r="133" spans="1:20" x14ac:dyDescent="0.25">
      <c r="A133" s="3"/>
      <c r="B133" s="58"/>
      <c r="C133" s="59"/>
      <c r="D133" s="3"/>
      <c r="E133" s="3"/>
      <c r="F133" s="3"/>
      <c r="G133" s="3"/>
      <c r="H133" s="3"/>
      <c r="I133" s="3"/>
      <c r="J133" s="32"/>
      <c r="K133" s="32"/>
      <c r="L133" s="27"/>
      <c r="M133" s="33"/>
      <c r="N133" s="32"/>
      <c r="O133" s="33"/>
      <c r="P133" s="32"/>
      <c r="Q133" s="33"/>
      <c r="R133" s="33"/>
      <c r="S133" s="33"/>
      <c r="T133" s="31"/>
    </row>
    <row r="134" spans="1:20" x14ac:dyDescent="0.25">
      <c r="A134" s="3"/>
      <c r="B134" s="58"/>
      <c r="C134" s="59"/>
      <c r="D134" s="3"/>
      <c r="E134" s="3"/>
      <c r="F134" s="3"/>
      <c r="G134" s="3"/>
      <c r="H134" s="3"/>
      <c r="I134" s="3"/>
      <c r="J134" s="32"/>
      <c r="K134" s="32"/>
      <c r="L134" s="27"/>
      <c r="M134" s="33"/>
      <c r="N134" s="32"/>
      <c r="O134" s="33"/>
      <c r="P134" s="32"/>
      <c r="Q134" s="33"/>
      <c r="R134" s="33"/>
      <c r="S134" s="33"/>
      <c r="T134" s="31"/>
    </row>
    <row r="135" spans="1:20" x14ac:dyDescent="0.25">
      <c r="A135" s="3"/>
      <c r="B135" s="58"/>
      <c r="C135" s="59"/>
      <c r="D135" s="3"/>
      <c r="E135" s="3"/>
      <c r="F135" s="3"/>
      <c r="G135" s="3"/>
      <c r="H135" s="3"/>
      <c r="I135" s="3"/>
      <c r="J135" s="32"/>
      <c r="K135" s="32"/>
      <c r="L135" s="27"/>
      <c r="M135" s="33"/>
      <c r="N135" s="32"/>
      <c r="O135" s="33"/>
      <c r="P135" s="32"/>
      <c r="Q135" s="33"/>
      <c r="R135" s="33"/>
      <c r="S135" s="33"/>
      <c r="T135" s="31"/>
    </row>
    <row r="136" spans="1:20" x14ac:dyDescent="0.25">
      <c r="A136" s="3"/>
      <c r="B136" s="58"/>
      <c r="C136" s="59"/>
      <c r="D136" s="3"/>
      <c r="E136" s="3"/>
      <c r="F136" s="3"/>
      <c r="G136" s="3"/>
      <c r="H136" s="3"/>
      <c r="I136" s="3"/>
      <c r="J136" s="32"/>
      <c r="K136" s="32"/>
      <c r="L136" s="27"/>
      <c r="M136" s="33"/>
      <c r="N136" s="32"/>
      <c r="O136" s="33"/>
      <c r="P136" s="32"/>
      <c r="Q136" s="33"/>
      <c r="R136" s="33"/>
      <c r="S136" s="33"/>
      <c r="T136" s="31"/>
    </row>
    <row r="137" spans="1:20" x14ac:dyDescent="0.25">
      <c r="A137" s="3"/>
      <c r="B137" s="58"/>
      <c r="C137" s="59"/>
      <c r="D137" s="3"/>
      <c r="E137" s="3"/>
      <c r="F137" s="3"/>
      <c r="G137" s="3"/>
      <c r="H137" s="3"/>
      <c r="I137" s="3"/>
      <c r="J137" s="32"/>
      <c r="K137" s="32"/>
      <c r="L137" s="27"/>
      <c r="M137" s="33"/>
      <c r="N137" s="32"/>
      <c r="O137" s="33"/>
      <c r="P137" s="32"/>
      <c r="Q137" s="33"/>
      <c r="R137" s="33"/>
      <c r="S137" s="33"/>
      <c r="T137" s="31"/>
    </row>
    <row r="138" spans="1:20" x14ac:dyDescent="0.25">
      <c r="A138" s="66"/>
      <c r="B138" s="67"/>
      <c r="C138" s="68"/>
      <c r="D138" s="66"/>
      <c r="E138" s="66"/>
      <c r="F138" s="66"/>
      <c r="G138" s="66"/>
      <c r="H138" s="66"/>
      <c r="I138" s="66"/>
      <c r="J138" s="51"/>
      <c r="K138" s="51"/>
      <c r="L138" s="48"/>
      <c r="M138" s="52"/>
      <c r="N138" s="51"/>
      <c r="O138" s="52"/>
      <c r="P138" s="51"/>
      <c r="Q138" s="52"/>
      <c r="R138" s="52"/>
      <c r="S138" s="52"/>
      <c r="T138" s="54"/>
    </row>
    <row r="139" spans="1:20" x14ac:dyDescent="0.25">
      <c r="A139" s="66"/>
      <c r="B139" s="67"/>
      <c r="C139" s="68"/>
      <c r="D139" s="66"/>
      <c r="E139" s="66"/>
      <c r="F139" s="66"/>
      <c r="G139" s="66"/>
      <c r="H139" s="66"/>
      <c r="I139" s="66"/>
      <c r="J139" s="51"/>
      <c r="K139" s="51"/>
      <c r="L139" s="48"/>
      <c r="M139" s="52"/>
      <c r="N139" s="51"/>
      <c r="O139" s="52"/>
      <c r="P139" s="51"/>
      <c r="Q139" s="52"/>
      <c r="R139" s="52"/>
      <c r="S139" s="52"/>
      <c r="T139" s="54"/>
    </row>
    <row r="140" spans="1:20" x14ac:dyDescent="0.25">
      <c r="A140" s="66"/>
      <c r="B140" s="67"/>
      <c r="C140" s="68"/>
      <c r="D140" s="66"/>
      <c r="E140" s="66"/>
      <c r="F140" s="66"/>
      <c r="G140" s="66"/>
      <c r="H140" s="66"/>
      <c r="I140" s="66"/>
      <c r="J140" s="51"/>
      <c r="K140" s="51"/>
      <c r="L140" s="48"/>
      <c r="M140" s="52"/>
      <c r="N140" s="51"/>
      <c r="O140" s="52"/>
      <c r="P140" s="51"/>
      <c r="Q140" s="52"/>
      <c r="R140" s="52"/>
      <c r="S140" s="52"/>
      <c r="T140" s="54"/>
    </row>
    <row r="141" spans="1:20" x14ac:dyDescent="0.25">
      <c r="A141" s="66"/>
      <c r="B141" s="67"/>
      <c r="C141" s="68"/>
      <c r="D141" s="66"/>
      <c r="E141" s="66"/>
      <c r="F141" s="66"/>
      <c r="G141" s="66"/>
      <c r="H141" s="66"/>
      <c r="I141" s="66"/>
      <c r="J141" s="51"/>
      <c r="K141" s="51"/>
      <c r="L141" s="48"/>
      <c r="M141" s="52"/>
      <c r="N141" s="51"/>
      <c r="O141" s="52"/>
      <c r="P141" s="51"/>
      <c r="Q141" s="52"/>
      <c r="R141" s="52"/>
      <c r="S141" s="52"/>
      <c r="T141" s="54"/>
    </row>
    <row r="142" spans="1:20" x14ac:dyDescent="0.25">
      <c r="A142" s="66"/>
      <c r="B142" s="67"/>
      <c r="C142" s="68"/>
      <c r="D142" s="66"/>
      <c r="E142" s="66"/>
      <c r="F142" s="66"/>
      <c r="G142" s="66"/>
      <c r="H142" s="66"/>
      <c r="I142" s="66"/>
      <c r="J142" s="51"/>
      <c r="K142" s="51"/>
      <c r="L142" s="48"/>
      <c r="M142" s="52"/>
      <c r="N142" s="51"/>
      <c r="O142" s="52"/>
      <c r="P142" s="51"/>
      <c r="Q142" s="52"/>
      <c r="R142" s="52"/>
      <c r="S142" s="52"/>
      <c r="T142" s="54"/>
    </row>
    <row r="143" spans="1:20" x14ac:dyDescent="0.25">
      <c r="A143" s="3"/>
      <c r="B143" s="58"/>
      <c r="C143" s="59"/>
      <c r="D143" s="3"/>
      <c r="E143" s="3"/>
      <c r="F143" s="3"/>
      <c r="G143" s="3"/>
      <c r="H143" s="3"/>
      <c r="I143" s="3"/>
      <c r="J143" s="32"/>
      <c r="K143" s="32"/>
      <c r="L143" s="27"/>
      <c r="M143" s="33"/>
      <c r="N143" s="32"/>
      <c r="O143" s="33"/>
      <c r="P143" s="32"/>
      <c r="Q143" s="33"/>
      <c r="R143" s="33"/>
      <c r="S143" s="33"/>
      <c r="T143" s="31"/>
    </row>
    <row r="144" spans="1:20" x14ac:dyDescent="0.25">
      <c r="A144" s="3"/>
      <c r="B144" s="58"/>
      <c r="C144" s="59"/>
      <c r="D144" s="3"/>
      <c r="E144" s="3"/>
      <c r="F144" s="3"/>
      <c r="G144" s="3"/>
      <c r="H144" s="3"/>
      <c r="I144" s="3"/>
      <c r="J144" s="32"/>
      <c r="K144" s="32"/>
      <c r="L144" s="27"/>
      <c r="M144" s="33"/>
      <c r="N144" s="32"/>
      <c r="O144" s="33"/>
      <c r="P144" s="32"/>
      <c r="Q144" s="33"/>
      <c r="R144" s="33"/>
      <c r="S144" s="33"/>
      <c r="T144" s="31"/>
    </row>
    <row r="145" spans="1:20" x14ac:dyDescent="0.25">
      <c r="A145" s="3"/>
      <c r="B145" s="58"/>
      <c r="C145" s="59"/>
      <c r="D145" s="3"/>
      <c r="E145" s="3"/>
      <c r="F145" s="3"/>
      <c r="G145" s="3"/>
      <c r="H145" s="3"/>
      <c r="I145" s="3"/>
      <c r="J145" s="32"/>
      <c r="K145" s="32"/>
      <c r="L145" s="27"/>
      <c r="M145" s="33"/>
      <c r="N145" s="32"/>
      <c r="O145" s="33"/>
      <c r="P145" s="32"/>
      <c r="Q145" s="33"/>
      <c r="R145" s="33"/>
      <c r="S145" s="33"/>
      <c r="T145" s="31"/>
    </row>
    <row r="146" spans="1:20" x14ac:dyDescent="0.25">
      <c r="A146" s="3"/>
      <c r="B146" s="58"/>
      <c r="C146" s="59"/>
      <c r="D146" s="3"/>
      <c r="E146" s="3"/>
      <c r="F146" s="3"/>
      <c r="G146" s="3"/>
      <c r="H146" s="3"/>
      <c r="I146" s="3"/>
      <c r="J146" s="32"/>
      <c r="K146" s="32"/>
      <c r="L146" s="27"/>
      <c r="M146" s="33"/>
      <c r="N146" s="32"/>
      <c r="O146" s="33"/>
      <c r="P146" s="32"/>
      <c r="Q146" s="33"/>
      <c r="R146" s="33"/>
      <c r="S146" s="33"/>
      <c r="T146" s="31"/>
    </row>
    <row r="147" spans="1:20" x14ac:dyDescent="0.25">
      <c r="A147" s="3"/>
      <c r="B147" s="58"/>
      <c r="C147" s="59"/>
      <c r="D147" s="3"/>
      <c r="E147" s="3"/>
      <c r="F147" s="3"/>
      <c r="G147" s="3"/>
      <c r="H147" s="3"/>
      <c r="I147" s="3"/>
      <c r="J147" s="32"/>
      <c r="K147" s="32"/>
      <c r="L147" s="27"/>
      <c r="M147" s="33"/>
      <c r="N147" s="32"/>
      <c r="O147" s="33"/>
      <c r="P147" s="32"/>
      <c r="Q147" s="33"/>
      <c r="R147" s="33"/>
      <c r="S147" s="33"/>
      <c r="T147" s="31"/>
    </row>
    <row r="148" spans="1:20" x14ac:dyDescent="0.25">
      <c r="A148" s="66"/>
      <c r="B148" s="67"/>
      <c r="C148" s="68"/>
      <c r="D148" s="66"/>
      <c r="E148" s="66"/>
      <c r="F148" s="66"/>
      <c r="G148" s="66"/>
      <c r="H148" s="66"/>
      <c r="I148" s="66"/>
      <c r="J148" s="51"/>
      <c r="K148" s="51"/>
      <c r="L148" s="48"/>
      <c r="M148" s="52"/>
      <c r="N148" s="51"/>
      <c r="O148" s="52"/>
      <c r="P148" s="51"/>
      <c r="Q148" s="52"/>
      <c r="R148" s="52"/>
      <c r="S148" s="52"/>
      <c r="T148" s="54"/>
    </row>
    <row r="149" spans="1:20" x14ac:dyDescent="0.25">
      <c r="A149" s="66"/>
      <c r="B149" s="67"/>
      <c r="C149" s="68"/>
      <c r="D149" s="66"/>
      <c r="E149" s="66"/>
      <c r="F149" s="66"/>
      <c r="G149" s="66"/>
      <c r="H149" s="66"/>
      <c r="I149" s="66"/>
      <c r="J149" s="51"/>
      <c r="K149" s="51"/>
      <c r="L149" s="48"/>
      <c r="M149" s="52"/>
      <c r="N149" s="51"/>
      <c r="O149" s="52"/>
      <c r="P149" s="51"/>
      <c r="Q149" s="52"/>
      <c r="R149" s="52"/>
      <c r="S149" s="52"/>
      <c r="T149" s="54"/>
    </row>
    <row r="150" spans="1:20" x14ac:dyDescent="0.25">
      <c r="A150" s="66"/>
      <c r="B150" s="67"/>
      <c r="C150" s="68"/>
      <c r="D150" s="66"/>
      <c r="E150" s="66"/>
      <c r="F150" s="66"/>
      <c r="G150" s="66"/>
      <c r="H150" s="66"/>
      <c r="I150" s="66"/>
      <c r="J150" s="51"/>
      <c r="K150" s="51"/>
      <c r="L150" s="48"/>
      <c r="M150" s="52"/>
      <c r="N150" s="51"/>
      <c r="O150" s="52"/>
      <c r="P150" s="51"/>
      <c r="Q150" s="52"/>
      <c r="R150" s="52"/>
      <c r="S150" s="52"/>
      <c r="T150" s="54"/>
    </row>
    <row r="151" spans="1:20" x14ac:dyDescent="0.25">
      <c r="A151" s="66"/>
      <c r="B151" s="67"/>
      <c r="C151" s="68"/>
      <c r="D151" s="66"/>
      <c r="E151" s="66"/>
      <c r="F151" s="66"/>
      <c r="G151" s="66"/>
      <c r="H151" s="66"/>
      <c r="I151" s="66"/>
      <c r="J151" s="51"/>
      <c r="K151" s="51"/>
      <c r="L151" s="48"/>
      <c r="M151" s="52"/>
      <c r="N151" s="51"/>
      <c r="O151" s="52"/>
      <c r="P151" s="51"/>
      <c r="Q151" s="52"/>
      <c r="R151" s="52"/>
      <c r="S151" s="52"/>
      <c r="T151" s="54"/>
    </row>
    <row r="152" spans="1:20" x14ac:dyDescent="0.25">
      <c r="A152" s="66"/>
      <c r="B152" s="67"/>
      <c r="C152" s="68"/>
      <c r="D152" s="66"/>
      <c r="E152" s="66"/>
      <c r="F152" s="66"/>
      <c r="G152" s="66"/>
      <c r="H152" s="66"/>
      <c r="I152" s="66"/>
      <c r="J152" s="51"/>
      <c r="K152" s="51"/>
      <c r="L152" s="48"/>
      <c r="M152" s="52"/>
      <c r="N152" s="51"/>
      <c r="O152" s="52"/>
      <c r="P152" s="51"/>
      <c r="Q152" s="52"/>
      <c r="R152" s="52"/>
      <c r="S152" s="52"/>
      <c r="T152" s="54"/>
    </row>
    <row r="153" spans="1:20" x14ac:dyDescent="0.25">
      <c r="A153" s="3"/>
      <c r="B153" s="58"/>
      <c r="C153" s="59"/>
      <c r="D153" s="3"/>
      <c r="E153" s="3"/>
      <c r="F153" s="3"/>
      <c r="G153" s="3"/>
      <c r="H153" s="3"/>
      <c r="I153" s="3"/>
      <c r="J153" s="32"/>
      <c r="K153" s="32"/>
      <c r="L153" s="27"/>
      <c r="M153" s="33"/>
      <c r="N153" s="32"/>
      <c r="O153" s="33"/>
      <c r="P153" s="32"/>
      <c r="Q153" s="33"/>
      <c r="R153" s="33"/>
      <c r="S153" s="33"/>
      <c r="T153" s="31"/>
    </row>
    <row r="154" spans="1:20" x14ac:dyDescent="0.25">
      <c r="A154" s="3"/>
      <c r="B154" s="58"/>
      <c r="C154" s="59"/>
      <c r="D154" s="3"/>
      <c r="E154" s="3"/>
      <c r="F154" s="3"/>
      <c r="G154" s="3"/>
      <c r="H154" s="3"/>
      <c r="I154" s="3"/>
      <c r="J154" s="32"/>
      <c r="K154" s="32"/>
      <c r="L154" s="27"/>
      <c r="M154" s="33"/>
      <c r="N154" s="32"/>
      <c r="O154" s="33"/>
      <c r="P154" s="32"/>
      <c r="Q154" s="33"/>
      <c r="R154" s="33"/>
      <c r="S154" s="33"/>
      <c r="T154" s="31"/>
    </row>
    <row r="155" spans="1:20" x14ac:dyDescent="0.25">
      <c r="A155" s="3"/>
      <c r="B155" s="58"/>
      <c r="C155" s="59"/>
      <c r="D155" s="3"/>
      <c r="E155" s="3"/>
      <c r="F155" s="3"/>
      <c r="G155" s="3"/>
      <c r="H155" s="3"/>
      <c r="I155" s="3"/>
      <c r="J155" s="32"/>
      <c r="K155" s="32"/>
      <c r="L155" s="27"/>
      <c r="M155" s="33"/>
      <c r="N155" s="32"/>
      <c r="O155" s="33"/>
      <c r="P155" s="32"/>
      <c r="Q155" s="33"/>
      <c r="R155" s="33"/>
      <c r="S155" s="33"/>
      <c r="T155" s="31"/>
    </row>
    <row r="156" spans="1:20" x14ac:dyDescent="0.25">
      <c r="A156" s="3"/>
      <c r="B156" s="58"/>
      <c r="C156" s="59"/>
      <c r="D156" s="3"/>
      <c r="E156" s="3"/>
      <c r="F156" s="3"/>
      <c r="G156" s="3"/>
      <c r="H156" s="3"/>
      <c r="I156" s="3"/>
      <c r="J156" s="32"/>
      <c r="K156" s="32"/>
      <c r="L156" s="27"/>
      <c r="M156" s="33"/>
      <c r="N156" s="32"/>
      <c r="O156" s="33"/>
      <c r="P156" s="32"/>
      <c r="Q156" s="33"/>
      <c r="R156" s="33"/>
      <c r="S156" s="33"/>
      <c r="T156" s="31"/>
    </row>
    <row r="157" spans="1:20" x14ac:dyDescent="0.25">
      <c r="A157" s="3"/>
      <c r="B157" s="58"/>
      <c r="C157" s="59"/>
      <c r="D157" s="3"/>
      <c r="E157" s="3"/>
      <c r="F157" s="3"/>
      <c r="G157" s="3"/>
      <c r="H157" s="3"/>
      <c r="I157" s="3"/>
      <c r="J157" s="32"/>
      <c r="K157" s="32"/>
      <c r="L157" s="27"/>
      <c r="M157" s="33"/>
      <c r="N157" s="32"/>
      <c r="O157" s="33"/>
      <c r="P157" s="32"/>
      <c r="Q157" s="33"/>
      <c r="R157" s="33"/>
      <c r="S157" s="33"/>
      <c r="T157" s="31"/>
    </row>
    <row r="158" spans="1:20" x14ac:dyDescent="0.25">
      <c r="A158" s="66"/>
      <c r="B158" s="67"/>
      <c r="C158" s="68"/>
      <c r="D158" s="66"/>
      <c r="E158" s="66"/>
      <c r="F158" s="66"/>
      <c r="G158" s="66"/>
      <c r="H158" s="66"/>
      <c r="I158" s="66"/>
      <c r="J158" s="51"/>
      <c r="K158" s="51"/>
      <c r="L158" s="48"/>
      <c r="M158" s="52"/>
      <c r="N158" s="51"/>
      <c r="O158" s="52"/>
      <c r="P158" s="51"/>
      <c r="Q158" s="52"/>
      <c r="R158" s="52"/>
      <c r="S158" s="52"/>
      <c r="T158" s="54"/>
    </row>
    <row r="159" spans="1:20" x14ac:dyDescent="0.25">
      <c r="A159" s="66"/>
      <c r="B159" s="67"/>
      <c r="C159" s="68"/>
      <c r="D159" s="66"/>
      <c r="E159" s="66"/>
      <c r="F159" s="66"/>
      <c r="G159" s="66"/>
      <c r="H159" s="66"/>
      <c r="I159" s="66"/>
      <c r="J159" s="51"/>
      <c r="K159" s="51"/>
      <c r="L159" s="48"/>
      <c r="M159" s="52"/>
      <c r="N159" s="51"/>
      <c r="O159" s="52"/>
      <c r="P159" s="51"/>
      <c r="Q159" s="52"/>
      <c r="R159" s="52"/>
      <c r="S159" s="52"/>
      <c r="T159" s="54"/>
    </row>
    <row r="160" spans="1:20" x14ac:dyDescent="0.25">
      <c r="A160" s="66"/>
      <c r="B160" s="67"/>
      <c r="C160" s="68"/>
      <c r="D160" s="66"/>
      <c r="E160" s="66"/>
      <c r="F160" s="66"/>
      <c r="G160" s="66"/>
      <c r="H160" s="66"/>
      <c r="I160" s="66"/>
      <c r="J160" s="51"/>
      <c r="K160" s="51"/>
      <c r="L160" s="48"/>
      <c r="M160" s="52"/>
      <c r="N160" s="51"/>
      <c r="O160" s="52"/>
      <c r="P160" s="51"/>
      <c r="Q160" s="52"/>
      <c r="R160" s="52"/>
      <c r="S160" s="52"/>
      <c r="T160" s="54"/>
    </row>
    <row r="161" spans="1:20" x14ac:dyDescent="0.25">
      <c r="A161" s="66"/>
      <c r="B161" s="67"/>
      <c r="C161" s="68"/>
      <c r="D161" s="66"/>
      <c r="E161" s="66"/>
      <c r="F161" s="66"/>
      <c r="G161" s="66"/>
      <c r="H161" s="66"/>
      <c r="I161" s="66"/>
      <c r="J161" s="51"/>
      <c r="K161" s="51"/>
      <c r="L161" s="48"/>
      <c r="M161" s="52"/>
      <c r="N161" s="51"/>
      <c r="O161" s="52"/>
      <c r="P161" s="51"/>
      <c r="Q161" s="52"/>
      <c r="R161" s="52"/>
      <c r="S161" s="52"/>
      <c r="T161" s="54"/>
    </row>
    <row r="162" spans="1:20" x14ac:dyDescent="0.25">
      <c r="A162" s="66"/>
      <c r="B162" s="67"/>
      <c r="C162" s="68"/>
      <c r="D162" s="66"/>
      <c r="E162" s="66"/>
      <c r="F162" s="66"/>
      <c r="G162" s="66"/>
      <c r="H162" s="66"/>
      <c r="I162" s="66"/>
      <c r="J162" s="51"/>
      <c r="K162" s="51"/>
      <c r="L162" s="48"/>
      <c r="M162" s="52"/>
      <c r="N162" s="51"/>
      <c r="O162" s="52"/>
      <c r="P162" s="51"/>
      <c r="Q162" s="52"/>
      <c r="R162" s="52"/>
      <c r="S162" s="52"/>
      <c r="T162" s="54"/>
    </row>
    <row r="163" spans="1:20" x14ac:dyDescent="0.25">
      <c r="A163" s="3"/>
      <c r="B163" s="58"/>
      <c r="C163" s="59"/>
      <c r="D163" s="3"/>
      <c r="E163" s="3"/>
      <c r="F163" s="3"/>
      <c r="G163" s="3"/>
      <c r="H163" s="3"/>
      <c r="I163" s="3"/>
      <c r="J163" s="32"/>
      <c r="K163" s="32"/>
      <c r="L163" s="27"/>
      <c r="M163" s="33"/>
      <c r="N163" s="32"/>
      <c r="O163" s="33"/>
      <c r="P163" s="32"/>
      <c r="Q163" s="33"/>
      <c r="R163" s="33"/>
      <c r="S163" s="33"/>
      <c r="T163" s="31"/>
    </row>
    <row r="164" spans="1:20" x14ac:dyDescent="0.25">
      <c r="A164" s="3"/>
      <c r="B164" s="58"/>
      <c r="C164" s="59"/>
      <c r="D164" s="3"/>
      <c r="E164" s="3"/>
      <c r="F164" s="3"/>
      <c r="G164" s="3"/>
      <c r="H164" s="3"/>
      <c r="I164" s="3"/>
      <c r="J164" s="32"/>
      <c r="K164" s="32"/>
      <c r="L164" s="27"/>
      <c r="M164" s="33"/>
      <c r="N164" s="32"/>
      <c r="O164" s="33"/>
      <c r="P164" s="32"/>
      <c r="Q164" s="33"/>
      <c r="R164" s="33"/>
      <c r="S164" s="33"/>
      <c r="T164" s="31"/>
    </row>
    <row r="165" spans="1:20" x14ac:dyDescent="0.25">
      <c r="A165" s="3"/>
      <c r="B165" s="58"/>
      <c r="C165" s="59"/>
      <c r="D165" s="3"/>
      <c r="E165" s="3"/>
      <c r="F165" s="3"/>
      <c r="G165" s="3"/>
      <c r="H165" s="3"/>
      <c r="I165" s="3"/>
      <c r="J165" s="32"/>
      <c r="K165" s="32"/>
      <c r="L165" s="27"/>
      <c r="M165" s="33"/>
      <c r="N165" s="32"/>
      <c r="O165" s="33"/>
      <c r="P165" s="32"/>
      <c r="Q165" s="33"/>
      <c r="R165" s="33"/>
      <c r="S165" s="33"/>
      <c r="T165" s="31"/>
    </row>
    <row r="166" spans="1:20" x14ac:dyDescent="0.25">
      <c r="A166" s="3"/>
      <c r="B166" s="58"/>
      <c r="C166" s="59"/>
      <c r="D166" s="3"/>
      <c r="E166" s="3"/>
      <c r="F166" s="3"/>
      <c r="G166" s="3"/>
      <c r="H166" s="3"/>
      <c r="I166" s="3"/>
      <c r="J166" s="32"/>
      <c r="K166" s="32"/>
      <c r="L166" s="27"/>
      <c r="M166" s="33"/>
      <c r="N166" s="32"/>
      <c r="O166" s="33"/>
      <c r="P166" s="32"/>
      <c r="Q166" s="33"/>
      <c r="R166" s="33"/>
      <c r="S166" s="33"/>
      <c r="T166" s="31"/>
    </row>
    <row r="167" spans="1:20" x14ac:dyDescent="0.25">
      <c r="A167" s="3"/>
      <c r="B167" s="58"/>
      <c r="C167" s="59"/>
      <c r="D167" s="3"/>
      <c r="E167" s="3"/>
      <c r="F167" s="3"/>
      <c r="G167" s="3"/>
      <c r="H167" s="3"/>
      <c r="I167" s="3"/>
      <c r="J167" s="32"/>
      <c r="K167" s="32"/>
      <c r="L167" s="27"/>
      <c r="M167" s="33"/>
      <c r="N167" s="32"/>
      <c r="O167" s="33"/>
      <c r="P167" s="32"/>
      <c r="Q167" s="33"/>
      <c r="R167" s="33"/>
      <c r="S167" s="33"/>
      <c r="T167" s="31"/>
    </row>
    <row r="168" spans="1:20" x14ac:dyDescent="0.25">
      <c r="A168" s="66"/>
      <c r="B168" s="67"/>
      <c r="C168" s="68"/>
      <c r="D168" s="66"/>
      <c r="E168" s="66"/>
      <c r="F168" s="66"/>
      <c r="G168" s="66"/>
      <c r="H168" s="66"/>
      <c r="I168" s="66"/>
      <c r="J168" s="51"/>
      <c r="K168" s="51"/>
      <c r="L168" s="48"/>
      <c r="M168" s="52"/>
      <c r="N168" s="51"/>
      <c r="O168" s="52"/>
      <c r="P168" s="51"/>
      <c r="Q168" s="52"/>
      <c r="R168" s="52"/>
      <c r="S168" s="52"/>
      <c r="T168" s="54"/>
    </row>
    <row r="169" spans="1:20" x14ac:dyDescent="0.25">
      <c r="A169" s="66"/>
      <c r="B169" s="67"/>
      <c r="C169" s="68"/>
      <c r="D169" s="66"/>
      <c r="E169" s="66"/>
      <c r="F169" s="66"/>
      <c r="G169" s="66"/>
      <c r="H169" s="66"/>
      <c r="I169" s="66"/>
      <c r="J169" s="51"/>
      <c r="K169" s="51"/>
      <c r="L169" s="48"/>
      <c r="M169" s="52"/>
      <c r="N169" s="51"/>
      <c r="O169" s="52"/>
      <c r="P169" s="51"/>
      <c r="Q169" s="52"/>
      <c r="R169" s="52"/>
      <c r="S169" s="52"/>
      <c r="T169" s="54"/>
    </row>
    <row r="170" spans="1:20" x14ac:dyDescent="0.25">
      <c r="A170" s="66"/>
      <c r="B170" s="67"/>
      <c r="C170" s="68"/>
      <c r="D170" s="66"/>
      <c r="E170" s="66"/>
      <c r="F170" s="66"/>
      <c r="G170" s="66"/>
      <c r="H170" s="66"/>
      <c r="I170" s="66"/>
      <c r="J170" s="51"/>
      <c r="K170" s="51"/>
      <c r="L170" s="48"/>
      <c r="M170" s="52"/>
      <c r="N170" s="51"/>
      <c r="O170" s="52"/>
      <c r="P170" s="51"/>
      <c r="Q170" s="52"/>
      <c r="R170" s="52"/>
      <c r="S170" s="52"/>
      <c r="T170" s="54"/>
    </row>
    <row r="171" spans="1:20" x14ac:dyDescent="0.25">
      <c r="A171" s="66"/>
      <c r="B171" s="67"/>
      <c r="C171" s="68"/>
      <c r="D171" s="66"/>
      <c r="E171" s="66"/>
      <c r="F171" s="66"/>
      <c r="G171" s="66"/>
      <c r="H171" s="66"/>
      <c r="I171" s="66"/>
      <c r="J171" s="51"/>
      <c r="K171" s="51"/>
      <c r="L171" s="48"/>
      <c r="M171" s="52"/>
      <c r="N171" s="51"/>
      <c r="O171" s="52"/>
      <c r="P171" s="51"/>
      <c r="Q171" s="52"/>
      <c r="R171" s="52"/>
      <c r="S171" s="52"/>
      <c r="T171" s="54"/>
    </row>
    <row r="172" spans="1:20" x14ac:dyDescent="0.25">
      <c r="A172" s="66"/>
      <c r="B172" s="67"/>
      <c r="C172" s="68"/>
      <c r="D172" s="66"/>
      <c r="E172" s="66"/>
      <c r="F172" s="66"/>
      <c r="G172" s="66"/>
      <c r="H172" s="66"/>
      <c r="I172" s="66"/>
      <c r="J172" s="51"/>
      <c r="K172" s="51"/>
      <c r="L172" s="48"/>
      <c r="M172" s="52"/>
      <c r="N172" s="51"/>
      <c r="O172" s="52"/>
      <c r="P172" s="51"/>
      <c r="Q172" s="52"/>
      <c r="R172" s="52"/>
      <c r="S172" s="52"/>
      <c r="T172" s="54"/>
    </row>
    <row r="173" spans="1:20" x14ac:dyDescent="0.25">
      <c r="A173" s="3"/>
      <c r="B173" s="58"/>
      <c r="C173" s="59"/>
      <c r="D173" s="3"/>
      <c r="E173" s="3"/>
      <c r="F173" s="3"/>
      <c r="G173" s="3"/>
      <c r="H173" s="3"/>
      <c r="I173" s="3"/>
      <c r="J173" s="32"/>
      <c r="K173" s="32"/>
      <c r="L173" s="27"/>
      <c r="M173" s="33"/>
      <c r="N173" s="32"/>
      <c r="O173" s="33"/>
      <c r="P173" s="32"/>
      <c r="Q173" s="33"/>
      <c r="R173" s="33"/>
      <c r="S173" s="33"/>
      <c r="T173" s="31"/>
    </row>
    <row r="174" spans="1:20" x14ac:dyDescent="0.25">
      <c r="A174" s="3"/>
      <c r="B174" s="58"/>
      <c r="C174" s="59"/>
      <c r="D174" s="3"/>
      <c r="E174" s="3"/>
      <c r="F174" s="3"/>
      <c r="G174" s="3"/>
      <c r="H174" s="3"/>
      <c r="I174" s="3"/>
      <c r="J174" s="32"/>
      <c r="K174" s="32"/>
      <c r="L174" s="27"/>
      <c r="M174" s="33"/>
      <c r="N174" s="32"/>
      <c r="O174" s="33"/>
      <c r="P174" s="32"/>
      <c r="Q174" s="33"/>
      <c r="R174" s="33"/>
      <c r="S174" s="33"/>
      <c r="T174" s="31"/>
    </row>
    <row r="175" spans="1:20" x14ac:dyDescent="0.25">
      <c r="A175" s="3"/>
      <c r="B175" s="58"/>
      <c r="C175" s="59"/>
      <c r="D175" s="3"/>
      <c r="E175" s="3"/>
      <c r="F175" s="3"/>
      <c r="G175" s="3"/>
      <c r="H175" s="3"/>
      <c r="I175" s="3"/>
      <c r="J175" s="32"/>
      <c r="K175" s="32"/>
      <c r="L175" s="27"/>
      <c r="M175" s="33"/>
      <c r="N175" s="32"/>
      <c r="O175" s="33"/>
      <c r="P175" s="32"/>
      <c r="Q175" s="33"/>
      <c r="R175" s="33"/>
      <c r="S175" s="33"/>
      <c r="T175" s="31"/>
    </row>
    <row r="176" spans="1:20" x14ac:dyDescent="0.25">
      <c r="A176" s="3"/>
      <c r="B176" s="58"/>
      <c r="C176" s="59"/>
      <c r="D176" s="3"/>
      <c r="E176" s="3"/>
      <c r="F176" s="3"/>
      <c r="G176" s="3"/>
      <c r="H176" s="3"/>
      <c r="I176" s="3"/>
      <c r="J176" s="32"/>
      <c r="K176" s="32"/>
      <c r="L176" s="27"/>
      <c r="M176" s="33"/>
      <c r="N176" s="32"/>
      <c r="O176" s="33"/>
      <c r="P176" s="32"/>
      <c r="Q176" s="33"/>
      <c r="R176" s="33"/>
      <c r="S176" s="33"/>
      <c r="T176" s="31"/>
    </row>
    <row r="177" spans="1:20" x14ac:dyDescent="0.25">
      <c r="A177" s="3"/>
      <c r="B177" s="58"/>
      <c r="C177" s="59"/>
      <c r="D177" s="3"/>
      <c r="E177" s="3"/>
      <c r="F177" s="3"/>
      <c r="G177" s="3"/>
      <c r="H177" s="3"/>
      <c r="I177" s="3"/>
      <c r="J177" s="32"/>
      <c r="K177" s="32"/>
      <c r="L177" s="27"/>
      <c r="M177" s="33"/>
      <c r="N177" s="32"/>
      <c r="O177" s="33"/>
      <c r="P177" s="32"/>
      <c r="Q177" s="33"/>
      <c r="R177" s="33"/>
      <c r="S177" s="33"/>
      <c r="T177" s="31"/>
    </row>
    <row r="178" spans="1:20" x14ac:dyDescent="0.25">
      <c r="A178" s="66"/>
      <c r="B178" s="67"/>
      <c r="C178" s="68"/>
      <c r="D178" s="66"/>
      <c r="E178" s="66"/>
      <c r="F178" s="66"/>
      <c r="G178" s="66"/>
      <c r="H178" s="66"/>
      <c r="I178" s="66"/>
      <c r="J178" s="51"/>
      <c r="K178" s="51"/>
      <c r="L178" s="48"/>
      <c r="M178" s="52"/>
      <c r="N178" s="51"/>
      <c r="O178" s="52"/>
      <c r="P178" s="51"/>
      <c r="Q178" s="52"/>
      <c r="R178" s="52"/>
      <c r="S178" s="52"/>
      <c r="T178" s="54"/>
    </row>
    <row r="179" spans="1:20" x14ac:dyDescent="0.25">
      <c r="A179" s="66"/>
      <c r="B179" s="67"/>
      <c r="C179" s="68"/>
      <c r="D179" s="66"/>
      <c r="E179" s="66"/>
      <c r="F179" s="66"/>
      <c r="G179" s="66"/>
      <c r="H179" s="66"/>
      <c r="I179" s="66"/>
      <c r="J179" s="51"/>
      <c r="K179" s="51"/>
      <c r="L179" s="48"/>
      <c r="M179" s="52"/>
      <c r="N179" s="51"/>
      <c r="O179" s="52"/>
      <c r="P179" s="51"/>
      <c r="Q179" s="52"/>
      <c r="R179" s="52"/>
      <c r="S179" s="52"/>
      <c r="T179" s="54"/>
    </row>
    <row r="180" spans="1:20" x14ac:dyDescent="0.25">
      <c r="A180" s="66"/>
      <c r="B180" s="67"/>
      <c r="C180" s="68"/>
      <c r="D180" s="66"/>
      <c r="E180" s="66"/>
      <c r="F180" s="66"/>
      <c r="G180" s="66"/>
      <c r="H180" s="66"/>
      <c r="I180" s="66"/>
      <c r="J180" s="51"/>
      <c r="K180" s="51"/>
      <c r="L180" s="48"/>
      <c r="M180" s="52"/>
      <c r="N180" s="51"/>
      <c r="O180" s="52"/>
      <c r="P180" s="51"/>
      <c r="Q180" s="52"/>
      <c r="R180" s="52"/>
      <c r="S180" s="52"/>
      <c r="T180" s="54"/>
    </row>
    <row r="181" spans="1:20" x14ac:dyDescent="0.25">
      <c r="A181" s="66"/>
      <c r="B181" s="67"/>
      <c r="C181" s="68"/>
      <c r="D181" s="66"/>
      <c r="E181" s="66"/>
      <c r="F181" s="66"/>
      <c r="G181" s="66"/>
      <c r="H181" s="66"/>
      <c r="I181" s="66"/>
      <c r="J181" s="51"/>
      <c r="K181" s="51"/>
      <c r="L181" s="48"/>
      <c r="M181" s="52"/>
      <c r="N181" s="51"/>
      <c r="O181" s="52"/>
      <c r="P181" s="51"/>
      <c r="Q181" s="52"/>
      <c r="R181" s="52"/>
      <c r="S181" s="52"/>
      <c r="T181" s="54"/>
    </row>
    <row r="182" spans="1:20" x14ac:dyDescent="0.25">
      <c r="A182" s="66"/>
      <c r="B182" s="67"/>
      <c r="C182" s="68"/>
      <c r="D182" s="66"/>
      <c r="E182" s="66"/>
      <c r="F182" s="66"/>
      <c r="G182" s="66"/>
      <c r="H182" s="66"/>
      <c r="I182" s="66"/>
      <c r="J182" s="51"/>
      <c r="K182" s="51"/>
      <c r="L182" s="48"/>
      <c r="M182" s="52"/>
      <c r="N182" s="51"/>
      <c r="O182" s="52"/>
      <c r="P182" s="51"/>
      <c r="Q182" s="52"/>
      <c r="R182" s="52"/>
      <c r="S182" s="52"/>
      <c r="T182" s="54"/>
    </row>
    <row r="183" spans="1:20" x14ac:dyDescent="0.25">
      <c r="A183" s="3"/>
      <c r="B183" s="58"/>
      <c r="C183" s="59"/>
      <c r="D183" s="3"/>
      <c r="E183" s="3"/>
      <c r="F183" s="3"/>
      <c r="G183" s="3"/>
      <c r="H183" s="3"/>
      <c r="I183" s="3"/>
      <c r="J183" s="32"/>
      <c r="K183" s="32"/>
      <c r="L183" s="27"/>
      <c r="M183" s="33"/>
      <c r="N183" s="32"/>
      <c r="O183" s="33"/>
      <c r="P183" s="32"/>
      <c r="Q183" s="33"/>
      <c r="R183" s="33"/>
      <c r="S183" s="33"/>
      <c r="T183" s="31"/>
    </row>
    <row r="184" spans="1:20" x14ac:dyDescent="0.25">
      <c r="A184" s="3"/>
      <c r="B184" s="58"/>
      <c r="C184" s="59"/>
      <c r="D184" s="3"/>
      <c r="E184" s="3"/>
      <c r="F184" s="3"/>
      <c r="G184" s="3"/>
      <c r="H184" s="3"/>
      <c r="I184" s="3"/>
      <c r="J184" s="32"/>
      <c r="K184" s="32"/>
      <c r="L184" s="27"/>
      <c r="M184" s="33"/>
      <c r="N184" s="32"/>
      <c r="O184" s="33"/>
      <c r="P184" s="32"/>
      <c r="Q184" s="33"/>
      <c r="R184" s="33"/>
      <c r="S184" s="33"/>
      <c r="T184" s="31"/>
    </row>
    <row r="185" spans="1:20" x14ac:dyDescent="0.25">
      <c r="A185" s="3"/>
      <c r="B185" s="58"/>
      <c r="C185" s="59"/>
      <c r="D185" s="3"/>
      <c r="E185" s="3"/>
      <c r="F185" s="3"/>
      <c r="G185" s="3"/>
      <c r="H185" s="3"/>
      <c r="I185" s="3"/>
      <c r="J185" s="32"/>
      <c r="K185" s="32"/>
      <c r="L185" s="27"/>
      <c r="M185" s="33"/>
      <c r="N185" s="32"/>
      <c r="O185" s="33"/>
      <c r="P185" s="32"/>
      <c r="Q185" s="33"/>
      <c r="R185" s="33"/>
      <c r="S185" s="33"/>
      <c r="T185" s="31"/>
    </row>
    <row r="186" spans="1:20" x14ac:dyDescent="0.25">
      <c r="A186" s="3"/>
      <c r="B186" s="58"/>
      <c r="C186" s="59"/>
      <c r="D186" s="3"/>
      <c r="E186" s="3"/>
      <c r="F186" s="3"/>
      <c r="G186" s="3"/>
      <c r="H186" s="3"/>
      <c r="I186" s="3"/>
      <c r="J186" s="32"/>
      <c r="K186" s="32"/>
      <c r="L186" s="27"/>
      <c r="M186" s="33"/>
      <c r="N186" s="32"/>
      <c r="O186" s="33"/>
      <c r="P186" s="32"/>
      <c r="Q186" s="33"/>
      <c r="R186" s="33"/>
      <c r="S186" s="33"/>
      <c r="T186" s="31"/>
    </row>
    <row r="187" spans="1:20" x14ac:dyDescent="0.25">
      <c r="A187" s="3"/>
      <c r="B187" s="58"/>
      <c r="C187" s="59"/>
      <c r="D187" s="3"/>
      <c r="E187" s="3"/>
      <c r="F187" s="3"/>
      <c r="G187" s="3"/>
      <c r="H187" s="3"/>
      <c r="I187" s="3"/>
      <c r="J187" s="32"/>
      <c r="K187" s="32"/>
      <c r="L187" s="27"/>
      <c r="M187" s="33"/>
      <c r="N187" s="32"/>
      <c r="O187" s="33"/>
      <c r="P187" s="32"/>
      <c r="Q187" s="33"/>
      <c r="R187" s="33"/>
      <c r="S187" s="33"/>
      <c r="T187" s="31"/>
    </row>
    <row r="188" spans="1:20" x14ac:dyDescent="0.25">
      <c r="A188" s="66"/>
      <c r="B188" s="67"/>
      <c r="C188" s="68"/>
      <c r="D188" s="66"/>
      <c r="E188" s="66"/>
      <c r="F188" s="66"/>
      <c r="G188" s="66"/>
      <c r="H188" s="66"/>
      <c r="I188" s="66"/>
      <c r="J188" s="51"/>
      <c r="K188" s="51"/>
      <c r="L188" s="48"/>
      <c r="M188" s="52"/>
      <c r="N188" s="51"/>
      <c r="O188" s="52"/>
      <c r="P188" s="51"/>
      <c r="Q188" s="52"/>
      <c r="R188" s="52"/>
      <c r="S188" s="52"/>
      <c r="T188" s="54"/>
    </row>
    <row r="189" spans="1:20" x14ac:dyDescent="0.25">
      <c r="A189" s="66"/>
      <c r="B189" s="67"/>
      <c r="C189" s="68"/>
      <c r="D189" s="66"/>
      <c r="E189" s="66"/>
      <c r="F189" s="66"/>
      <c r="G189" s="66"/>
      <c r="H189" s="66"/>
      <c r="I189" s="66"/>
      <c r="J189" s="51"/>
      <c r="K189" s="51"/>
      <c r="L189" s="48"/>
      <c r="M189" s="52"/>
      <c r="N189" s="51"/>
      <c r="O189" s="52"/>
      <c r="P189" s="51"/>
      <c r="Q189" s="52"/>
      <c r="R189" s="52"/>
      <c r="S189" s="52"/>
      <c r="T189" s="54"/>
    </row>
    <row r="190" spans="1:20" x14ac:dyDescent="0.25">
      <c r="A190" s="66"/>
      <c r="B190" s="67"/>
      <c r="C190" s="68"/>
      <c r="D190" s="66"/>
      <c r="E190" s="66"/>
      <c r="F190" s="66"/>
      <c r="G190" s="66"/>
      <c r="H190" s="66"/>
      <c r="I190" s="66"/>
      <c r="J190" s="51"/>
      <c r="K190" s="51"/>
      <c r="L190" s="48"/>
      <c r="M190" s="52"/>
      <c r="N190" s="51"/>
      <c r="O190" s="52"/>
      <c r="P190" s="51"/>
      <c r="Q190" s="52"/>
      <c r="R190" s="52"/>
      <c r="S190" s="52"/>
      <c r="T190" s="54"/>
    </row>
    <row r="191" spans="1:20" x14ac:dyDescent="0.25">
      <c r="A191" s="66"/>
      <c r="B191" s="67"/>
      <c r="C191" s="68"/>
      <c r="D191" s="66"/>
      <c r="E191" s="66"/>
      <c r="F191" s="66"/>
      <c r="G191" s="66"/>
      <c r="H191" s="66"/>
      <c r="I191" s="66"/>
      <c r="J191" s="51"/>
      <c r="K191" s="51"/>
      <c r="L191" s="48"/>
      <c r="M191" s="52"/>
      <c r="N191" s="51"/>
      <c r="O191" s="52"/>
      <c r="P191" s="51"/>
      <c r="Q191" s="52"/>
      <c r="R191" s="52"/>
      <c r="S191" s="52"/>
      <c r="T191" s="54"/>
    </row>
    <row r="192" spans="1:20" x14ac:dyDescent="0.25">
      <c r="A192" s="66"/>
      <c r="B192" s="67"/>
      <c r="C192" s="68"/>
      <c r="D192" s="66"/>
      <c r="E192" s="66"/>
      <c r="F192" s="66"/>
      <c r="G192" s="66"/>
      <c r="H192" s="66"/>
      <c r="I192" s="66"/>
      <c r="J192" s="51"/>
      <c r="K192" s="51"/>
      <c r="L192" s="48"/>
      <c r="M192" s="52"/>
      <c r="N192" s="51"/>
      <c r="O192" s="52"/>
      <c r="P192" s="51"/>
      <c r="Q192" s="52"/>
      <c r="R192" s="52"/>
      <c r="S192" s="52"/>
      <c r="T192" s="54"/>
    </row>
    <row r="193" spans="1:20" x14ac:dyDescent="0.25">
      <c r="A193" s="3"/>
      <c r="B193" s="58"/>
      <c r="C193" s="59"/>
      <c r="D193" s="3"/>
      <c r="E193" s="3"/>
      <c r="F193" s="3"/>
      <c r="G193" s="3"/>
      <c r="H193" s="3"/>
      <c r="I193" s="3"/>
      <c r="J193" s="32"/>
      <c r="K193" s="32"/>
      <c r="L193" s="27"/>
      <c r="M193" s="33"/>
      <c r="N193" s="32"/>
      <c r="O193" s="33"/>
      <c r="P193" s="32"/>
      <c r="Q193" s="33"/>
      <c r="R193" s="33"/>
      <c r="S193" s="33"/>
      <c r="T193" s="31"/>
    </row>
    <row r="194" spans="1:20" x14ac:dyDescent="0.25">
      <c r="A194" s="3"/>
      <c r="B194" s="58"/>
      <c r="C194" s="59"/>
      <c r="D194" s="3"/>
      <c r="E194" s="3"/>
      <c r="F194" s="3"/>
      <c r="G194" s="3"/>
      <c r="H194" s="3"/>
      <c r="I194" s="3"/>
      <c r="J194" s="32"/>
      <c r="K194" s="32"/>
      <c r="L194" s="27"/>
      <c r="M194" s="33"/>
      <c r="N194" s="32"/>
      <c r="O194" s="33"/>
      <c r="P194" s="32"/>
      <c r="Q194" s="33"/>
      <c r="R194" s="33"/>
      <c r="S194" s="33"/>
      <c r="T194" s="31"/>
    </row>
    <row r="195" spans="1:20" x14ac:dyDescent="0.25">
      <c r="A195" s="3"/>
      <c r="B195" s="58"/>
      <c r="C195" s="59"/>
      <c r="D195" s="3"/>
      <c r="E195" s="3"/>
      <c r="F195" s="3"/>
      <c r="G195" s="3"/>
      <c r="H195" s="3"/>
      <c r="I195" s="3"/>
      <c r="J195" s="32"/>
      <c r="K195" s="32"/>
      <c r="L195" s="27"/>
      <c r="M195" s="33"/>
      <c r="N195" s="32"/>
      <c r="O195" s="33"/>
      <c r="P195" s="32"/>
      <c r="Q195" s="33"/>
      <c r="R195" s="33"/>
      <c r="S195" s="33"/>
      <c r="T195" s="31"/>
    </row>
    <row r="196" spans="1:20" x14ac:dyDescent="0.25">
      <c r="A196" s="3"/>
      <c r="B196" s="58"/>
      <c r="C196" s="59"/>
      <c r="D196" s="3"/>
      <c r="E196" s="3"/>
      <c r="F196" s="3"/>
      <c r="G196" s="3"/>
      <c r="H196" s="3"/>
      <c r="I196" s="3"/>
      <c r="J196" s="32"/>
      <c r="K196" s="32"/>
      <c r="L196" s="27"/>
      <c r="M196" s="33"/>
      <c r="N196" s="32"/>
      <c r="O196" s="33"/>
      <c r="P196" s="32"/>
      <c r="Q196" s="33"/>
      <c r="R196" s="33"/>
      <c r="S196" s="33"/>
      <c r="T196" s="31"/>
    </row>
    <row r="197" spans="1:20" x14ac:dyDescent="0.25">
      <c r="A197" s="3"/>
      <c r="B197" s="58"/>
      <c r="C197" s="59"/>
      <c r="D197" s="3"/>
      <c r="E197" s="3"/>
      <c r="F197" s="3"/>
      <c r="G197" s="3"/>
      <c r="H197" s="3"/>
      <c r="I197" s="3"/>
      <c r="J197" s="32"/>
      <c r="K197" s="32"/>
      <c r="L197" s="27"/>
      <c r="M197" s="33"/>
      <c r="N197" s="32"/>
      <c r="O197" s="33"/>
      <c r="P197" s="32"/>
      <c r="Q197" s="33"/>
      <c r="R197" s="33"/>
      <c r="S197" s="33"/>
      <c r="T197" s="31"/>
    </row>
    <row r="198" spans="1:20" x14ac:dyDescent="0.25">
      <c r="A198" s="66"/>
      <c r="B198" s="67"/>
      <c r="C198" s="68"/>
      <c r="D198" s="66"/>
      <c r="E198" s="66"/>
      <c r="F198" s="66"/>
      <c r="G198" s="66"/>
      <c r="H198" s="66"/>
      <c r="I198" s="66"/>
      <c r="J198" s="51"/>
      <c r="K198" s="51"/>
      <c r="L198" s="48"/>
      <c r="M198" s="52"/>
      <c r="N198" s="51"/>
      <c r="O198" s="52"/>
      <c r="P198" s="51"/>
      <c r="Q198" s="52"/>
      <c r="R198" s="52"/>
      <c r="S198" s="52"/>
      <c r="T198" s="54"/>
    </row>
    <row r="199" spans="1:20" x14ac:dyDescent="0.25">
      <c r="A199" s="66"/>
      <c r="B199" s="67"/>
      <c r="C199" s="68"/>
      <c r="D199" s="66"/>
      <c r="E199" s="66"/>
      <c r="F199" s="66"/>
      <c r="G199" s="66"/>
      <c r="H199" s="66"/>
      <c r="I199" s="66"/>
      <c r="J199" s="51"/>
      <c r="K199" s="51"/>
      <c r="L199" s="48"/>
      <c r="M199" s="52"/>
      <c r="N199" s="51"/>
      <c r="O199" s="52"/>
      <c r="P199" s="51"/>
      <c r="Q199" s="52"/>
      <c r="R199" s="52"/>
      <c r="S199" s="52"/>
      <c r="T199" s="54"/>
    </row>
    <row r="200" spans="1:20" x14ac:dyDescent="0.25">
      <c r="A200" s="66"/>
      <c r="B200" s="67"/>
      <c r="C200" s="68"/>
      <c r="D200" s="66"/>
      <c r="E200" s="66"/>
      <c r="F200" s="66"/>
      <c r="G200" s="66"/>
      <c r="H200" s="66"/>
      <c r="I200" s="66"/>
      <c r="J200" s="51"/>
      <c r="K200" s="51"/>
      <c r="L200" s="48"/>
      <c r="M200" s="52"/>
      <c r="N200" s="51"/>
      <c r="O200" s="52"/>
      <c r="P200" s="51"/>
      <c r="Q200" s="52"/>
      <c r="R200" s="52"/>
      <c r="S200" s="52"/>
      <c r="T200" s="54"/>
    </row>
    <row r="201" spans="1:20" x14ac:dyDescent="0.25">
      <c r="A201" s="66"/>
      <c r="B201" s="67"/>
      <c r="C201" s="68"/>
      <c r="D201" s="66"/>
      <c r="E201" s="66"/>
      <c r="F201" s="66"/>
      <c r="G201" s="66"/>
      <c r="H201" s="66"/>
      <c r="I201" s="66"/>
      <c r="J201" s="51"/>
      <c r="K201" s="51"/>
      <c r="L201" s="48"/>
      <c r="M201" s="52"/>
      <c r="N201" s="51"/>
      <c r="O201" s="52"/>
      <c r="P201" s="51"/>
      <c r="Q201" s="52"/>
      <c r="R201" s="52"/>
      <c r="S201" s="52"/>
      <c r="T201" s="54"/>
    </row>
    <row r="202" spans="1:20" x14ac:dyDescent="0.25">
      <c r="A202" s="66"/>
      <c r="B202" s="67"/>
      <c r="C202" s="68"/>
      <c r="D202" s="66"/>
      <c r="E202" s="66"/>
      <c r="F202" s="66"/>
      <c r="G202" s="66"/>
      <c r="H202" s="66"/>
      <c r="I202" s="66"/>
      <c r="J202" s="51"/>
      <c r="K202" s="51"/>
      <c r="L202" s="48"/>
      <c r="M202" s="52"/>
      <c r="N202" s="51"/>
      <c r="O202" s="52"/>
      <c r="P202" s="51"/>
      <c r="Q202" s="52"/>
      <c r="R202" s="52"/>
      <c r="S202" s="52"/>
      <c r="T202" s="54"/>
    </row>
    <row r="203" spans="1:20" x14ac:dyDescent="0.25">
      <c r="A203" s="3"/>
      <c r="B203" s="58"/>
      <c r="C203" s="59"/>
      <c r="D203" s="3"/>
      <c r="E203" s="3"/>
      <c r="F203" s="3"/>
      <c r="G203" s="3"/>
      <c r="H203" s="3"/>
      <c r="I203" s="3"/>
      <c r="J203" s="32"/>
      <c r="K203" s="32"/>
      <c r="L203" s="27"/>
      <c r="M203" s="33"/>
      <c r="N203" s="32"/>
      <c r="O203" s="33"/>
      <c r="P203" s="32"/>
      <c r="Q203" s="33"/>
      <c r="R203" s="33"/>
      <c r="S203" s="33"/>
      <c r="T203" s="31"/>
    </row>
    <row r="204" spans="1:20" x14ac:dyDescent="0.25">
      <c r="A204" s="3"/>
      <c r="B204" s="58"/>
      <c r="C204" s="59"/>
      <c r="D204" s="3"/>
      <c r="E204" s="3"/>
      <c r="F204" s="3"/>
      <c r="G204" s="3"/>
      <c r="H204" s="3"/>
      <c r="I204" s="3"/>
      <c r="J204" s="32"/>
      <c r="K204" s="32"/>
      <c r="L204" s="27"/>
      <c r="M204" s="33"/>
      <c r="N204" s="32"/>
      <c r="O204" s="33"/>
      <c r="P204" s="32"/>
      <c r="Q204" s="33"/>
      <c r="R204" s="33"/>
      <c r="S204" s="33"/>
      <c r="T204" s="31"/>
    </row>
    <row r="205" spans="1:20" x14ac:dyDescent="0.25">
      <c r="A205" s="3"/>
      <c r="B205" s="58"/>
      <c r="C205" s="59"/>
      <c r="D205" s="3"/>
      <c r="E205" s="3"/>
      <c r="F205" s="3"/>
      <c r="G205" s="3"/>
      <c r="H205" s="3"/>
      <c r="I205" s="3"/>
      <c r="J205" s="32"/>
      <c r="K205" s="32"/>
      <c r="L205" s="27"/>
      <c r="M205" s="33"/>
      <c r="N205" s="32"/>
      <c r="O205" s="33"/>
      <c r="P205" s="32"/>
      <c r="Q205" s="33"/>
      <c r="R205" s="33"/>
      <c r="S205" s="33"/>
      <c r="T205" s="31"/>
    </row>
    <row r="206" spans="1:20" x14ac:dyDescent="0.25">
      <c r="A206" s="3"/>
      <c r="B206" s="58"/>
      <c r="C206" s="59"/>
      <c r="D206" s="3"/>
      <c r="E206" s="3"/>
      <c r="F206" s="3"/>
      <c r="G206" s="3"/>
      <c r="H206" s="3"/>
      <c r="I206" s="3"/>
      <c r="J206" s="32"/>
      <c r="K206" s="32"/>
      <c r="L206" s="27"/>
      <c r="M206" s="33"/>
      <c r="N206" s="32"/>
      <c r="O206" s="33"/>
      <c r="P206" s="32"/>
      <c r="Q206" s="33"/>
      <c r="R206" s="33"/>
      <c r="S206" s="33"/>
      <c r="T206" s="31"/>
    </row>
    <row r="207" spans="1:20" x14ac:dyDescent="0.25">
      <c r="A207" s="3"/>
      <c r="B207" s="58"/>
      <c r="C207" s="59"/>
      <c r="D207" s="3"/>
      <c r="E207" s="3"/>
      <c r="F207" s="3"/>
      <c r="G207" s="3"/>
      <c r="H207" s="3"/>
      <c r="I207" s="3"/>
      <c r="J207" s="32"/>
      <c r="K207" s="32"/>
      <c r="L207" s="27"/>
      <c r="M207" s="33"/>
      <c r="N207" s="32"/>
      <c r="O207" s="33"/>
      <c r="P207" s="32"/>
      <c r="Q207" s="33"/>
      <c r="R207" s="33"/>
      <c r="S207" s="33"/>
      <c r="T207" s="31"/>
    </row>
    <row r="208" spans="1:20" x14ac:dyDescent="0.25">
      <c r="A208" s="3"/>
      <c r="B208" s="58"/>
      <c r="C208" s="59"/>
      <c r="D208" s="3"/>
      <c r="E208" s="3"/>
      <c r="F208" s="3"/>
      <c r="G208" s="3"/>
      <c r="H208" s="3"/>
      <c r="I208" s="3"/>
      <c r="J208" s="32"/>
      <c r="K208" s="32"/>
      <c r="L208" s="27"/>
      <c r="M208" s="33"/>
      <c r="N208" s="32"/>
      <c r="O208" s="33"/>
      <c r="P208" s="32"/>
      <c r="Q208" s="33"/>
      <c r="R208" s="33"/>
      <c r="S208" s="33"/>
      <c r="T208" s="31"/>
    </row>
    <row r="209" spans="1:20" x14ac:dyDescent="0.25">
      <c r="A209" s="3"/>
      <c r="B209" s="58"/>
      <c r="C209" s="59"/>
      <c r="D209" s="3"/>
      <c r="E209" s="3"/>
      <c r="F209" s="3"/>
      <c r="G209" s="3"/>
      <c r="H209" s="3"/>
      <c r="I209" s="3"/>
      <c r="J209" s="32"/>
      <c r="K209" s="32"/>
      <c r="L209" s="27"/>
      <c r="M209" s="33"/>
      <c r="N209" s="32"/>
      <c r="O209" s="33"/>
      <c r="P209" s="32"/>
      <c r="Q209" s="33"/>
      <c r="R209" s="33"/>
      <c r="S209" s="33"/>
      <c r="T209" s="31"/>
    </row>
    <row r="210" spans="1:20" x14ac:dyDescent="0.25">
      <c r="A210" s="3"/>
      <c r="B210" s="58"/>
      <c r="C210" s="59"/>
      <c r="D210" s="3"/>
      <c r="E210" s="3"/>
      <c r="F210" s="3"/>
      <c r="G210" s="3"/>
      <c r="H210" s="3"/>
      <c r="I210" s="3"/>
      <c r="J210" s="32"/>
      <c r="K210" s="32"/>
      <c r="L210" s="27"/>
      <c r="M210" s="33"/>
      <c r="N210" s="32"/>
      <c r="O210" s="33"/>
      <c r="P210" s="32"/>
      <c r="Q210" s="33"/>
      <c r="R210" s="33"/>
      <c r="S210" s="33"/>
      <c r="T210" s="31"/>
    </row>
    <row r="211" spans="1:20" x14ac:dyDescent="0.25">
      <c r="A211" s="3"/>
      <c r="B211" s="58"/>
      <c r="C211" s="59"/>
      <c r="D211" s="3"/>
      <c r="E211" s="3"/>
      <c r="F211" s="3"/>
      <c r="G211" s="3"/>
      <c r="H211" s="3"/>
      <c r="I211" s="3"/>
      <c r="J211" s="32"/>
      <c r="K211" s="32"/>
      <c r="L211" s="27"/>
      <c r="M211" s="33"/>
      <c r="N211" s="32"/>
      <c r="O211" s="33"/>
      <c r="P211" s="32"/>
      <c r="Q211" s="33"/>
      <c r="R211" s="33"/>
      <c r="S211" s="33"/>
      <c r="T211" s="31"/>
    </row>
    <row r="212" spans="1:20" x14ac:dyDescent="0.25">
      <c r="A212" s="3"/>
      <c r="B212" s="58"/>
      <c r="C212" s="59"/>
      <c r="D212" s="3"/>
      <c r="E212" s="3"/>
      <c r="F212" s="3"/>
      <c r="G212" s="3"/>
      <c r="H212" s="3"/>
      <c r="I212" s="3"/>
      <c r="J212" s="32"/>
      <c r="K212" s="32"/>
      <c r="L212" s="27"/>
      <c r="M212" s="33"/>
      <c r="N212" s="32"/>
      <c r="O212" s="33"/>
      <c r="P212" s="32"/>
      <c r="Q212" s="33"/>
      <c r="R212" s="33"/>
      <c r="S212" s="33"/>
      <c r="T212" s="31"/>
    </row>
    <row r="213" spans="1:20" x14ac:dyDescent="0.25">
      <c r="A213" s="3"/>
      <c r="B213" s="58"/>
      <c r="C213" s="59"/>
      <c r="D213" s="3"/>
      <c r="E213" s="3"/>
      <c r="F213" s="3"/>
      <c r="G213" s="3"/>
      <c r="H213" s="3"/>
      <c r="I213" s="3"/>
      <c r="J213" s="32"/>
      <c r="K213" s="32"/>
      <c r="L213" s="27"/>
      <c r="M213" s="33"/>
      <c r="N213" s="32"/>
      <c r="O213" s="33"/>
      <c r="P213" s="32"/>
      <c r="Q213" s="33"/>
      <c r="R213" s="33"/>
      <c r="S213" s="33"/>
      <c r="T213" s="31"/>
    </row>
    <row r="214" spans="1:20" x14ac:dyDescent="0.25">
      <c r="A214" s="3"/>
      <c r="B214" s="58"/>
      <c r="C214" s="59"/>
      <c r="D214" s="3"/>
      <c r="E214" s="3"/>
      <c r="F214" s="3"/>
      <c r="G214" s="3"/>
      <c r="H214" s="3"/>
      <c r="I214" s="3"/>
      <c r="J214" s="32"/>
      <c r="K214" s="32"/>
      <c r="L214" s="27"/>
      <c r="M214" s="33"/>
      <c r="N214" s="32"/>
      <c r="O214" s="33"/>
      <c r="P214" s="32"/>
      <c r="Q214" s="33"/>
      <c r="R214" s="33"/>
      <c r="S214" s="33"/>
      <c r="T214" s="31"/>
    </row>
    <row r="215" spans="1:20" x14ac:dyDescent="0.25">
      <c r="A215" s="3"/>
      <c r="B215" s="58"/>
      <c r="C215" s="59"/>
      <c r="D215" s="3"/>
      <c r="E215" s="3"/>
      <c r="F215" s="3"/>
      <c r="G215" s="3"/>
      <c r="H215" s="3"/>
      <c r="I215" s="3"/>
      <c r="J215" s="32"/>
      <c r="K215" s="32"/>
      <c r="L215" s="27"/>
      <c r="M215" s="33"/>
      <c r="N215" s="32"/>
      <c r="O215" s="33"/>
      <c r="P215" s="32"/>
      <c r="Q215" s="33"/>
      <c r="R215" s="33"/>
      <c r="S215" s="33"/>
      <c r="T215" s="31"/>
    </row>
    <row r="216" spans="1:20" x14ac:dyDescent="0.25">
      <c r="A216" s="3"/>
      <c r="B216" s="58"/>
      <c r="C216" s="59"/>
      <c r="D216" s="3"/>
      <c r="E216" s="3"/>
      <c r="F216" s="3"/>
      <c r="G216" s="3"/>
      <c r="H216" s="3"/>
      <c r="I216" s="3"/>
      <c r="J216" s="32"/>
      <c r="K216" s="32"/>
      <c r="L216" s="27"/>
      <c r="M216" s="33"/>
      <c r="N216" s="32"/>
      <c r="O216" s="33"/>
      <c r="P216" s="32"/>
      <c r="Q216" s="33"/>
      <c r="R216" s="33"/>
      <c r="S216" s="33"/>
      <c r="T216" s="31"/>
    </row>
    <row r="217" spans="1:20" x14ac:dyDescent="0.25">
      <c r="A217" s="3"/>
      <c r="B217" s="58"/>
      <c r="C217" s="59"/>
      <c r="D217" s="3"/>
      <c r="E217" s="3"/>
      <c r="F217" s="3"/>
      <c r="G217" s="3"/>
      <c r="H217" s="3"/>
      <c r="I217" s="3"/>
      <c r="J217" s="32"/>
      <c r="K217" s="32"/>
      <c r="L217" s="27"/>
      <c r="M217" s="33"/>
      <c r="N217" s="32"/>
      <c r="O217" s="33"/>
      <c r="P217" s="32"/>
      <c r="Q217" s="33"/>
      <c r="R217" s="33"/>
      <c r="S217" s="33"/>
      <c r="T217" s="31"/>
    </row>
    <row r="218" spans="1:20" x14ac:dyDescent="0.25">
      <c r="A218" s="3"/>
      <c r="B218" s="58"/>
      <c r="C218" s="59"/>
      <c r="D218" s="3"/>
      <c r="E218" s="3"/>
      <c r="F218" s="3"/>
      <c r="G218" s="3"/>
      <c r="H218" s="3"/>
      <c r="I218" s="3"/>
      <c r="J218" s="32"/>
      <c r="K218" s="32"/>
      <c r="L218" s="27"/>
      <c r="M218" s="33"/>
      <c r="N218" s="32"/>
      <c r="O218" s="33"/>
      <c r="P218" s="32"/>
      <c r="Q218" s="33"/>
      <c r="R218" s="33"/>
      <c r="S218" s="33"/>
      <c r="T218" s="31"/>
    </row>
    <row r="219" spans="1:20" x14ac:dyDescent="0.25">
      <c r="A219" s="3"/>
      <c r="B219" s="58"/>
      <c r="C219" s="59"/>
      <c r="D219" s="3"/>
      <c r="E219" s="3"/>
      <c r="F219" s="3"/>
      <c r="G219" s="3"/>
      <c r="H219" s="3"/>
      <c r="I219" s="3"/>
      <c r="J219" s="32"/>
      <c r="K219" s="32"/>
      <c r="L219" s="27"/>
      <c r="M219" s="33"/>
      <c r="N219" s="32"/>
      <c r="O219" s="33"/>
      <c r="P219" s="32"/>
      <c r="Q219" s="33"/>
      <c r="R219" s="33"/>
      <c r="S219" s="33"/>
      <c r="T219" s="31"/>
    </row>
    <row r="220" spans="1:20" x14ac:dyDescent="0.25">
      <c r="A220" s="3"/>
      <c r="B220" s="58"/>
      <c r="C220" s="59"/>
      <c r="D220" s="3"/>
      <c r="E220" s="3"/>
      <c r="F220" s="3"/>
      <c r="G220" s="3"/>
      <c r="H220" s="3"/>
      <c r="I220" s="3"/>
      <c r="J220" s="32"/>
      <c r="K220" s="32"/>
      <c r="L220" s="27"/>
      <c r="M220" s="33"/>
      <c r="N220" s="32"/>
      <c r="O220" s="33"/>
      <c r="P220" s="32"/>
      <c r="Q220" s="33"/>
      <c r="R220" s="33"/>
      <c r="S220" s="33"/>
      <c r="T220" s="31"/>
    </row>
    <row r="221" spans="1:20" x14ac:dyDescent="0.25">
      <c r="A221" s="3"/>
      <c r="B221" s="58"/>
      <c r="C221" s="59"/>
      <c r="D221" s="3"/>
      <c r="E221" s="3"/>
      <c r="F221" s="3"/>
      <c r="G221" s="3"/>
      <c r="H221" s="3"/>
      <c r="I221" s="3"/>
      <c r="J221" s="32"/>
      <c r="K221" s="32"/>
      <c r="L221" s="27"/>
      <c r="M221" s="33"/>
      <c r="N221" s="32"/>
      <c r="O221" s="33"/>
      <c r="P221" s="32"/>
      <c r="Q221" s="33"/>
      <c r="R221" s="33"/>
      <c r="S221" s="33"/>
      <c r="T221" s="31"/>
    </row>
    <row r="222" spans="1:20" x14ac:dyDescent="0.25">
      <c r="A222" s="3"/>
      <c r="B222" s="58"/>
      <c r="C222" s="59"/>
      <c r="D222" s="3"/>
      <c r="E222" s="3"/>
      <c r="F222" s="3"/>
      <c r="G222" s="3"/>
      <c r="H222" s="3"/>
      <c r="I222" s="3"/>
      <c r="J222" s="32"/>
      <c r="K222" s="32"/>
      <c r="L222" s="27"/>
      <c r="M222" s="33"/>
      <c r="N222" s="32"/>
      <c r="O222" s="33"/>
      <c r="P222" s="32"/>
      <c r="Q222" s="33"/>
      <c r="R222" s="33"/>
      <c r="S222" s="33"/>
      <c r="T222" s="31"/>
    </row>
    <row r="223" spans="1:20" x14ac:dyDescent="0.25">
      <c r="A223" s="3"/>
      <c r="B223" s="58"/>
      <c r="C223" s="59"/>
      <c r="D223" s="3"/>
      <c r="E223" s="3"/>
      <c r="F223" s="3"/>
      <c r="G223" s="3"/>
      <c r="H223" s="3"/>
      <c r="I223" s="3"/>
      <c r="J223" s="32"/>
      <c r="K223" s="32"/>
      <c r="L223" s="27"/>
      <c r="M223" s="33"/>
      <c r="N223" s="32"/>
      <c r="O223" s="33"/>
      <c r="P223" s="32"/>
      <c r="Q223" s="33"/>
      <c r="R223" s="33"/>
      <c r="S223" s="33"/>
      <c r="T223" s="31"/>
    </row>
    <row r="224" spans="1:20" x14ac:dyDescent="0.25">
      <c r="A224" s="3"/>
      <c r="B224" s="58"/>
      <c r="C224" s="59"/>
      <c r="D224" s="3"/>
      <c r="E224" s="3"/>
      <c r="F224" s="3"/>
      <c r="G224" s="3"/>
      <c r="H224" s="3"/>
      <c r="I224" s="3"/>
      <c r="J224" s="32"/>
      <c r="K224" s="32"/>
      <c r="L224" s="27"/>
      <c r="M224" s="33"/>
      <c r="N224" s="32"/>
      <c r="O224" s="33"/>
      <c r="P224" s="32"/>
      <c r="Q224" s="33"/>
      <c r="R224" s="33"/>
      <c r="S224" s="33"/>
      <c r="T224" s="31"/>
    </row>
    <row r="225" spans="1:20" x14ac:dyDescent="0.25">
      <c r="A225" s="3"/>
      <c r="B225" s="58"/>
      <c r="C225" s="59"/>
      <c r="D225" s="3"/>
      <c r="E225" s="3"/>
      <c r="F225" s="3"/>
      <c r="G225" s="3"/>
      <c r="H225" s="3"/>
      <c r="I225" s="3"/>
      <c r="J225" s="32"/>
      <c r="K225" s="32"/>
      <c r="L225" s="27"/>
      <c r="M225" s="33"/>
      <c r="N225" s="32"/>
      <c r="O225" s="33"/>
      <c r="P225" s="32"/>
      <c r="Q225" s="33"/>
      <c r="R225" s="33"/>
      <c r="S225" s="33"/>
      <c r="T225" s="31"/>
    </row>
    <row r="226" spans="1:20" x14ac:dyDescent="0.25">
      <c r="A226" s="3"/>
      <c r="B226" s="58"/>
      <c r="C226" s="59"/>
      <c r="D226" s="3"/>
      <c r="E226" s="3"/>
      <c r="F226" s="3"/>
      <c r="G226" s="3"/>
      <c r="H226" s="3"/>
      <c r="I226" s="3"/>
      <c r="J226" s="32"/>
      <c r="K226" s="32"/>
      <c r="L226" s="27"/>
      <c r="M226" s="33"/>
      <c r="N226" s="32"/>
      <c r="O226" s="33"/>
      <c r="P226" s="32"/>
      <c r="Q226" s="33"/>
      <c r="R226" s="33"/>
      <c r="S226" s="33"/>
      <c r="T226" s="31"/>
    </row>
    <row r="227" spans="1:20" x14ac:dyDescent="0.25">
      <c r="A227" s="3"/>
      <c r="B227" s="58"/>
      <c r="C227" s="59"/>
      <c r="D227" s="3"/>
      <c r="E227" s="3"/>
      <c r="F227" s="3"/>
      <c r="G227" s="3"/>
      <c r="H227" s="3"/>
      <c r="I227" s="3"/>
      <c r="J227" s="32"/>
      <c r="K227" s="32"/>
      <c r="L227" s="27"/>
      <c r="M227" s="33"/>
      <c r="N227" s="32"/>
      <c r="O227" s="33"/>
      <c r="P227" s="32"/>
      <c r="Q227" s="33"/>
      <c r="R227" s="33"/>
      <c r="S227" s="33"/>
      <c r="T227" s="31"/>
    </row>
    <row r="228" spans="1:20" x14ac:dyDescent="0.25">
      <c r="A228" s="3"/>
      <c r="B228" s="58"/>
      <c r="C228" s="59"/>
      <c r="D228" s="3"/>
      <c r="E228" s="3"/>
      <c r="F228" s="3"/>
      <c r="G228" s="3"/>
      <c r="H228" s="3"/>
      <c r="I228" s="3"/>
      <c r="J228" s="32"/>
      <c r="K228" s="32"/>
      <c r="L228" s="27"/>
      <c r="M228" s="33"/>
      <c r="N228" s="32"/>
      <c r="O228" s="33"/>
      <c r="P228" s="32"/>
      <c r="Q228" s="33"/>
      <c r="R228" s="33"/>
      <c r="S228" s="33"/>
      <c r="T228" s="31"/>
    </row>
    <row r="229" spans="1:20" x14ac:dyDescent="0.25">
      <c r="A229" s="3"/>
      <c r="B229" s="58"/>
      <c r="C229" s="59"/>
      <c r="D229" s="3"/>
      <c r="E229" s="3"/>
      <c r="F229" s="3"/>
      <c r="G229" s="3"/>
      <c r="H229" s="3"/>
      <c r="I229" s="3"/>
      <c r="J229" s="32"/>
      <c r="K229" s="32"/>
      <c r="L229" s="27"/>
      <c r="M229" s="33"/>
      <c r="N229" s="32"/>
      <c r="O229" s="33"/>
      <c r="P229" s="32"/>
      <c r="Q229" s="33"/>
      <c r="R229" s="33"/>
      <c r="S229" s="33"/>
      <c r="T229" s="31"/>
    </row>
    <row r="230" spans="1:20" x14ac:dyDescent="0.25">
      <c r="A230" s="3"/>
      <c r="B230" s="58"/>
      <c r="C230" s="59"/>
      <c r="D230" s="3"/>
      <c r="E230" s="3"/>
      <c r="F230" s="3"/>
      <c r="G230" s="3"/>
      <c r="H230" s="3"/>
      <c r="I230" s="3"/>
      <c r="J230" s="32"/>
      <c r="K230" s="32"/>
      <c r="L230" s="27"/>
      <c r="M230" s="33"/>
      <c r="N230" s="32"/>
      <c r="O230" s="33"/>
      <c r="P230" s="32"/>
      <c r="Q230" s="33"/>
      <c r="R230" s="33"/>
      <c r="S230" s="33"/>
      <c r="T230" s="31"/>
    </row>
    <row r="231" spans="1:20" x14ac:dyDescent="0.25">
      <c r="A231" s="3"/>
      <c r="B231" s="58"/>
      <c r="C231" s="59"/>
      <c r="D231" s="3"/>
      <c r="E231" s="3"/>
      <c r="F231" s="3"/>
      <c r="G231" s="3"/>
      <c r="H231" s="3"/>
      <c r="I231" s="3"/>
      <c r="J231" s="32"/>
      <c r="K231" s="32"/>
      <c r="L231" s="27"/>
      <c r="M231" s="33"/>
      <c r="N231" s="32"/>
      <c r="O231" s="33"/>
      <c r="P231" s="32"/>
      <c r="Q231" s="33"/>
      <c r="R231" s="33"/>
      <c r="S231" s="33"/>
      <c r="T231" s="31"/>
    </row>
    <row r="232" spans="1:20" x14ac:dyDescent="0.25">
      <c r="A232" s="3"/>
      <c r="B232" s="58"/>
      <c r="C232" s="59"/>
      <c r="D232" s="3"/>
      <c r="E232" s="3"/>
      <c r="F232" s="3"/>
      <c r="G232" s="3"/>
      <c r="H232" s="3"/>
      <c r="I232" s="3"/>
      <c r="J232" s="32"/>
      <c r="K232" s="32"/>
      <c r="L232" s="27"/>
      <c r="M232" s="33"/>
      <c r="N232" s="32"/>
      <c r="O232" s="33"/>
      <c r="P232" s="32"/>
      <c r="Q232" s="33"/>
      <c r="R232" s="33"/>
      <c r="S232" s="33"/>
      <c r="T232" s="31"/>
    </row>
    <row r="233" spans="1:20" x14ac:dyDescent="0.25">
      <c r="A233" s="3"/>
      <c r="B233" s="58"/>
      <c r="C233" s="59"/>
      <c r="D233" s="3"/>
      <c r="E233" s="3"/>
      <c r="F233" s="3"/>
      <c r="G233" s="3"/>
      <c r="H233" s="3"/>
      <c r="I233" s="3"/>
      <c r="J233" s="32"/>
      <c r="K233" s="32"/>
      <c r="L233" s="27"/>
      <c r="M233" s="33"/>
      <c r="N233" s="32"/>
      <c r="O233" s="33"/>
      <c r="P233" s="32"/>
      <c r="Q233" s="33"/>
      <c r="R233" s="33"/>
      <c r="S233" s="33"/>
      <c r="T233" s="31"/>
    </row>
    <row r="234" spans="1:20" x14ac:dyDescent="0.25">
      <c r="A234" s="3"/>
      <c r="B234" s="58"/>
      <c r="C234" s="59"/>
      <c r="D234" s="3"/>
      <c r="E234" s="3"/>
      <c r="F234" s="3"/>
      <c r="G234" s="3"/>
      <c r="H234" s="3"/>
      <c r="I234" s="3"/>
      <c r="J234" s="32"/>
      <c r="K234" s="32"/>
      <c r="L234" s="27"/>
      <c r="M234" s="33"/>
      <c r="N234" s="32"/>
      <c r="O234" s="33"/>
      <c r="P234" s="32"/>
      <c r="Q234" s="33"/>
      <c r="R234" s="33"/>
      <c r="S234" s="33"/>
      <c r="T234" s="31"/>
    </row>
    <row r="235" spans="1:20" x14ac:dyDescent="0.25">
      <c r="A235" s="3"/>
      <c r="B235" s="58"/>
      <c r="C235" s="59"/>
      <c r="D235" s="3"/>
      <c r="E235" s="3"/>
      <c r="F235" s="3"/>
      <c r="G235" s="3"/>
      <c r="H235" s="3"/>
      <c r="I235" s="3"/>
      <c r="J235" s="32"/>
      <c r="K235" s="32"/>
      <c r="L235" s="27"/>
      <c r="M235" s="33"/>
      <c r="N235" s="32"/>
      <c r="O235" s="33"/>
      <c r="P235" s="32"/>
      <c r="Q235" s="33"/>
      <c r="R235" s="33"/>
      <c r="S235" s="33"/>
      <c r="T235" s="31"/>
    </row>
    <row r="236" spans="1:20" x14ac:dyDescent="0.25">
      <c r="A236" s="3"/>
      <c r="B236" s="58"/>
      <c r="C236" s="59"/>
      <c r="D236" s="3"/>
      <c r="E236" s="3"/>
      <c r="F236" s="3"/>
      <c r="G236" s="3"/>
      <c r="H236" s="3"/>
      <c r="I236" s="3"/>
      <c r="J236" s="32"/>
      <c r="K236" s="32"/>
      <c r="L236" s="27"/>
      <c r="M236" s="33"/>
      <c r="N236" s="32"/>
      <c r="O236" s="33"/>
      <c r="P236" s="32"/>
      <c r="Q236" s="33"/>
      <c r="R236" s="33"/>
      <c r="S236" s="33"/>
      <c r="T236" s="31"/>
    </row>
    <row r="237" spans="1:20" x14ac:dyDescent="0.25">
      <c r="A237" s="3"/>
      <c r="B237" s="58"/>
      <c r="C237" s="59"/>
      <c r="D237" s="3"/>
      <c r="E237" s="3"/>
      <c r="F237" s="3"/>
      <c r="G237" s="3"/>
      <c r="H237" s="3"/>
      <c r="I237" s="3"/>
      <c r="J237" s="32"/>
      <c r="K237" s="32"/>
      <c r="L237" s="27"/>
      <c r="M237" s="33"/>
      <c r="N237" s="32"/>
      <c r="O237" s="33"/>
      <c r="P237" s="32"/>
      <c r="Q237" s="33"/>
      <c r="R237" s="33"/>
      <c r="S237" s="33"/>
      <c r="T237" s="31"/>
    </row>
    <row r="238" spans="1:20" x14ac:dyDescent="0.25">
      <c r="A238" s="3"/>
      <c r="B238" s="58"/>
      <c r="C238" s="59"/>
      <c r="D238" s="3"/>
      <c r="E238" s="3"/>
      <c r="F238" s="3"/>
      <c r="G238" s="3"/>
      <c r="H238" s="3"/>
      <c r="I238" s="3"/>
      <c r="J238" s="32"/>
      <c r="K238" s="32"/>
      <c r="L238" s="27"/>
      <c r="M238" s="33"/>
      <c r="N238" s="32"/>
      <c r="O238" s="33"/>
      <c r="P238" s="32"/>
      <c r="Q238" s="33"/>
      <c r="R238" s="33"/>
      <c r="S238" s="33"/>
      <c r="T238" s="31"/>
    </row>
    <row r="239" spans="1:20" x14ac:dyDescent="0.25">
      <c r="A239" s="3"/>
      <c r="B239" s="58"/>
      <c r="C239" s="59"/>
      <c r="D239" s="3"/>
      <c r="E239" s="3"/>
      <c r="F239" s="3"/>
      <c r="G239" s="3"/>
      <c r="H239" s="3"/>
      <c r="I239" s="3"/>
      <c r="J239" s="32"/>
      <c r="K239" s="32"/>
      <c r="L239" s="27"/>
      <c r="M239" s="33"/>
      <c r="N239" s="32"/>
      <c r="O239" s="33"/>
      <c r="P239" s="32"/>
      <c r="Q239" s="33"/>
      <c r="R239" s="33"/>
      <c r="S239" s="33"/>
      <c r="T239" s="31"/>
    </row>
    <row r="240" spans="1:20" x14ac:dyDescent="0.25">
      <c r="A240" s="3"/>
      <c r="B240" s="58"/>
      <c r="C240" s="59"/>
      <c r="D240" s="3"/>
      <c r="E240" s="3"/>
      <c r="F240" s="3"/>
      <c r="G240" s="3"/>
      <c r="H240" s="3"/>
      <c r="I240" s="3"/>
      <c r="J240" s="32"/>
      <c r="K240" s="32"/>
      <c r="L240" s="27"/>
      <c r="M240" s="33"/>
      <c r="N240" s="32"/>
      <c r="O240" s="33"/>
      <c r="P240" s="32"/>
      <c r="Q240" s="33"/>
      <c r="R240" s="33"/>
      <c r="S240" s="33"/>
      <c r="T240" s="31"/>
    </row>
    <row r="241" spans="1:20" x14ac:dyDescent="0.25">
      <c r="A241" s="3"/>
      <c r="B241" s="58"/>
      <c r="C241" s="59"/>
      <c r="D241" s="3"/>
      <c r="E241" s="3"/>
      <c r="F241" s="3"/>
      <c r="G241" s="3"/>
      <c r="H241" s="3"/>
      <c r="I241" s="3"/>
      <c r="J241" s="32"/>
      <c r="K241" s="32"/>
      <c r="L241" s="27"/>
      <c r="M241" s="33"/>
      <c r="N241" s="32"/>
      <c r="O241" s="33"/>
      <c r="P241" s="32"/>
      <c r="Q241" s="33"/>
      <c r="R241" s="33"/>
      <c r="S241" s="33"/>
      <c r="T241" s="31"/>
    </row>
    <row r="242" spans="1:20" x14ac:dyDescent="0.25">
      <c r="A242" s="3"/>
      <c r="B242" s="58"/>
      <c r="C242" s="59"/>
      <c r="D242" s="3"/>
      <c r="E242" s="3"/>
      <c r="F242" s="3"/>
      <c r="G242" s="3"/>
      <c r="H242" s="3"/>
      <c r="I242" s="3"/>
      <c r="J242" s="32"/>
      <c r="K242" s="32"/>
      <c r="L242" s="27"/>
      <c r="M242" s="33"/>
      <c r="N242" s="32"/>
      <c r="O242" s="33"/>
      <c r="P242" s="32"/>
      <c r="Q242" s="33"/>
      <c r="R242" s="33"/>
      <c r="S242" s="33"/>
      <c r="T242" s="31"/>
    </row>
    <row r="243" spans="1:20" x14ac:dyDescent="0.25">
      <c r="A243" s="3"/>
      <c r="B243" s="58"/>
      <c r="C243" s="59"/>
      <c r="D243" s="3"/>
      <c r="E243" s="3"/>
      <c r="F243" s="3"/>
      <c r="G243" s="3"/>
      <c r="H243" s="3"/>
      <c r="I243" s="3"/>
      <c r="J243" s="32"/>
      <c r="K243" s="32"/>
      <c r="L243" s="27"/>
      <c r="M243" s="33"/>
      <c r="N243" s="32"/>
      <c r="O243" s="33"/>
      <c r="P243" s="32"/>
      <c r="Q243" s="33"/>
      <c r="R243" s="33"/>
      <c r="S243" s="33"/>
      <c r="T243" s="31"/>
    </row>
    <row r="244" spans="1:20" x14ac:dyDescent="0.25">
      <c r="A244" s="3"/>
      <c r="B244" s="58"/>
      <c r="C244" s="59"/>
      <c r="D244" s="3"/>
      <c r="E244" s="3"/>
      <c r="F244" s="3"/>
      <c r="G244" s="3"/>
      <c r="H244" s="3"/>
      <c r="I244" s="3"/>
      <c r="J244" s="32"/>
      <c r="K244" s="32"/>
      <c r="L244" s="27"/>
      <c r="M244" s="33"/>
      <c r="N244" s="32"/>
      <c r="O244" s="33"/>
      <c r="P244" s="32"/>
      <c r="Q244" s="33"/>
      <c r="R244" s="33"/>
      <c r="S244" s="33"/>
      <c r="T244" s="31"/>
    </row>
    <row r="245" spans="1:20" x14ac:dyDescent="0.25">
      <c r="A245" s="3"/>
      <c r="B245" s="58"/>
      <c r="C245" s="59"/>
      <c r="D245" s="3"/>
      <c r="E245" s="3"/>
      <c r="F245" s="3"/>
      <c r="G245" s="3"/>
      <c r="H245" s="3"/>
      <c r="I245" s="3"/>
      <c r="J245" s="32"/>
      <c r="K245" s="32"/>
      <c r="L245" s="27"/>
      <c r="M245" s="33"/>
      <c r="N245" s="32"/>
      <c r="O245" s="33"/>
      <c r="P245" s="32"/>
      <c r="Q245" s="33"/>
      <c r="R245" s="33"/>
      <c r="S245" s="33"/>
      <c r="T245" s="31"/>
    </row>
    <row r="246" spans="1:20" x14ac:dyDescent="0.25">
      <c r="A246" s="3"/>
      <c r="B246" s="58"/>
      <c r="C246" s="59"/>
      <c r="D246" s="3"/>
      <c r="E246" s="3"/>
      <c r="F246" s="3"/>
      <c r="G246" s="3"/>
      <c r="H246" s="3"/>
      <c r="I246" s="3"/>
      <c r="J246" s="32"/>
      <c r="K246" s="32"/>
      <c r="L246" s="27"/>
      <c r="M246" s="33"/>
      <c r="N246" s="32"/>
      <c r="O246" s="33"/>
      <c r="P246" s="32"/>
      <c r="Q246" s="33"/>
      <c r="R246" s="33"/>
      <c r="S246" s="33"/>
      <c r="T246" s="31"/>
    </row>
    <row r="247" spans="1:20" x14ac:dyDescent="0.25">
      <c r="A247" s="3"/>
      <c r="B247" s="58"/>
      <c r="C247" s="59"/>
      <c r="D247" s="3"/>
      <c r="E247" s="3"/>
      <c r="F247" s="3"/>
      <c r="G247" s="3"/>
      <c r="H247" s="3"/>
      <c r="I247" s="3"/>
      <c r="J247" s="32"/>
      <c r="K247" s="32"/>
      <c r="L247" s="27"/>
      <c r="M247" s="33"/>
      <c r="N247" s="32"/>
      <c r="O247" s="33"/>
      <c r="P247" s="32"/>
      <c r="Q247" s="33"/>
      <c r="R247" s="33"/>
      <c r="S247" s="33"/>
      <c r="T247" s="31"/>
    </row>
    <row r="248" spans="1:20" x14ac:dyDescent="0.25">
      <c r="A248" s="3"/>
      <c r="B248" s="58"/>
      <c r="C248" s="59"/>
      <c r="D248" s="3"/>
      <c r="E248" s="3"/>
      <c r="F248" s="3"/>
      <c r="G248" s="3"/>
      <c r="H248" s="3"/>
      <c r="I248" s="3"/>
      <c r="J248" s="32"/>
      <c r="K248" s="32"/>
      <c r="L248" s="27"/>
      <c r="M248" s="33"/>
      <c r="N248" s="32"/>
      <c r="O248" s="33"/>
      <c r="P248" s="32"/>
      <c r="Q248" s="33"/>
      <c r="R248" s="33"/>
      <c r="S248" s="33"/>
      <c r="T248" s="31"/>
    </row>
    <row r="249" spans="1:20" x14ac:dyDescent="0.25">
      <c r="A249" s="3"/>
      <c r="B249" s="58"/>
      <c r="C249" s="59"/>
      <c r="D249" s="3"/>
      <c r="E249" s="3"/>
      <c r="F249" s="3"/>
      <c r="G249" s="3"/>
      <c r="H249" s="3"/>
      <c r="I249" s="3"/>
      <c r="J249" s="32"/>
      <c r="K249" s="32"/>
      <c r="L249" s="27"/>
      <c r="M249" s="33"/>
      <c r="N249" s="32"/>
      <c r="O249" s="33"/>
      <c r="P249" s="32"/>
      <c r="Q249" s="33"/>
      <c r="R249" s="33"/>
      <c r="S249" s="33"/>
      <c r="T249" s="31"/>
    </row>
    <row r="250" spans="1:20" x14ac:dyDescent="0.25">
      <c r="A250" s="3"/>
      <c r="B250" s="58"/>
      <c r="C250" s="59"/>
      <c r="D250" s="3"/>
      <c r="E250" s="3"/>
      <c r="F250" s="3"/>
      <c r="G250" s="3"/>
      <c r="H250" s="3"/>
      <c r="I250" s="3"/>
      <c r="J250" s="32"/>
      <c r="K250" s="32"/>
      <c r="L250" s="27"/>
      <c r="M250" s="33"/>
      <c r="N250" s="32"/>
      <c r="O250" s="33"/>
      <c r="P250" s="32"/>
      <c r="Q250" s="33"/>
      <c r="R250" s="33"/>
      <c r="S250" s="33"/>
      <c r="T250" s="31"/>
    </row>
    <row r="251" spans="1:20" x14ac:dyDescent="0.25">
      <c r="A251" s="3"/>
      <c r="B251" s="58"/>
      <c r="C251" s="59"/>
      <c r="D251" s="3"/>
      <c r="E251" s="3"/>
      <c r="F251" s="3"/>
      <c r="G251" s="3"/>
      <c r="H251" s="3"/>
      <c r="I251" s="3"/>
      <c r="J251" s="32"/>
      <c r="K251" s="32"/>
      <c r="L251" s="27"/>
      <c r="M251" s="33"/>
      <c r="N251" s="32"/>
      <c r="O251" s="33"/>
      <c r="P251" s="32"/>
      <c r="Q251" s="33"/>
      <c r="R251" s="33"/>
      <c r="S251" s="33"/>
      <c r="T251" s="31"/>
    </row>
    <row r="252" spans="1:20" x14ac:dyDescent="0.25">
      <c r="A252" s="3"/>
      <c r="B252" s="58"/>
      <c r="C252" s="59"/>
      <c r="D252" s="3"/>
      <c r="E252" s="3"/>
      <c r="F252" s="3"/>
      <c r="G252" s="3"/>
      <c r="H252" s="3"/>
      <c r="I252" s="3"/>
      <c r="J252" s="32"/>
      <c r="K252" s="32"/>
      <c r="L252" s="27"/>
      <c r="M252" s="33"/>
      <c r="N252" s="32"/>
      <c r="O252" s="33"/>
      <c r="P252" s="32"/>
      <c r="Q252" s="33"/>
      <c r="R252" s="33"/>
      <c r="S252" s="33"/>
      <c r="T252" s="31"/>
    </row>
    <row r="253" spans="1:20" x14ac:dyDescent="0.25">
      <c r="A253" s="3"/>
      <c r="B253" s="58"/>
      <c r="C253" s="59"/>
      <c r="D253" s="3"/>
      <c r="E253" s="3"/>
      <c r="F253" s="3"/>
      <c r="G253" s="3"/>
      <c r="H253" s="3"/>
      <c r="I253" s="3"/>
      <c r="J253" s="32"/>
      <c r="K253" s="32"/>
      <c r="L253" s="27"/>
      <c r="M253" s="33"/>
      <c r="N253" s="32"/>
      <c r="O253" s="33"/>
      <c r="P253" s="32"/>
      <c r="Q253" s="33"/>
      <c r="R253" s="33"/>
      <c r="S253" s="33"/>
      <c r="T253" s="31"/>
    </row>
    <row r="254" spans="1:20" x14ac:dyDescent="0.25">
      <c r="A254" s="3"/>
      <c r="B254" s="58"/>
      <c r="C254" s="59"/>
      <c r="D254" s="3"/>
      <c r="E254" s="3"/>
      <c r="F254" s="3"/>
      <c r="G254" s="3"/>
      <c r="H254" s="3"/>
      <c r="I254" s="3"/>
      <c r="J254" s="32"/>
      <c r="K254" s="32"/>
      <c r="L254" s="27"/>
      <c r="M254" s="33"/>
      <c r="N254" s="32"/>
      <c r="O254" s="33"/>
      <c r="P254" s="32"/>
      <c r="Q254" s="33"/>
      <c r="R254" s="33"/>
      <c r="S254" s="33"/>
      <c r="T254" s="31"/>
    </row>
    <row r="255" spans="1:20" x14ac:dyDescent="0.25">
      <c r="A255" s="3"/>
      <c r="B255" s="58"/>
      <c r="C255" s="59"/>
      <c r="D255" s="3"/>
      <c r="E255" s="3"/>
      <c r="F255" s="3"/>
      <c r="G255" s="3"/>
      <c r="H255" s="3"/>
      <c r="I255" s="3"/>
      <c r="J255" s="32"/>
      <c r="K255" s="32"/>
      <c r="L255" s="27"/>
      <c r="M255" s="33"/>
      <c r="N255" s="32"/>
      <c r="O255" s="33"/>
      <c r="P255" s="32"/>
      <c r="Q255" s="33"/>
      <c r="R255" s="33"/>
      <c r="S255" s="33"/>
      <c r="T255" s="31"/>
    </row>
    <row r="256" spans="1:20" x14ac:dyDescent="0.25">
      <c r="A256" s="3"/>
      <c r="B256" s="58"/>
      <c r="C256" s="59"/>
      <c r="D256" s="3"/>
      <c r="E256" s="3"/>
      <c r="F256" s="3"/>
      <c r="G256" s="3"/>
      <c r="H256" s="3"/>
      <c r="I256" s="3"/>
      <c r="J256" s="32"/>
      <c r="K256" s="32"/>
      <c r="L256" s="27"/>
      <c r="M256" s="33"/>
      <c r="N256" s="32"/>
      <c r="O256" s="33"/>
      <c r="P256" s="32"/>
      <c r="Q256" s="33"/>
      <c r="R256" s="33"/>
      <c r="S256" s="33"/>
      <c r="T256" s="31"/>
    </row>
    <row r="257" spans="1:20" x14ac:dyDescent="0.25">
      <c r="A257" s="3"/>
      <c r="B257" s="58"/>
      <c r="C257" s="59"/>
      <c r="D257" s="3"/>
      <c r="E257" s="3"/>
      <c r="F257" s="3"/>
      <c r="G257" s="3"/>
      <c r="H257" s="3"/>
      <c r="I257" s="3"/>
      <c r="J257" s="32"/>
      <c r="K257" s="32"/>
      <c r="L257" s="27"/>
      <c r="M257" s="33"/>
      <c r="N257" s="32"/>
      <c r="O257" s="33"/>
      <c r="P257" s="32"/>
      <c r="Q257" s="33"/>
      <c r="R257" s="33"/>
      <c r="S257" s="33"/>
      <c r="T257" s="31"/>
    </row>
    <row r="258" spans="1:20" x14ac:dyDescent="0.25">
      <c r="A258" s="3"/>
      <c r="B258" s="58"/>
      <c r="C258" s="59"/>
      <c r="D258" s="3"/>
      <c r="E258" s="3"/>
      <c r="F258" s="3"/>
      <c r="G258" s="3"/>
      <c r="H258" s="3"/>
      <c r="I258" s="3"/>
      <c r="J258" s="32"/>
      <c r="K258" s="32"/>
      <c r="L258" s="27"/>
      <c r="M258" s="33"/>
      <c r="N258" s="32"/>
      <c r="O258" s="33"/>
      <c r="P258" s="32"/>
      <c r="Q258" s="33"/>
      <c r="R258" s="33"/>
      <c r="S258" s="33"/>
      <c r="T258" s="31"/>
    </row>
    <row r="259" spans="1:20" x14ac:dyDescent="0.25">
      <c r="A259" s="3"/>
      <c r="B259" s="58"/>
      <c r="C259" s="59"/>
      <c r="D259" s="3"/>
      <c r="E259" s="3"/>
      <c r="F259" s="3"/>
      <c r="G259" s="3"/>
      <c r="H259" s="3"/>
      <c r="I259" s="3"/>
      <c r="J259" s="32"/>
      <c r="K259" s="32"/>
      <c r="L259" s="27"/>
      <c r="M259" s="33"/>
      <c r="N259" s="32"/>
      <c r="O259" s="33"/>
      <c r="P259" s="32"/>
      <c r="Q259" s="33"/>
      <c r="R259" s="33"/>
      <c r="S259" s="33"/>
      <c r="T259" s="31"/>
    </row>
    <row r="260" spans="1:20" x14ac:dyDescent="0.25">
      <c r="A260" s="3"/>
      <c r="B260" s="58"/>
      <c r="C260" s="59"/>
      <c r="D260" s="3"/>
      <c r="E260" s="3"/>
      <c r="F260" s="3"/>
      <c r="G260" s="3"/>
      <c r="H260" s="3"/>
      <c r="I260" s="3"/>
      <c r="J260" s="32"/>
      <c r="K260" s="32"/>
      <c r="L260" s="27"/>
      <c r="M260" s="33"/>
      <c r="N260" s="32"/>
      <c r="O260" s="33"/>
      <c r="P260" s="32"/>
      <c r="Q260" s="33"/>
      <c r="R260" s="33"/>
      <c r="S260" s="33"/>
      <c r="T260" s="31"/>
    </row>
    <row r="261" spans="1:20" x14ac:dyDescent="0.25">
      <c r="A261" s="3"/>
      <c r="B261" s="58"/>
      <c r="C261" s="59"/>
      <c r="D261" s="3"/>
      <c r="E261" s="3"/>
      <c r="F261" s="3"/>
      <c r="G261" s="3"/>
      <c r="H261" s="3"/>
      <c r="I261" s="3"/>
      <c r="J261" s="32"/>
      <c r="K261" s="32"/>
      <c r="L261" s="27"/>
      <c r="M261" s="33"/>
      <c r="N261" s="32"/>
      <c r="O261" s="33"/>
      <c r="P261" s="32"/>
      <c r="Q261" s="33"/>
      <c r="R261" s="33"/>
      <c r="S261" s="33"/>
      <c r="T261" s="31"/>
    </row>
    <row r="262" spans="1:20" x14ac:dyDescent="0.25">
      <c r="A262" s="3"/>
      <c r="B262" s="58"/>
      <c r="C262" s="59"/>
      <c r="D262" s="3"/>
      <c r="E262" s="3"/>
      <c r="F262" s="3"/>
      <c r="G262" s="3"/>
      <c r="H262" s="3"/>
      <c r="I262" s="3"/>
      <c r="J262" s="32"/>
      <c r="K262" s="32"/>
      <c r="L262" s="27"/>
      <c r="M262" s="33"/>
      <c r="N262" s="32"/>
      <c r="O262" s="33"/>
      <c r="P262" s="32"/>
      <c r="Q262" s="33"/>
      <c r="R262" s="33"/>
      <c r="S262" s="33"/>
      <c r="T262" s="31"/>
    </row>
    <row r="263" spans="1:20" x14ac:dyDescent="0.25">
      <c r="A263" s="3"/>
      <c r="B263" s="58"/>
      <c r="C263" s="59"/>
      <c r="D263" s="3"/>
      <c r="E263" s="3"/>
      <c r="F263" s="3"/>
      <c r="G263" s="3"/>
      <c r="H263" s="3"/>
      <c r="I263" s="3"/>
      <c r="J263" s="32"/>
      <c r="K263" s="32"/>
      <c r="L263" s="27"/>
      <c r="M263" s="33"/>
      <c r="N263" s="32"/>
      <c r="O263" s="33"/>
      <c r="P263" s="32"/>
      <c r="Q263" s="33"/>
      <c r="R263" s="33"/>
      <c r="S263" s="33"/>
      <c r="T263" s="31"/>
    </row>
    <row r="264" spans="1:20" x14ac:dyDescent="0.25">
      <c r="A264" s="3"/>
      <c r="B264" s="58"/>
      <c r="C264" s="59"/>
      <c r="D264" s="3"/>
      <c r="E264" s="3"/>
      <c r="F264" s="3"/>
      <c r="G264" s="3"/>
      <c r="H264" s="3"/>
      <c r="I264" s="3"/>
      <c r="J264" s="32"/>
      <c r="K264" s="32"/>
      <c r="L264" s="27"/>
      <c r="M264" s="33"/>
      <c r="N264" s="32"/>
      <c r="O264" s="33"/>
      <c r="P264" s="32"/>
      <c r="Q264" s="33"/>
      <c r="R264" s="33"/>
      <c r="S264" s="33"/>
      <c r="T264" s="31"/>
    </row>
    <row r="265" spans="1:20" x14ac:dyDescent="0.25">
      <c r="A265" s="3"/>
      <c r="B265" s="58"/>
      <c r="C265" s="59"/>
      <c r="D265" s="3"/>
      <c r="E265" s="3"/>
      <c r="F265" s="3"/>
      <c r="G265" s="3"/>
      <c r="H265" s="3"/>
      <c r="I265" s="3"/>
      <c r="J265" s="32"/>
      <c r="K265" s="32"/>
      <c r="L265" s="27"/>
      <c r="M265" s="33"/>
      <c r="N265" s="32"/>
      <c r="O265" s="33"/>
      <c r="P265" s="32"/>
      <c r="Q265" s="33"/>
      <c r="R265" s="33"/>
      <c r="S265" s="33"/>
      <c r="T265" s="31"/>
    </row>
    <row r="266" spans="1:20" x14ac:dyDescent="0.25">
      <c r="A266" s="3"/>
      <c r="B266" s="58"/>
      <c r="C266" s="59"/>
      <c r="D266" s="3"/>
      <c r="E266" s="3"/>
      <c r="F266" s="3"/>
      <c r="G266" s="3"/>
      <c r="H266" s="3"/>
      <c r="I266" s="3"/>
      <c r="J266" s="32"/>
      <c r="K266" s="32"/>
      <c r="L266" s="27"/>
      <c r="M266" s="33"/>
      <c r="N266" s="32"/>
      <c r="O266" s="33"/>
      <c r="P266" s="32"/>
      <c r="Q266" s="33"/>
      <c r="R266" s="33"/>
      <c r="S266" s="33"/>
      <c r="T266" s="31"/>
    </row>
    <row r="267" spans="1:20" x14ac:dyDescent="0.25">
      <c r="A267" s="3"/>
      <c r="B267" s="58"/>
      <c r="C267" s="59"/>
      <c r="D267" s="3"/>
      <c r="E267" s="3"/>
      <c r="F267" s="3"/>
      <c r="G267" s="3"/>
      <c r="H267" s="3"/>
      <c r="I267" s="3"/>
      <c r="J267" s="32"/>
      <c r="K267" s="32"/>
      <c r="L267" s="27"/>
      <c r="M267" s="33"/>
      <c r="N267" s="32"/>
      <c r="O267" s="33"/>
      <c r="P267" s="32"/>
      <c r="Q267" s="33"/>
      <c r="R267" s="33"/>
      <c r="S267" s="33"/>
      <c r="T267" s="31"/>
    </row>
    <row r="268" spans="1:20" x14ac:dyDescent="0.25">
      <c r="A268" s="3"/>
      <c r="B268" s="58"/>
      <c r="C268" s="59"/>
      <c r="D268" s="3"/>
      <c r="E268" s="3"/>
      <c r="F268" s="3"/>
      <c r="G268" s="3"/>
      <c r="H268" s="3"/>
      <c r="I268" s="3"/>
      <c r="J268" s="32"/>
      <c r="K268" s="32"/>
      <c r="L268" s="27"/>
      <c r="M268" s="33"/>
      <c r="N268" s="32"/>
      <c r="O268" s="33"/>
      <c r="P268" s="32"/>
      <c r="Q268" s="33"/>
      <c r="R268" s="33"/>
      <c r="S268" s="33"/>
      <c r="T268" s="31"/>
    </row>
    <row r="269" spans="1:20" x14ac:dyDescent="0.25">
      <c r="A269" s="3"/>
      <c r="B269" s="58"/>
      <c r="C269" s="59"/>
      <c r="D269" s="3"/>
      <c r="E269" s="3"/>
      <c r="F269" s="3"/>
      <c r="G269" s="3"/>
      <c r="H269" s="3"/>
      <c r="I269" s="3"/>
      <c r="J269" s="32"/>
      <c r="K269" s="32"/>
      <c r="L269" s="27"/>
      <c r="M269" s="33"/>
      <c r="N269" s="32"/>
      <c r="O269" s="33"/>
      <c r="P269" s="32"/>
      <c r="Q269" s="33"/>
      <c r="R269" s="33"/>
      <c r="S269" s="33"/>
      <c r="T269" s="31"/>
    </row>
    <row r="270" spans="1:20" x14ac:dyDescent="0.25">
      <c r="A270" s="3"/>
      <c r="B270" s="58"/>
      <c r="C270" s="59"/>
      <c r="D270" s="3"/>
      <c r="E270" s="3"/>
      <c r="F270" s="3"/>
      <c r="G270" s="3"/>
      <c r="H270" s="3"/>
      <c r="I270" s="3"/>
      <c r="J270" s="32"/>
      <c r="K270" s="32"/>
      <c r="L270" s="27"/>
      <c r="M270" s="33"/>
      <c r="N270" s="32"/>
      <c r="O270" s="33"/>
      <c r="P270" s="32"/>
      <c r="Q270" s="33"/>
      <c r="R270" s="33"/>
      <c r="S270" s="33"/>
      <c r="T270" s="31"/>
    </row>
    <row r="271" spans="1:20" x14ac:dyDescent="0.25">
      <c r="A271" s="3"/>
      <c r="B271" s="58"/>
      <c r="C271" s="59"/>
      <c r="D271" s="3"/>
      <c r="E271" s="3"/>
      <c r="F271" s="3"/>
      <c r="G271" s="3"/>
      <c r="H271" s="3"/>
      <c r="I271" s="3"/>
      <c r="J271" s="32"/>
      <c r="K271" s="32"/>
      <c r="L271" s="27"/>
      <c r="M271" s="33"/>
      <c r="N271" s="32"/>
      <c r="O271" s="33"/>
      <c r="P271" s="32"/>
      <c r="Q271" s="33"/>
      <c r="R271" s="33"/>
      <c r="S271" s="33"/>
      <c r="T271" s="31"/>
    </row>
    <row r="272" spans="1:20" x14ac:dyDescent="0.25">
      <c r="A272" s="3"/>
      <c r="B272" s="58"/>
      <c r="C272" s="59"/>
      <c r="D272" s="3"/>
      <c r="E272" s="3"/>
      <c r="F272" s="3"/>
      <c r="G272" s="3"/>
      <c r="H272" s="3"/>
      <c r="I272" s="3"/>
      <c r="J272" s="32"/>
      <c r="K272" s="32"/>
      <c r="L272" s="27"/>
      <c r="M272" s="33"/>
      <c r="N272" s="32"/>
      <c r="O272" s="33"/>
      <c r="P272" s="32"/>
      <c r="Q272" s="33"/>
      <c r="R272" s="33"/>
      <c r="S272" s="33"/>
      <c r="T272" s="31"/>
    </row>
    <row r="273" spans="1:20" x14ac:dyDescent="0.25">
      <c r="A273" s="3"/>
      <c r="B273" s="58"/>
      <c r="C273" s="59"/>
      <c r="D273" s="3"/>
      <c r="E273" s="3"/>
      <c r="F273" s="3"/>
      <c r="G273" s="3"/>
      <c r="H273" s="3"/>
      <c r="I273" s="3"/>
      <c r="J273" s="32"/>
      <c r="K273" s="32"/>
      <c r="L273" s="27"/>
      <c r="M273" s="33"/>
      <c r="N273" s="32"/>
      <c r="O273" s="33"/>
      <c r="P273" s="32"/>
      <c r="Q273" s="33"/>
      <c r="R273" s="33"/>
      <c r="S273" s="33"/>
      <c r="T273" s="31"/>
    </row>
    <row r="274" spans="1:20" x14ac:dyDescent="0.25">
      <c r="A274" s="3"/>
      <c r="B274" s="58"/>
      <c r="C274" s="59"/>
      <c r="D274" s="3"/>
      <c r="E274" s="3"/>
      <c r="F274" s="3"/>
      <c r="G274" s="3"/>
      <c r="H274" s="3"/>
      <c r="I274" s="3"/>
      <c r="J274" s="32"/>
      <c r="K274" s="32"/>
      <c r="L274" s="27"/>
      <c r="M274" s="33"/>
      <c r="N274" s="32"/>
      <c r="O274" s="33"/>
      <c r="P274" s="32"/>
      <c r="Q274" s="33"/>
      <c r="R274" s="33"/>
      <c r="S274" s="33"/>
      <c r="T274" s="31"/>
    </row>
    <row r="275" spans="1:20" x14ac:dyDescent="0.25">
      <c r="A275" s="3"/>
      <c r="B275" s="58"/>
      <c r="C275" s="59"/>
      <c r="D275" s="3"/>
      <c r="E275" s="3"/>
      <c r="F275" s="3"/>
      <c r="G275" s="3"/>
      <c r="H275" s="3"/>
      <c r="I275" s="3"/>
      <c r="J275" s="32"/>
      <c r="K275" s="32"/>
      <c r="L275" s="27"/>
      <c r="M275" s="33"/>
      <c r="N275" s="32"/>
      <c r="O275" s="33"/>
      <c r="P275" s="32"/>
      <c r="Q275" s="33"/>
      <c r="R275" s="33"/>
      <c r="S275" s="33"/>
      <c r="T275" s="31"/>
    </row>
    <row r="276" spans="1:20" x14ac:dyDescent="0.25">
      <c r="A276" s="3"/>
      <c r="B276" s="58"/>
      <c r="C276" s="59"/>
      <c r="D276" s="3"/>
      <c r="E276" s="3"/>
      <c r="F276" s="3"/>
      <c r="G276" s="3"/>
      <c r="H276" s="3"/>
      <c r="I276" s="3"/>
      <c r="J276" s="32"/>
      <c r="K276" s="32"/>
      <c r="L276" s="27"/>
      <c r="M276" s="33"/>
      <c r="N276" s="32"/>
      <c r="O276" s="33"/>
      <c r="P276" s="32"/>
      <c r="Q276" s="33"/>
      <c r="R276" s="33"/>
      <c r="S276" s="33"/>
      <c r="T276" s="31"/>
    </row>
    <row r="277" spans="1:20" x14ac:dyDescent="0.25">
      <c r="A277" s="3"/>
      <c r="B277" s="58"/>
      <c r="C277" s="59"/>
      <c r="D277" s="3"/>
      <c r="E277" s="3"/>
      <c r="F277" s="3"/>
      <c r="G277" s="3"/>
      <c r="H277" s="3"/>
      <c r="I277" s="3"/>
      <c r="J277" s="32"/>
      <c r="K277" s="32"/>
      <c r="L277" s="27"/>
      <c r="M277" s="33"/>
      <c r="N277" s="32"/>
      <c r="O277" s="33"/>
      <c r="P277" s="32"/>
      <c r="Q277" s="33"/>
      <c r="R277" s="33"/>
      <c r="S277" s="33"/>
      <c r="T277" s="31"/>
    </row>
    <row r="278" spans="1:20" x14ac:dyDescent="0.25">
      <c r="A278" s="3"/>
      <c r="B278" s="58"/>
      <c r="C278" s="59"/>
      <c r="D278" s="3"/>
      <c r="E278" s="3"/>
      <c r="F278" s="3"/>
      <c r="G278" s="3"/>
      <c r="H278" s="3"/>
      <c r="I278" s="3"/>
      <c r="J278" s="32"/>
      <c r="K278" s="32"/>
      <c r="L278" s="27"/>
      <c r="M278" s="33"/>
      <c r="N278" s="32"/>
      <c r="O278" s="33"/>
      <c r="P278" s="32"/>
      <c r="Q278" s="33"/>
      <c r="R278" s="33"/>
      <c r="S278" s="33"/>
      <c r="T278" s="31"/>
    </row>
    <row r="279" spans="1:20" x14ac:dyDescent="0.25">
      <c r="A279" s="3"/>
      <c r="B279" s="58"/>
      <c r="C279" s="59"/>
      <c r="D279" s="3"/>
      <c r="E279" s="3"/>
      <c r="F279" s="3"/>
      <c r="G279" s="3"/>
      <c r="H279" s="3"/>
      <c r="I279" s="3"/>
      <c r="J279" s="32"/>
      <c r="K279" s="32"/>
      <c r="L279" s="27"/>
      <c r="M279" s="33"/>
      <c r="N279" s="32"/>
      <c r="O279" s="33"/>
      <c r="P279" s="32"/>
      <c r="Q279" s="33"/>
      <c r="R279" s="33"/>
      <c r="S279" s="33"/>
      <c r="T279" s="31"/>
    </row>
    <row r="280" spans="1:20" x14ac:dyDescent="0.25">
      <c r="A280" s="3"/>
      <c r="B280" s="58"/>
      <c r="C280" s="59"/>
      <c r="D280" s="3"/>
      <c r="E280" s="3"/>
      <c r="F280" s="3"/>
      <c r="G280" s="3"/>
      <c r="H280" s="3"/>
      <c r="I280" s="3"/>
      <c r="J280" s="32"/>
      <c r="K280" s="32"/>
      <c r="L280" s="27"/>
      <c r="M280" s="33"/>
      <c r="N280" s="32"/>
      <c r="O280" s="33"/>
      <c r="P280" s="32"/>
      <c r="Q280" s="33"/>
      <c r="R280" s="33"/>
      <c r="S280" s="33"/>
      <c r="T280" s="31"/>
    </row>
    <row r="281" spans="1:20" x14ac:dyDescent="0.25">
      <c r="A281" s="3"/>
      <c r="B281" s="58"/>
      <c r="C281" s="59"/>
      <c r="D281" s="3"/>
      <c r="E281" s="3"/>
      <c r="F281" s="3"/>
      <c r="G281" s="3"/>
      <c r="H281" s="3"/>
      <c r="I281" s="3"/>
      <c r="J281" s="32"/>
      <c r="K281" s="32"/>
      <c r="L281" s="27"/>
      <c r="M281" s="33"/>
      <c r="N281" s="32"/>
      <c r="O281" s="33"/>
      <c r="P281" s="32"/>
      <c r="Q281" s="33"/>
      <c r="R281" s="33"/>
      <c r="S281" s="33"/>
      <c r="T281" s="31"/>
    </row>
    <row r="282" spans="1:20" x14ac:dyDescent="0.25">
      <c r="A282" s="3"/>
      <c r="B282" s="58"/>
      <c r="C282" s="59"/>
      <c r="D282" s="3"/>
      <c r="E282" s="3"/>
      <c r="F282" s="3"/>
      <c r="G282" s="3"/>
      <c r="H282" s="3"/>
      <c r="I282" s="3"/>
      <c r="J282" s="32"/>
      <c r="K282" s="32"/>
      <c r="L282" s="27"/>
      <c r="M282" s="33"/>
      <c r="N282" s="32"/>
      <c r="O282" s="33"/>
      <c r="P282" s="32"/>
      <c r="Q282" s="33"/>
      <c r="R282" s="33"/>
      <c r="S282" s="33"/>
      <c r="T282" s="31"/>
    </row>
    <row r="283" spans="1:20" x14ac:dyDescent="0.25">
      <c r="A283" s="3"/>
      <c r="B283" s="58"/>
      <c r="C283" s="59"/>
      <c r="D283" s="3"/>
      <c r="E283" s="3"/>
      <c r="F283" s="3"/>
      <c r="G283" s="3"/>
      <c r="H283" s="3"/>
      <c r="I283" s="3"/>
      <c r="J283" s="32"/>
      <c r="K283" s="32"/>
      <c r="L283" s="27"/>
      <c r="M283" s="33"/>
      <c r="N283" s="32"/>
      <c r="O283" s="33"/>
      <c r="P283" s="32"/>
      <c r="Q283" s="33"/>
      <c r="R283" s="33"/>
      <c r="S283" s="33"/>
      <c r="T283" s="31"/>
    </row>
    <row r="284" spans="1:20" x14ac:dyDescent="0.25">
      <c r="A284" s="3"/>
      <c r="B284" s="58"/>
      <c r="C284" s="59"/>
      <c r="D284" s="3"/>
      <c r="E284" s="3"/>
      <c r="F284" s="3"/>
      <c r="G284" s="3"/>
      <c r="H284" s="3"/>
      <c r="I284" s="3"/>
      <c r="J284" s="32"/>
      <c r="K284" s="32"/>
      <c r="L284" s="27"/>
      <c r="M284" s="33"/>
      <c r="N284" s="32"/>
      <c r="O284" s="33"/>
      <c r="P284" s="32"/>
      <c r="Q284" s="33"/>
      <c r="R284" s="33"/>
      <c r="S284" s="33"/>
      <c r="T284" s="31"/>
    </row>
    <row r="285" spans="1:20" x14ac:dyDescent="0.25">
      <c r="A285" s="3"/>
      <c r="B285" s="58"/>
      <c r="C285" s="59"/>
      <c r="D285" s="3"/>
      <c r="E285" s="3"/>
      <c r="F285" s="3"/>
      <c r="G285" s="3"/>
      <c r="H285" s="3"/>
      <c r="I285" s="3"/>
      <c r="J285" s="32"/>
      <c r="K285" s="32"/>
      <c r="L285" s="27"/>
      <c r="M285" s="33"/>
      <c r="N285" s="32"/>
      <c r="O285" s="33"/>
      <c r="P285" s="32"/>
      <c r="Q285" s="33"/>
      <c r="R285" s="33"/>
      <c r="S285" s="33"/>
      <c r="T285" s="31"/>
    </row>
    <row r="286" spans="1:20" x14ac:dyDescent="0.25">
      <c r="A286" s="3"/>
      <c r="B286" s="58"/>
      <c r="C286" s="59"/>
      <c r="D286" s="3"/>
      <c r="E286" s="3"/>
      <c r="F286" s="3"/>
      <c r="G286" s="3"/>
      <c r="H286" s="3"/>
      <c r="I286" s="3"/>
      <c r="J286" s="32"/>
      <c r="K286" s="32"/>
      <c r="L286" s="27"/>
      <c r="M286" s="33"/>
      <c r="N286" s="32"/>
      <c r="O286" s="33"/>
      <c r="P286" s="32"/>
      <c r="Q286" s="33"/>
      <c r="R286" s="33"/>
      <c r="S286" s="33"/>
      <c r="T286" s="31"/>
    </row>
    <row r="287" spans="1:20" x14ac:dyDescent="0.25">
      <c r="A287" s="3"/>
      <c r="B287" s="58"/>
      <c r="C287" s="59"/>
      <c r="D287" s="3"/>
      <c r="E287" s="3"/>
      <c r="F287" s="3"/>
      <c r="G287" s="3"/>
      <c r="H287" s="3"/>
      <c r="I287" s="3"/>
      <c r="J287" s="32"/>
      <c r="K287" s="32"/>
      <c r="L287" s="27"/>
      <c r="M287" s="33"/>
      <c r="N287" s="32"/>
      <c r="O287" s="33"/>
      <c r="P287" s="32"/>
      <c r="Q287" s="33"/>
      <c r="R287" s="33"/>
      <c r="S287" s="33"/>
      <c r="T287" s="31"/>
    </row>
    <row r="288" spans="1:20" x14ac:dyDescent="0.25">
      <c r="A288" s="3"/>
      <c r="B288" s="58"/>
      <c r="C288" s="59"/>
      <c r="D288" s="3"/>
      <c r="E288" s="3"/>
      <c r="F288" s="3"/>
      <c r="G288" s="3"/>
      <c r="H288" s="3"/>
      <c r="I288" s="3"/>
      <c r="J288" s="32"/>
      <c r="K288" s="32"/>
      <c r="L288" s="27"/>
      <c r="M288" s="33"/>
      <c r="N288" s="32"/>
      <c r="O288" s="33"/>
      <c r="P288" s="32"/>
      <c r="Q288" s="33"/>
      <c r="R288" s="33"/>
      <c r="S288" s="33"/>
      <c r="T288" s="31"/>
    </row>
    <row r="289" spans="1:20" x14ac:dyDescent="0.25">
      <c r="A289" s="3"/>
      <c r="B289" s="58"/>
      <c r="C289" s="59"/>
      <c r="D289" s="3"/>
      <c r="E289" s="3"/>
      <c r="F289" s="3"/>
      <c r="G289" s="3"/>
      <c r="H289" s="3"/>
      <c r="I289" s="3"/>
      <c r="J289" s="32"/>
      <c r="K289" s="32"/>
      <c r="L289" s="27"/>
      <c r="M289" s="33"/>
      <c r="N289" s="32"/>
      <c r="O289" s="33"/>
      <c r="P289" s="32"/>
      <c r="Q289" s="33"/>
      <c r="R289" s="33"/>
      <c r="S289" s="33"/>
      <c r="T289" s="31"/>
    </row>
    <row r="290" spans="1:20" x14ac:dyDescent="0.25">
      <c r="A290" s="3"/>
      <c r="B290" s="58"/>
      <c r="C290" s="59"/>
      <c r="D290" s="3"/>
      <c r="E290" s="3"/>
      <c r="F290" s="3"/>
      <c r="G290" s="3"/>
      <c r="H290" s="3"/>
      <c r="I290" s="3"/>
      <c r="J290" s="32"/>
      <c r="K290" s="32"/>
      <c r="L290" s="27"/>
      <c r="M290" s="33"/>
      <c r="N290" s="32"/>
      <c r="O290" s="33"/>
      <c r="P290" s="32"/>
      <c r="Q290" s="33"/>
      <c r="R290" s="33"/>
      <c r="S290" s="33"/>
      <c r="T290" s="31"/>
    </row>
    <row r="291" spans="1:20" x14ac:dyDescent="0.25">
      <c r="A291" s="3"/>
      <c r="B291" s="58"/>
      <c r="C291" s="59"/>
      <c r="D291" s="3"/>
      <c r="E291" s="3"/>
      <c r="F291" s="3"/>
      <c r="G291" s="3"/>
      <c r="H291" s="3"/>
      <c r="I291" s="3"/>
      <c r="J291" s="32"/>
      <c r="K291" s="32"/>
      <c r="L291" s="27"/>
      <c r="M291" s="33"/>
      <c r="N291" s="32"/>
      <c r="O291" s="33"/>
      <c r="P291" s="32"/>
      <c r="Q291" s="33"/>
      <c r="R291" s="33"/>
      <c r="S291" s="33"/>
      <c r="T291" s="31"/>
    </row>
    <row r="292" spans="1:20" x14ac:dyDescent="0.25">
      <c r="A292" s="3"/>
      <c r="B292" s="58"/>
      <c r="C292" s="59"/>
      <c r="D292" s="3"/>
      <c r="E292" s="3"/>
      <c r="F292" s="3"/>
      <c r="G292" s="3"/>
      <c r="H292" s="3"/>
      <c r="I292" s="3"/>
      <c r="J292" s="32"/>
      <c r="K292" s="32"/>
      <c r="L292" s="27"/>
      <c r="M292" s="33"/>
      <c r="N292" s="32"/>
      <c r="O292" s="33"/>
      <c r="P292" s="32"/>
      <c r="Q292" s="33"/>
      <c r="R292" s="33"/>
      <c r="S292" s="33"/>
      <c r="T292" s="31"/>
    </row>
    <row r="293" spans="1:20" x14ac:dyDescent="0.25">
      <c r="A293" s="3"/>
      <c r="B293" s="58"/>
      <c r="C293" s="59"/>
      <c r="D293" s="3"/>
      <c r="E293" s="3"/>
      <c r="F293" s="3"/>
      <c r="G293" s="3"/>
      <c r="H293" s="3"/>
      <c r="I293" s="3"/>
      <c r="J293" s="32"/>
      <c r="K293" s="32"/>
      <c r="L293" s="27"/>
      <c r="M293" s="33"/>
      <c r="N293" s="32"/>
      <c r="O293" s="33"/>
      <c r="P293" s="32"/>
      <c r="Q293" s="33"/>
      <c r="R293" s="33"/>
      <c r="S293" s="33"/>
      <c r="T293" s="31"/>
    </row>
    <row r="294" spans="1:20" x14ac:dyDescent="0.25">
      <c r="A294" s="3"/>
      <c r="B294" s="58"/>
      <c r="C294" s="59"/>
      <c r="D294" s="3"/>
      <c r="E294" s="3"/>
      <c r="F294" s="3"/>
      <c r="G294" s="3"/>
      <c r="H294" s="3"/>
      <c r="I294" s="3"/>
      <c r="J294" s="32"/>
      <c r="K294" s="32"/>
      <c r="L294" s="27"/>
      <c r="M294" s="33"/>
      <c r="N294" s="32"/>
      <c r="O294" s="33"/>
      <c r="P294" s="32"/>
      <c r="Q294" s="33"/>
      <c r="R294" s="33"/>
      <c r="S294" s="33"/>
      <c r="T294" s="31"/>
    </row>
    <row r="295" spans="1:20" x14ac:dyDescent="0.25">
      <c r="A295" s="3"/>
      <c r="B295" s="58"/>
      <c r="C295" s="59"/>
      <c r="D295" s="3"/>
      <c r="E295" s="3"/>
      <c r="F295" s="3"/>
      <c r="G295" s="3"/>
      <c r="H295" s="3"/>
      <c r="I295" s="3"/>
      <c r="J295" s="32"/>
      <c r="K295" s="32"/>
      <c r="L295" s="27"/>
      <c r="M295" s="33"/>
      <c r="N295" s="32"/>
      <c r="O295" s="33"/>
      <c r="P295" s="32"/>
      <c r="Q295" s="33"/>
      <c r="R295" s="33"/>
      <c r="S295" s="33"/>
      <c r="T295" s="31"/>
    </row>
    <row r="296" spans="1:20" x14ac:dyDescent="0.25">
      <c r="A296" s="3"/>
      <c r="B296" s="58"/>
      <c r="C296" s="59"/>
      <c r="D296" s="3"/>
      <c r="E296" s="3"/>
      <c r="F296" s="3"/>
      <c r="G296" s="3"/>
      <c r="H296" s="3"/>
      <c r="I296" s="3"/>
      <c r="J296" s="32"/>
      <c r="K296" s="32"/>
      <c r="L296" s="27"/>
      <c r="M296" s="33"/>
      <c r="N296" s="32"/>
      <c r="O296" s="33"/>
      <c r="P296" s="32"/>
      <c r="Q296" s="33"/>
      <c r="R296" s="33"/>
      <c r="S296" s="33"/>
      <c r="T296" s="31"/>
    </row>
    <row r="297" spans="1:20" x14ac:dyDescent="0.25">
      <c r="A297" s="3"/>
      <c r="B297" s="58"/>
      <c r="C297" s="59"/>
      <c r="D297" s="3"/>
      <c r="E297" s="3"/>
      <c r="F297" s="3"/>
      <c r="G297" s="3"/>
      <c r="H297" s="3"/>
      <c r="I297" s="3"/>
      <c r="J297" s="32"/>
      <c r="K297" s="32"/>
      <c r="L297" s="27"/>
      <c r="M297" s="33"/>
      <c r="N297" s="32"/>
      <c r="O297" s="33"/>
      <c r="P297" s="32"/>
      <c r="Q297" s="33"/>
      <c r="R297" s="33"/>
      <c r="S297" s="33"/>
      <c r="T297" s="31"/>
    </row>
    <row r="298" spans="1:20" x14ac:dyDescent="0.25">
      <c r="A298" s="3"/>
      <c r="B298" s="58"/>
      <c r="C298" s="59"/>
      <c r="D298" s="3"/>
      <c r="E298" s="3"/>
      <c r="F298" s="3"/>
      <c r="G298" s="3"/>
      <c r="H298" s="3"/>
      <c r="I298" s="3"/>
      <c r="J298" s="32"/>
      <c r="K298" s="32"/>
      <c r="L298" s="27"/>
      <c r="M298" s="33"/>
      <c r="N298" s="32"/>
      <c r="O298" s="33"/>
      <c r="P298" s="32"/>
      <c r="Q298" s="33"/>
      <c r="R298" s="33"/>
      <c r="S298" s="33"/>
      <c r="T298" s="31"/>
    </row>
    <row r="299" spans="1:20" x14ac:dyDescent="0.25">
      <c r="A299" s="3"/>
      <c r="B299" s="58"/>
      <c r="C299" s="59"/>
      <c r="D299" s="3"/>
      <c r="E299" s="3"/>
      <c r="F299" s="3"/>
      <c r="G299" s="3"/>
      <c r="H299" s="3"/>
      <c r="I299" s="3"/>
      <c r="J299" s="32"/>
      <c r="K299" s="32"/>
      <c r="L299" s="27"/>
      <c r="M299" s="33"/>
      <c r="N299" s="32"/>
      <c r="O299" s="33"/>
      <c r="P299" s="32"/>
      <c r="Q299" s="33"/>
      <c r="R299" s="33"/>
      <c r="S299" s="33"/>
      <c r="T299" s="31"/>
    </row>
    <row r="300" spans="1:20" x14ac:dyDescent="0.25">
      <c r="A300" s="3"/>
      <c r="B300" s="58"/>
      <c r="C300" s="59"/>
      <c r="D300" s="3"/>
      <c r="E300" s="3"/>
      <c r="F300" s="3"/>
      <c r="G300" s="3"/>
      <c r="H300" s="3"/>
      <c r="I300" s="3"/>
      <c r="J300" s="32"/>
      <c r="K300" s="32"/>
      <c r="L300" s="27"/>
      <c r="M300" s="33"/>
      <c r="N300" s="32"/>
      <c r="O300" s="33"/>
      <c r="P300" s="32"/>
      <c r="Q300" s="33"/>
      <c r="R300" s="33"/>
      <c r="S300" s="33"/>
      <c r="T300" s="31"/>
    </row>
    <row r="301" spans="1:20" x14ac:dyDescent="0.25">
      <c r="A301" s="3"/>
      <c r="B301" s="58"/>
      <c r="C301" s="59"/>
      <c r="D301" s="3"/>
      <c r="E301" s="3"/>
      <c r="F301" s="3"/>
      <c r="G301" s="3"/>
      <c r="H301" s="3"/>
      <c r="I301" s="3"/>
      <c r="J301" s="32"/>
      <c r="K301" s="32"/>
      <c r="L301" s="27"/>
      <c r="M301" s="33"/>
      <c r="N301" s="32"/>
      <c r="O301" s="33"/>
      <c r="P301" s="32"/>
      <c r="Q301" s="33"/>
      <c r="R301" s="33"/>
      <c r="S301" s="33"/>
      <c r="T301" s="31"/>
    </row>
    <row r="302" spans="1:20" x14ac:dyDescent="0.25">
      <c r="A302" s="3"/>
      <c r="B302" s="58"/>
      <c r="C302" s="59"/>
      <c r="D302" s="3"/>
      <c r="E302" s="3"/>
      <c r="F302" s="3"/>
      <c r="G302" s="3"/>
      <c r="H302" s="3"/>
      <c r="I302" s="3"/>
      <c r="J302" s="32"/>
      <c r="K302" s="32"/>
      <c r="L302" s="27"/>
      <c r="M302" s="33"/>
      <c r="N302" s="32"/>
      <c r="O302" s="33"/>
      <c r="P302" s="32"/>
      <c r="Q302" s="33"/>
      <c r="R302" s="33"/>
      <c r="S302" s="33"/>
      <c r="T302" s="31"/>
    </row>
    <row r="303" spans="1:20" x14ac:dyDescent="0.25">
      <c r="A303" s="3"/>
      <c r="B303" s="58"/>
      <c r="C303" s="59"/>
      <c r="D303" s="3"/>
      <c r="E303" s="3"/>
      <c r="F303" s="3"/>
      <c r="G303" s="3"/>
      <c r="H303" s="3"/>
      <c r="I303" s="3"/>
      <c r="J303" s="32"/>
      <c r="K303" s="32"/>
      <c r="L303" s="27"/>
      <c r="M303" s="33"/>
      <c r="N303" s="32"/>
      <c r="O303" s="33"/>
      <c r="P303" s="32"/>
      <c r="Q303" s="33"/>
      <c r="R303" s="33"/>
      <c r="S303" s="33"/>
      <c r="T303" s="31"/>
    </row>
    <row r="304" spans="1:20" x14ac:dyDescent="0.25">
      <c r="A304" s="3"/>
      <c r="B304" s="58"/>
      <c r="C304" s="59"/>
      <c r="D304" s="3"/>
      <c r="E304" s="3"/>
      <c r="F304" s="3"/>
      <c r="G304" s="3"/>
      <c r="H304" s="3"/>
      <c r="I304" s="3"/>
      <c r="J304" s="32"/>
      <c r="K304" s="32"/>
      <c r="L304" s="27"/>
      <c r="M304" s="33"/>
      <c r="N304" s="32"/>
      <c r="O304" s="33"/>
      <c r="P304" s="32"/>
      <c r="Q304" s="33"/>
      <c r="R304" s="33"/>
      <c r="S304" s="33"/>
      <c r="T304" s="31"/>
    </row>
    <row r="305" spans="1:20" x14ac:dyDescent="0.25">
      <c r="A305" s="3"/>
      <c r="B305" s="58"/>
      <c r="C305" s="59"/>
      <c r="D305" s="3"/>
      <c r="E305" s="3"/>
      <c r="F305" s="3"/>
      <c r="G305" s="3"/>
      <c r="H305" s="3"/>
      <c r="I305" s="3"/>
      <c r="J305" s="32"/>
      <c r="K305" s="32"/>
      <c r="L305" s="27"/>
      <c r="M305" s="33"/>
      <c r="N305" s="32"/>
      <c r="O305" s="33"/>
      <c r="P305" s="32"/>
      <c r="Q305" s="33"/>
      <c r="R305" s="33"/>
      <c r="S305" s="33"/>
      <c r="T305" s="31"/>
    </row>
    <row r="306" spans="1:20" x14ac:dyDescent="0.25">
      <c r="A306" s="3"/>
      <c r="B306" s="58"/>
      <c r="C306" s="59"/>
      <c r="D306" s="3"/>
      <c r="E306" s="3"/>
      <c r="F306" s="3"/>
      <c r="G306" s="3"/>
      <c r="H306" s="3"/>
      <c r="I306" s="3"/>
      <c r="J306" s="32"/>
      <c r="K306" s="32"/>
      <c r="L306" s="27"/>
      <c r="M306" s="33"/>
      <c r="N306" s="32"/>
      <c r="O306" s="33"/>
      <c r="P306" s="32"/>
      <c r="Q306" s="33"/>
      <c r="R306" s="33"/>
      <c r="S306" s="33"/>
      <c r="T306" s="31"/>
    </row>
    <row r="307" spans="1:20" x14ac:dyDescent="0.25">
      <c r="A307" s="3"/>
      <c r="B307" s="58"/>
      <c r="C307" s="59"/>
      <c r="D307" s="3"/>
      <c r="E307" s="3"/>
      <c r="F307" s="3"/>
      <c r="G307" s="3"/>
      <c r="H307" s="3"/>
      <c r="I307" s="3"/>
      <c r="J307" s="32"/>
      <c r="K307" s="32"/>
      <c r="L307" s="27"/>
      <c r="M307" s="33"/>
      <c r="N307" s="32"/>
      <c r="O307" s="33"/>
      <c r="P307" s="32"/>
      <c r="Q307" s="33"/>
      <c r="R307" s="33"/>
      <c r="S307" s="33"/>
      <c r="T307" s="31"/>
    </row>
    <row r="308" spans="1:20" x14ac:dyDescent="0.25">
      <c r="A308" s="3"/>
      <c r="B308" s="58"/>
      <c r="C308" s="59"/>
      <c r="D308" s="3"/>
      <c r="E308" s="3"/>
      <c r="F308" s="3"/>
      <c r="G308" s="3"/>
      <c r="H308" s="3"/>
      <c r="I308" s="3"/>
      <c r="J308" s="32"/>
      <c r="K308" s="32"/>
      <c r="L308" s="27"/>
      <c r="M308" s="33"/>
      <c r="N308" s="32"/>
      <c r="O308" s="33"/>
      <c r="P308" s="32"/>
      <c r="Q308" s="33"/>
      <c r="R308" s="33"/>
      <c r="S308" s="33"/>
      <c r="T308" s="31"/>
    </row>
    <row r="309" spans="1:20" x14ac:dyDescent="0.25">
      <c r="A309" s="3"/>
      <c r="B309" s="58"/>
      <c r="C309" s="59"/>
      <c r="D309" s="3"/>
      <c r="E309" s="3"/>
      <c r="F309" s="3"/>
      <c r="G309" s="3"/>
      <c r="H309" s="3"/>
      <c r="I309" s="3"/>
      <c r="J309" s="32"/>
      <c r="K309" s="32"/>
      <c r="L309" s="27"/>
      <c r="M309" s="33"/>
      <c r="N309" s="32"/>
      <c r="O309" s="33"/>
      <c r="P309" s="32"/>
      <c r="Q309" s="33"/>
      <c r="R309" s="33"/>
      <c r="S309" s="33"/>
      <c r="T309" s="31"/>
    </row>
    <row r="310" spans="1:20" x14ac:dyDescent="0.25">
      <c r="A310" s="3"/>
      <c r="B310" s="58"/>
      <c r="C310" s="59"/>
      <c r="D310" s="3"/>
      <c r="E310" s="3"/>
      <c r="F310" s="3"/>
      <c r="G310" s="3"/>
      <c r="H310" s="3"/>
      <c r="I310" s="3"/>
      <c r="J310" s="32"/>
      <c r="K310" s="32"/>
      <c r="L310" s="27"/>
      <c r="M310" s="33"/>
      <c r="N310" s="32"/>
      <c r="O310" s="33"/>
      <c r="P310" s="32"/>
      <c r="Q310" s="33"/>
      <c r="R310" s="33"/>
      <c r="S310" s="33"/>
      <c r="T310" s="31"/>
    </row>
    <row r="311" spans="1:20" x14ac:dyDescent="0.25">
      <c r="A311" s="3"/>
      <c r="B311" s="58"/>
      <c r="C311" s="59"/>
      <c r="D311" s="3"/>
      <c r="E311" s="3"/>
      <c r="F311" s="3"/>
      <c r="G311" s="3"/>
      <c r="H311" s="3"/>
      <c r="I311" s="3"/>
      <c r="J311" s="32"/>
      <c r="K311" s="32"/>
      <c r="L311" s="27"/>
      <c r="M311" s="33"/>
      <c r="N311" s="32"/>
      <c r="O311" s="33"/>
      <c r="P311" s="32"/>
      <c r="Q311" s="33"/>
      <c r="R311" s="33"/>
      <c r="S311" s="33"/>
      <c r="T311" s="31"/>
    </row>
    <row r="312" spans="1:20" x14ac:dyDescent="0.25">
      <c r="A312" s="3"/>
      <c r="B312" s="58"/>
      <c r="C312" s="59"/>
      <c r="D312" s="3"/>
      <c r="E312" s="3"/>
      <c r="F312" s="3"/>
      <c r="G312" s="3"/>
      <c r="H312" s="3"/>
      <c r="I312" s="3"/>
      <c r="J312" s="32"/>
      <c r="K312" s="32"/>
      <c r="L312" s="27"/>
      <c r="M312" s="33"/>
      <c r="N312" s="32"/>
      <c r="O312" s="33"/>
      <c r="P312" s="32"/>
      <c r="Q312" s="33"/>
      <c r="R312" s="33"/>
      <c r="S312" s="33"/>
      <c r="T312" s="31"/>
    </row>
    <row r="313" spans="1:20" x14ac:dyDescent="0.25">
      <c r="A313" s="3"/>
      <c r="B313" s="58"/>
      <c r="C313" s="59"/>
      <c r="D313" s="3"/>
      <c r="E313" s="3"/>
      <c r="F313" s="3"/>
      <c r="G313" s="3"/>
      <c r="H313" s="3"/>
      <c r="I313" s="3"/>
      <c r="J313" s="32"/>
      <c r="K313" s="32"/>
      <c r="L313" s="27"/>
      <c r="M313" s="33"/>
      <c r="N313" s="32"/>
      <c r="O313" s="33"/>
      <c r="P313" s="32"/>
      <c r="Q313" s="33"/>
      <c r="R313" s="33"/>
      <c r="S313" s="33"/>
      <c r="T313" s="31"/>
    </row>
    <row r="314" spans="1:20" x14ac:dyDescent="0.25">
      <c r="A314" s="3"/>
      <c r="B314" s="58"/>
      <c r="C314" s="59"/>
      <c r="D314" s="3"/>
      <c r="E314" s="3"/>
      <c r="F314" s="3"/>
      <c r="G314" s="3"/>
      <c r="H314" s="3"/>
      <c r="I314" s="3"/>
      <c r="J314" s="32"/>
      <c r="K314" s="32"/>
      <c r="L314" s="27"/>
      <c r="M314" s="33"/>
      <c r="N314" s="32"/>
      <c r="O314" s="33"/>
      <c r="P314" s="32"/>
      <c r="Q314" s="33"/>
      <c r="R314" s="33"/>
      <c r="S314" s="33"/>
      <c r="T314" s="31"/>
    </row>
    <row r="315" spans="1:20" x14ac:dyDescent="0.25">
      <c r="A315" s="3"/>
      <c r="B315" s="58"/>
      <c r="C315" s="59"/>
      <c r="D315" s="3"/>
      <c r="E315" s="3"/>
      <c r="F315" s="3"/>
      <c r="G315" s="3"/>
      <c r="H315" s="3"/>
      <c r="I315" s="3"/>
      <c r="J315" s="32"/>
      <c r="K315" s="32"/>
      <c r="L315" s="27"/>
      <c r="M315" s="33"/>
      <c r="N315" s="32"/>
      <c r="O315" s="33"/>
      <c r="P315" s="32"/>
      <c r="Q315" s="33"/>
      <c r="R315" s="33"/>
      <c r="S315" s="33"/>
      <c r="T315" s="31"/>
    </row>
    <row r="316" spans="1:20" x14ac:dyDescent="0.25">
      <c r="A316" s="3"/>
      <c r="B316" s="58"/>
      <c r="C316" s="59"/>
      <c r="D316" s="3"/>
      <c r="E316" s="3"/>
      <c r="F316" s="3"/>
      <c r="G316" s="3"/>
      <c r="H316" s="3"/>
      <c r="I316" s="3"/>
      <c r="J316" s="32"/>
      <c r="K316" s="32"/>
      <c r="L316" s="27"/>
      <c r="M316" s="33"/>
      <c r="N316" s="32"/>
      <c r="O316" s="33"/>
      <c r="P316" s="32"/>
      <c r="Q316" s="33"/>
      <c r="R316" s="33"/>
      <c r="S316" s="33"/>
      <c r="T316" s="31"/>
    </row>
    <row r="317" spans="1:20" x14ac:dyDescent="0.25">
      <c r="A317" s="3"/>
      <c r="B317" s="58"/>
      <c r="C317" s="59"/>
      <c r="D317" s="3"/>
      <c r="E317" s="3"/>
      <c r="F317" s="3"/>
      <c r="G317" s="3"/>
      <c r="H317" s="3"/>
      <c r="I317" s="3"/>
      <c r="J317" s="32"/>
      <c r="K317" s="32"/>
      <c r="L317" s="27"/>
      <c r="M317" s="33"/>
      <c r="N317" s="32"/>
      <c r="O317" s="33"/>
      <c r="P317" s="32"/>
      <c r="Q317" s="33"/>
      <c r="R317" s="33"/>
      <c r="S317" s="33"/>
      <c r="T317" s="31"/>
    </row>
    <row r="318" spans="1:20" x14ac:dyDescent="0.25">
      <c r="A318" s="3"/>
      <c r="B318" s="58"/>
      <c r="C318" s="59"/>
      <c r="D318" s="3"/>
      <c r="E318" s="3"/>
      <c r="F318" s="3"/>
      <c r="G318" s="3"/>
      <c r="H318" s="3"/>
      <c r="I318" s="3"/>
      <c r="J318" s="32"/>
      <c r="K318" s="32"/>
      <c r="L318" s="27"/>
      <c r="M318" s="33"/>
      <c r="N318" s="32"/>
      <c r="O318" s="33"/>
      <c r="P318" s="32"/>
      <c r="Q318" s="33"/>
      <c r="R318" s="33"/>
      <c r="S318" s="33"/>
      <c r="T318" s="31"/>
    </row>
    <row r="319" spans="1:20" x14ac:dyDescent="0.25">
      <c r="A319" s="3"/>
      <c r="B319" s="58"/>
      <c r="C319" s="59"/>
      <c r="D319" s="3"/>
      <c r="E319" s="3"/>
      <c r="F319" s="3"/>
      <c r="G319" s="3"/>
      <c r="H319" s="3"/>
      <c r="I319" s="3"/>
      <c r="J319" s="32"/>
      <c r="K319" s="32"/>
      <c r="L319" s="27"/>
      <c r="M319" s="33"/>
      <c r="N319" s="32"/>
      <c r="O319" s="33"/>
      <c r="P319" s="32"/>
      <c r="Q319" s="33"/>
      <c r="R319" s="33"/>
      <c r="S319" s="33"/>
      <c r="T319" s="31"/>
    </row>
    <row r="320" spans="1:20" x14ac:dyDescent="0.25">
      <c r="A320" s="3"/>
      <c r="B320" s="58"/>
      <c r="C320" s="59"/>
      <c r="D320" s="3"/>
      <c r="E320" s="3"/>
      <c r="F320" s="3"/>
      <c r="G320" s="3"/>
      <c r="H320" s="3"/>
      <c r="I320" s="3"/>
      <c r="J320" s="32"/>
      <c r="K320" s="32"/>
      <c r="L320" s="27"/>
      <c r="M320" s="33"/>
      <c r="N320" s="32"/>
      <c r="O320" s="33"/>
      <c r="P320" s="32"/>
      <c r="Q320" s="33"/>
      <c r="R320" s="33"/>
      <c r="S320" s="33"/>
      <c r="T320" s="31"/>
    </row>
    <row r="321" spans="1:20" x14ac:dyDescent="0.25">
      <c r="A321" s="3"/>
      <c r="B321" s="58"/>
      <c r="C321" s="59"/>
      <c r="D321" s="3"/>
      <c r="E321" s="3"/>
      <c r="F321" s="3"/>
      <c r="G321" s="3"/>
      <c r="H321" s="3"/>
      <c r="I321" s="3"/>
      <c r="J321" s="32"/>
      <c r="K321" s="32"/>
      <c r="L321" s="27"/>
      <c r="M321" s="33"/>
      <c r="N321" s="32"/>
      <c r="O321" s="33"/>
      <c r="P321" s="32"/>
      <c r="Q321" s="33"/>
      <c r="R321" s="33"/>
      <c r="S321" s="33"/>
      <c r="T321" s="31"/>
    </row>
    <row r="322" spans="1:20" x14ac:dyDescent="0.25">
      <c r="A322" s="3"/>
      <c r="B322" s="58"/>
      <c r="C322" s="59"/>
      <c r="D322" s="3"/>
      <c r="E322" s="3"/>
      <c r="F322" s="3"/>
      <c r="G322" s="3"/>
      <c r="H322" s="3"/>
      <c r="I322" s="3"/>
      <c r="J322" s="32"/>
      <c r="K322" s="32"/>
      <c r="L322" s="27"/>
      <c r="M322" s="33"/>
      <c r="N322" s="32"/>
      <c r="O322" s="33"/>
      <c r="P322" s="32"/>
      <c r="Q322" s="33"/>
      <c r="R322" s="33"/>
      <c r="S322" s="33"/>
      <c r="T322" s="31"/>
    </row>
    <row r="323" spans="1:20" x14ac:dyDescent="0.25">
      <c r="A323" s="3"/>
      <c r="B323" s="58"/>
      <c r="C323" s="59"/>
      <c r="D323" s="3"/>
      <c r="E323" s="3"/>
      <c r="F323" s="3"/>
      <c r="G323" s="3"/>
      <c r="H323" s="3"/>
      <c r="I323" s="3"/>
      <c r="J323" s="32"/>
      <c r="K323" s="32"/>
      <c r="L323" s="27"/>
      <c r="M323" s="33"/>
      <c r="N323" s="32"/>
      <c r="O323" s="33"/>
      <c r="P323" s="32"/>
      <c r="Q323" s="33"/>
      <c r="R323" s="33"/>
      <c r="S323" s="33"/>
      <c r="T323" s="31"/>
    </row>
    <row r="324" spans="1:20" x14ac:dyDescent="0.25">
      <c r="A324" s="3"/>
      <c r="B324" s="58"/>
      <c r="C324" s="59"/>
      <c r="D324" s="3"/>
      <c r="E324" s="3"/>
      <c r="F324" s="3"/>
      <c r="G324" s="3"/>
      <c r="H324" s="3"/>
      <c r="I324" s="3"/>
      <c r="J324" s="32"/>
      <c r="K324" s="32"/>
      <c r="L324" s="27"/>
      <c r="M324" s="33"/>
      <c r="N324" s="32"/>
      <c r="O324" s="33"/>
      <c r="P324" s="32"/>
      <c r="Q324" s="33"/>
      <c r="R324" s="33"/>
      <c r="S324" s="33"/>
      <c r="T324" s="31"/>
    </row>
    <row r="325" spans="1:20" x14ac:dyDescent="0.25">
      <c r="A325" s="3"/>
      <c r="B325" s="58"/>
      <c r="C325" s="59"/>
      <c r="D325" s="3"/>
      <c r="E325" s="3"/>
      <c r="F325" s="3"/>
      <c r="G325" s="3"/>
      <c r="H325" s="3"/>
      <c r="I325" s="3"/>
      <c r="J325" s="32"/>
      <c r="K325" s="32"/>
      <c r="L325" s="27"/>
      <c r="M325" s="33"/>
      <c r="N325" s="32"/>
      <c r="O325" s="33"/>
      <c r="P325" s="32"/>
      <c r="Q325" s="33"/>
      <c r="R325" s="33"/>
      <c r="S325" s="33"/>
      <c r="T325" s="31"/>
    </row>
    <row r="326" spans="1:20" x14ac:dyDescent="0.25">
      <c r="A326" s="3"/>
      <c r="B326" s="58"/>
      <c r="C326" s="59"/>
      <c r="D326" s="3"/>
      <c r="E326" s="3"/>
      <c r="F326" s="3"/>
      <c r="G326" s="3"/>
      <c r="H326" s="3"/>
      <c r="I326" s="3"/>
      <c r="J326" s="32"/>
      <c r="K326" s="32"/>
      <c r="L326" s="27"/>
      <c r="M326" s="33"/>
      <c r="N326" s="32"/>
      <c r="O326" s="33"/>
      <c r="P326" s="32"/>
      <c r="Q326" s="33"/>
      <c r="R326" s="33"/>
      <c r="S326" s="33"/>
      <c r="T326" s="31"/>
    </row>
    <row r="327" spans="1:20" x14ac:dyDescent="0.25">
      <c r="A327" s="3"/>
      <c r="B327" s="58"/>
      <c r="C327" s="59"/>
      <c r="D327" s="3"/>
      <c r="E327" s="3"/>
      <c r="F327" s="3"/>
      <c r="G327" s="3"/>
      <c r="H327" s="3"/>
      <c r="I327" s="3"/>
      <c r="J327" s="32"/>
      <c r="K327" s="32"/>
      <c r="L327" s="27"/>
      <c r="M327" s="33"/>
      <c r="N327" s="32"/>
      <c r="O327" s="33"/>
      <c r="P327" s="32"/>
      <c r="Q327" s="33"/>
      <c r="R327" s="33"/>
      <c r="S327" s="33"/>
      <c r="T327" s="31"/>
    </row>
    <row r="328" spans="1:20" x14ac:dyDescent="0.25">
      <c r="A328" s="3"/>
      <c r="B328" s="58"/>
      <c r="C328" s="59"/>
      <c r="D328" s="3"/>
      <c r="E328" s="3"/>
      <c r="F328" s="3"/>
      <c r="G328" s="3"/>
      <c r="H328" s="3"/>
      <c r="I328" s="3"/>
      <c r="J328" s="32"/>
      <c r="K328" s="32"/>
      <c r="L328" s="27"/>
      <c r="M328" s="33"/>
      <c r="N328" s="32"/>
      <c r="O328" s="33"/>
      <c r="P328" s="32"/>
      <c r="Q328" s="33"/>
      <c r="R328" s="33"/>
      <c r="S328" s="33"/>
      <c r="T328" s="31"/>
    </row>
    <row r="329" spans="1:20" x14ac:dyDescent="0.25">
      <c r="A329" s="3"/>
      <c r="B329" s="58"/>
      <c r="C329" s="59"/>
      <c r="D329" s="3"/>
      <c r="E329" s="3"/>
      <c r="F329" s="3"/>
      <c r="G329" s="3"/>
      <c r="H329" s="3"/>
      <c r="I329" s="3"/>
      <c r="J329" s="32"/>
      <c r="K329" s="32"/>
      <c r="L329" s="27"/>
      <c r="M329" s="33"/>
      <c r="N329" s="32"/>
      <c r="O329" s="33"/>
      <c r="P329" s="32"/>
      <c r="Q329" s="33"/>
      <c r="R329" s="33"/>
      <c r="S329" s="33"/>
      <c r="T329" s="31"/>
    </row>
    <row r="330" spans="1:20" x14ac:dyDescent="0.25">
      <c r="A330" s="3"/>
      <c r="B330" s="58"/>
      <c r="C330" s="59"/>
      <c r="D330" s="3"/>
      <c r="E330" s="3"/>
      <c r="F330" s="3"/>
      <c r="G330" s="3"/>
      <c r="H330" s="3"/>
      <c r="I330" s="3"/>
      <c r="J330" s="32"/>
      <c r="K330" s="32"/>
      <c r="L330" s="27"/>
      <c r="M330" s="33"/>
      <c r="N330" s="32"/>
      <c r="O330" s="33"/>
      <c r="P330" s="32"/>
      <c r="Q330" s="33"/>
      <c r="R330" s="33"/>
      <c r="S330" s="33"/>
      <c r="T330" s="31"/>
    </row>
    <row r="331" spans="1:20" x14ac:dyDescent="0.25">
      <c r="A331" s="3"/>
      <c r="B331" s="58"/>
      <c r="C331" s="59"/>
      <c r="D331" s="3"/>
      <c r="E331" s="3"/>
      <c r="F331" s="3"/>
      <c r="G331" s="3"/>
      <c r="H331" s="3"/>
      <c r="I331" s="3"/>
      <c r="J331" s="32"/>
      <c r="K331" s="32"/>
      <c r="L331" s="27"/>
      <c r="M331" s="33"/>
      <c r="N331" s="32"/>
      <c r="O331" s="33"/>
      <c r="P331" s="32"/>
      <c r="Q331" s="33"/>
      <c r="R331" s="33"/>
      <c r="S331" s="33"/>
      <c r="T331" s="31"/>
    </row>
    <row r="332" spans="1:20" x14ac:dyDescent="0.25">
      <c r="A332" s="3"/>
      <c r="B332" s="58"/>
      <c r="C332" s="59"/>
      <c r="D332" s="3"/>
      <c r="E332" s="3"/>
      <c r="F332" s="3"/>
      <c r="G332" s="3"/>
      <c r="H332" s="3"/>
      <c r="I332" s="3"/>
      <c r="J332" s="32"/>
      <c r="K332" s="32"/>
      <c r="L332" s="27"/>
      <c r="M332" s="33"/>
      <c r="N332" s="32"/>
      <c r="O332" s="33"/>
      <c r="P332" s="32"/>
      <c r="Q332" s="33"/>
      <c r="R332" s="33"/>
      <c r="S332" s="33"/>
      <c r="T332" s="31"/>
    </row>
    <row r="333" spans="1:20" x14ac:dyDescent="0.25">
      <c r="A333" s="3"/>
      <c r="B333" s="58"/>
      <c r="C333" s="59"/>
      <c r="D333" s="3"/>
      <c r="E333" s="3"/>
      <c r="F333" s="3"/>
      <c r="G333" s="3"/>
      <c r="H333" s="3"/>
      <c r="I333" s="3"/>
      <c r="J333" s="32"/>
      <c r="K333" s="32"/>
      <c r="L333" s="27"/>
      <c r="M333" s="33"/>
      <c r="N333" s="32"/>
      <c r="O333" s="33"/>
      <c r="P333" s="32"/>
      <c r="Q333" s="33"/>
      <c r="R333" s="33"/>
      <c r="S333" s="33"/>
      <c r="T333" s="31"/>
    </row>
    <row r="334" spans="1:20" x14ac:dyDescent="0.25">
      <c r="A334" s="3"/>
      <c r="B334" s="58"/>
      <c r="C334" s="59"/>
      <c r="D334" s="3"/>
      <c r="E334" s="3"/>
      <c r="F334" s="3"/>
      <c r="G334" s="3"/>
      <c r="H334" s="3"/>
      <c r="I334" s="3"/>
      <c r="J334" s="32"/>
      <c r="K334" s="32"/>
      <c r="L334" s="27"/>
      <c r="M334" s="33"/>
      <c r="N334" s="32"/>
      <c r="O334" s="33"/>
      <c r="P334" s="32"/>
      <c r="Q334" s="33"/>
      <c r="R334" s="33"/>
      <c r="S334" s="33"/>
      <c r="T334" s="31"/>
    </row>
    <row r="335" spans="1:20" x14ac:dyDescent="0.25">
      <c r="A335" s="3"/>
      <c r="B335" s="58"/>
      <c r="C335" s="59"/>
      <c r="D335" s="3"/>
      <c r="E335" s="3"/>
      <c r="F335" s="3"/>
      <c r="G335" s="3"/>
      <c r="H335" s="3"/>
      <c r="I335" s="3"/>
      <c r="J335" s="32"/>
      <c r="K335" s="32"/>
      <c r="L335" s="27"/>
      <c r="M335" s="33"/>
      <c r="N335" s="32"/>
      <c r="O335" s="33"/>
      <c r="P335" s="32"/>
      <c r="Q335" s="33"/>
      <c r="R335" s="33"/>
      <c r="S335" s="33"/>
      <c r="T335" s="31"/>
    </row>
    <row r="336" spans="1:20" x14ac:dyDescent="0.25">
      <c r="A336" s="3"/>
      <c r="B336" s="58"/>
      <c r="C336" s="59"/>
      <c r="D336" s="3"/>
      <c r="E336" s="3"/>
      <c r="F336" s="3"/>
      <c r="G336" s="3"/>
      <c r="H336" s="3"/>
      <c r="I336" s="3"/>
      <c r="J336" s="32"/>
      <c r="K336" s="32"/>
      <c r="L336" s="27"/>
      <c r="M336" s="33"/>
      <c r="N336" s="32"/>
      <c r="O336" s="33"/>
      <c r="P336" s="32"/>
      <c r="Q336" s="33"/>
      <c r="R336" s="33"/>
      <c r="S336" s="33"/>
      <c r="T336" s="31"/>
    </row>
    <row r="337" spans="1:20" x14ac:dyDescent="0.25">
      <c r="A337" s="3"/>
      <c r="B337" s="58"/>
      <c r="C337" s="59"/>
      <c r="D337" s="3"/>
      <c r="E337" s="3"/>
      <c r="F337" s="3"/>
      <c r="G337" s="3"/>
      <c r="H337" s="3"/>
      <c r="I337" s="3"/>
      <c r="J337" s="32"/>
      <c r="K337" s="32"/>
      <c r="L337" s="27"/>
      <c r="M337" s="33"/>
      <c r="N337" s="32"/>
      <c r="O337" s="33"/>
      <c r="P337" s="32"/>
      <c r="Q337" s="33"/>
      <c r="R337" s="33"/>
      <c r="S337" s="33"/>
      <c r="T337" s="31"/>
    </row>
    <row r="338" spans="1:20" x14ac:dyDescent="0.25">
      <c r="A338" s="3"/>
      <c r="B338" s="58"/>
      <c r="C338" s="59"/>
      <c r="D338" s="3"/>
      <c r="E338" s="3"/>
      <c r="F338" s="3"/>
      <c r="G338" s="3"/>
      <c r="H338" s="3"/>
      <c r="I338" s="3"/>
      <c r="J338" s="32"/>
      <c r="K338" s="32"/>
      <c r="L338" s="27"/>
      <c r="M338" s="33"/>
      <c r="N338" s="32"/>
      <c r="O338" s="33"/>
      <c r="P338" s="32"/>
      <c r="Q338" s="33"/>
      <c r="R338" s="33"/>
      <c r="S338" s="33"/>
      <c r="T338" s="31"/>
    </row>
    <row r="339" spans="1:20" x14ac:dyDescent="0.25">
      <c r="A339" s="3"/>
      <c r="B339" s="58"/>
      <c r="C339" s="59"/>
      <c r="D339" s="3"/>
      <c r="E339" s="3"/>
      <c r="F339" s="3"/>
      <c r="G339" s="3"/>
      <c r="H339" s="3"/>
      <c r="I339" s="3"/>
      <c r="J339" s="32"/>
      <c r="K339" s="32"/>
      <c r="L339" s="27"/>
      <c r="M339" s="33"/>
      <c r="N339" s="32"/>
      <c r="O339" s="33"/>
      <c r="P339" s="32"/>
      <c r="Q339" s="33"/>
      <c r="R339" s="33"/>
      <c r="S339" s="33"/>
      <c r="T339" s="31"/>
    </row>
    <row r="340" spans="1:20" x14ac:dyDescent="0.25">
      <c r="A340" s="3"/>
      <c r="B340" s="58"/>
      <c r="C340" s="59"/>
      <c r="D340" s="3"/>
      <c r="E340" s="3"/>
      <c r="F340" s="3"/>
      <c r="G340" s="3"/>
      <c r="H340" s="3"/>
      <c r="I340" s="3"/>
      <c r="J340" s="32"/>
      <c r="K340" s="32"/>
      <c r="L340" s="27"/>
      <c r="M340" s="33"/>
      <c r="N340" s="32"/>
      <c r="O340" s="33"/>
      <c r="P340" s="32"/>
      <c r="Q340" s="33"/>
      <c r="R340" s="33"/>
      <c r="S340" s="33"/>
      <c r="T340" s="31"/>
    </row>
    <row r="341" spans="1:20" x14ac:dyDescent="0.25">
      <c r="A341" s="3"/>
      <c r="B341" s="58"/>
      <c r="C341" s="59"/>
      <c r="D341" s="3"/>
      <c r="E341" s="3"/>
      <c r="F341" s="3"/>
      <c r="G341" s="3"/>
      <c r="H341" s="3"/>
      <c r="I341" s="3"/>
      <c r="J341" s="32"/>
      <c r="K341" s="32"/>
      <c r="L341" s="27"/>
      <c r="M341" s="33"/>
      <c r="N341" s="32"/>
      <c r="O341" s="33"/>
      <c r="P341" s="32"/>
      <c r="Q341" s="33"/>
      <c r="R341" s="33"/>
      <c r="S341" s="33"/>
      <c r="T341" s="31"/>
    </row>
    <row r="342" spans="1:20" x14ac:dyDescent="0.25">
      <c r="A342" s="3"/>
      <c r="B342" s="58"/>
      <c r="C342" s="59"/>
      <c r="D342" s="3"/>
      <c r="E342" s="3"/>
      <c r="F342" s="3"/>
      <c r="G342" s="3"/>
      <c r="H342" s="3"/>
      <c r="I342" s="3"/>
      <c r="J342" s="32"/>
      <c r="K342" s="32"/>
      <c r="L342" s="27"/>
      <c r="M342" s="33"/>
      <c r="N342" s="32"/>
      <c r="O342" s="33"/>
      <c r="P342" s="32"/>
      <c r="Q342" s="33"/>
      <c r="R342" s="33"/>
      <c r="S342" s="33"/>
      <c r="T342" s="31"/>
    </row>
    <row r="343" spans="1:20" x14ac:dyDescent="0.25">
      <c r="A343" s="3"/>
      <c r="B343" s="58"/>
      <c r="C343" s="59"/>
      <c r="D343" s="3"/>
      <c r="E343" s="3"/>
      <c r="F343" s="3"/>
      <c r="G343" s="3"/>
      <c r="H343" s="3"/>
      <c r="I343" s="3"/>
      <c r="J343" s="32"/>
      <c r="K343" s="32"/>
      <c r="L343" s="27"/>
      <c r="M343" s="33"/>
      <c r="N343" s="32"/>
      <c r="O343" s="33"/>
      <c r="P343" s="32"/>
      <c r="Q343" s="33"/>
      <c r="R343" s="33"/>
      <c r="S343" s="33"/>
      <c r="T343" s="31"/>
    </row>
    <row r="344" spans="1:20" x14ac:dyDescent="0.25">
      <c r="A344" s="3"/>
      <c r="B344" s="58"/>
      <c r="C344" s="59"/>
      <c r="D344" s="3"/>
      <c r="E344" s="3"/>
      <c r="F344" s="3"/>
      <c r="G344" s="3"/>
      <c r="H344" s="3"/>
      <c r="I344" s="3"/>
      <c r="J344" s="32"/>
      <c r="K344" s="32"/>
      <c r="L344" s="27"/>
      <c r="M344" s="33"/>
      <c r="N344" s="32"/>
      <c r="O344" s="33"/>
      <c r="P344" s="32"/>
      <c r="Q344" s="33"/>
      <c r="R344" s="33"/>
      <c r="S344" s="33"/>
      <c r="T344" s="31"/>
    </row>
    <row r="345" spans="1:20" x14ac:dyDescent="0.25">
      <c r="A345" s="3"/>
      <c r="B345" s="58"/>
      <c r="C345" s="59"/>
      <c r="D345" s="3"/>
      <c r="E345" s="3"/>
      <c r="F345" s="3"/>
      <c r="G345" s="3"/>
      <c r="H345" s="3"/>
      <c r="I345" s="3"/>
      <c r="J345" s="32"/>
      <c r="K345" s="32"/>
      <c r="L345" s="27"/>
      <c r="M345" s="33"/>
      <c r="N345" s="32"/>
      <c r="O345" s="33"/>
      <c r="P345" s="32"/>
      <c r="Q345" s="33"/>
      <c r="R345" s="33"/>
      <c r="S345" s="33"/>
      <c r="T345" s="31"/>
    </row>
    <row r="346" spans="1:20" x14ac:dyDescent="0.25">
      <c r="A346" s="3"/>
      <c r="B346" s="58"/>
      <c r="C346" s="59"/>
      <c r="D346" s="3"/>
      <c r="E346" s="3"/>
      <c r="F346" s="3"/>
      <c r="G346" s="3"/>
      <c r="H346" s="3"/>
      <c r="I346" s="3"/>
      <c r="J346" s="32"/>
      <c r="K346" s="32"/>
      <c r="L346" s="27"/>
      <c r="M346" s="33"/>
      <c r="N346" s="32"/>
      <c r="O346" s="33"/>
      <c r="P346" s="32"/>
      <c r="Q346" s="33"/>
      <c r="R346" s="33"/>
      <c r="S346" s="33"/>
      <c r="T346" s="31"/>
    </row>
    <row r="347" spans="1:20" x14ac:dyDescent="0.25">
      <c r="A347" s="3"/>
      <c r="B347" s="58"/>
      <c r="C347" s="59"/>
      <c r="D347" s="3"/>
      <c r="E347" s="3"/>
      <c r="F347" s="3"/>
      <c r="G347" s="3"/>
      <c r="H347" s="3"/>
      <c r="I347" s="3"/>
      <c r="J347" s="32"/>
      <c r="K347" s="32"/>
      <c r="L347" s="27"/>
      <c r="M347" s="33"/>
      <c r="N347" s="32"/>
      <c r="O347" s="33"/>
      <c r="P347" s="32"/>
      <c r="Q347" s="33"/>
      <c r="R347" s="33"/>
      <c r="S347" s="33"/>
      <c r="T347" s="31"/>
    </row>
    <row r="348" spans="1:20" x14ac:dyDescent="0.25">
      <c r="A348" s="3"/>
      <c r="B348" s="58"/>
      <c r="C348" s="59"/>
      <c r="D348" s="3"/>
      <c r="E348" s="3"/>
      <c r="F348" s="3"/>
      <c r="G348" s="3"/>
      <c r="H348" s="3"/>
      <c r="I348" s="3"/>
      <c r="J348" s="32"/>
      <c r="K348" s="32"/>
      <c r="L348" s="27"/>
      <c r="M348" s="33"/>
      <c r="N348" s="32"/>
      <c r="O348" s="33"/>
      <c r="P348" s="32"/>
      <c r="Q348" s="33"/>
      <c r="R348" s="33"/>
      <c r="S348" s="33"/>
      <c r="T348" s="31"/>
    </row>
    <row r="349" spans="1:20" x14ac:dyDescent="0.25">
      <c r="A349" s="3"/>
      <c r="B349" s="58"/>
      <c r="C349" s="59"/>
      <c r="D349" s="3"/>
      <c r="E349" s="3"/>
      <c r="F349" s="3"/>
      <c r="G349" s="3"/>
      <c r="H349" s="3"/>
      <c r="I349" s="3"/>
      <c r="J349" s="32"/>
      <c r="K349" s="32"/>
      <c r="L349" s="27"/>
      <c r="M349" s="33"/>
      <c r="N349" s="32"/>
      <c r="O349" s="33"/>
      <c r="P349" s="32"/>
      <c r="Q349" s="33"/>
      <c r="R349" s="33"/>
      <c r="S349" s="33"/>
      <c r="T349" s="31"/>
    </row>
    <row r="350" spans="1:20" x14ac:dyDescent="0.25">
      <c r="A350" s="3"/>
      <c r="B350" s="58"/>
      <c r="C350" s="59"/>
      <c r="D350" s="3"/>
      <c r="E350" s="3"/>
      <c r="F350" s="3"/>
      <c r="G350" s="3"/>
      <c r="H350" s="3"/>
      <c r="I350" s="3"/>
      <c r="J350" s="32"/>
      <c r="K350" s="32"/>
      <c r="L350" s="27"/>
      <c r="M350" s="33"/>
      <c r="N350" s="32"/>
      <c r="O350" s="33"/>
      <c r="P350" s="32"/>
      <c r="Q350" s="33"/>
      <c r="R350" s="33"/>
      <c r="S350" s="33"/>
      <c r="T350" s="31"/>
    </row>
    <row r="351" spans="1:20" x14ac:dyDescent="0.25">
      <c r="A351" s="3"/>
      <c r="B351" s="58"/>
      <c r="C351" s="59"/>
      <c r="D351" s="3"/>
      <c r="E351" s="3"/>
      <c r="F351" s="3"/>
      <c r="G351" s="3"/>
      <c r="H351" s="3"/>
      <c r="I351" s="3"/>
      <c r="J351" s="32"/>
      <c r="K351" s="32"/>
      <c r="L351" s="27"/>
      <c r="M351" s="33"/>
      <c r="N351" s="32"/>
      <c r="O351" s="33"/>
      <c r="P351" s="32"/>
      <c r="Q351" s="33"/>
      <c r="R351" s="33"/>
      <c r="S351" s="33"/>
      <c r="T351" s="31"/>
    </row>
    <row r="352" spans="1:20" x14ac:dyDescent="0.25">
      <c r="A352" s="3"/>
      <c r="B352" s="58"/>
      <c r="C352" s="59"/>
      <c r="D352" s="3"/>
      <c r="E352" s="3"/>
      <c r="F352" s="3"/>
      <c r="G352" s="3"/>
      <c r="H352" s="3"/>
      <c r="I352" s="3"/>
      <c r="J352" s="32"/>
      <c r="K352" s="32"/>
      <c r="L352" s="27"/>
      <c r="M352" s="33"/>
      <c r="N352" s="32"/>
      <c r="O352" s="33"/>
      <c r="P352" s="32"/>
      <c r="Q352" s="33"/>
      <c r="R352" s="33"/>
      <c r="S352" s="33"/>
      <c r="T352" s="31"/>
    </row>
    <row r="353" spans="1:20" x14ac:dyDescent="0.25">
      <c r="A353" s="3"/>
      <c r="B353" s="58"/>
      <c r="C353" s="59"/>
      <c r="D353" s="3"/>
      <c r="E353" s="3"/>
      <c r="F353" s="3"/>
      <c r="G353" s="3"/>
      <c r="H353" s="3"/>
      <c r="I353" s="3"/>
      <c r="J353" s="32"/>
      <c r="K353" s="32"/>
      <c r="L353" s="27"/>
      <c r="M353" s="33"/>
      <c r="N353" s="32"/>
      <c r="O353" s="33"/>
      <c r="P353" s="32"/>
      <c r="Q353" s="33"/>
      <c r="R353" s="33"/>
      <c r="S353" s="33"/>
      <c r="T353" s="31"/>
    </row>
    <row r="354" spans="1:20" x14ac:dyDescent="0.25">
      <c r="A354" s="3"/>
      <c r="B354" s="58"/>
      <c r="C354" s="59"/>
      <c r="D354" s="3"/>
      <c r="E354" s="3"/>
      <c r="F354" s="3"/>
      <c r="G354" s="3"/>
      <c r="H354" s="3"/>
      <c r="I354" s="3"/>
      <c r="J354" s="32"/>
      <c r="K354" s="32"/>
      <c r="L354" s="27"/>
      <c r="M354" s="33"/>
      <c r="N354" s="32"/>
      <c r="O354" s="33"/>
      <c r="P354" s="32"/>
      <c r="Q354" s="33"/>
      <c r="R354" s="33"/>
      <c r="S354" s="33"/>
      <c r="T354" s="31"/>
    </row>
    <row r="355" spans="1:20" x14ac:dyDescent="0.25">
      <c r="A355" s="3"/>
      <c r="B355" s="58"/>
      <c r="C355" s="59"/>
      <c r="D355" s="3"/>
      <c r="E355" s="3"/>
      <c r="F355" s="3"/>
      <c r="G355" s="3"/>
      <c r="H355" s="3"/>
      <c r="I355" s="3"/>
      <c r="J355" s="32"/>
      <c r="K355" s="32"/>
      <c r="L355" s="27"/>
      <c r="M355" s="33"/>
      <c r="N355" s="32"/>
      <c r="O355" s="33"/>
      <c r="P355" s="32"/>
      <c r="Q355" s="33"/>
      <c r="R355" s="33"/>
      <c r="S355" s="33"/>
      <c r="T355" s="31"/>
    </row>
    <row r="356" spans="1:20" x14ac:dyDescent="0.25">
      <c r="A356" s="3"/>
      <c r="B356" s="58"/>
      <c r="C356" s="59"/>
      <c r="D356" s="3"/>
      <c r="E356" s="3"/>
      <c r="F356" s="3"/>
      <c r="G356" s="3"/>
      <c r="H356" s="3"/>
      <c r="I356" s="3"/>
      <c r="J356" s="32"/>
      <c r="K356" s="32"/>
      <c r="L356" s="27"/>
      <c r="M356" s="33"/>
      <c r="N356" s="32"/>
      <c r="O356" s="33"/>
      <c r="P356" s="32"/>
      <c r="Q356" s="33"/>
      <c r="R356" s="33"/>
      <c r="S356" s="33"/>
      <c r="T356" s="31"/>
    </row>
    <row r="357" spans="1:20" x14ac:dyDescent="0.25">
      <c r="A357" s="3"/>
      <c r="B357" s="58"/>
      <c r="C357" s="59"/>
      <c r="D357" s="3"/>
      <c r="E357" s="3"/>
      <c r="F357" s="3"/>
      <c r="G357" s="3"/>
      <c r="H357" s="3"/>
      <c r="I357" s="3"/>
      <c r="J357" s="32"/>
      <c r="K357" s="32"/>
      <c r="L357" s="27"/>
      <c r="M357" s="33"/>
      <c r="N357" s="32"/>
      <c r="O357" s="33"/>
      <c r="P357" s="32"/>
      <c r="Q357" s="33"/>
      <c r="R357" s="33"/>
      <c r="S357" s="33"/>
      <c r="T357" s="31"/>
    </row>
    <row r="358" spans="1:20" x14ac:dyDescent="0.25">
      <c r="A358" s="3"/>
      <c r="B358" s="58"/>
      <c r="C358" s="59"/>
      <c r="D358" s="3"/>
      <c r="E358" s="3"/>
      <c r="F358" s="3"/>
      <c r="G358" s="3"/>
      <c r="H358" s="3"/>
      <c r="I358" s="3"/>
      <c r="J358" s="32"/>
      <c r="K358" s="32"/>
      <c r="L358" s="27"/>
      <c r="M358" s="33"/>
      <c r="N358" s="32"/>
      <c r="O358" s="33"/>
      <c r="P358" s="32"/>
      <c r="Q358" s="33"/>
      <c r="R358" s="33"/>
      <c r="S358" s="33"/>
      <c r="T358" s="31"/>
    </row>
    <row r="359" spans="1:20" x14ac:dyDescent="0.25">
      <c r="A359" s="3"/>
      <c r="B359" s="58"/>
      <c r="C359" s="59"/>
      <c r="D359" s="3"/>
      <c r="E359" s="3"/>
      <c r="F359" s="3"/>
      <c r="G359" s="3"/>
      <c r="H359" s="3"/>
      <c r="I359" s="3"/>
      <c r="J359" s="32"/>
      <c r="K359" s="32"/>
      <c r="L359" s="27"/>
      <c r="M359" s="33"/>
      <c r="N359" s="32"/>
      <c r="O359" s="33"/>
      <c r="P359" s="32"/>
      <c r="Q359" s="33"/>
      <c r="R359" s="33"/>
      <c r="S359" s="33"/>
      <c r="T359" s="31"/>
    </row>
    <row r="360" spans="1:20" x14ac:dyDescent="0.25">
      <c r="A360" s="3"/>
      <c r="B360" s="58"/>
      <c r="C360" s="59"/>
      <c r="D360" s="3"/>
      <c r="E360" s="3"/>
      <c r="F360" s="3"/>
      <c r="G360" s="3"/>
      <c r="H360" s="3"/>
      <c r="I360" s="3"/>
      <c r="J360" s="32"/>
      <c r="K360" s="32"/>
      <c r="L360" s="27"/>
      <c r="M360" s="33"/>
      <c r="N360" s="32"/>
      <c r="O360" s="33"/>
      <c r="P360" s="32"/>
      <c r="Q360" s="33"/>
      <c r="R360" s="33"/>
      <c r="S360" s="33"/>
      <c r="T360" s="31"/>
    </row>
    <row r="361" spans="1:20" x14ac:dyDescent="0.25">
      <c r="A361" s="3"/>
      <c r="B361" s="58"/>
      <c r="C361" s="59"/>
      <c r="D361" s="3"/>
      <c r="E361" s="3"/>
      <c r="F361" s="3"/>
      <c r="G361" s="3"/>
      <c r="H361" s="3"/>
      <c r="I361" s="3"/>
      <c r="J361" s="32"/>
      <c r="K361" s="32"/>
      <c r="L361" s="27"/>
      <c r="M361" s="33"/>
      <c r="N361" s="32"/>
      <c r="O361" s="33"/>
      <c r="P361" s="32"/>
      <c r="Q361" s="33"/>
      <c r="R361" s="33"/>
      <c r="S361" s="33"/>
      <c r="T361" s="31"/>
    </row>
    <row r="362" spans="1:20" x14ac:dyDescent="0.25">
      <c r="A362" s="3"/>
      <c r="B362" s="58"/>
      <c r="C362" s="59"/>
      <c r="D362" s="3"/>
      <c r="E362" s="3"/>
      <c r="F362" s="3"/>
      <c r="G362" s="3"/>
      <c r="H362" s="3"/>
      <c r="I362" s="3"/>
      <c r="J362" s="32"/>
      <c r="K362" s="32"/>
      <c r="L362" s="27"/>
      <c r="M362" s="33"/>
      <c r="N362" s="32"/>
      <c r="O362" s="33"/>
      <c r="P362" s="32"/>
      <c r="Q362" s="33"/>
      <c r="R362" s="33"/>
      <c r="S362" s="33"/>
      <c r="T362" s="31"/>
    </row>
    <row r="363" spans="1:20" x14ac:dyDescent="0.25">
      <c r="A363" s="3"/>
      <c r="B363" s="58"/>
      <c r="C363" s="59"/>
      <c r="D363" s="3"/>
      <c r="E363" s="3"/>
      <c r="F363" s="3"/>
      <c r="G363" s="3"/>
      <c r="H363" s="3"/>
      <c r="I363" s="3"/>
      <c r="J363" s="32"/>
      <c r="K363" s="32"/>
      <c r="L363" s="27"/>
      <c r="M363" s="33"/>
      <c r="N363" s="32"/>
      <c r="O363" s="33"/>
      <c r="P363" s="32"/>
      <c r="Q363" s="33"/>
      <c r="R363" s="33"/>
      <c r="S363" s="33"/>
      <c r="T363" s="31"/>
    </row>
    <row r="364" spans="1:20" x14ac:dyDescent="0.25">
      <c r="A364" s="3"/>
      <c r="B364" s="58"/>
      <c r="C364" s="59"/>
      <c r="D364" s="3"/>
      <c r="E364" s="3"/>
      <c r="F364" s="3"/>
      <c r="G364" s="3"/>
      <c r="H364" s="3"/>
      <c r="I364" s="3"/>
      <c r="J364" s="32"/>
      <c r="K364" s="32"/>
      <c r="L364" s="27"/>
      <c r="M364" s="33"/>
      <c r="N364" s="32"/>
      <c r="O364" s="33"/>
      <c r="P364" s="32"/>
      <c r="Q364" s="33"/>
      <c r="R364" s="33"/>
      <c r="S364" s="33"/>
      <c r="T364" s="31"/>
    </row>
    <row r="365" spans="1:20" x14ac:dyDescent="0.25">
      <c r="A365" s="3"/>
      <c r="B365" s="58"/>
      <c r="C365" s="59"/>
      <c r="D365" s="3"/>
      <c r="E365" s="3"/>
      <c r="F365" s="3"/>
      <c r="G365" s="3"/>
      <c r="H365" s="3"/>
      <c r="I365" s="3"/>
      <c r="J365" s="32"/>
      <c r="K365" s="32"/>
      <c r="L365" s="27"/>
      <c r="M365" s="33"/>
      <c r="N365" s="32"/>
      <c r="O365" s="33"/>
      <c r="P365" s="32"/>
      <c r="Q365" s="33"/>
      <c r="R365" s="33"/>
      <c r="S365" s="33"/>
      <c r="T365" s="31"/>
    </row>
    <row r="366" spans="1:20" x14ac:dyDescent="0.25">
      <c r="A366" s="3"/>
      <c r="B366" s="58"/>
      <c r="C366" s="59"/>
      <c r="D366" s="3"/>
      <c r="E366" s="3"/>
      <c r="F366" s="3"/>
      <c r="G366" s="3"/>
      <c r="H366" s="3"/>
      <c r="I366" s="3"/>
      <c r="J366" s="32"/>
      <c r="K366" s="32"/>
      <c r="L366" s="27"/>
      <c r="M366" s="33"/>
      <c r="N366" s="32"/>
      <c r="O366" s="33"/>
      <c r="P366" s="32"/>
      <c r="Q366" s="33"/>
      <c r="R366" s="33"/>
      <c r="S366" s="33"/>
      <c r="T366" s="31"/>
    </row>
    <row r="367" spans="1:20" x14ac:dyDescent="0.25">
      <c r="A367" s="3"/>
      <c r="B367" s="58"/>
      <c r="C367" s="59"/>
      <c r="D367" s="3"/>
      <c r="E367" s="3"/>
      <c r="F367" s="3"/>
      <c r="G367" s="3"/>
      <c r="H367" s="3"/>
      <c r="I367" s="3"/>
      <c r="J367" s="32"/>
      <c r="K367" s="32"/>
      <c r="L367" s="27"/>
      <c r="M367" s="33"/>
      <c r="N367" s="32"/>
      <c r="O367" s="33"/>
      <c r="P367" s="32"/>
      <c r="Q367" s="33"/>
      <c r="R367" s="33"/>
      <c r="S367" s="33"/>
      <c r="T367" s="31"/>
    </row>
    <row r="368" spans="1:20" x14ac:dyDescent="0.25">
      <c r="A368" s="3"/>
      <c r="B368" s="58"/>
      <c r="C368" s="59"/>
      <c r="D368" s="3"/>
      <c r="E368" s="3"/>
      <c r="F368" s="3"/>
      <c r="G368" s="3"/>
      <c r="H368" s="3"/>
      <c r="I368" s="3"/>
      <c r="J368" s="32"/>
      <c r="K368" s="32"/>
      <c r="L368" s="27"/>
      <c r="M368" s="33"/>
      <c r="N368" s="32"/>
      <c r="O368" s="33"/>
      <c r="P368" s="32"/>
      <c r="Q368" s="33"/>
      <c r="R368" s="33"/>
      <c r="S368" s="33"/>
      <c r="T368" s="31"/>
    </row>
    <row r="369" spans="1:20" x14ac:dyDescent="0.25">
      <c r="A369" s="3"/>
      <c r="B369" s="58"/>
      <c r="C369" s="59"/>
      <c r="D369" s="3"/>
      <c r="E369" s="3"/>
      <c r="F369" s="3"/>
      <c r="G369" s="3"/>
      <c r="H369" s="3"/>
      <c r="I369" s="3"/>
      <c r="J369" s="32"/>
      <c r="K369" s="32"/>
      <c r="L369" s="27"/>
      <c r="M369" s="33"/>
      <c r="N369" s="32"/>
      <c r="O369" s="33"/>
      <c r="P369" s="32"/>
      <c r="Q369" s="33"/>
      <c r="R369" s="33"/>
      <c r="S369" s="33"/>
      <c r="T369" s="31"/>
    </row>
    <row r="370" spans="1:20" x14ac:dyDescent="0.25">
      <c r="A370" s="3"/>
      <c r="B370" s="58"/>
      <c r="C370" s="59"/>
      <c r="D370" s="3"/>
      <c r="E370" s="3"/>
      <c r="F370" s="3"/>
      <c r="G370" s="3"/>
      <c r="H370" s="3"/>
      <c r="I370" s="3"/>
      <c r="J370" s="32"/>
      <c r="K370" s="32"/>
      <c r="L370" s="27"/>
      <c r="M370" s="33"/>
      <c r="N370" s="32"/>
      <c r="O370" s="33"/>
      <c r="P370" s="32"/>
      <c r="Q370" s="33"/>
      <c r="R370" s="33"/>
      <c r="S370" s="33"/>
      <c r="T370" s="31"/>
    </row>
    <row r="371" spans="1:20" x14ac:dyDescent="0.25">
      <c r="A371" s="3"/>
      <c r="B371" s="58"/>
      <c r="C371" s="59"/>
      <c r="D371" s="3"/>
      <c r="E371" s="3"/>
      <c r="F371" s="3"/>
      <c r="G371" s="3"/>
      <c r="H371" s="3"/>
      <c r="I371" s="3"/>
      <c r="J371" s="32"/>
      <c r="K371" s="32"/>
      <c r="L371" s="27"/>
      <c r="M371" s="33"/>
      <c r="N371" s="32"/>
      <c r="O371" s="33"/>
      <c r="P371" s="32"/>
      <c r="Q371" s="33"/>
      <c r="R371" s="33"/>
      <c r="S371" s="33"/>
      <c r="T371" s="31"/>
    </row>
    <row r="372" spans="1:20" x14ac:dyDescent="0.25">
      <c r="A372" s="3"/>
      <c r="B372" s="58"/>
      <c r="C372" s="59"/>
      <c r="D372" s="3"/>
      <c r="E372" s="3"/>
      <c r="F372" s="3"/>
      <c r="G372" s="3"/>
      <c r="H372" s="3"/>
      <c r="I372" s="3"/>
      <c r="J372" s="32"/>
      <c r="K372" s="32"/>
      <c r="L372" s="27"/>
      <c r="M372" s="33"/>
      <c r="N372" s="32"/>
      <c r="O372" s="33"/>
      <c r="P372" s="32"/>
      <c r="Q372" s="33"/>
      <c r="R372" s="33"/>
      <c r="S372" s="33"/>
      <c r="T372" s="31"/>
    </row>
    <row r="373" spans="1:20" x14ac:dyDescent="0.25">
      <c r="A373" s="3"/>
      <c r="B373" s="58"/>
      <c r="C373" s="59"/>
      <c r="D373" s="3"/>
      <c r="E373" s="3"/>
      <c r="F373" s="3"/>
      <c r="G373" s="3"/>
      <c r="H373" s="3"/>
      <c r="I373" s="3"/>
      <c r="J373" s="32"/>
      <c r="K373" s="32"/>
      <c r="L373" s="27"/>
      <c r="M373" s="33"/>
      <c r="N373" s="32"/>
      <c r="O373" s="33"/>
      <c r="P373" s="32"/>
      <c r="Q373" s="33"/>
      <c r="R373" s="33"/>
      <c r="S373" s="33"/>
      <c r="T373" s="31"/>
    </row>
    <row r="374" spans="1:20" x14ac:dyDescent="0.25">
      <c r="A374" s="3"/>
      <c r="B374" s="58"/>
      <c r="C374" s="59"/>
      <c r="D374" s="3"/>
      <c r="E374" s="3"/>
      <c r="F374" s="3"/>
      <c r="G374" s="3"/>
      <c r="H374" s="3"/>
      <c r="I374" s="3"/>
      <c r="J374" s="32"/>
      <c r="K374" s="32"/>
      <c r="L374" s="27"/>
      <c r="M374" s="33"/>
      <c r="N374" s="32"/>
      <c r="O374" s="33"/>
      <c r="P374" s="32"/>
      <c r="Q374" s="33"/>
      <c r="R374" s="33"/>
      <c r="S374" s="33"/>
      <c r="T374" s="31"/>
    </row>
    <row r="375" spans="1:20" x14ac:dyDescent="0.25">
      <c r="A375" s="3"/>
      <c r="B375" s="58"/>
      <c r="C375" s="59"/>
      <c r="D375" s="3"/>
      <c r="E375" s="3"/>
      <c r="F375" s="3"/>
      <c r="G375" s="3"/>
      <c r="H375" s="3"/>
      <c r="I375" s="3"/>
      <c r="J375" s="32"/>
      <c r="K375" s="32"/>
      <c r="L375" s="27"/>
      <c r="M375" s="33"/>
      <c r="N375" s="32"/>
      <c r="O375" s="33"/>
      <c r="P375" s="32"/>
      <c r="Q375" s="33"/>
      <c r="R375" s="33"/>
      <c r="S375" s="33"/>
      <c r="T375" s="31"/>
    </row>
    <row r="376" spans="1:20" x14ac:dyDescent="0.25">
      <c r="A376" s="3"/>
      <c r="B376" s="58"/>
      <c r="C376" s="59"/>
      <c r="D376" s="3"/>
      <c r="E376" s="3"/>
      <c r="F376" s="3"/>
      <c r="G376" s="3"/>
      <c r="H376" s="3"/>
      <c r="I376" s="3"/>
      <c r="J376" s="32"/>
      <c r="K376" s="32"/>
      <c r="L376" s="27"/>
      <c r="M376" s="33"/>
      <c r="N376" s="32"/>
      <c r="O376" s="33"/>
      <c r="P376" s="32"/>
      <c r="Q376" s="33"/>
      <c r="R376" s="33"/>
      <c r="S376" s="33"/>
      <c r="T376" s="31"/>
    </row>
    <row r="377" spans="1:20" x14ac:dyDescent="0.25">
      <c r="A377" s="3"/>
      <c r="B377" s="58"/>
      <c r="C377" s="59"/>
      <c r="D377" s="3"/>
      <c r="E377" s="3"/>
      <c r="F377" s="3"/>
      <c r="G377" s="3"/>
      <c r="H377" s="3"/>
      <c r="I377" s="3"/>
      <c r="J377" s="32"/>
      <c r="K377" s="32"/>
      <c r="L377" s="27"/>
      <c r="M377" s="33"/>
      <c r="N377" s="32"/>
      <c r="O377" s="33"/>
      <c r="P377" s="32"/>
      <c r="Q377" s="33"/>
      <c r="R377" s="33"/>
      <c r="S377" s="33"/>
      <c r="T377" s="31"/>
    </row>
    <row r="378" spans="1:20" x14ac:dyDescent="0.25">
      <c r="A378" s="3"/>
      <c r="B378" s="58"/>
      <c r="C378" s="59"/>
      <c r="D378" s="3"/>
      <c r="E378" s="3"/>
      <c r="F378" s="3"/>
      <c r="G378" s="3"/>
      <c r="H378" s="3"/>
      <c r="I378" s="3"/>
      <c r="J378" s="32"/>
      <c r="K378" s="32"/>
      <c r="L378" s="27"/>
      <c r="M378" s="33"/>
      <c r="N378" s="32"/>
      <c r="O378" s="33"/>
      <c r="P378" s="32"/>
      <c r="Q378" s="33"/>
      <c r="R378" s="33"/>
      <c r="S378" s="33"/>
      <c r="T378" s="31"/>
    </row>
    <row r="379" spans="1:20" x14ac:dyDescent="0.25">
      <c r="A379" s="3"/>
      <c r="B379" s="58"/>
      <c r="C379" s="59"/>
      <c r="D379" s="3"/>
      <c r="E379" s="3"/>
      <c r="F379" s="3"/>
      <c r="G379" s="3"/>
      <c r="H379" s="3"/>
      <c r="I379" s="3"/>
      <c r="J379" s="32"/>
      <c r="K379" s="32"/>
      <c r="L379" s="27"/>
      <c r="M379" s="33"/>
      <c r="N379" s="32"/>
      <c r="O379" s="33"/>
      <c r="P379" s="32"/>
      <c r="Q379" s="33"/>
      <c r="R379" s="33"/>
      <c r="S379" s="33"/>
      <c r="T379" s="31"/>
    </row>
    <row r="380" spans="1:20" x14ac:dyDescent="0.25">
      <c r="A380" s="3"/>
      <c r="B380" s="58"/>
      <c r="C380" s="59"/>
      <c r="D380" s="3"/>
      <c r="E380" s="3"/>
      <c r="F380" s="3"/>
      <c r="G380" s="3"/>
      <c r="H380" s="3"/>
      <c r="I380" s="3"/>
      <c r="J380" s="32"/>
      <c r="K380" s="32"/>
      <c r="L380" s="27"/>
      <c r="M380" s="33"/>
      <c r="N380" s="32"/>
      <c r="O380" s="33"/>
      <c r="P380" s="32"/>
      <c r="Q380" s="33"/>
      <c r="R380" s="33"/>
      <c r="S380" s="33"/>
      <c r="T380" s="31"/>
    </row>
    <row r="381" spans="1:20" x14ac:dyDescent="0.25">
      <c r="A381" s="3"/>
      <c r="B381" s="58"/>
      <c r="C381" s="59"/>
      <c r="D381" s="3"/>
      <c r="E381" s="3"/>
      <c r="F381" s="3"/>
      <c r="G381" s="3"/>
      <c r="H381" s="3"/>
      <c r="I381" s="3"/>
      <c r="J381" s="32"/>
      <c r="K381" s="32"/>
      <c r="L381" s="27"/>
      <c r="M381" s="33"/>
      <c r="N381" s="32"/>
      <c r="O381" s="33"/>
      <c r="P381" s="32"/>
      <c r="Q381" s="33"/>
      <c r="R381" s="33"/>
      <c r="S381" s="33"/>
      <c r="T381" s="31"/>
    </row>
    <row r="382" spans="1:20" x14ac:dyDescent="0.25">
      <c r="A382" s="3"/>
      <c r="B382" s="58"/>
      <c r="C382" s="59"/>
      <c r="D382" s="3"/>
      <c r="E382" s="3"/>
      <c r="F382" s="3"/>
      <c r="G382" s="3"/>
      <c r="H382" s="3"/>
      <c r="I382" s="3"/>
      <c r="J382" s="32"/>
      <c r="K382" s="32"/>
      <c r="L382" s="27"/>
      <c r="M382" s="33"/>
      <c r="N382" s="32"/>
      <c r="O382" s="33"/>
      <c r="P382" s="32"/>
      <c r="Q382" s="33"/>
      <c r="R382" s="33"/>
      <c r="S382" s="33"/>
      <c r="T382" s="31"/>
    </row>
    <row r="383" spans="1:20" x14ac:dyDescent="0.25">
      <c r="A383" s="3"/>
      <c r="B383" s="58"/>
      <c r="C383" s="59"/>
      <c r="D383" s="3"/>
      <c r="E383" s="3"/>
      <c r="F383" s="3"/>
      <c r="G383" s="3"/>
      <c r="H383" s="3"/>
      <c r="I383" s="3"/>
      <c r="J383" s="32"/>
      <c r="K383" s="32"/>
      <c r="L383" s="27"/>
      <c r="M383" s="33"/>
      <c r="N383" s="32"/>
      <c r="O383" s="33"/>
      <c r="P383" s="32"/>
      <c r="Q383" s="33"/>
      <c r="R383" s="33"/>
      <c r="S383" s="33"/>
      <c r="T383" s="31"/>
    </row>
    <row r="384" spans="1:20" x14ac:dyDescent="0.25">
      <c r="A384" s="3"/>
      <c r="B384" s="58"/>
      <c r="C384" s="59"/>
      <c r="D384" s="3"/>
      <c r="E384" s="3"/>
      <c r="F384" s="3"/>
      <c r="G384" s="3"/>
      <c r="H384" s="3"/>
      <c r="I384" s="3"/>
      <c r="J384" s="32"/>
      <c r="K384" s="32"/>
      <c r="L384" s="27"/>
      <c r="M384" s="33"/>
      <c r="N384" s="32"/>
      <c r="O384" s="33"/>
      <c r="P384" s="32"/>
      <c r="Q384" s="33"/>
      <c r="R384" s="33"/>
      <c r="S384" s="33"/>
      <c r="T384" s="31"/>
    </row>
    <row r="385" spans="1:20" x14ac:dyDescent="0.25">
      <c r="A385" s="3"/>
      <c r="B385" s="58"/>
      <c r="C385" s="59"/>
      <c r="D385" s="3"/>
      <c r="E385" s="3"/>
      <c r="F385" s="3"/>
      <c r="G385" s="3"/>
      <c r="H385" s="3"/>
      <c r="I385" s="3"/>
      <c r="J385" s="32"/>
      <c r="K385" s="32"/>
      <c r="L385" s="27"/>
      <c r="M385" s="33"/>
      <c r="N385" s="32"/>
      <c r="O385" s="33"/>
      <c r="P385" s="32"/>
      <c r="Q385" s="33"/>
      <c r="R385" s="33"/>
      <c r="S385" s="33"/>
      <c r="T385" s="31"/>
    </row>
    <row r="386" spans="1:20" x14ac:dyDescent="0.25">
      <c r="A386" s="3"/>
      <c r="B386" s="58"/>
      <c r="C386" s="59"/>
      <c r="D386" s="3"/>
      <c r="E386" s="3"/>
      <c r="F386" s="3"/>
      <c r="G386" s="3"/>
      <c r="H386" s="3"/>
      <c r="I386" s="3"/>
      <c r="J386" s="32"/>
      <c r="K386" s="32"/>
      <c r="L386" s="27"/>
      <c r="M386" s="33"/>
      <c r="N386" s="32"/>
      <c r="O386" s="33"/>
      <c r="P386" s="32"/>
      <c r="Q386" s="33"/>
      <c r="R386" s="33"/>
      <c r="S386" s="33"/>
      <c r="T386" s="31"/>
    </row>
    <row r="387" spans="1:20" x14ac:dyDescent="0.25">
      <c r="A387" s="3"/>
      <c r="B387" s="58"/>
      <c r="C387" s="59"/>
      <c r="D387" s="3"/>
      <c r="E387" s="3"/>
      <c r="F387" s="3"/>
      <c r="G387" s="3"/>
      <c r="H387" s="3"/>
      <c r="I387" s="3"/>
      <c r="J387" s="32"/>
      <c r="K387" s="32"/>
      <c r="L387" s="27"/>
      <c r="M387" s="33"/>
      <c r="N387" s="32"/>
      <c r="O387" s="33"/>
      <c r="P387" s="32"/>
      <c r="Q387" s="33"/>
      <c r="R387" s="33"/>
      <c r="S387" s="33"/>
      <c r="T387" s="31"/>
    </row>
    <row r="388" spans="1:20" x14ac:dyDescent="0.25">
      <c r="A388" s="3"/>
      <c r="B388" s="58"/>
      <c r="C388" s="59"/>
      <c r="D388" s="3"/>
      <c r="E388" s="3"/>
      <c r="F388" s="3"/>
      <c r="G388" s="3"/>
      <c r="H388" s="3"/>
      <c r="I388" s="3"/>
      <c r="J388" s="32"/>
      <c r="K388" s="32"/>
      <c r="L388" s="27"/>
      <c r="M388" s="33"/>
      <c r="N388" s="32"/>
      <c r="O388" s="33"/>
      <c r="P388" s="32"/>
      <c r="Q388" s="33"/>
      <c r="R388" s="33"/>
      <c r="S388" s="33"/>
      <c r="T388" s="31"/>
    </row>
    <row r="389" spans="1:20" x14ac:dyDescent="0.25">
      <c r="A389" s="3"/>
      <c r="B389" s="58"/>
      <c r="C389" s="59"/>
      <c r="D389" s="3"/>
      <c r="E389" s="3"/>
      <c r="F389" s="3"/>
      <c r="G389" s="3"/>
      <c r="H389" s="3"/>
      <c r="I389" s="3"/>
      <c r="J389" s="32"/>
      <c r="K389" s="32"/>
      <c r="L389" s="27"/>
      <c r="M389" s="33"/>
      <c r="N389" s="32"/>
      <c r="O389" s="33"/>
      <c r="P389" s="32"/>
      <c r="Q389" s="33"/>
      <c r="R389" s="33"/>
      <c r="S389" s="33"/>
      <c r="T389" s="31"/>
    </row>
    <row r="390" spans="1:20" x14ac:dyDescent="0.25">
      <c r="A390" s="3"/>
      <c r="B390" s="58"/>
      <c r="C390" s="59"/>
      <c r="D390" s="3"/>
      <c r="E390" s="3"/>
      <c r="F390" s="3"/>
      <c r="G390" s="3"/>
      <c r="H390" s="3"/>
      <c r="I390" s="3"/>
      <c r="J390" s="32"/>
      <c r="K390" s="32"/>
      <c r="L390" s="27"/>
      <c r="M390" s="33"/>
      <c r="N390" s="32"/>
      <c r="O390" s="33"/>
      <c r="P390" s="32"/>
      <c r="Q390" s="33"/>
      <c r="R390" s="33"/>
      <c r="S390" s="33"/>
      <c r="T390" s="31"/>
    </row>
    <row r="391" spans="1:20" x14ac:dyDescent="0.25">
      <c r="A391" s="3"/>
      <c r="B391" s="58"/>
      <c r="C391" s="59"/>
      <c r="D391" s="3"/>
      <c r="E391" s="3"/>
      <c r="F391" s="3"/>
      <c r="G391" s="3"/>
      <c r="H391" s="3"/>
      <c r="I391" s="3"/>
      <c r="J391" s="32"/>
      <c r="K391" s="32"/>
      <c r="L391" s="27"/>
      <c r="M391" s="33"/>
      <c r="N391" s="32"/>
      <c r="O391" s="33"/>
      <c r="P391" s="32"/>
      <c r="Q391" s="33"/>
      <c r="R391" s="33"/>
      <c r="S391" s="33"/>
      <c r="T391" s="31"/>
    </row>
    <row r="392" spans="1:20" x14ac:dyDescent="0.25">
      <c r="A392" s="3"/>
      <c r="B392" s="58"/>
      <c r="C392" s="59"/>
      <c r="D392" s="3"/>
      <c r="E392" s="3"/>
      <c r="F392" s="3"/>
      <c r="G392" s="3"/>
      <c r="H392" s="3"/>
      <c r="I392" s="3"/>
      <c r="J392" s="32"/>
      <c r="K392" s="32"/>
      <c r="L392" s="27"/>
      <c r="M392" s="33"/>
      <c r="N392" s="32"/>
      <c r="O392" s="33"/>
      <c r="P392" s="32"/>
      <c r="Q392" s="33"/>
      <c r="R392" s="33"/>
      <c r="S392" s="33"/>
      <c r="T392" s="31"/>
    </row>
    <row r="393" spans="1:20" x14ac:dyDescent="0.25">
      <c r="A393" s="3"/>
      <c r="B393" s="58"/>
      <c r="C393" s="59"/>
      <c r="D393" s="3"/>
      <c r="E393" s="3"/>
      <c r="F393" s="3"/>
      <c r="G393" s="3"/>
      <c r="H393" s="3"/>
      <c r="I393" s="3"/>
      <c r="J393" s="32"/>
      <c r="K393" s="32"/>
      <c r="L393" s="27"/>
      <c r="M393" s="33"/>
      <c r="N393" s="32"/>
      <c r="O393" s="33"/>
      <c r="P393" s="32"/>
      <c r="Q393" s="33"/>
      <c r="R393" s="33"/>
      <c r="S393" s="33"/>
      <c r="T393" s="31"/>
    </row>
    <row r="394" spans="1:20" x14ac:dyDescent="0.25">
      <c r="A394" s="3"/>
      <c r="B394" s="58"/>
      <c r="C394" s="59"/>
      <c r="D394" s="3"/>
      <c r="E394" s="3"/>
      <c r="F394" s="3"/>
      <c r="G394" s="3"/>
      <c r="H394" s="3"/>
      <c r="I394" s="3"/>
      <c r="J394" s="32"/>
      <c r="K394" s="32"/>
      <c r="L394" s="27"/>
      <c r="M394" s="33"/>
      <c r="N394" s="32"/>
      <c r="O394" s="33"/>
      <c r="P394" s="32"/>
      <c r="Q394" s="33"/>
      <c r="R394" s="33"/>
      <c r="S394" s="33"/>
      <c r="T394" s="31"/>
    </row>
    <row r="395" spans="1:20" x14ac:dyDescent="0.25">
      <c r="A395" s="3"/>
      <c r="B395" s="58"/>
      <c r="C395" s="59"/>
      <c r="D395" s="3"/>
      <c r="E395" s="3"/>
      <c r="F395" s="3"/>
      <c r="G395" s="3"/>
      <c r="H395" s="3"/>
      <c r="I395" s="3"/>
      <c r="J395" s="32"/>
      <c r="K395" s="32"/>
      <c r="L395" s="27"/>
      <c r="M395" s="33"/>
      <c r="N395" s="32"/>
      <c r="O395" s="33"/>
      <c r="P395" s="32"/>
      <c r="Q395" s="33"/>
      <c r="R395" s="33"/>
      <c r="S395" s="33"/>
      <c r="T395" s="31"/>
    </row>
    <row r="396" spans="1:20" x14ac:dyDescent="0.25">
      <c r="A396" s="3"/>
      <c r="B396" s="58"/>
      <c r="C396" s="59"/>
      <c r="D396" s="3"/>
      <c r="E396" s="3"/>
      <c r="F396" s="3"/>
      <c r="G396" s="3"/>
      <c r="H396" s="3"/>
      <c r="I396" s="3"/>
      <c r="J396" s="32"/>
      <c r="K396" s="32"/>
      <c r="L396" s="27"/>
      <c r="M396" s="33"/>
      <c r="N396" s="32"/>
      <c r="O396" s="33"/>
      <c r="P396" s="32"/>
      <c r="Q396" s="33"/>
      <c r="R396" s="33"/>
      <c r="S396" s="33"/>
      <c r="T396" s="31"/>
    </row>
    <row r="397" spans="1:20" x14ac:dyDescent="0.25">
      <c r="A397" s="3"/>
      <c r="B397" s="58"/>
      <c r="C397" s="59"/>
      <c r="D397" s="3"/>
      <c r="E397" s="3"/>
      <c r="F397" s="3"/>
      <c r="G397" s="3"/>
      <c r="H397" s="3"/>
      <c r="I397" s="3"/>
      <c r="J397" s="32"/>
      <c r="K397" s="32"/>
      <c r="L397" s="27"/>
      <c r="M397" s="33"/>
      <c r="N397" s="32"/>
      <c r="O397" s="33"/>
      <c r="P397" s="32"/>
      <c r="Q397" s="33"/>
      <c r="R397" s="33"/>
      <c r="S397" s="33"/>
      <c r="T397" s="31"/>
    </row>
    <row r="398" spans="1:20" x14ac:dyDescent="0.25">
      <c r="A398" s="3"/>
      <c r="B398" s="58"/>
      <c r="C398" s="59"/>
      <c r="D398" s="3"/>
      <c r="E398" s="3"/>
      <c r="F398" s="3"/>
      <c r="G398" s="3"/>
      <c r="H398" s="3"/>
      <c r="I398" s="3"/>
      <c r="J398" s="32"/>
      <c r="K398" s="32"/>
      <c r="L398" s="27"/>
      <c r="M398" s="33"/>
      <c r="N398" s="32"/>
      <c r="O398" s="33"/>
      <c r="P398" s="32"/>
      <c r="Q398" s="33"/>
      <c r="R398" s="33"/>
      <c r="S398" s="33"/>
      <c r="T398" s="31"/>
    </row>
    <row r="399" spans="1:20" x14ac:dyDescent="0.25">
      <c r="A399" s="3"/>
      <c r="B399" s="58"/>
      <c r="C399" s="59"/>
      <c r="D399" s="3"/>
      <c r="E399" s="3"/>
      <c r="F399" s="3"/>
      <c r="G399" s="3"/>
      <c r="H399" s="3"/>
      <c r="I399" s="3"/>
      <c r="J399" s="32"/>
      <c r="K399" s="32"/>
      <c r="L399" s="27"/>
      <c r="M399" s="33"/>
      <c r="N399" s="32"/>
      <c r="O399" s="33"/>
      <c r="P399" s="32"/>
      <c r="Q399" s="33"/>
      <c r="R399" s="33"/>
      <c r="S399" s="33"/>
      <c r="T399" s="31"/>
    </row>
    <row r="400" spans="1:20" x14ac:dyDescent="0.25">
      <c r="A400" s="3"/>
      <c r="B400" s="58"/>
      <c r="C400" s="59"/>
      <c r="D400" s="3"/>
      <c r="E400" s="3"/>
      <c r="F400" s="3"/>
      <c r="G400" s="3"/>
      <c r="H400" s="3"/>
      <c r="I400" s="3"/>
      <c r="J400" s="32"/>
      <c r="K400" s="32"/>
      <c r="L400" s="27"/>
      <c r="M400" s="33"/>
      <c r="N400" s="32"/>
      <c r="O400" s="33"/>
      <c r="P400" s="32"/>
      <c r="Q400" s="33"/>
      <c r="R400" s="33"/>
      <c r="S400" s="33"/>
      <c r="T400" s="31"/>
    </row>
    <row r="401" spans="1:20" x14ac:dyDescent="0.25">
      <c r="A401" s="3"/>
      <c r="B401" s="58"/>
      <c r="C401" s="59"/>
      <c r="D401" s="3"/>
      <c r="E401" s="3"/>
      <c r="F401" s="3"/>
      <c r="G401" s="3"/>
      <c r="H401" s="3"/>
      <c r="I401" s="3"/>
      <c r="J401" s="32"/>
      <c r="K401" s="32"/>
      <c r="L401" s="27"/>
      <c r="M401" s="33"/>
      <c r="N401" s="32"/>
      <c r="O401" s="33"/>
      <c r="P401" s="32"/>
      <c r="Q401" s="33"/>
      <c r="R401" s="33"/>
      <c r="S401" s="33"/>
      <c r="T401" s="31"/>
    </row>
    <row r="402" spans="1:20" x14ac:dyDescent="0.25">
      <c r="A402" s="3"/>
      <c r="B402" s="58"/>
      <c r="C402" s="59"/>
      <c r="D402" s="3"/>
      <c r="E402" s="3"/>
      <c r="F402" s="3"/>
      <c r="G402" s="3"/>
      <c r="H402" s="3"/>
      <c r="I402" s="3"/>
      <c r="J402" s="32"/>
      <c r="K402" s="32"/>
      <c r="L402" s="27"/>
      <c r="M402" s="33"/>
      <c r="N402" s="32"/>
      <c r="O402" s="33"/>
      <c r="P402" s="32"/>
      <c r="Q402" s="33"/>
      <c r="R402" s="33"/>
      <c r="S402" s="33"/>
      <c r="T402" s="31"/>
    </row>
    <row r="403" spans="1:20" x14ac:dyDescent="0.25">
      <c r="A403" s="3"/>
      <c r="B403" s="58"/>
      <c r="C403" s="59"/>
      <c r="D403" s="3"/>
      <c r="E403" s="3"/>
      <c r="F403" s="3"/>
      <c r="G403" s="3"/>
      <c r="H403" s="3"/>
      <c r="I403" s="3"/>
      <c r="J403" s="32"/>
      <c r="K403" s="32"/>
      <c r="L403" s="27"/>
      <c r="M403" s="33"/>
      <c r="N403" s="32"/>
      <c r="O403" s="33"/>
      <c r="P403" s="32"/>
      <c r="Q403" s="33"/>
      <c r="R403" s="33"/>
      <c r="S403" s="33"/>
      <c r="T403" s="31"/>
    </row>
    <row r="404" spans="1:20" x14ac:dyDescent="0.25">
      <c r="A404" s="3"/>
      <c r="B404" s="58"/>
      <c r="C404" s="59"/>
      <c r="D404" s="3"/>
      <c r="E404" s="3"/>
      <c r="F404" s="3"/>
      <c r="G404" s="3"/>
      <c r="H404" s="3"/>
      <c r="I404" s="3"/>
      <c r="J404" s="32"/>
      <c r="K404" s="32"/>
      <c r="L404" s="27"/>
      <c r="M404" s="33"/>
      <c r="N404" s="32"/>
      <c r="O404" s="33"/>
      <c r="P404" s="32"/>
      <c r="Q404" s="33"/>
      <c r="R404" s="33"/>
      <c r="S404" s="33"/>
      <c r="T404" s="31"/>
    </row>
    <row r="405" spans="1:20" x14ac:dyDescent="0.25">
      <c r="A405" s="3"/>
      <c r="B405" s="58"/>
      <c r="C405" s="59"/>
      <c r="D405" s="3"/>
      <c r="E405" s="3"/>
      <c r="F405" s="3"/>
      <c r="G405" s="3"/>
      <c r="H405" s="3"/>
      <c r="I405" s="3"/>
      <c r="J405" s="32"/>
      <c r="K405" s="32"/>
      <c r="L405" s="27"/>
      <c r="M405" s="33"/>
      <c r="N405" s="32"/>
      <c r="O405" s="33"/>
      <c r="P405" s="32"/>
      <c r="Q405" s="33"/>
      <c r="R405" s="33"/>
      <c r="S405" s="33"/>
      <c r="T405" s="31"/>
    </row>
    <row r="406" spans="1:20" x14ac:dyDescent="0.25">
      <c r="A406" s="3"/>
      <c r="B406" s="58"/>
      <c r="C406" s="59"/>
      <c r="D406" s="3"/>
      <c r="E406" s="3"/>
      <c r="F406" s="3"/>
      <c r="G406" s="3"/>
      <c r="H406" s="3"/>
      <c r="I406" s="3"/>
      <c r="J406" s="32"/>
      <c r="K406" s="32"/>
      <c r="L406" s="27"/>
      <c r="M406" s="33"/>
      <c r="N406" s="32"/>
      <c r="O406" s="33"/>
      <c r="P406" s="32"/>
      <c r="Q406" s="33"/>
      <c r="R406" s="33"/>
      <c r="S406" s="33"/>
      <c r="T406" s="31"/>
    </row>
    <row r="407" spans="1:20" x14ac:dyDescent="0.25">
      <c r="A407" s="3"/>
      <c r="B407" s="58"/>
      <c r="C407" s="59"/>
      <c r="D407" s="3"/>
      <c r="E407" s="3"/>
      <c r="F407" s="3"/>
      <c r="G407" s="3"/>
      <c r="H407" s="3"/>
      <c r="I407" s="3"/>
      <c r="J407" s="32"/>
      <c r="K407" s="32"/>
      <c r="L407" s="27"/>
      <c r="M407" s="33"/>
      <c r="N407" s="32"/>
      <c r="O407" s="33"/>
      <c r="P407" s="32"/>
      <c r="Q407" s="33"/>
      <c r="R407" s="33"/>
      <c r="S407" s="33"/>
      <c r="T407" s="31"/>
    </row>
    <row r="408" spans="1:20" x14ac:dyDescent="0.25">
      <c r="A408" s="3"/>
      <c r="B408" s="58"/>
      <c r="C408" s="59"/>
      <c r="D408" s="3"/>
      <c r="E408" s="3"/>
      <c r="F408" s="3"/>
      <c r="G408" s="3"/>
      <c r="H408" s="3"/>
      <c r="I408" s="3"/>
      <c r="J408" s="32"/>
      <c r="K408" s="32"/>
      <c r="L408" s="27"/>
      <c r="M408" s="33"/>
      <c r="N408" s="32"/>
      <c r="O408" s="33"/>
      <c r="P408" s="32"/>
      <c r="Q408" s="33"/>
      <c r="R408" s="33"/>
      <c r="S408" s="33"/>
      <c r="T408" s="31"/>
    </row>
    <row r="409" spans="1:20" x14ac:dyDescent="0.25">
      <c r="A409" s="3"/>
      <c r="B409" s="58"/>
      <c r="C409" s="59"/>
      <c r="D409" s="3"/>
      <c r="E409" s="3"/>
      <c r="F409" s="3"/>
      <c r="G409" s="3"/>
      <c r="H409" s="3"/>
      <c r="I409" s="3"/>
      <c r="J409" s="32"/>
      <c r="K409" s="32"/>
      <c r="L409" s="27"/>
      <c r="M409" s="33"/>
      <c r="N409" s="32"/>
      <c r="O409" s="33"/>
      <c r="P409" s="32"/>
      <c r="Q409" s="33"/>
      <c r="R409" s="33"/>
      <c r="S409" s="33"/>
      <c r="T409" s="31"/>
    </row>
    <row r="410" spans="1:20" x14ac:dyDescent="0.25">
      <c r="A410" s="3"/>
      <c r="B410" s="58"/>
      <c r="C410" s="59"/>
      <c r="D410" s="3"/>
      <c r="E410" s="3"/>
      <c r="F410" s="3"/>
      <c r="G410" s="3"/>
      <c r="H410" s="3"/>
      <c r="I410" s="3"/>
      <c r="J410" s="32"/>
      <c r="K410" s="32"/>
      <c r="L410" s="27"/>
      <c r="M410" s="33"/>
      <c r="N410" s="32"/>
      <c r="O410" s="33"/>
      <c r="P410" s="32"/>
      <c r="Q410" s="33"/>
      <c r="R410" s="33"/>
      <c r="S410" s="33"/>
      <c r="T410" s="31"/>
    </row>
    <row r="411" spans="1:20" x14ac:dyDescent="0.25">
      <c r="A411" s="3"/>
      <c r="B411" s="58"/>
      <c r="C411" s="59"/>
      <c r="D411" s="3"/>
      <c r="E411" s="3"/>
      <c r="F411" s="3"/>
      <c r="G411" s="3"/>
      <c r="H411" s="3"/>
      <c r="I411" s="3"/>
      <c r="J411" s="32"/>
      <c r="K411" s="32"/>
      <c r="L411" s="27"/>
      <c r="M411" s="33"/>
      <c r="N411" s="32"/>
      <c r="O411" s="33"/>
      <c r="P411" s="32"/>
      <c r="Q411" s="33"/>
      <c r="R411" s="33"/>
      <c r="S411" s="33"/>
      <c r="T411" s="31"/>
    </row>
    <row r="412" spans="1:20" x14ac:dyDescent="0.25">
      <c r="A412" s="3"/>
      <c r="B412" s="58"/>
      <c r="C412" s="59"/>
      <c r="D412" s="3"/>
      <c r="E412" s="3"/>
      <c r="F412" s="3"/>
      <c r="G412" s="3"/>
      <c r="H412" s="3"/>
      <c r="I412" s="3"/>
      <c r="J412" s="32"/>
      <c r="K412" s="32"/>
      <c r="L412" s="27"/>
      <c r="M412" s="33"/>
      <c r="N412" s="32"/>
      <c r="O412" s="33"/>
      <c r="P412" s="32"/>
      <c r="Q412" s="33"/>
      <c r="R412" s="33"/>
      <c r="S412" s="33"/>
      <c r="T412" s="31"/>
    </row>
    <row r="413" spans="1:20" x14ac:dyDescent="0.25">
      <c r="A413" s="3"/>
      <c r="B413" s="58"/>
      <c r="C413" s="59"/>
      <c r="D413" s="3"/>
      <c r="E413" s="3"/>
      <c r="F413" s="3"/>
      <c r="G413" s="3"/>
      <c r="H413" s="3"/>
      <c r="I413" s="3"/>
      <c r="J413" s="32"/>
      <c r="K413" s="32"/>
      <c r="L413" s="27"/>
      <c r="M413" s="33"/>
      <c r="N413" s="32"/>
      <c r="O413" s="33"/>
      <c r="P413" s="32"/>
      <c r="Q413" s="33"/>
      <c r="R413" s="33"/>
      <c r="S413" s="33"/>
      <c r="T413" s="31"/>
    </row>
    <row r="414" spans="1:20" x14ac:dyDescent="0.25">
      <c r="A414" s="3"/>
      <c r="B414" s="58"/>
      <c r="C414" s="59"/>
      <c r="D414" s="3"/>
      <c r="E414" s="3"/>
      <c r="F414" s="3"/>
      <c r="G414" s="3"/>
      <c r="H414" s="3"/>
      <c r="I414" s="3"/>
      <c r="J414" s="32"/>
      <c r="K414" s="32"/>
      <c r="L414" s="27"/>
      <c r="M414" s="33"/>
      <c r="N414" s="32"/>
      <c r="O414" s="33"/>
      <c r="P414" s="32"/>
      <c r="Q414" s="33"/>
      <c r="R414" s="33"/>
      <c r="S414" s="33"/>
      <c r="T414" s="31"/>
    </row>
    <row r="415" spans="1:20" x14ac:dyDescent="0.25">
      <c r="A415" s="3"/>
      <c r="B415" s="58"/>
      <c r="C415" s="59"/>
      <c r="D415" s="3"/>
      <c r="E415" s="3"/>
      <c r="F415" s="3"/>
      <c r="G415" s="3"/>
      <c r="H415" s="3"/>
      <c r="I415" s="3"/>
      <c r="J415" s="32"/>
      <c r="K415" s="32"/>
      <c r="L415" s="27"/>
      <c r="M415" s="33"/>
      <c r="N415" s="32"/>
      <c r="O415" s="33"/>
      <c r="P415" s="32"/>
      <c r="Q415" s="33"/>
      <c r="R415" s="33"/>
      <c r="S415" s="33"/>
      <c r="T415" s="31"/>
    </row>
    <row r="416" spans="1:20" x14ac:dyDescent="0.25">
      <c r="A416" s="3"/>
      <c r="B416" s="58"/>
      <c r="C416" s="59"/>
      <c r="D416" s="3"/>
      <c r="E416" s="3"/>
      <c r="F416" s="3"/>
      <c r="G416" s="3"/>
      <c r="H416" s="3"/>
      <c r="I416" s="3"/>
      <c r="J416" s="32"/>
      <c r="K416" s="32"/>
      <c r="L416" s="27"/>
      <c r="M416" s="33"/>
      <c r="N416" s="32"/>
      <c r="O416" s="33"/>
      <c r="P416" s="32"/>
      <c r="Q416" s="33"/>
      <c r="R416" s="33"/>
      <c r="S416" s="33"/>
      <c r="T416" s="31"/>
    </row>
    <row r="417" spans="1:20" x14ac:dyDescent="0.25">
      <c r="A417" s="3"/>
      <c r="B417" s="58"/>
      <c r="C417" s="59"/>
      <c r="D417" s="3"/>
      <c r="E417" s="3"/>
      <c r="F417" s="3"/>
      <c r="G417" s="3"/>
      <c r="H417" s="3"/>
      <c r="I417" s="3"/>
      <c r="J417" s="32"/>
      <c r="K417" s="32"/>
      <c r="L417" s="27"/>
      <c r="M417" s="33"/>
      <c r="N417" s="32"/>
      <c r="O417" s="33"/>
      <c r="P417" s="32"/>
      <c r="Q417" s="33"/>
      <c r="R417" s="33"/>
      <c r="S417" s="33"/>
      <c r="T417" s="31"/>
    </row>
    <row r="418" spans="1:20" x14ac:dyDescent="0.25">
      <c r="A418" s="3"/>
      <c r="B418" s="58"/>
      <c r="C418" s="59"/>
      <c r="D418" s="3"/>
      <c r="E418" s="3"/>
      <c r="F418" s="3"/>
      <c r="G418" s="3"/>
      <c r="H418" s="3"/>
      <c r="I418" s="3"/>
      <c r="J418" s="32"/>
      <c r="K418" s="32"/>
      <c r="L418" s="27"/>
      <c r="M418" s="33"/>
      <c r="N418" s="32"/>
      <c r="O418" s="33"/>
      <c r="P418" s="32"/>
      <c r="Q418" s="33"/>
      <c r="R418" s="33"/>
      <c r="S418" s="33"/>
      <c r="T418" s="31"/>
    </row>
    <row r="419" spans="1:20" x14ac:dyDescent="0.25">
      <c r="A419" s="3"/>
      <c r="B419" s="58"/>
      <c r="C419" s="59"/>
      <c r="D419" s="3"/>
      <c r="E419" s="3"/>
      <c r="F419" s="3"/>
      <c r="G419" s="3"/>
      <c r="H419" s="3"/>
      <c r="I419" s="3"/>
      <c r="J419" s="32"/>
      <c r="K419" s="32"/>
      <c r="L419" s="27"/>
      <c r="M419" s="33"/>
      <c r="N419" s="32"/>
      <c r="O419" s="33"/>
      <c r="P419" s="32"/>
      <c r="Q419" s="33"/>
      <c r="R419" s="33"/>
      <c r="S419" s="33"/>
      <c r="T419" s="31"/>
    </row>
    <row r="420" spans="1:20" x14ac:dyDescent="0.25">
      <c r="A420" s="3"/>
      <c r="B420" s="58"/>
      <c r="C420" s="59"/>
      <c r="D420" s="3"/>
      <c r="E420" s="3"/>
      <c r="F420" s="3"/>
      <c r="G420" s="3"/>
      <c r="H420" s="3"/>
      <c r="I420" s="3"/>
      <c r="J420" s="32"/>
      <c r="K420" s="32"/>
      <c r="L420" s="27"/>
      <c r="M420" s="33"/>
      <c r="N420" s="32"/>
      <c r="O420" s="33"/>
      <c r="P420" s="32"/>
      <c r="Q420" s="33"/>
      <c r="R420" s="33"/>
      <c r="S420" s="33"/>
      <c r="T420" s="31"/>
    </row>
    <row r="421" spans="1:20" x14ac:dyDescent="0.25">
      <c r="A421" s="3"/>
      <c r="B421" s="58"/>
      <c r="C421" s="59"/>
      <c r="D421" s="3"/>
      <c r="E421" s="3"/>
      <c r="F421" s="3"/>
      <c r="G421" s="3"/>
      <c r="H421" s="3"/>
      <c r="I421" s="3"/>
      <c r="J421" s="32"/>
      <c r="K421" s="32"/>
      <c r="L421" s="27"/>
      <c r="M421" s="33"/>
      <c r="N421" s="32"/>
      <c r="O421" s="33"/>
      <c r="P421" s="32"/>
      <c r="Q421" s="33"/>
      <c r="R421" s="33"/>
      <c r="S421" s="33"/>
      <c r="T421" s="31"/>
    </row>
    <row r="422" spans="1:20" x14ac:dyDescent="0.25">
      <c r="A422" s="3"/>
      <c r="B422" s="58"/>
      <c r="C422" s="59"/>
      <c r="D422" s="3"/>
      <c r="E422" s="3"/>
      <c r="F422" s="3"/>
      <c r="G422" s="3"/>
      <c r="H422" s="3"/>
      <c r="I422" s="3"/>
      <c r="J422" s="32"/>
      <c r="K422" s="32"/>
      <c r="L422" s="27"/>
      <c r="M422" s="33"/>
      <c r="N422" s="32"/>
      <c r="O422" s="33"/>
      <c r="P422" s="32"/>
      <c r="Q422" s="33"/>
      <c r="R422" s="33"/>
      <c r="S422" s="33"/>
      <c r="T422" s="31"/>
    </row>
    <row r="423" spans="1:20" x14ac:dyDescent="0.25">
      <c r="A423" s="3"/>
      <c r="B423" s="58"/>
      <c r="C423" s="59"/>
      <c r="D423" s="3"/>
      <c r="E423" s="3"/>
      <c r="F423" s="3"/>
      <c r="G423" s="3"/>
      <c r="H423" s="3"/>
      <c r="I423" s="3"/>
      <c r="J423" s="32"/>
      <c r="K423" s="32"/>
      <c r="L423" s="27"/>
      <c r="M423" s="33"/>
      <c r="N423" s="32"/>
      <c r="O423" s="33"/>
      <c r="P423" s="32"/>
      <c r="Q423" s="33"/>
      <c r="R423" s="33"/>
      <c r="S423" s="33"/>
      <c r="T423" s="31"/>
    </row>
    <row r="424" spans="1:20" x14ac:dyDescent="0.25">
      <c r="A424" s="3"/>
      <c r="B424" s="58"/>
      <c r="C424" s="59"/>
      <c r="D424" s="3"/>
      <c r="E424" s="3"/>
      <c r="F424" s="3"/>
      <c r="G424" s="3"/>
      <c r="H424" s="3"/>
      <c r="I424" s="3"/>
      <c r="J424" s="32"/>
      <c r="K424" s="32"/>
      <c r="L424" s="27"/>
      <c r="M424" s="33"/>
      <c r="N424" s="32"/>
      <c r="O424" s="33"/>
      <c r="P424" s="32"/>
      <c r="Q424" s="33"/>
      <c r="R424" s="33"/>
      <c r="S424" s="33"/>
      <c r="T424" s="31"/>
    </row>
    <row r="425" spans="1:20" x14ac:dyDescent="0.25">
      <c r="A425" s="3"/>
      <c r="B425" s="58"/>
      <c r="C425" s="59"/>
      <c r="D425" s="3"/>
      <c r="E425" s="3"/>
      <c r="F425" s="3"/>
      <c r="G425" s="3"/>
      <c r="H425" s="3"/>
      <c r="I425" s="3"/>
      <c r="J425" s="32"/>
      <c r="K425" s="32"/>
      <c r="L425" s="27"/>
      <c r="M425" s="33"/>
      <c r="N425" s="32"/>
      <c r="O425" s="33"/>
      <c r="P425" s="32"/>
      <c r="Q425" s="33"/>
      <c r="R425" s="33"/>
      <c r="S425" s="33"/>
      <c r="T425" s="31"/>
    </row>
    <row r="426" spans="1:20" x14ac:dyDescent="0.25">
      <c r="A426" s="3"/>
      <c r="B426" s="58"/>
      <c r="C426" s="59"/>
      <c r="D426" s="3"/>
      <c r="E426" s="3"/>
      <c r="F426" s="3"/>
      <c r="G426" s="3"/>
      <c r="H426" s="3"/>
      <c r="I426" s="3"/>
      <c r="J426" s="32"/>
      <c r="K426" s="32"/>
      <c r="L426" s="27"/>
      <c r="M426" s="33"/>
      <c r="N426" s="32"/>
      <c r="O426" s="33"/>
      <c r="P426" s="32"/>
      <c r="Q426" s="33"/>
      <c r="R426" s="33"/>
      <c r="S426" s="33"/>
      <c r="T426" s="31"/>
    </row>
    <row r="427" spans="1:20" x14ac:dyDescent="0.25">
      <c r="A427" s="3"/>
      <c r="B427" s="58"/>
      <c r="C427" s="59"/>
      <c r="D427" s="3"/>
      <c r="E427" s="3"/>
      <c r="F427" s="3"/>
      <c r="G427" s="3"/>
      <c r="H427" s="3"/>
      <c r="I427" s="3"/>
      <c r="J427" s="32"/>
      <c r="K427" s="32"/>
      <c r="L427" s="27"/>
      <c r="M427" s="33"/>
      <c r="N427" s="32"/>
      <c r="O427" s="33"/>
      <c r="P427" s="32"/>
      <c r="Q427" s="33"/>
      <c r="R427" s="33"/>
      <c r="S427" s="33"/>
      <c r="T427" s="31"/>
    </row>
    <row r="428" spans="1:20" x14ac:dyDescent="0.25">
      <c r="A428" s="3"/>
      <c r="B428" s="58"/>
      <c r="C428" s="59"/>
      <c r="D428" s="3"/>
      <c r="E428" s="3"/>
      <c r="F428" s="3"/>
      <c r="G428" s="3"/>
      <c r="H428" s="3"/>
      <c r="I428" s="3"/>
      <c r="J428" s="32"/>
      <c r="K428" s="32"/>
      <c r="L428" s="27"/>
      <c r="M428" s="33"/>
      <c r="N428" s="32"/>
      <c r="O428" s="33"/>
      <c r="P428" s="32"/>
      <c r="Q428" s="33"/>
      <c r="R428" s="33"/>
      <c r="S428" s="33"/>
      <c r="T428" s="31"/>
    </row>
    <row r="429" spans="1:20" x14ac:dyDescent="0.25">
      <c r="A429" s="3"/>
      <c r="B429" s="58"/>
      <c r="C429" s="59"/>
      <c r="D429" s="3"/>
      <c r="E429" s="3"/>
      <c r="F429" s="3"/>
      <c r="G429" s="3"/>
      <c r="H429" s="3"/>
      <c r="I429" s="3"/>
      <c r="J429" s="32"/>
      <c r="K429" s="32"/>
      <c r="L429" s="27"/>
      <c r="M429" s="33"/>
      <c r="N429" s="32"/>
      <c r="O429" s="33"/>
      <c r="P429" s="32"/>
      <c r="Q429" s="33"/>
      <c r="R429" s="33"/>
      <c r="S429" s="33"/>
      <c r="T429" s="31"/>
    </row>
    <row r="430" spans="1:20" x14ac:dyDescent="0.25">
      <c r="A430" s="3"/>
      <c r="B430" s="58"/>
      <c r="C430" s="59"/>
      <c r="D430" s="3"/>
      <c r="E430" s="3"/>
      <c r="F430" s="3"/>
      <c r="G430" s="3"/>
      <c r="H430" s="3"/>
      <c r="I430" s="3"/>
      <c r="J430" s="32"/>
      <c r="K430" s="32"/>
      <c r="L430" s="27"/>
      <c r="M430" s="33"/>
      <c r="N430" s="32"/>
      <c r="O430" s="33"/>
      <c r="P430" s="32"/>
      <c r="Q430" s="33"/>
      <c r="R430" s="33"/>
      <c r="S430" s="33"/>
      <c r="T430" s="31"/>
    </row>
    <row r="431" spans="1:20" x14ac:dyDescent="0.25">
      <c r="A431" s="3"/>
      <c r="B431" s="58"/>
      <c r="C431" s="59"/>
      <c r="D431" s="3"/>
      <c r="E431" s="3"/>
      <c r="F431" s="3"/>
      <c r="G431" s="3"/>
      <c r="H431" s="3"/>
      <c r="I431" s="3"/>
      <c r="J431" s="32"/>
      <c r="K431" s="32"/>
      <c r="L431" s="27"/>
      <c r="M431" s="33"/>
      <c r="N431" s="32"/>
      <c r="O431" s="33"/>
      <c r="P431" s="32"/>
      <c r="Q431" s="33"/>
      <c r="R431" s="33"/>
      <c r="S431" s="33"/>
      <c r="T431" s="31"/>
    </row>
    <row r="432" spans="1:20" x14ac:dyDescent="0.25">
      <c r="A432" s="3"/>
      <c r="B432" s="58"/>
      <c r="C432" s="59"/>
      <c r="D432" s="3"/>
      <c r="E432" s="3"/>
      <c r="F432" s="3"/>
      <c r="G432" s="3"/>
      <c r="H432" s="3"/>
      <c r="I432" s="3"/>
      <c r="J432" s="32"/>
      <c r="K432" s="32"/>
      <c r="L432" s="27"/>
      <c r="M432" s="33"/>
      <c r="N432" s="32"/>
      <c r="O432" s="33"/>
      <c r="P432" s="32"/>
      <c r="Q432" s="33"/>
      <c r="R432" s="33"/>
      <c r="S432" s="33"/>
      <c r="T432" s="31"/>
    </row>
    <row r="433" spans="1:20" x14ac:dyDescent="0.25">
      <c r="A433" s="3"/>
      <c r="B433" s="58"/>
      <c r="C433" s="59"/>
      <c r="D433" s="3"/>
      <c r="E433" s="3"/>
      <c r="F433" s="3"/>
      <c r="G433" s="3"/>
      <c r="H433" s="3"/>
      <c r="I433" s="3"/>
      <c r="J433" s="32"/>
      <c r="K433" s="32"/>
      <c r="L433" s="27"/>
      <c r="M433" s="33"/>
      <c r="N433" s="32"/>
      <c r="O433" s="33"/>
      <c r="P433" s="32"/>
      <c r="Q433" s="33"/>
      <c r="R433" s="33"/>
      <c r="S433" s="33"/>
      <c r="T433" s="31"/>
    </row>
    <row r="434" spans="1:20" x14ac:dyDescent="0.25">
      <c r="A434" s="3"/>
      <c r="B434" s="58"/>
      <c r="C434" s="59"/>
      <c r="D434" s="3"/>
      <c r="E434" s="3"/>
      <c r="F434" s="3"/>
      <c r="G434" s="3"/>
      <c r="H434" s="3"/>
      <c r="I434" s="3"/>
      <c r="J434" s="32"/>
      <c r="K434" s="32"/>
      <c r="L434" s="27"/>
      <c r="M434" s="33"/>
      <c r="N434" s="32"/>
      <c r="O434" s="33"/>
      <c r="P434" s="32"/>
      <c r="Q434" s="33"/>
      <c r="R434" s="33"/>
      <c r="S434" s="33"/>
      <c r="T434" s="31"/>
    </row>
    <row r="435" spans="1:20" x14ac:dyDescent="0.25">
      <c r="A435" s="3"/>
      <c r="B435" s="58"/>
      <c r="C435" s="59"/>
      <c r="D435" s="3"/>
      <c r="E435" s="3"/>
      <c r="F435" s="3"/>
      <c r="G435" s="3"/>
      <c r="H435" s="3"/>
      <c r="I435" s="3"/>
      <c r="J435" s="32"/>
      <c r="K435" s="32"/>
      <c r="L435" s="27"/>
      <c r="M435" s="33"/>
      <c r="N435" s="32"/>
      <c r="O435" s="33"/>
      <c r="P435" s="32"/>
      <c r="Q435" s="33"/>
      <c r="R435" s="33"/>
      <c r="S435" s="33"/>
      <c r="T435" s="31"/>
    </row>
    <row r="436" spans="1:20" x14ac:dyDescent="0.25">
      <c r="A436" s="3"/>
      <c r="B436" s="58"/>
      <c r="C436" s="59"/>
      <c r="D436" s="3"/>
      <c r="E436" s="3"/>
      <c r="F436" s="3"/>
      <c r="G436" s="3"/>
      <c r="H436" s="3"/>
      <c r="I436" s="3"/>
      <c r="J436" s="32"/>
      <c r="K436" s="32"/>
      <c r="L436" s="27"/>
      <c r="M436" s="33"/>
      <c r="N436" s="32"/>
      <c r="O436" s="33"/>
      <c r="P436" s="32"/>
      <c r="Q436" s="33"/>
      <c r="R436" s="33"/>
      <c r="S436" s="33"/>
      <c r="T436" s="31"/>
    </row>
    <row r="437" spans="1:20" x14ac:dyDescent="0.25">
      <c r="A437" s="3"/>
      <c r="B437" s="58"/>
      <c r="C437" s="59"/>
      <c r="D437" s="3"/>
      <c r="E437" s="3"/>
      <c r="F437" s="3"/>
      <c r="G437" s="3"/>
      <c r="H437" s="3"/>
      <c r="I437" s="3"/>
      <c r="J437" s="32"/>
      <c r="K437" s="32"/>
      <c r="L437" s="27"/>
      <c r="M437" s="33"/>
      <c r="N437" s="32"/>
      <c r="O437" s="33"/>
      <c r="P437" s="32"/>
      <c r="Q437" s="33"/>
      <c r="R437" s="33"/>
      <c r="S437" s="33"/>
      <c r="T437" s="31"/>
    </row>
    <row r="438" spans="1:20" x14ac:dyDescent="0.25">
      <c r="A438" s="3"/>
      <c r="B438" s="58"/>
      <c r="C438" s="59"/>
      <c r="D438" s="3"/>
      <c r="E438" s="3"/>
      <c r="F438" s="3"/>
      <c r="G438" s="3"/>
      <c r="H438" s="3"/>
      <c r="I438" s="3"/>
      <c r="J438" s="32"/>
      <c r="K438" s="32"/>
      <c r="L438" s="27"/>
      <c r="M438" s="33"/>
      <c r="N438" s="32"/>
      <c r="O438" s="33"/>
      <c r="P438" s="32"/>
      <c r="Q438" s="33"/>
      <c r="R438" s="33"/>
      <c r="S438" s="33"/>
      <c r="T438" s="31"/>
    </row>
    <row r="439" spans="1:20" x14ac:dyDescent="0.25">
      <c r="A439" s="3"/>
      <c r="B439" s="58"/>
      <c r="C439" s="59"/>
      <c r="D439" s="3"/>
      <c r="E439" s="3"/>
      <c r="F439" s="3"/>
      <c r="G439" s="3"/>
      <c r="H439" s="3"/>
      <c r="I439" s="3"/>
      <c r="J439" s="32"/>
      <c r="K439" s="32"/>
      <c r="L439" s="27"/>
      <c r="M439" s="33"/>
      <c r="N439" s="32"/>
      <c r="O439" s="33"/>
      <c r="P439" s="32"/>
      <c r="Q439" s="33"/>
      <c r="R439" s="33"/>
      <c r="S439" s="33"/>
      <c r="T439" s="31"/>
    </row>
    <row r="440" spans="1:20" x14ac:dyDescent="0.25">
      <c r="A440" s="3"/>
      <c r="B440" s="58"/>
      <c r="C440" s="59"/>
      <c r="D440" s="3"/>
      <c r="E440" s="3"/>
      <c r="F440" s="3"/>
      <c r="G440" s="3"/>
      <c r="H440" s="3"/>
      <c r="I440" s="3"/>
      <c r="J440" s="32"/>
      <c r="K440" s="32"/>
      <c r="L440" s="27"/>
      <c r="M440" s="33"/>
      <c r="N440" s="32"/>
      <c r="O440" s="33"/>
      <c r="P440" s="32"/>
      <c r="Q440" s="33"/>
      <c r="R440" s="33"/>
      <c r="S440" s="33"/>
      <c r="T440" s="31"/>
    </row>
    <row r="441" spans="1:20" x14ac:dyDescent="0.25">
      <c r="A441" s="3"/>
      <c r="B441" s="58"/>
      <c r="C441" s="59"/>
      <c r="D441" s="3"/>
      <c r="E441" s="3"/>
      <c r="F441" s="3"/>
      <c r="G441" s="3"/>
      <c r="H441" s="3"/>
      <c r="I441" s="3"/>
      <c r="J441" s="32"/>
      <c r="K441" s="32"/>
      <c r="L441" s="27"/>
      <c r="M441" s="33"/>
      <c r="N441" s="32"/>
      <c r="O441" s="33"/>
      <c r="P441" s="32"/>
      <c r="Q441" s="33"/>
      <c r="R441" s="33"/>
      <c r="S441" s="33"/>
      <c r="T441" s="31"/>
    </row>
    <row r="442" spans="1:20" x14ac:dyDescent="0.25">
      <c r="A442" s="3"/>
      <c r="B442" s="58"/>
      <c r="C442" s="59"/>
      <c r="D442" s="3"/>
      <c r="E442" s="3"/>
      <c r="F442" s="3"/>
      <c r="G442" s="3"/>
      <c r="H442" s="3"/>
      <c r="I442" s="3"/>
      <c r="J442" s="32"/>
      <c r="K442" s="32"/>
      <c r="L442" s="27"/>
      <c r="M442" s="33"/>
      <c r="N442" s="32"/>
      <c r="O442" s="33"/>
      <c r="P442" s="32"/>
      <c r="Q442" s="33"/>
      <c r="R442" s="33"/>
      <c r="S442" s="33"/>
      <c r="T442" s="31"/>
    </row>
    <row r="443" spans="1:20" x14ac:dyDescent="0.25">
      <c r="A443" s="3"/>
      <c r="B443" s="58"/>
      <c r="C443" s="59"/>
      <c r="D443" s="3"/>
      <c r="E443" s="3"/>
      <c r="F443" s="3"/>
      <c r="G443" s="3"/>
      <c r="H443" s="3"/>
      <c r="I443" s="3"/>
      <c r="J443" s="32"/>
      <c r="K443" s="32"/>
      <c r="L443" s="27"/>
      <c r="M443" s="33"/>
      <c r="N443" s="32"/>
      <c r="O443" s="33"/>
      <c r="P443" s="32"/>
      <c r="Q443" s="33"/>
      <c r="R443" s="33"/>
      <c r="S443" s="33"/>
      <c r="T443" s="31"/>
    </row>
    <row r="444" spans="1:20" x14ac:dyDescent="0.25">
      <c r="A444" s="3"/>
      <c r="B444" s="58"/>
      <c r="C444" s="59"/>
      <c r="D444" s="3"/>
      <c r="E444" s="3"/>
      <c r="F444" s="3"/>
      <c r="G444" s="3"/>
      <c r="H444" s="3"/>
      <c r="I444" s="3"/>
      <c r="J444" s="32"/>
      <c r="K444" s="32"/>
      <c r="L444" s="27"/>
      <c r="M444" s="33"/>
      <c r="N444" s="32"/>
      <c r="O444" s="33"/>
      <c r="P444" s="32"/>
      <c r="Q444" s="33"/>
      <c r="R444" s="33"/>
      <c r="S444" s="33"/>
      <c r="T444" s="31"/>
    </row>
    <row r="445" spans="1:20" x14ac:dyDescent="0.25">
      <c r="A445" s="3"/>
      <c r="B445" s="58"/>
      <c r="C445" s="59"/>
      <c r="D445" s="3"/>
      <c r="E445" s="3"/>
      <c r="F445" s="3"/>
      <c r="G445" s="3"/>
      <c r="H445" s="3"/>
      <c r="I445" s="3"/>
      <c r="J445" s="32"/>
      <c r="K445" s="32"/>
      <c r="L445" s="27"/>
      <c r="M445" s="33"/>
      <c r="N445" s="32"/>
      <c r="O445" s="33"/>
      <c r="P445" s="32"/>
      <c r="Q445" s="33"/>
      <c r="R445" s="33"/>
      <c r="S445" s="33"/>
      <c r="T445" s="31"/>
    </row>
    <row r="446" spans="1:20" x14ac:dyDescent="0.25">
      <c r="A446" s="3"/>
      <c r="B446" s="58"/>
      <c r="C446" s="59"/>
      <c r="D446" s="3"/>
      <c r="E446" s="3"/>
      <c r="F446" s="3"/>
      <c r="G446" s="3"/>
      <c r="H446" s="3"/>
      <c r="I446" s="3"/>
      <c r="J446" s="32"/>
      <c r="K446" s="32"/>
      <c r="L446" s="27"/>
      <c r="M446" s="33"/>
      <c r="N446" s="32"/>
      <c r="O446" s="33"/>
      <c r="P446" s="32"/>
      <c r="Q446" s="33"/>
      <c r="R446" s="33"/>
      <c r="S446" s="33"/>
      <c r="T446" s="31"/>
    </row>
    <row r="447" spans="1:20" x14ac:dyDescent="0.25">
      <c r="A447" s="3"/>
      <c r="B447" s="58"/>
      <c r="C447" s="59"/>
      <c r="D447" s="3"/>
      <c r="E447" s="3"/>
      <c r="F447" s="3"/>
      <c r="G447" s="3"/>
      <c r="H447" s="3"/>
      <c r="I447" s="3"/>
      <c r="J447" s="32"/>
      <c r="K447" s="32"/>
      <c r="L447" s="27"/>
      <c r="M447" s="33"/>
      <c r="N447" s="32"/>
      <c r="O447" s="33"/>
      <c r="P447" s="32"/>
      <c r="Q447" s="33"/>
      <c r="R447" s="33"/>
      <c r="S447" s="33"/>
      <c r="T447" s="31"/>
    </row>
    <row r="448" spans="1:20" x14ac:dyDescent="0.25">
      <c r="A448" s="3"/>
      <c r="B448" s="58"/>
      <c r="C448" s="59"/>
      <c r="D448" s="3"/>
      <c r="E448" s="3"/>
      <c r="F448" s="3"/>
      <c r="G448" s="3"/>
      <c r="H448" s="3"/>
      <c r="I448" s="3"/>
      <c r="J448" s="32"/>
      <c r="K448" s="32"/>
      <c r="L448" s="27"/>
      <c r="M448" s="33"/>
      <c r="N448" s="32"/>
      <c r="O448" s="33"/>
      <c r="P448" s="32"/>
      <c r="Q448" s="33"/>
      <c r="R448" s="33"/>
      <c r="S448" s="33"/>
      <c r="T448" s="31"/>
    </row>
    <row r="449" spans="1:20" x14ac:dyDescent="0.25">
      <c r="A449" s="3"/>
      <c r="B449" s="58"/>
      <c r="C449" s="59"/>
      <c r="D449" s="3"/>
      <c r="E449" s="3"/>
      <c r="F449" s="3"/>
      <c r="G449" s="3"/>
      <c r="H449" s="3"/>
      <c r="I449" s="3"/>
      <c r="J449" s="32"/>
      <c r="K449" s="32"/>
      <c r="L449" s="27"/>
      <c r="M449" s="33"/>
      <c r="N449" s="32"/>
      <c r="O449" s="33"/>
      <c r="P449" s="32"/>
      <c r="Q449" s="33"/>
      <c r="R449" s="33"/>
      <c r="S449" s="33"/>
      <c r="T449" s="31"/>
    </row>
    <row r="450" spans="1:20" x14ac:dyDescent="0.25">
      <c r="A450" s="3"/>
      <c r="B450" s="58"/>
      <c r="C450" s="59"/>
      <c r="D450" s="3"/>
      <c r="E450" s="3"/>
      <c r="F450" s="3"/>
      <c r="G450" s="3"/>
      <c r="H450" s="3"/>
      <c r="I450" s="3"/>
      <c r="J450" s="32"/>
      <c r="K450" s="32"/>
      <c r="L450" s="27"/>
      <c r="M450" s="33"/>
      <c r="N450" s="32"/>
      <c r="O450" s="33"/>
      <c r="P450" s="32"/>
      <c r="Q450" s="33"/>
      <c r="R450" s="33"/>
      <c r="S450" s="33"/>
      <c r="T450" s="31"/>
    </row>
    <row r="451" spans="1:20" x14ac:dyDescent="0.25">
      <c r="A451" s="3"/>
      <c r="B451" s="58"/>
      <c r="C451" s="59"/>
      <c r="D451" s="3"/>
      <c r="E451" s="3"/>
      <c r="F451" s="3"/>
      <c r="G451" s="3"/>
      <c r="H451" s="3"/>
      <c r="I451" s="3"/>
      <c r="J451" s="32"/>
      <c r="K451" s="32"/>
      <c r="L451" s="27"/>
      <c r="M451" s="33"/>
      <c r="N451" s="32"/>
      <c r="O451" s="33"/>
      <c r="P451" s="32"/>
      <c r="Q451" s="33"/>
      <c r="R451" s="33"/>
      <c r="S451" s="33"/>
      <c r="T451" s="31"/>
    </row>
    <row r="452" spans="1:20" x14ac:dyDescent="0.25">
      <c r="A452" s="3"/>
      <c r="B452" s="58"/>
      <c r="C452" s="59"/>
      <c r="D452" s="3"/>
      <c r="E452" s="3"/>
      <c r="F452" s="3"/>
      <c r="G452" s="3"/>
      <c r="H452" s="3"/>
      <c r="I452" s="3"/>
      <c r="J452" s="32"/>
      <c r="K452" s="32"/>
      <c r="L452" s="27"/>
      <c r="M452" s="33"/>
      <c r="N452" s="32"/>
      <c r="O452" s="33"/>
      <c r="P452" s="32"/>
      <c r="Q452" s="33"/>
      <c r="R452" s="33"/>
      <c r="S452" s="33"/>
      <c r="T452" s="31"/>
    </row>
    <row r="453" spans="1:20" x14ac:dyDescent="0.25">
      <c r="A453" s="3"/>
      <c r="B453" s="58"/>
      <c r="C453" s="59"/>
      <c r="D453" s="3"/>
      <c r="E453" s="3"/>
      <c r="F453" s="3"/>
      <c r="G453" s="3"/>
      <c r="H453" s="3"/>
      <c r="I453" s="3"/>
      <c r="J453" s="32"/>
      <c r="K453" s="32"/>
      <c r="L453" s="27"/>
      <c r="M453" s="33"/>
      <c r="N453" s="32"/>
      <c r="O453" s="33"/>
      <c r="P453" s="32"/>
      <c r="Q453" s="33"/>
      <c r="R453" s="33"/>
      <c r="S453" s="33"/>
      <c r="T453" s="31"/>
    </row>
    <row r="454" spans="1:20" x14ac:dyDescent="0.25">
      <c r="A454" s="3"/>
      <c r="B454" s="58"/>
      <c r="C454" s="59"/>
      <c r="D454" s="3"/>
      <c r="E454" s="3"/>
      <c r="F454" s="3"/>
      <c r="G454" s="3"/>
      <c r="H454" s="3"/>
      <c r="I454" s="3"/>
      <c r="J454" s="32"/>
      <c r="K454" s="32"/>
      <c r="L454" s="27"/>
      <c r="M454" s="33"/>
      <c r="N454" s="32"/>
      <c r="O454" s="33"/>
      <c r="P454" s="32"/>
      <c r="Q454" s="33"/>
      <c r="R454" s="33"/>
      <c r="S454" s="33"/>
      <c r="T454" s="31"/>
    </row>
    <row r="455" spans="1:20" x14ac:dyDescent="0.25">
      <c r="A455" s="3"/>
      <c r="B455" s="58"/>
      <c r="C455" s="59"/>
      <c r="D455" s="3"/>
      <c r="E455" s="3"/>
      <c r="F455" s="3"/>
      <c r="G455" s="3"/>
      <c r="H455" s="3"/>
      <c r="I455" s="3"/>
      <c r="J455" s="32"/>
      <c r="K455" s="32"/>
      <c r="L455" s="27"/>
      <c r="M455" s="33"/>
      <c r="N455" s="32"/>
      <c r="O455" s="33"/>
      <c r="P455" s="32"/>
      <c r="Q455" s="33"/>
      <c r="R455" s="33"/>
      <c r="S455" s="33"/>
      <c r="T455" s="31"/>
    </row>
    <row r="456" spans="1:20" x14ac:dyDescent="0.25">
      <c r="A456" s="3"/>
      <c r="B456" s="58"/>
      <c r="C456" s="59"/>
      <c r="D456" s="3"/>
      <c r="E456" s="3"/>
      <c r="F456" s="3"/>
      <c r="G456" s="3"/>
      <c r="H456" s="3"/>
      <c r="I456" s="3"/>
      <c r="J456" s="32"/>
      <c r="K456" s="32"/>
      <c r="L456" s="27"/>
      <c r="M456" s="33"/>
      <c r="N456" s="32"/>
      <c r="O456" s="33"/>
      <c r="P456" s="32"/>
      <c r="Q456" s="33"/>
      <c r="R456" s="33"/>
      <c r="S456" s="33"/>
      <c r="T456" s="31"/>
    </row>
    <row r="457" spans="1:20" x14ac:dyDescent="0.25">
      <c r="A457" s="3"/>
      <c r="B457" s="58"/>
      <c r="C457" s="59"/>
      <c r="D457" s="3"/>
      <c r="E457" s="3"/>
      <c r="F457" s="3"/>
      <c r="G457" s="3"/>
      <c r="H457" s="3"/>
      <c r="I457" s="3"/>
      <c r="J457" s="32"/>
      <c r="K457" s="32"/>
      <c r="L457" s="27"/>
      <c r="M457" s="33"/>
      <c r="N457" s="32"/>
      <c r="O457" s="33"/>
      <c r="P457" s="32"/>
      <c r="Q457" s="33"/>
      <c r="R457" s="33"/>
      <c r="S457" s="33"/>
      <c r="T457" s="31"/>
    </row>
    <row r="458" spans="1:20" x14ac:dyDescent="0.25">
      <c r="A458" s="3"/>
      <c r="B458" s="58"/>
      <c r="C458" s="59"/>
      <c r="D458" s="3"/>
      <c r="E458" s="3"/>
      <c r="F458" s="3"/>
      <c r="G458" s="3"/>
      <c r="H458" s="3"/>
      <c r="I458" s="3"/>
      <c r="J458" s="32"/>
      <c r="K458" s="32"/>
      <c r="L458" s="27"/>
      <c r="M458" s="33"/>
      <c r="N458" s="32"/>
      <c r="O458" s="33"/>
      <c r="P458" s="32"/>
      <c r="Q458" s="33"/>
      <c r="R458" s="33"/>
      <c r="S458" s="33"/>
      <c r="T458" s="31"/>
    </row>
    <row r="459" spans="1:20" x14ac:dyDescent="0.25">
      <c r="A459" s="3"/>
      <c r="B459" s="58"/>
      <c r="C459" s="59"/>
      <c r="D459" s="3"/>
      <c r="E459" s="3"/>
      <c r="F459" s="3"/>
      <c r="G459" s="3"/>
      <c r="H459" s="3"/>
      <c r="I459" s="3"/>
      <c r="J459" s="32"/>
      <c r="K459" s="32"/>
      <c r="L459" s="27"/>
      <c r="M459" s="33"/>
      <c r="N459" s="32"/>
      <c r="O459" s="33"/>
      <c r="P459" s="32"/>
      <c r="Q459" s="33"/>
      <c r="R459" s="33"/>
      <c r="S459" s="33"/>
      <c r="T459" s="31"/>
    </row>
    <row r="460" spans="1:20" x14ac:dyDescent="0.25">
      <c r="A460" s="3"/>
      <c r="B460" s="58"/>
      <c r="C460" s="59"/>
      <c r="D460" s="3"/>
      <c r="E460" s="3"/>
      <c r="F460" s="3"/>
      <c r="G460" s="3"/>
      <c r="H460" s="3"/>
      <c r="I460" s="3"/>
      <c r="J460" s="32"/>
      <c r="K460" s="32"/>
      <c r="L460" s="27"/>
      <c r="M460" s="33"/>
      <c r="N460" s="32"/>
      <c r="O460" s="33"/>
      <c r="P460" s="32"/>
      <c r="Q460" s="33"/>
      <c r="R460" s="33"/>
      <c r="S460" s="33"/>
      <c r="T460" s="31"/>
    </row>
    <row r="461" spans="1:20" x14ac:dyDescent="0.25">
      <c r="A461" s="3"/>
      <c r="B461" s="58"/>
      <c r="C461" s="59"/>
      <c r="D461" s="3"/>
      <c r="E461" s="3"/>
      <c r="F461" s="3"/>
      <c r="G461" s="3"/>
      <c r="H461" s="3"/>
      <c r="I461" s="3"/>
      <c r="J461" s="32"/>
      <c r="K461" s="32"/>
      <c r="L461" s="27"/>
      <c r="M461" s="33"/>
      <c r="N461" s="32"/>
      <c r="O461" s="33"/>
      <c r="P461" s="32"/>
      <c r="Q461" s="33"/>
      <c r="R461" s="33"/>
      <c r="S461" s="33"/>
      <c r="T461" s="31"/>
    </row>
    <row r="462" spans="1:20" x14ac:dyDescent="0.25">
      <c r="A462" s="3"/>
      <c r="B462" s="58"/>
      <c r="C462" s="59"/>
      <c r="D462" s="3"/>
      <c r="E462" s="3"/>
      <c r="F462" s="3"/>
      <c r="G462" s="3"/>
      <c r="H462" s="3"/>
      <c r="I462" s="3"/>
      <c r="J462" s="32"/>
      <c r="K462" s="32"/>
      <c r="L462" s="27"/>
      <c r="M462" s="33"/>
      <c r="N462" s="32"/>
      <c r="O462" s="33"/>
      <c r="P462" s="32"/>
      <c r="Q462" s="33"/>
      <c r="R462" s="33"/>
      <c r="S462" s="33"/>
      <c r="T462" s="31"/>
    </row>
    <row r="463" spans="1:20" x14ac:dyDescent="0.25">
      <c r="A463" s="3"/>
      <c r="B463" s="58"/>
      <c r="C463" s="59"/>
      <c r="D463" s="3"/>
      <c r="E463" s="3"/>
      <c r="F463" s="3"/>
      <c r="G463" s="3"/>
      <c r="H463" s="3"/>
      <c r="I463" s="3"/>
      <c r="J463" s="32"/>
      <c r="K463" s="32"/>
      <c r="L463" s="27"/>
      <c r="M463" s="33"/>
      <c r="N463" s="32"/>
      <c r="O463" s="33"/>
      <c r="P463" s="32"/>
      <c r="Q463" s="33"/>
      <c r="R463" s="33"/>
      <c r="S463" s="33"/>
      <c r="T463" s="31"/>
    </row>
    <row r="464" spans="1:20" x14ac:dyDescent="0.25">
      <c r="A464" s="3"/>
      <c r="B464" s="58"/>
      <c r="C464" s="59"/>
      <c r="D464" s="3"/>
      <c r="E464" s="3"/>
      <c r="F464" s="3"/>
      <c r="G464" s="3"/>
      <c r="H464" s="3"/>
      <c r="I464" s="3"/>
      <c r="J464" s="32"/>
      <c r="K464" s="32"/>
      <c r="L464" s="27"/>
      <c r="M464" s="33"/>
      <c r="N464" s="32"/>
      <c r="O464" s="33"/>
      <c r="P464" s="32"/>
      <c r="Q464" s="33"/>
      <c r="R464" s="33"/>
      <c r="S464" s="33"/>
      <c r="T464" s="31"/>
    </row>
    <row r="465" spans="1:20" x14ac:dyDescent="0.25">
      <c r="A465" s="3"/>
      <c r="B465" s="58"/>
      <c r="C465" s="59"/>
      <c r="D465" s="3"/>
      <c r="E465" s="3"/>
      <c r="F465" s="3"/>
      <c r="G465" s="3"/>
      <c r="H465" s="3"/>
      <c r="I465" s="3"/>
      <c r="J465" s="32"/>
      <c r="K465" s="32"/>
      <c r="L465" s="27"/>
      <c r="M465" s="33"/>
      <c r="N465" s="32"/>
      <c r="O465" s="33"/>
      <c r="P465" s="32"/>
      <c r="Q465" s="33"/>
      <c r="R465" s="33"/>
      <c r="S465" s="33"/>
      <c r="T465" s="31"/>
    </row>
    <row r="466" spans="1:20" x14ac:dyDescent="0.25">
      <c r="A466" s="3"/>
      <c r="B466" s="58"/>
      <c r="C466" s="59"/>
      <c r="D466" s="3"/>
      <c r="E466" s="3"/>
      <c r="F466" s="3"/>
      <c r="G466" s="3"/>
      <c r="H466" s="3"/>
      <c r="I466" s="3"/>
      <c r="J466" s="32"/>
      <c r="K466" s="32"/>
      <c r="L466" s="27"/>
      <c r="M466" s="33"/>
      <c r="N466" s="32"/>
      <c r="O466" s="33"/>
      <c r="P466" s="32"/>
      <c r="Q466" s="33"/>
      <c r="R466" s="33"/>
      <c r="S466" s="33"/>
      <c r="T466" s="31"/>
    </row>
    <row r="467" spans="1:20" x14ac:dyDescent="0.25">
      <c r="A467" s="3"/>
      <c r="B467" s="58"/>
      <c r="C467" s="59"/>
      <c r="D467" s="3"/>
      <c r="E467" s="3"/>
      <c r="F467" s="3"/>
      <c r="G467" s="3"/>
      <c r="H467" s="3"/>
      <c r="I467" s="3"/>
      <c r="J467" s="32"/>
      <c r="K467" s="32"/>
      <c r="L467" s="27"/>
      <c r="M467" s="33"/>
      <c r="N467" s="32"/>
      <c r="O467" s="33"/>
      <c r="P467" s="32"/>
      <c r="Q467" s="33"/>
      <c r="R467" s="33"/>
      <c r="S467" s="33"/>
      <c r="T467" s="31"/>
    </row>
    <row r="468" spans="1:20" x14ac:dyDescent="0.25">
      <c r="A468" s="3"/>
      <c r="B468" s="58"/>
      <c r="C468" s="59"/>
      <c r="D468" s="3"/>
      <c r="E468" s="3"/>
      <c r="F468" s="3"/>
      <c r="G468" s="3"/>
      <c r="H468" s="3"/>
      <c r="I468" s="3"/>
      <c r="J468" s="32"/>
      <c r="K468" s="32"/>
      <c r="L468" s="27"/>
      <c r="M468" s="33"/>
      <c r="N468" s="32"/>
      <c r="O468" s="33"/>
      <c r="P468" s="32"/>
      <c r="Q468" s="33"/>
      <c r="R468" s="33"/>
      <c r="S468" s="33"/>
      <c r="T468" s="31"/>
    </row>
    <row r="469" spans="1:20" x14ac:dyDescent="0.25">
      <c r="A469" s="3"/>
      <c r="B469" s="58"/>
      <c r="C469" s="59"/>
      <c r="D469" s="3"/>
      <c r="E469" s="3"/>
      <c r="F469" s="3"/>
      <c r="G469" s="3"/>
      <c r="H469" s="3"/>
      <c r="I469" s="3"/>
      <c r="J469" s="32"/>
      <c r="K469" s="32"/>
      <c r="L469" s="27"/>
      <c r="M469" s="33"/>
      <c r="N469" s="32"/>
      <c r="O469" s="33"/>
      <c r="P469" s="32"/>
      <c r="Q469" s="33"/>
      <c r="R469" s="33"/>
      <c r="S469" s="33"/>
      <c r="T469" s="31"/>
    </row>
    <row r="470" spans="1:20" x14ac:dyDescent="0.25">
      <c r="A470" s="3"/>
      <c r="B470" s="58"/>
      <c r="C470" s="59"/>
      <c r="D470" s="3"/>
      <c r="E470" s="3"/>
      <c r="F470" s="3"/>
      <c r="G470" s="3"/>
      <c r="H470" s="3"/>
      <c r="I470" s="3"/>
      <c r="J470" s="32"/>
      <c r="K470" s="32"/>
      <c r="L470" s="27"/>
      <c r="M470" s="33"/>
      <c r="N470" s="32"/>
      <c r="O470" s="33"/>
      <c r="P470" s="32"/>
      <c r="Q470" s="33"/>
      <c r="R470" s="33"/>
      <c r="S470" s="33"/>
      <c r="T470" s="31"/>
    </row>
    <row r="471" spans="1:20" x14ac:dyDescent="0.25">
      <c r="A471" s="3"/>
      <c r="B471" s="58"/>
      <c r="C471" s="59"/>
      <c r="D471" s="3"/>
      <c r="E471" s="3"/>
      <c r="F471" s="3"/>
      <c r="G471" s="3"/>
      <c r="H471" s="3"/>
      <c r="I471" s="3"/>
      <c r="J471" s="32"/>
      <c r="K471" s="32"/>
      <c r="L471" s="27"/>
      <c r="M471" s="33"/>
      <c r="N471" s="32"/>
      <c r="O471" s="33"/>
      <c r="P471" s="32"/>
      <c r="Q471" s="33"/>
      <c r="R471" s="33"/>
      <c r="S471" s="33"/>
      <c r="T471" s="31"/>
    </row>
    <row r="472" spans="1:20" x14ac:dyDescent="0.25">
      <c r="A472" s="3"/>
      <c r="B472" s="58"/>
      <c r="C472" s="59"/>
      <c r="D472" s="3"/>
      <c r="E472" s="3"/>
      <c r="F472" s="3"/>
      <c r="G472" s="3"/>
      <c r="H472" s="3"/>
      <c r="I472" s="3"/>
      <c r="J472" s="32"/>
      <c r="K472" s="32"/>
      <c r="L472" s="27"/>
      <c r="M472" s="33"/>
      <c r="N472" s="32"/>
      <c r="O472" s="33"/>
      <c r="P472" s="32"/>
      <c r="Q472" s="33"/>
      <c r="R472" s="33"/>
      <c r="S472" s="33"/>
      <c r="T472" s="31"/>
    </row>
    <row r="473" spans="1:20" x14ac:dyDescent="0.25">
      <c r="A473" s="3"/>
      <c r="B473" s="58"/>
      <c r="C473" s="59"/>
      <c r="D473" s="3"/>
      <c r="E473" s="3"/>
      <c r="F473" s="3"/>
      <c r="G473" s="3"/>
      <c r="H473" s="3"/>
      <c r="I473" s="3"/>
      <c r="J473" s="32"/>
      <c r="K473" s="32"/>
      <c r="L473" s="27"/>
      <c r="M473" s="33"/>
      <c r="N473" s="32"/>
      <c r="O473" s="33"/>
      <c r="P473" s="32"/>
      <c r="Q473" s="33"/>
      <c r="R473" s="33"/>
      <c r="S473" s="33"/>
      <c r="T473" s="31"/>
    </row>
    <row r="474" spans="1:20" x14ac:dyDescent="0.25">
      <c r="A474" s="3"/>
      <c r="B474" s="58"/>
      <c r="C474" s="59"/>
      <c r="D474" s="3"/>
      <c r="E474" s="3"/>
      <c r="F474" s="3"/>
      <c r="G474" s="3"/>
      <c r="H474" s="3"/>
      <c r="I474" s="3"/>
      <c r="J474" s="32"/>
      <c r="K474" s="32"/>
      <c r="L474" s="27"/>
      <c r="M474" s="33"/>
      <c r="N474" s="32"/>
      <c r="O474" s="33"/>
      <c r="P474" s="32"/>
      <c r="Q474" s="33"/>
      <c r="R474" s="33"/>
      <c r="S474" s="33"/>
      <c r="T474" s="31"/>
    </row>
    <row r="475" spans="1:20" x14ac:dyDescent="0.25">
      <c r="A475" s="3"/>
      <c r="B475" s="58"/>
      <c r="C475" s="59"/>
      <c r="D475" s="3"/>
      <c r="E475" s="3"/>
      <c r="F475" s="3"/>
      <c r="G475" s="3"/>
      <c r="H475" s="3"/>
      <c r="I475" s="3"/>
      <c r="J475" s="32"/>
      <c r="K475" s="32"/>
      <c r="L475" s="27"/>
      <c r="M475" s="33"/>
      <c r="N475" s="32"/>
      <c r="O475" s="33"/>
      <c r="P475" s="32"/>
      <c r="Q475" s="33"/>
      <c r="R475" s="33"/>
      <c r="S475" s="33"/>
      <c r="T475" s="31"/>
    </row>
    <row r="476" spans="1:20" x14ac:dyDescent="0.25">
      <c r="A476" s="3"/>
      <c r="B476" s="58"/>
      <c r="C476" s="59"/>
      <c r="D476" s="3"/>
      <c r="E476" s="3"/>
      <c r="F476" s="3"/>
      <c r="G476" s="3"/>
      <c r="H476" s="3"/>
      <c r="I476" s="3"/>
      <c r="J476" s="32"/>
      <c r="K476" s="32"/>
      <c r="L476" s="27"/>
      <c r="M476" s="33"/>
      <c r="N476" s="32"/>
      <c r="O476" s="33"/>
      <c r="P476" s="32"/>
      <c r="Q476" s="33"/>
      <c r="R476" s="33"/>
      <c r="S476" s="33"/>
      <c r="T476" s="31"/>
    </row>
    <row r="477" spans="1:20" x14ac:dyDescent="0.25">
      <c r="A477" s="3"/>
      <c r="B477" s="58"/>
      <c r="C477" s="59"/>
      <c r="D477" s="3"/>
      <c r="E477" s="3"/>
      <c r="F477" s="3"/>
      <c r="G477" s="3"/>
      <c r="H477" s="3"/>
      <c r="I477" s="3"/>
      <c r="J477" s="32"/>
      <c r="K477" s="32"/>
      <c r="L477" s="27"/>
      <c r="M477" s="33"/>
      <c r="N477" s="32"/>
      <c r="O477" s="33"/>
      <c r="P477" s="32"/>
      <c r="Q477" s="33"/>
      <c r="R477" s="33"/>
      <c r="S477" s="33"/>
      <c r="T477" s="31"/>
    </row>
    <row r="478" spans="1:20" x14ac:dyDescent="0.25">
      <c r="A478" s="3"/>
      <c r="B478" s="58"/>
      <c r="C478" s="59"/>
      <c r="D478" s="3"/>
      <c r="E478" s="3"/>
      <c r="F478" s="3"/>
      <c r="G478" s="3"/>
      <c r="H478" s="3"/>
      <c r="I478" s="3"/>
      <c r="J478" s="32"/>
      <c r="K478" s="32"/>
      <c r="L478" s="27"/>
      <c r="M478" s="33"/>
      <c r="N478" s="32"/>
      <c r="O478" s="33"/>
      <c r="P478" s="32"/>
      <c r="Q478" s="33"/>
      <c r="R478" s="33"/>
      <c r="S478" s="33"/>
      <c r="T478" s="31"/>
    </row>
    <row r="479" spans="1:20" x14ac:dyDescent="0.25">
      <c r="A479" s="3"/>
      <c r="B479" s="58"/>
      <c r="C479" s="59"/>
      <c r="D479" s="3"/>
      <c r="E479" s="3"/>
      <c r="F479" s="3"/>
      <c r="G479" s="3"/>
      <c r="H479" s="3"/>
      <c r="I479" s="3"/>
      <c r="J479" s="32"/>
      <c r="K479" s="32"/>
      <c r="L479" s="27"/>
      <c r="M479" s="33"/>
      <c r="N479" s="32"/>
      <c r="O479" s="33"/>
      <c r="P479" s="32"/>
      <c r="Q479" s="33"/>
      <c r="R479" s="33"/>
      <c r="S479" s="33"/>
      <c r="T479" s="31"/>
    </row>
    <row r="480" spans="1:20" x14ac:dyDescent="0.25">
      <c r="A480" s="3"/>
      <c r="B480" s="58"/>
      <c r="C480" s="59"/>
      <c r="D480" s="3"/>
      <c r="E480" s="3"/>
      <c r="F480" s="3"/>
      <c r="G480" s="3"/>
      <c r="H480" s="3"/>
      <c r="I480" s="3"/>
      <c r="J480" s="32"/>
      <c r="K480" s="32"/>
      <c r="L480" s="27"/>
      <c r="M480" s="33"/>
      <c r="N480" s="32"/>
      <c r="O480" s="33"/>
      <c r="P480" s="32"/>
      <c r="Q480" s="33"/>
      <c r="R480" s="33"/>
      <c r="S480" s="33"/>
      <c r="T480" s="31"/>
    </row>
    <row r="481" spans="1:20" x14ac:dyDescent="0.25">
      <c r="A481" s="3"/>
      <c r="B481" s="58"/>
      <c r="C481" s="59"/>
      <c r="D481" s="3"/>
      <c r="E481" s="3"/>
      <c r="F481" s="3"/>
      <c r="G481" s="3"/>
      <c r="H481" s="3"/>
      <c r="I481" s="3"/>
      <c r="J481" s="32"/>
      <c r="K481" s="32"/>
      <c r="L481" s="27"/>
      <c r="M481" s="33"/>
      <c r="N481" s="32"/>
      <c r="O481" s="33"/>
      <c r="P481" s="32"/>
      <c r="Q481" s="33"/>
      <c r="R481" s="33"/>
      <c r="S481" s="33"/>
      <c r="T481" s="31"/>
    </row>
    <row r="482" spans="1:20" x14ac:dyDescent="0.25">
      <c r="A482" s="3"/>
      <c r="B482" s="58"/>
      <c r="C482" s="59"/>
      <c r="D482" s="3"/>
      <c r="E482" s="3"/>
      <c r="F482" s="3"/>
      <c r="G482" s="3"/>
      <c r="H482" s="3"/>
      <c r="I482" s="3"/>
      <c r="J482" s="32"/>
      <c r="K482" s="32"/>
      <c r="L482" s="27"/>
      <c r="M482" s="33"/>
      <c r="N482" s="32"/>
      <c r="O482" s="33"/>
      <c r="P482" s="32"/>
      <c r="Q482" s="33"/>
      <c r="R482" s="33"/>
      <c r="S482" s="33"/>
      <c r="T482" s="31"/>
    </row>
    <row r="483" spans="1:20" x14ac:dyDescent="0.25">
      <c r="A483" s="3"/>
      <c r="B483" s="58"/>
      <c r="C483" s="59"/>
      <c r="D483" s="3"/>
      <c r="E483" s="3"/>
      <c r="F483" s="3"/>
      <c r="G483" s="3"/>
      <c r="H483" s="3"/>
      <c r="I483" s="3"/>
      <c r="J483" s="32"/>
      <c r="K483" s="32"/>
      <c r="L483" s="27"/>
      <c r="M483" s="33"/>
      <c r="N483" s="32"/>
      <c r="O483" s="33"/>
      <c r="P483" s="32"/>
      <c r="Q483" s="33"/>
      <c r="R483" s="33"/>
      <c r="S483" s="33"/>
      <c r="T483" s="31"/>
    </row>
    <row r="484" spans="1:20" x14ac:dyDescent="0.25">
      <c r="A484" s="3"/>
      <c r="B484" s="58"/>
      <c r="C484" s="59"/>
      <c r="D484" s="3"/>
      <c r="E484" s="3"/>
      <c r="F484" s="3"/>
      <c r="G484" s="3"/>
      <c r="H484" s="3"/>
      <c r="I484" s="3"/>
      <c r="J484" s="32"/>
      <c r="K484" s="32"/>
      <c r="L484" s="27"/>
      <c r="M484" s="33"/>
      <c r="N484" s="32"/>
      <c r="O484" s="33"/>
      <c r="P484" s="32"/>
      <c r="Q484" s="33"/>
      <c r="R484" s="33"/>
      <c r="S484" s="33"/>
      <c r="T484" s="31"/>
    </row>
    <row r="485" spans="1:20" x14ac:dyDescent="0.25">
      <c r="A485" s="3"/>
      <c r="B485" s="58"/>
      <c r="C485" s="59"/>
      <c r="D485" s="3"/>
      <c r="E485" s="3"/>
      <c r="F485" s="3"/>
      <c r="G485" s="3"/>
      <c r="H485" s="3"/>
      <c r="I485" s="3"/>
      <c r="J485" s="32"/>
      <c r="K485" s="32"/>
      <c r="L485" s="27"/>
      <c r="M485" s="33"/>
      <c r="N485" s="32"/>
      <c r="O485" s="33"/>
      <c r="P485" s="32"/>
      <c r="Q485" s="33"/>
      <c r="R485" s="33"/>
      <c r="S485" s="33"/>
      <c r="T485" s="31"/>
    </row>
    <row r="486" spans="1:20" x14ac:dyDescent="0.25">
      <c r="A486" s="3"/>
      <c r="B486" s="58"/>
      <c r="C486" s="59"/>
      <c r="D486" s="3"/>
      <c r="E486" s="3"/>
      <c r="F486" s="3"/>
      <c r="G486" s="3"/>
      <c r="H486" s="3"/>
      <c r="I486" s="3"/>
      <c r="J486" s="32"/>
      <c r="K486" s="32"/>
      <c r="L486" s="27"/>
      <c r="M486" s="33"/>
      <c r="N486" s="32"/>
      <c r="O486" s="33"/>
      <c r="P486" s="32"/>
      <c r="Q486" s="33"/>
      <c r="R486" s="33"/>
      <c r="S486" s="33"/>
      <c r="T486" s="31"/>
    </row>
    <row r="487" spans="1:20" x14ac:dyDescent="0.25">
      <c r="A487" s="3"/>
      <c r="B487" s="58"/>
      <c r="C487" s="59"/>
      <c r="D487" s="3"/>
      <c r="E487" s="3"/>
      <c r="F487" s="3"/>
      <c r="G487" s="3"/>
      <c r="H487" s="3"/>
      <c r="I487" s="3"/>
      <c r="J487" s="32"/>
      <c r="K487" s="32"/>
      <c r="L487" s="27"/>
      <c r="M487" s="33"/>
      <c r="N487" s="32"/>
      <c r="O487" s="33"/>
      <c r="P487" s="32"/>
      <c r="Q487" s="33"/>
      <c r="R487" s="33"/>
      <c r="S487" s="33"/>
      <c r="T487" s="31"/>
    </row>
    <row r="488" spans="1:20" x14ac:dyDescent="0.25">
      <c r="A488" s="3"/>
      <c r="B488" s="58"/>
      <c r="C488" s="59"/>
      <c r="D488" s="3"/>
      <c r="E488" s="3"/>
      <c r="F488" s="3"/>
      <c r="G488" s="3"/>
      <c r="H488" s="3"/>
      <c r="I488" s="3"/>
      <c r="J488" s="32"/>
      <c r="K488" s="32"/>
      <c r="L488" s="27"/>
      <c r="M488" s="33"/>
      <c r="N488" s="32"/>
      <c r="O488" s="33"/>
      <c r="P488" s="32"/>
      <c r="Q488" s="33"/>
      <c r="R488" s="33"/>
      <c r="S488" s="33"/>
      <c r="T488" s="31"/>
    </row>
    <row r="489" spans="1:20" x14ac:dyDescent="0.25">
      <c r="A489" s="3"/>
      <c r="B489" s="58"/>
      <c r="C489" s="59"/>
      <c r="D489" s="3"/>
      <c r="E489" s="3"/>
      <c r="F489" s="3"/>
      <c r="G489" s="3"/>
      <c r="H489" s="3"/>
      <c r="I489" s="3"/>
      <c r="J489" s="32"/>
      <c r="K489" s="32"/>
      <c r="L489" s="27"/>
      <c r="M489" s="33"/>
      <c r="N489" s="32"/>
      <c r="O489" s="33"/>
      <c r="P489" s="32"/>
      <c r="Q489" s="33"/>
      <c r="R489" s="33"/>
      <c r="S489" s="33"/>
      <c r="T489" s="31"/>
    </row>
    <row r="490" spans="1:20" x14ac:dyDescent="0.25">
      <c r="A490" s="3"/>
      <c r="B490" s="58"/>
      <c r="C490" s="59"/>
      <c r="D490" s="3"/>
      <c r="E490" s="3"/>
      <c r="F490" s="3"/>
      <c r="G490" s="3"/>
      <c r="H490" s="3"/>
      <c r="I490" s="3"/>
      <c r="J490" s="32"/>
      <c r="K490" s="32"/>
      <c r="L490" s="27"/>
      <c r="M490" s="33"/>
      <c r="N490" s="32"/>
      <c r="O490" s="33"/>
      <c r="P490" s="32"/>
      <c r="Q490" s="33"/>
      <c r="R490" s="33"/>
      <c r="S490" s="33"/>
      <c r="T490" s="31"/>
    </row>
    <row r="491" spans="1:20" x14ac:dyDescent="0.25">
      <c r="A491" s="3"/>
      <c r="B491" s="58"/>
      <c r="C491" s="59"/>
      <c r="D491" s="3"/>
      <c r="E491" s="3"/>
      <c r="F491" s="3"/>
      <c r="G491" s="3"/>
      <c r="H491" s="3"/>
      <c r="I491" s="3"/>
      <c r="J491" s="32"/>
      <c r="K491" s="32"/>
      <c r="L491" s="27"/>
      <c r="M491" s="33"/>
      <c r="N491" s="32"/>
      <c r="O491" s="33"/>
      <c r="P491" s="32"/>
      <c r="Q491" s="33"/>
      <c r="R491" s="33"/>
      <c r="S491" s="33"/>
      <c r="T491" s="31"/>
    </row>
    <row r="492" spans="1:20" x14ac:dyDescent="0.25">
      <c r="A492" s="3"/>
      <c r="B492" s="58"/>
      <c r="C492" s="59"/>
      <c r="D492" s="3"/>
      <c r="E492" s="3"/>
      <c r="F492" s="3"/>
      <c r="G492" s="3"/>
      <c r="H492" s="3"/>
      <c r="I492" s="3"/>
      <c r="J492" s="32"/>
      <c r="K492" s="32"/>
      <c r="L492" s="27"/>
      <c r="M492" s="33"/>
      <c r="N492" s="32"/>
      <c r="O492" s="33"/>
      <c r="P492" s="32"/>
      <c r="Q492" s="33"/>
      <c r="R492" s="33"/>
      <c r="S492" s="33"/>
      <c r="T492" s="31"/>
    </row>
    <row r="493" spans="1:20" x14ac:dyDescent="0.25">
      <c r="A493" s="3"/>
      <c r="B493" s="58"/>
      <c r="C493" s="59"/>
      <c r="D493" s="3"/>
      <c r="E493" s="3"/>
      <c r="F493" s="3"/>
      <c r="G493" s="3"/>
      <c r="H493" s="3"/>
      <c r="I493" s="3"/>
      <c r="J493" s="32"/>
      <c r="K493" s="32"/>
      <c r="L493" s="27"/>
      <c r="M493" s="33"/>
      <c r="N493" s="32"/>
      <c r="O493" s="33"/>
      <c r="P493" s="32"/>
      <c r="Q493" s="33"/>
      <c r="R493" s="33"/>
      <c r="S493" s="33"/>
      <c r="T493" s="31"/>
    </row>
    <row r="494" spans="1:20" x14ac:dyDescent="0.25">
      <c r="A494" s="3"/>
      <c r="B494" s="58"/>
      <c r="C494" s="59"/>
      <c r="D494" s="3"/>
      <c r="E494" s="3"/>
      <c r="F494" s="3"/>
      <c r="G494" s="3"/>
      <c r="H494" s="3"/>
      <c r="I494" s="3"/>
      <c r="J494" s="32"/>
      <c r="K494" s="32"/>
      <c r="L494" s="27"/>
      <c r="M494" s="33"/>
      <c r="N494" s="32"/>
      <c r="O494" s="33"/>
      <c r="P494" s="32"/>
      <c r="Q494" s="33"/>
      <c r="R494" s="33"/>
      <c r="S494" s="33"/>
      <c r="T494" s="31"/>
    </row>
    <row r="495" spans="1:20" x14ac:dyDescent="0.25">
      <c r="A495" s="3"/>
      <c r="B495" s="58"/>
      <c r="C495" s="59"/>
      <c r="D495" s="3"/>
      <c r="E495" s="3"/>
      <c r="F495" s="3"/>
      <c r="G495" s="3"/>
      <c r="H495" s="3"/>
      <c r="I495" s="3"/>
      <c r="J495" s="32"/>
      <c r="K495" s="32"/>
      <c r="L495" s="27"/>
      <c r="M495" s="33"/>
      <c r="N495" s="32"/>
      <c r="O495" s="33"/>
      <c r="P495" s="32"/>
      <c r="Q495" s="33"/>
      <c r="R495" s="33"/>
      <c r="S495" s="33"/>
      <c r="T495" s="31"/>
    </row>
    <row r="496" spans="1:20" x14ac:dyDescent="0.25">
      <c r="A496" s="3"/>
      <c r="B496" s="58"/>
      <c r="C496" s="59"/>
      <c r="D496" s="3"/>
      <c r="E496" s="3"/>
      <c r="F496" s="3"/>
      <c r="G496" s="3"/>
      <c r="H496" s="3"/>
      <c r="I496" s="3"/>
      <c r="J496" s="32"/>
      <c r="K496" s="32"/>
      <c r="L496" s="27"/>
      <c r="M496" s="33"/>
      <c r="N496" s="32"/>
      <c r="O496" s="33"/>
      <c r="P496" s="32"/>
      <c r="Q496" s="33"/>
      <c r="R496" s="33"/>
      <c r="S496" s="33"/>
      <c r="T496" s="31"/>
    </row>
    <row r="497" spans="1:20" x14ac:dyDescent="0.25">
      <c r="A497" s="3"/>
      <c r="B497" s="58"/>
      <c r="C497" s="59"/>
      <c r="D497" s="3"/>
      <c r="E497" s="3"/>
      <c r="F497" s="3"/>
      <c r="G497" s="3"/>
      <c r="H497" s="3"/>
      <c r="I497" s="3"/>
      <c r="J497" s="32"/>
      <c r="K497" s="32"/>
      <c r="L497" s="27"/>
      <c r="M497" s="33"/>
      <c r="N497" s="32"/>
      <c r="O497" s="33"/>
      <c r="P497" s="32"/>
      <c r="Q497" s="33"/>
      <c r="R497" s="33"/>
      <c r="S497" s="33"/>
      <c r="T497" s="31"/>
    </row>
    <row r="498" spans="1:20" x14ac:dyDescent="0.25">
      <c r="A498" s="3"/>
      <c r="B498" s="58"/>
      <c r="C498" s="59"/>
      <c r="D498" s="3"/>
      <c r="E498" s="3"/>
      <c r="F498" s="3"/>
      <c r="G498" s="3"/>
      <c r="H498" s="3"/>
      <c r="I498" s="3"/>
      <c r="J498" s="32"/>
      <c r="K498" s="32"/>
      <c r="L498" s="27"/>
      <c r="M498" s="33"/>
      <c r="N498" s="32"/>
      <c r="O498" s="33"/>
      <c r="P498" s="32"/>
      <c r="Q498" s="33"/>
      <c r="R498" s="33"/>
      <c r="S498" s="33"/>
      <c r="T498" s="31"/>
    </row>
    <row r="499" spans="1:20" x14ac:dyDescent="0.25">
      <c r="A499" s="3"/>
      <c r="B499" s="58"/>
      <c r="C499" s="59"/>
      <c r="D499" s="3"/>
      <c r="E499" s="3"/>
      <c r="F499" s="3"/>
      <c r="G499" s="3"/>
      <c r="H499" s="3"/>
      <c r="I499" s="3"/>
      <c r="J499" s="32"/>
      <c r="K499" s="32"/>
      <c r="L499" s="27"/>
      <c r="M499" s="33"/>
      <c r="N499" s="32"/>
      <c r="O499" s="33"/>
      <c r="P499" s="32"/>
      <c r="Q499" s="33"/>
      <c r="R499" s="33"/>
      <c r="S499" s="33"/>
      <c r="T499" s="31"/>
    </row>
    <row r="500" spans="1:20" x14ac:dyDescent="0.25">
      <c r="A500" s="3"/>
      <c r="B500" s="58"/>
      <c r="C500" s="59"/>
      <c r="D500" s="3"/>
      <c r="E500" s="3"/>
      <c r="F500" s="3"/>
      <c r="G500" s="3"/>
      <c r="H500" s="3"/>
      <c r="I500" s="3"/>
      <c r="J500" s="32"/>
      <c r="K500" s="32"/>
      <c r="L500" s="27"/>
      <c r="M500" s="33"/>
      <c r="N500" s="32"/>
      <c r="O500" s="33"/>
      <c r="P500" s="32"/>
      <c r="Q500" s="33"/>
      <c r="R500" s="33"/>
      <c r="S500" s="33"/>
      <c r="T500" s="31"/>
    </row>
    <row r="501" spans="1:20" x14ac:dyDescent="0.25">
      <c r="A501" s="3"/>
      <c r="B501" s="58"/>
      <c r="C501" s="59"/>
      <c r="D501" s="3"/>
      <c r="E501" s="3"/>
      <c r="F501" s="3"/>
      <c r="G501" s="3"/>
      <c r="H501" s="3"/>
      <c r="I501" s="3"/>
      <c r="J501" s="32"/>
      <c r="K501" s="32"/>
      <c r="L501" s="27"/>
      <c r="M501" s="33"/>
      <c r="N501" s="32"/>
      <c r="O501" s="33"/>
      <c r="P501" s="32"/>
      <c r="Q501" s="33"/>
      <c r="R501" s="33"/>
      <c r="S501" s="33"/>
      <c r="T501" s="31"/>
    </row>
    <row r="502" spans="1:20" x14ac:dyDescent="0.25">
      <c r="A502" s="3"/>
      <c r="B502" s="58"/>
      <c r="C502" s="59"/>
      <c r="D502" s="3"/>
      <c r="E502" s="3"/>
      <c r="F502" s="3"/>
      <c r="G502" s="3"/>
      <c r="H502" s="3"/>
      <c r="I502" s="3"/>
      <c r="J502" s="32"/>
      <c r="K502" s="32"/>
      <c r="L502" s="27"/>
      <c r="M502" s="33"/>
      <c r="N502" s="32"/>
      <c r="O502" s="33"/>
      <c r="P502" s="32"/>
      <c r="Q502" s="33"/>
      <c r="R502" s="33"/>
      <c r="S502" s="33"/>
      <c r="T502" s="31"/>
    </row>
    <row r="503" spans="1:20" x14ac:dyDescent="0.25">
      <c r="A503" s="3"/>
      <c r="B503" s="58"/>
      <c r="C503" s="59"/>
      <c r="D503" s="3"/>
      <c r="E503" s="3"/>
      <c r="F503" s="3"/>
      <c r="G503" s="3"/>
      <c r="H503" s="3"/>
      <c r="I503" s="3"/>
      <c r="J503" s="32"/>
      <c r="K503" s="32"/>
      <c r="L503" s="27"/>
      <c r="M503" s="33"/>
      <c r="N503" s="32"/>
      <c r="O503" s="33"/>
      <c r="P503" s="32"/>
      <c r="Q503" s="33"/>
      <c r="R503" s="33"/>
      <c r="S503" s="33"/>
      <c r="T503" s="31"/>
    </row>
    <row r="504" spans="1:20" x14ac:dyDescent="0.25">
      <c r="A504" s="3"/>
      <c r="B504" s="58"/>
      <c r="C504" s="59"/>
      <c r="D504" s="3"/>
      <c r="E504" s="3"/>
      <c r="F504" s="3"/>
      <c r="G504" s="3"/>
      <c r="H504" s="3"/>
      <c r="I504" s="3"/>
      <c r="J504" s="32"/>
      <c r="K504" s="32"/>
      <c r="L504" s="27"/>
      <c r="M504" s="33"/>
      <c r="N504" s="32"/>
      <c r="O504" s="33"/>
      <c r="P504" s="32"/>
      <c r="Q504" s="33"/>
      <c r="R504" s="33"/>
      <c r="S504" s="33"/>
      <c r="T504" s="31"/>
    </row>
    <row r="505" spans="1:20" x14ac:dyDescent="0.25">
      <c r="A505" s="3"/>
      <c r="B505" s="58"/>
      <c r="C505" s="59"/>
      <c r="D505" s="3"/>
      <c r="E505" s="3"/>
      <c r="F505" s="3"/>
      <c r="G505" s="3"/>
      <c r="H505" s="3"/>
      <c r="I505" s="3"/>
      <c r="J505" s="32"/>
      <c r="K505" s="32"/>
      <c r="L505" s="27"/>
      <c r="M505" s="33"/>
      <c r="N505" s="32"/>
      <c r="O505" s="33"/>
      <c r="P505" s="32"/>
      <c r="Q505" s="33"/>
      <c r="R505" s="33"/>
      <c r="S505" s="33"/>
      <c r="T505" s="31"/>
    </row>
    <row r="506" spans="1:20" x14ac:dyDescent="0.25">
      <c r="A506" s="3"/>
      <c r="B506" s="58"/>
      <c r="C506" s="59"/>
      <c r="D506" s="3"/>
      <c r="E506" s="3"/>
      <c r="F506" s="3"/>
      <c r="G506" s="3"/>
      <c r="H506" s="3"/>
      <c r="I506" s="3"/>
      <c r="J506" s="32"/>
      <c r="K506" s="32"/>
      <c r="L506" s="27"/>
      <c r="M506" s="33"/>
      <c r="N506" s="32"/>
      <c r="O506" s="33"/>
      <c r="P506" s="32"/>
      <c r="Q506" s="33"/>
      <c r="R506" s="33"/>
      <c r="S506" s="33"/>
      <c r="T506" s="31"/>
    </row>
    <row r="507" spans="1:20" x14ac:dyDescent="0.25">
      <c r="A507" s="3"/>
      <c r="B507" s="58"/>
      <c r="C507" s="59"/>
      <c r="D507" s="3"/>
      <c r="E507" s="3"/>
      <c r="F507" s="3"/>
      <c r="G507" s="3"/>
      <c r="H507" s="3"/>
      <c r="I507" s="3"/>
      <c r="J507" s="32"/>
      <c r="K507" s="32"/>
      <c r="L507" s="27"/>
      <c r="M507" s="33"/>
      <c r="N507" s="32"/>
      <c r="O507" s="33"/>
      <c r="P507" s="32"/>
      <c r="Q507" s="33"/>
      <c r="R507" s="33"/>
      <c r="S507" s="33"/>
      <c r="T507" s="31"/>
    </row>
    <row r="508" spans="1:20" x14ac:dyDescent="0.25">
      <c r="A508" s="3"/>
      <c r="B508" s="58"/>
      <c r="C508" s="59"/>
      <c r="D508" s="3"/>
      <c r="E508" s="3"/>
      <c r="F508" s="3"/>
      <c r="G508" s="3"/>
      <c r="H508" s="3"/>
      <c r="I508" s="3"/>
      <c r="J508" s="32"/>
      <c r="K508" s="32"/>
      <c r="L508" s="27"/>
      <c r="M508" s="33"/>
      <c r="N508" s="32"/>
      <c r="O508" s="33"/>
      <c r="P508" s="32"/>
      <c r="Q508" s="33"/>
      <c r="R508" s="33"/>
      <c r="S508" s="33"/>
      <c r="T508" s="31"/>
    </row>
    <row r="509" spans="1:20" x14ac:dyDescent="0.25">
      <c r="A509" s="3"/>
      <c r="B509" s="58"/>
      <c r="C509" s="59"/>
      <c r="D509" s="3"/>
      <c r="E509" s="3"/>
      <c r="F509" s="3"/>
      <c r="G509" s="3"/>
      <c r="H509" s="3"/>
      <c r="I509" s="3"/>
      <c r="J509" s="32"/>
      <c r="K509" s="32"/>
      <c r="L509" s="27"/>
      <c r="M509" s="33"/>
      <c r="N509" s="32"/>
      <c r="O509" s="33"/>
      <c r="P509" s="32"/>
      <c r="Q509" s="33"/>
      <c r="R509" s="33"/>
      <c r="S509" s="33"/>
      <c r="T509" s="31"/>
    </row>
    <row r="510" spans="1:20" x14ac:dyDescent="0.25">
      <c r="A510" s="3"/>
      <c r="B510" s="58"/>
      <c r="C510" s="59"/>
      <c r="D510" s="3"/>
      <c r="E510" s="3"/>
      <c r="F510" s="3"/>
      <c r="G510" s="3"/>
      <c r="H510" s="3"/>
      <c r="I510" s="3"/>
      <c r="J510" s="32"/>
      <c r="K510" s="32"/>
      <c r="L510" s="27"/>
      <c r="M510" s="33"/>
      <c r="N510" s="32"/>
      <c r="O510" s="33"/>
      <c r="P510" s="32"/>
      <c r="Q510" s="33"/>
      <c r="R510" s="33"/>
      <c r="S510" s="33"/>
      <c r="T510" s="31"/>
    </row>
    <row r="511" spans="1:20" x14ac:dyDescent="0.25">
      <c r="A511" s="3"/>
      <c r="B511" s="58"/>
      <c r="C511" s="59"/>
      <c r="D511" s="3"/>
      <c r="E511" s="3"/>
      <c r="F511" s="3"/>
      <c r="G511" s="3"/>
      <c r="H511" s="3"/>
      <c r="I511" s="3"/>
      <c r="J511" s="32"/>
      <c r="K511" s="32"/>
      <c r="L511" s="27"/>
      <c r="M511" s="33"/>
      <c r="N511" s="32"/>
      <c r="O511" s="33"/>
      <c r="P511" s="32"/>
      <c r="Q511" s="33"/>
      <c r="R511" s="33"/>
      <c r="S511" s="33"/>
      <c r="T511" s="31"/>
    </row>
    <row r="512" spans="1:20" x14ac:dyDescent="0.25">
      <c r="A512" s="3"/>
      <c r="B512" s="58"/>
      <c r="C512" s="59"/>
      <c r="D512" s="3"/>
      <c r="E512" s="3"/>
      <c r="F512" s="3"/>
      <c r="G512" s="3"/>
      <c r="H512" s="3"/>
      <c r="I512" s="3"/>
      <c r="J512" s="32"/>
      <c r="K512" s="32"/>
      <c r="L512" s="27"/>
      <c r="M512" s="33"/>
      <c r="N512" s="32"/>
      <c r="O512" s="33"/>
      <c r="P512" s="32"/>
      <c r="Q512" s="33"/>
      <c r="R512" s="33"/>
      <c r="S512" s="33"/>
      <c r="T512" s="31"/>
    </row>
    <row r="513" spans="1:20" x14ac:dyDescent="0.25">
      <c r="A513" s="3"/>
      <c r="B513" s="58"/>
      <c r="C513" s="59"/>
      <c r="D513" s="3"/>
      <c r="E513" s="3"/>
      <c r="F513" s="3"/>
      <c r="G513" s="3"/>
      <c r="H513" s="3"/>
      <c r="I513" s="3"/>
      <c r="J513" s="32"/>
      <c r="K513" s="32"/>
      <c r="L513" s="27"/>
      <c r="M513" s="33"/>
      <c r="N513" s="32"/>
      <c r="O513" s="33"/>
      <c r="P513" s="32"/>
      <c r="Q513" s="33"/>
      <c r="R513" s="33"/>
      <c r="S513" s="33"/>
      <c r="T513" s="31"/>
    </row>
    <row r="514" spans="1:20" x14ac:dyDescent="0.25">
      <c r="A514" s="3"/>
      <c r="B514" s="58"/>
      <c r="C514" s="59"/>
      <c r="D514" s="3"/>
      <c r="E514" s="3"/>
      <c r="F514" s="3"/>
      <c r="G514" s="3"/>
      <c r="H514" s="3"/>
      <c r="I514" s="3"/>
      <c r="J514" s="32"/>
      <c r="K514" s="32"/>
      <c r="L514" s="27"/>
      <c r="M514" s="33"/>
      <c r="N514" s="32"/>
      <c r="O514" s="33"/>
      <c r="P514" s="32"/>
      <c r="Q514" s="33"/>
      <c r="R514" s="33"/>
      <c r="S514" s="33"/>
      <c r="T514" s="31"/>
    </row>
    <row r="515" spans="1:20" x14ac:dyDescent="0.25">
      <c r="A515" s="3"/>
      <c r="B515" s="58"/>
      <c r="C515" s="59"/>
      <c r="D515" s="3"/>
      <c r="E515" s="3"/>
      <c r="F515" s="3"/>
      <c r="G515" s="3"/>
      <c r="H515" s="3"/>
      <c r="I515" s="3"/>
      <c r="J515" s="32"/>
      <c r="K515" s="32"/>
      <c r="L515" s="27"/>
      <c r="M515" s="33"/>
      <c r="N515" s="32"/>
      <c r="O515" s="33"/>
      <c r="P515" s="32"/>
      <c r="Q515" s="33"/>
      <c r="R515" s="33"/>
      <c r="S515" s="33"/>
      <c r="T515" s="31"/>
    </row>
    <row r="516" spans="1:20" x14ac:dyDescent="0.25">
      <c r="A516" s="3"/>
      <c r="B516" s="58"/>
      <c r="C516" s="59"/>
      <c r="D516" s="3"/>
      <c r="E516" s="3"/>
      <c r="F516" s="3"/>
      <c r="G516" s="3"/>
      <c r="H516" s="3"/>
      <c r="I516" s="3"/>
      <c r="J516" s="32"/>
      <c r="K516" s="32"/>
      <c r="L516" s="27"/>
      <c r="M516" s="33"/>
      <c r="N516" s="32"/>
      <c r="O516" s="33"/>
      <c r="P516" s="32"/>
      <c r="Q516" s="33"/>
      <c r="R516" s="33"/>
      <c r="S516" s="33"/>
      <c r="T516" s="31"/>
    </row>
    <row r="517" spans="1:20" x14ac:dyDescent="0.25">
      <c r="A517" s="3"/>
      <c r="B517" s="58"/>
      <c r="C517" s="59"/>
      <c r="D517" s="3"/>
      <c r="E517" s="3"/>
      <c r="F517" s="3"/>
      <c r="G517" s="3"/>
      <c r="H517" s="3"/>
      <c r="I517" s="3"/>
      <c r="J517" s="32"/>
      <c r="K517" s="32"/>
      <c r="L517" s="27"/>
      <c r="M517" s="33"/>
      <c r="N517" s="32"/>
      <c r="O517" s="33"/>
      <c r="P517" s="32"/>
      <c r="Q517" s="33"/>
      <c r="R517" s="33"/>
      <c r="S517" s="33"/>
      <c r="T517" s="31"/>
    </row>
    <row r="518" spans="1:20" x14ac:dyDescent="0.25">
      <c r="A518" s="3"/>
      <c r="B518" s="58"/>
      <c r="C518" s="59"/>
      <c r="D518" s="3"/>
      <c r="E518" s="3"/>
      <c r="F518" s="3"/>
      <c r="G518" s="3"/>
      <c r="H518" s="3"/>
      <c r="I518" s="3"/>
      <c r="J518" s="32"/>
      <c r="K518" s="32"/>
      <c r="L518" s="27"/>
      <c r="M518" s="33"/>
      <c r="N518" s="32"/>
      <c r="O518" s="33"/>
      <c r="P518" s="32"/>
      <c r="Q518" s="33"/>
      <c r="R518" s="33"/>
      <c r="S518" s="33"/>
      <c r="T518" s="31"/>
    </row>
    <row r="519" spans="1:20" x14ac:dyDescent="0.25">
      <c r="A519" s="3"/>
      <c r="B519" s="58"/>
      <c r="C519" s="59"/>
      <c r="D519" s="3"/>
      <c r="E519" s="3"/>
      <c r="F519" s="3"/>
      <c r="G519" s="3"/>
      <c r="H519" s="3"/>
      <c r="I519" s="3"/>
      <c r="J519" s="32"/>
      <c r="K519" s="32"/>
      <c r="L519" s="27"/>
      <c r="M519" s="33"/>
      <c r="N519" s="32"/>
      <c r="O519" s="33"/>
      <c r="P519" s="32"/>
      <c r="Q519" s="33"/>
      <c r="R519" s="33"/>
      <c r="S519" s="33"/>
      <c r="T519" s="31"/>
    </row>
    <row r="520" spans="1:20" x14ac:dyDescent="0.25">
      <c r="A520" s="3"/>
      <c r="B520" s="58"/>
      <c r="C520" s="59"/>
      <c r="D520" s="3"/>
      <c r="E520" s="3"/>
      <c r="F520" s="3"/>
      <c r="G520" s="3"/>
      <c r="H520" s="3"/>
      <c r="I520" s="3"/>
      <c r="J520" s="32"/>
      <c r="K520" s="32"/>
      <c r="L520" s="27"/>
      <c r="M520" s="33"/>
      <c r="N520" s="32"/>
      <c r="O520" s="33"/>
      <c r="P520" s="32"/>
      <c r="Q520" s="33"/>
      <c r="R520" s="33"/>
      <c r="S520" s="33"/>
      <c r="T520" s="31"/>
    </row>
    <row r="521" spans="1:20" x14ac:dyDescent="0.25">
      <c r="A521" s="3"/>
      <c r="B521" s="58"/>
      <c r="C521" s="59"/>
      <c r="D521" s="3"/>
      <c r="E521" s="3"/>
      <c r="F521" s="3"/>
      <c r="G521" s="3"/>
      <c r="H521" s="3"/>
      <c r="I521" s="3"/>
      <c r="J521" s="32"/>
      <c r="K521" s="32"/>
      <c r="L521" s="27"/>
      <c r="M521" s="33"/>
      <c r="N521" s="32"/>
      <c r="O521" s="33"/>
      <c r="P521" s="32"/>
      <c r="Q521" s="33"/>
      <c r="R521" s="33"/>
      <c r="S521" s="33"/>
      <c r="T521" s="31"/>
    </row>
    <row r="522" spans="1:20" x14ac:dyDescent="0.25">
      <c r="A522" s="3"/>
      <c r="B522" s="58"/>
      <c r="C522" s="59"/>
      <c r="D522" s="3"/>
      <c r="E522" s="3"/>
      <c r="F522" s="3"/>
      <c r="G522" s="3"/>
      <c r="H522" s="3"/>
      <c r="I522" s="3"/>
      <c r="J522" s="32"/>
      <c r="K522" s="32"/>
      <c r="L522" s="27"/>
      <c r="M522" s="33"/>
      <c r="N522" s="32"/>
      <c r="O522" s="33"/>
      <c r="P522" s="32"/>
      <c r="Q522" s="33"/>
      <c r="R522" s="33"/>
      <c r="S522" s="33"/>
      <c r="T522" s="31"/>
    </row>
    <row r="523" spans="1:20" x14ac:dyDescent="0.25">
      <c r="A523" s="3"/>
      <c r="B523" s="58"/>
      <c r="C523" s="59"/>
      <c r="D523" s="3"/>
      <c r="E523" s="3"/>
      <c r="F523" s="3"/>
      <c r="G523" s="3"/>
      <c r="H523" s="3"/>
      <c r="I523" s="3"/>
      <c r="J523" s="32"/>
      <c r="K523" s="32"/>
      <c r="L523" s="27"/>
      <c r="M523" s="33"/>
      <c r="N523" s="32"/>
      <c r="O523" s="33"/>
      <c r="P523" s="32"/>
      <c r="Q523" s="33"/>
      <c r="R523" s="33"/>
      <c r="S523" s="33"/>
      <c r="T523" s="31"/>
    </row>
    <row r="524" spans="1:20" x14ac:dyDescent="0.25">
      <c r="A524" s="3"/>
      <c r="B524" s="58"/>
      <c r="C524" s="59"/>
      <c r="D524" s="3"/>
      <c r="E524" s="3"/>
      <c r="F524" s="3"/>
      <c r="G524" s="3"/>
      <c r="H524" s="3"/>
      <c r="I524" s="3"/>
      <c r="J524" s="32"/>
      <c r="K524" s="32"/>
      <c r="L524" s="27"/>
      <c r="M524" s="33"/>
      <c r="N524" s="32"/>
      <c r="O524" s="33"/>
      <c r="P524" s="32"/>
      <c r="Q524" s="33"/>
      <c r="R524" s="33"/>
      <c r="S524" s="33"/>
      <c r="T524" s="31"/>
    </row>
    <row r="525" spans="1:20" x14ac:dyDescent="0.25">
      <c r="A525" s="3"/>
      <c r="B525" s="58"/>
      <c r="C525" s="59"/>
      <c r="D525" s="3"/>
      <c r="E525" s="3"/>
      <c r="F525" s="3"/>
      <c r="G525" s="3"/>
      <c r="H525" s="3"/>
      <c r="I525" s="3"/>
      <c r="J525" s="32"/>
      <c r="K525" s="32"/>
      <c r="L525" s="27"/>
      <c r="M525" s="33"/>
      <c r="N525" s="32"/>
      <c r="O525" s="33"/>
      <c r="P525" s="32"/>
      <c r="Q525" s="33"/>
      <c r="R525" s="33"/>
      <c r="S525" s="33"/>
      <c r="T525" s="31"/>
    </row>
    <row r="526" spans="1:20" x14ac:dyDescent="0.25">
      <c r="A526" s="3"/>
      <c r="B526" s="58"/>
      <c r="C526" s="59"/>
      <c r="D526" s="3"/>
      <c r="E526" s="3"/>
      <c r="F526" s="3"/>
      <c r="G526" s="3"/>
      <c r="H526" s="3"/>
      <c r="I526" s="3"/>
      <c r="J526" s="32"/>
      <c r="K526" s="32"/>
      <c r="L526" s="27"/>
      <c r="M526" s="33"/>
      <c r="N526" s="32"/>
      <c r="O526" s="33"/>
      <c r="P526" s="32"/>
      <c r="Q526" s="33"/>
      <c r="R526" s="33"/>
      <c r="S526" s="33"/>
      <c r="T526" s="31"/>
    </row>
    <row r="527" spans="1:20" x14ac:dyDescent="0.25">
      <c r="A527" s="3"/>
      <c r="B527" s="58"/>
      <c r="C527" s="59"/>
      <c r="D527" s="3"/>
      <c r="E527" s="3"/>
      <c r="F527" s="3"/>
      <c r="G527" s="3"/>
      <c r="H527" s="3"/>
      <c r="I527" s="3"/>
      <c r="J527" s="32"/>
      <c r="K527" s="32"/>
      <c r="L527" s="27"/>
      <c r="M527" s="33"/>
      <c r="N527" s="32"/>
      <c r="O527" s="33"/>
      <c r="P527" s="32"/>
      <c r="Q527" s="33"/>
      <c r="R527" s="33"/>
      <c r="S527" s="33"/>
      <c r="T527" s="31"/>
    </row>
    <row r="528" spans="1:20" x14ac:dyDescent="0.25">
      <c r="A528" s="3"/>
      <c r="B528" s="58"/>
      <c r="C528" s="59"/>
      <c r="D528" s="3"/>
      <c r="E528" s="3"/>
      <c r="F528" s="3"/>
      <c r="G528" s="3"/>
      <c r="H528" s="3"/>
      <c r="I528" s="3"/>
      <c r="J528" s="32"/>
      <c r="K528" s="32"/>
      <c r="L528" s="27"/>
      <c r="M528" s="33"/>
      <c r="N528" s="32"/>
      <c r="O528" s="33"/>
      <c r="P528" s="32"/>
      <c r="Q528" s="33"/>
      <c r="R528" s="33"/>
      <c r="S528" s="33"/>
      <c r="T528" s="31"/>
    </row>
    <row r="529" spans="1:20" x14ac:dyDescent="0.25">
      <c r="A529" s="3"/>
      <c r="B529" s="58"/>
      <c r="C529" s="59"/>
      <c r="D529" s="3"/>
      <c r="E529" s="3"/>
      <c r="F529" s="3"/>
      <c r="G529" s="3"/>
      <c r="H529" s="3"/>
      <c r="I529" s="3"/>
      <c r="J529" s="32"/>
      <c r="K529" s="32"/>
      <c r="L529" s="27"/>
      <c r="M529" s="33"/>
      <c r="N529" s="32"/>
      <c r="O529" s="33"/>
      <c r="P529" s="32"/>
      <c r="Q529" s="33"/>
      <c r="R529" s="33"/>
      <c r="S529" s="33"/>
      <c r="T529" s="31"/>
    </row>
    <row r="530" spans="1:20" x14ac:dyDescent="0.25">
      <c r="A530" s="3"/>
      <c r="B530" s="58"/>
      <c r="C530" s="59"/>
      <c r="D530" s="3"/>
      <c r="E530" s="3"/>
      <c r="F530" s="3"/>
      <c r="G530" s="3"/>
      <c r="H530" s="3"/>
      <c r="I530" s="3"/>
      <c r="J530" s="32"/>
      <c r="K530" s="32"/>
      <c r="L530" s="27"/>
      <c r="M530" s="33"/>
      <c r="N530" s="32"/>
      <c r="O530" s="33"/>
      <c r="P530" s="32"/>
      <c r="Q530" s="33"/>
      <c r="R530" s="33"/>
      <c r="S530" s="33"/>
      <c r="T530" s="31"/>
    </row>
    <row r="531" spans="1:20" x14ac:dyDescent="0.25">
      <c r="A531" s="3"/>
      <c r="B531" s="58"/>
      <c r="C531" s="59"/>
      <c r="D531" s="3"/>
      <c r="E531" s="3"/>
      <c r="F531" s="3"/>
      <c r="G531" s="3"/>
      <c r="H531" s="3"/>
      <c r="I531" s="3"/>
      <c r="J531" s="32"/>
      <c r="K531" s="32"/>
      <c r="L531" s="27"/>
      <c r="M531" s="33"/>
      <c r="N531" s="32"/>
      <c r="O531" s="33"/>
      <c r="P531" s="32"/>
      <c r="Q531" s="33"/>
      <c r="R531" s="33"/>
      <c r="S531" s="33"/>
      <c r="T531" s="31"/>
    </row>
    <row r="532" spans="1:20" x14ac:dyDescent="0.25">
      <c r="A532" s="3"/>
      <c r="B532" s="58"/>
      <c r="C532" s="59"/>
      <c r="D532" s="3"/>
      <c r="E532" s="3"/>
      <c r="F532" s="3"/>
      <c r="G532" s="3"/>
      <c r="H532" s="3"/>
      <c r="I532" s="3"/>
      <c r="J532" s="32"/>
      <c r="K532" s="32"/>
      <c r="L532" s="27"/>
      <c r="M532" s="33"/>
      <c r="N532" s="32"/>
      <c r="O532" s="33"/>
      <c r="P532" s="32"/>
      <c r="Q532" s="33"/>
      <c r="R532" s="33"/>
      <c r="S532" s="33"/>
      <c r="T532" s="31"/>
    </row>
    <row r="533" spans="1:20" x14ac:dyDescent="0.25">
      <c r="A533" s="3"/>
      <c r="B533" s="58"/>
      <c r="C533" s="59"/>
      <c r="D533" s="3"/>
      <c r="E533" s="3"/>
      <c r="F533" s="3"/>
      <c r="G533" s="3"/>
      <c r="H533" s="3"/>
      <c r="I533" s="3"/>
      <c r="J533" s="32"/>
      <c r="K533" s="32"/>
      <c r="L533" s="27"/>
      <c r="M533" s="33"/>
      <c r="N533" s="32"/>
      <c r="O533" s="33"/>
      <c r="P533" s="32"/>
      <c r="Q533" s="33"/>
      <c r="R533" s="33"/>
      <c r="S533" s="33"/>
      <c r="T533" s="31"/>
    </row>
    <row r="534" spans="1:20" x14ac:dyDescent="0.25">
      <c r="A534" s="3"/>
      <c r="B534" s="58"/>
      <c r="C534" s="59"/>
      <c r="D534" s="3"/>
      <c r="E534" s="3"/>
      <c r="F534" s="3"/>
      <c r="G534" s="3"/>
      <c r="H534" s="3"/>
      <c r="I534" s="3"/>
      <c r="J534" s="32"/>
      <c r="K534" s="32"/>
      <c r="L534" s="27"/>
      <c r="M534" s="33"/>
      <c r="N534" s="32"/>
      <c r="O534" s="33"/>
      <c r="P534" s="32"/>
      <c r="Q534" s="33"/>
      <c r="R534" s="33"/>
      <c r="S534" s="33"/>
      <c r="T534" s="31"/>
    </row>
    <row r="535" spans="1:20" x14ac:dyDescent="0.25">
      <c r="A535" s="3"/>
      <c r="B535" s="58"/>
      <c r="C535" s="59"/>
      <c r="D535" s="3"/>
      <c r="E535" s="3"/>
      <c r="F535" s="3"/>
      <c r="G535" s="3"/>
      <c r="H535" s="3"/>
      <c r="I535" s="3"/>
      <c r="J535" s="32"/>
      <c r="K535" s="32"/>
      <c r="L535" s="27"/>
      <c r="M535" s="33"/>
      <c r="N535" s="32"/>
      <c r="O535" s="33"/>
      <c r="P535" s="32"/>
      <c r="Q535" s="33"/>
      <c r="R535" s="33"/>
      <c r="S535" s="33"/>
      <c r="T535" s="31"/>
    </row>
    <row r="536" spans="1:20" x14ac:dyDescent="0.25">
      <c r="A536" s="3"/>
      <c r="B536" s="58"/>
      <c r="C536" s="59"/>
      <c r="D536" s="3"/>
      <c r="E536" s="3"/>
      <c r="F536" s="3"/>
      <c r="G536" s="3"/>
      <c r="H536" s="3"/>
      <c r="I536" s="3"/>
      <c r="J536" s="32"/>
      <c r="K536" s="32"/>
      <c r="L536" s="27"/>
      <c r="M536" s="33"/>
      <c r="N536" s="32"/>
      <c r="O536" s="33"/>
      <c r="P536" s="32"/>
      <c r="Q536" s="33"/>
      <c r="R536" s="33"/>
      <c r="S536" s="33"/>
      <c r="T536" s="31"/>
    </row>
    <row r="537" spans="1:20" x14ac:dyDescent="0.25">
      <c r="A537" s="3"/>
      <c r="B537" s="58"/>
      <c r="C537" s="59"/>
      <c r="D537" s="3"/>
      <c r="E537" s="3"/>
      <c r="F537" s="3"/>
      <c r="G537" s="3"/>
      <c r="H537" s="3"/>
      <c r="I537" s="3"/>
      <c r="J537" s="32"/>
      <c r="K537" s="32"/>
      <c r="L537" s="27"/>
      <c r="M537" s="33"/>
      <c r="N537" s="32"/>
      <c r="O537" s="33"/>
      <c r="P537" s="32"/>
      <c r="Q537" s="33"/>
      <c r="R537" s="33"/>
      <c r="S537" s="33"/>
      <c r="T537" s="31"/>
    </row>
    <row r="538" spans="1:20" x14ac:dyDescent="0.25">
      <c r="A538" s="3"/>
      <c r="B538" s="58"/>
      <c r="C538" s="59"/>
      <c r="D538" s="3"/>
      <c r="E538" s="3"/>
      <c r="F538" s="3"/>
      <c r="G538" s="3"/>
      <c r="H538" s="3"/>
      <c r="I538" s="3"/>
      <c r="J538" s="32"/>
      <c r="K538" s="32"/>
      <c r="L538" s="27"/>
      <c r="M538" s="33"/>
      <c r="N538" s="32"/>
      <c r="O538" s="33"/>
      <c r="P538" s="32"/>
      <c r="Q538" s="33"/>
      <c r="R538" s="33"/>
      <c r="S538" s="33"/>
      <c r="T538" s="31"/>
    </row>
    <row r="539" spans="1:20" x14ac:dyDescent="0.25">
      <c r="A539" s="3"/>
      <c r="B539" s="58"/>
      <c r="C539" s="59"/>
      <c r="D539" s="3"/>
      <c r="E539" s="3"/>
      <c r="F539" s="3"/>
      <c r="G539" s="3"/>
      <c r="H539" s="3"/>
      <c r="I539" s="3"/>
      <c r="J539" s="32"/>
      <c r="K539" s="32"/>
      <c r="L539" s="27"/>
      <c r="M539" s="33"/>
      <c r="N539" s="32"/>
      <c r="O539" s="33"/>
      <c r="P539" s="32"/>
      <c r="Q539" s="33"/>
      <c r="R539" s="33"/>
      <c r="S539" s="33"/>
      <c r="T539" s="31"/>
    </row>
    <row r="540" spans="1:20" x14ac:dyDescent="0.25">
      <c r="A540" s="3"/>
      <c r="B540" s="58"/>
      <c r="C540" s="59"/>
      <c r="D540" s="3"/>
      <c r="E540" s="3"/>
      <c r="F540" s="3"/>
      <c r="G540" s="3"/>
      <c r="H540" s="3"/>
      <c r="I540" s="3"/>
      <c r="J540" s="32"/>
      <c r="K540" s="32"/>
      <c r="L540" s="27"/>
      <c r="M540" s="33"/>
      <c r="N540" s="32"/>
      <c r="O540" s="33"/>
      <c r="P540" s="32"/>
      <c r="Q540" s="33"/>
      <c r="R540" s="33"/>
      <c r="S540" s="33"/>
      <c r="T540" s="31"/>
    </row>
    <row r="541" spans="1:20" x14ac:dyDescent="0.25">
      <c r="A541" s="3"/>
      <c r="B541" s="58"/>
      <c r="C541" s="59"/>
      <c r="D541" s="3"/>
      <c r="E541" s="3"/>
      <c r="F541" s="3"/>
      <c r="G541" s="3"/>
      <c r="H541" s="3"/>
      <c r="I541" s="3"/>
      <c r="J541" s="32"/>
      <c r="K541" s="32"/>
      <c r="L541" s="27"/>
      <c r="M541" s="33"/>
      <c r="N541" s="32"/>
      <c r="O541" s="33"/>
      <c r="P541" s="32"/>
      <c r="Q541" s="33"/>
      <c r="R541" s="33"/>
      <c r="S541" s="33"/>
      <c r="T541" s="31"/>
    </row>
    <row r="542" spans="1:20" x14ac:dyDescent="0.25">
      <c r="A542" s="3"/>
      <c r="B542" s="58"/>
      <c r="C542" s="59"/>
      <c r="D542" s="3"/>
      <c r="E542" s="3"/>
      <c r="F542" s="3"/>
      <c r="G542" s="3"/>
      <c r="H542" s="3"/>
      <c r="I542" s="3"/>
      <c r="J542" s="32"/>
      <c r="K542" s="32"/>
      <c r="L542" s="27"/>
      <c r="M542" s="33"/>
      <c r="N542" s="32"/>
      <c r="O542" s="33"/>
      <c r="P542" s="32"/>
      <c r="Q542" s="33"/>
      <c r="R542" s="33"/>
      <c r="S542" s="33"/>
      <c r="T542" s="31"/>
    </row>
    <row r="543" spans="1:20" x14ac:dyDescent="0.25">
      <c r="A543" s="3"/>
      <c r="B543" s="58"/>
      <c r="C543" s="59"/>
      <c r="D543" s="3"/>
      <c r="E543" s="3"/>
      <c r="F543" s="3"/>
      <c r="G543" s="3"/>
      <c r="H543" s="3"/>
      <c r="I543" s="3"/>
      <c r="J543" s="32"/>
      <c r="K543" s="32"/>
      <c r="L543" s="27"/>
      <c r="M543" s="33"/>
      <c r="N543" s="32"/>
      <c r="O543" s="33"/>
      <c r="P543" s="32"/>
      <c r="Q543" s="33"/>
      <c r="R543" s="33"/>
      <c r="S543" s="33"/>
      <c r="T543" s="31"/>
    </row>
    <row r="544" spans="1:20" x14ac:dyDescent="0.25">
      <c r="A544" s="3"/>
      <c r="B544" s="58"/>
      <c r="C544" s="59"/>
      <c r="D544" s="3"/>
      <c r="E544" s="3"/>
      <c r="F544" s="3"/>
      <c r="G544" s="3"/>
      <c r="H544" s="3"/>
      <c r="I544" s="3"/>
      <c r="J544" s="32"/>
      <c r="K544" s="32"/>
      <c r="L544" s="27"/>
      <c r="M544" s="33"/>
      <c r="N544" s="32"/>
      <c r="O544" s="33"/>
      <c r="P544" s="32"/>
      <c r="Q544" s="33"/>
      <c r="R544" s="33"/>
      <c r="S544" s="33"/>
      <c r="T544" s="31"/>
    </row>
    <row r="545" spans="1:20" x14ac:dyDescent="0.25">
      <c r="A545" s="3"/>
      <c r="B545" s="58"/>
      <c r="C545" s="59"/>
      <c r="D545" s="3"/>
      <c r="E545" s="3"/>
      <c r="F545" s="3"/>
      <c r="G545" s="3"/>
      <c r="H545" s="3"/>
      <c r="I545" s="3"/>
      <c r="J545" s="32"/>
      <c r="K545" s="32"/>
      <c r="L545" s="27"/>
      <c r="M545" s="33"/>
      <c r="N545" s="32"/>
      <c r="O545" s="33"/>
      <c r="P545" s="32"/>
      <c r="Q545" s="33"/>
      <c r="R545" s="33"/>
      <c r="S545" s="33"/>
      <c r="T545" s="31"/>
    </row>
    <row r="546" spans="1:20" x14ac:dyDescent="0.25">
      <c r="A546" s="3"/>
      <c r="B546" s="58"/>
      <c r="C546" s="59"/>
      <c r="D546" s="3"/>
      <c r="E546" s="3"/>
      <c r="F546" s="3"/>
      <c r="G546" s="3"/>
      <c r="H546" s="3"/>
      <c r="I546" s="3"/>
      <c r="J546" s="32"/>
      <c r="K546" s="32"/>
      <c r="L546" s="27"/>
      <c r="M546" s="33"/>
      <c r="N546" s="32"/>
      <c r="O546" s="33"/>
      <c r="P546" s="32"/>
      <c r="Q546" s="33"/>
      <c r="R546" s="33"/>
      <c r="S546" s="33"/>
      <c r="T546" s="31"/>
    </row>
    <row r="547" spans="1:20" x14ac:dyDescent="0.25">
      <c r="A547" s="3"/>
      <c r="B547" s="58"/>
      <c r="C547" s="59"/>
      <c r="D547" s="3"/>
      <c r="E547" s="3"/>
      <c r="F547" s="3"/>
      <c r="G547" s="3"/>
      <c r="H547" s="3"/>
      <c r="I547" s="3"/>
      <c r="J547" s="32"/>
      <c r="K547" s="32"/>
      <c r="L547" s="27"/>
      <c r="M547" s="33"/>
      <c r="N547" s="32"/>
      <c r="O547" s="33"/>
      <c r="P547" s="32"/>
      <c r="Q547" s="33"/>
      <c r="R547" s="33"/>
      <c r="S547" s="33"/>
      <c r="T547" s="31"/>
    </row>
    <row r="548" spans="1:20" x14ac:dyDescent="0.25">
      <c r="A548" s="3"/>
      <c r="B548" s="58"/>
      <c r="C548" s="59"/>
      <c r="D548" s="3"/>
      <c r="E548" s="3"/>
      <c r="F548" s="3"/>
      <c r="G548" s="3"/>
      <c r="H548" s="3"/>
      <c r="I548" s="3"/>
      <c r="J548" s="32"/>
      <c r="K548" s="32"/>
      <c r="L548" s="27"/>
      <c r="M548" s="33"/>
      <c r="N548" s="32"/>
      <c r="O548" s="33"/>
      <c r="P548" s="32"/>
      <c r="Q548" s="33"/>
      <c r="R548" s="33"/>
      <c r="S548" s="33"/>
      <c r="T548" s="31"/>
    </row>
    <row r="549" spans="1:20" x14ac:dyDescent="0.25">
      <c r="A549" s="3"/>
      <c r="B549" s="58"/>
      <c r="C549" s="59"/>
      <c r="D549" s="3"/>
      <c r="E549" s="3"/>
      <c r="F549" s="3"/>
      <c r="G549" s="3"/>
      <c r="H549" s="3"/>
      <c r="I549" s="3"/>
      <c r="J549" s="32"/>
      <c r="K549" s="32"/>
      <c r="L549" s="27"/>
      <c r="M549" s="33"/>
      <c r="N549" s="32"/>
      <c r="O549" s="33"/>
      <c r="P549" s="32"/>
      <c r="Q549" s="33"/>
      <c r="R549" s="33"/>
      <c r="S549" s="33"/>
      <c r="T549" s="31"/>
    </row>
    <row r="550" spans="1:20" x14ac:dyDescent="0.25">
      <c r="A550" s="3"/>
      <c r="B550" s="58"/>
      <c r="C550" s="59"/>
      <c r="D550" s="3"/>
      <c r="E550" s="3"/>
      <c r="F550" s="3"/>
      <c r="G550" s="3"/>
      <c r="H550" s="3"/>
      <c r="I550" s="3"/>
      <c r="J550" s="32"/>
      <c r="K550" s="32"/>
      <c r="L550" s="27"/>
      <c r="M550" s="33"/>
      <c r="N550" s="32"/>
      <c r="O550" s="33"/>
      <c r="P550" s="32"/>
      <c r="Q550" s="33"/>
      <c r="R550" s="33"/>
      <c r="S550" s="33"/>
      <c r="T550" s="31"/>
    </row>
    <row r="551" spans="1:20" x14ac:dyDescent="0.25">
      <c r="A551" s="3"/>
      <c r="B551" s="58"/>
      <c r="C551" s="59"/>
      <c r="D551" s="3"/>
      <c r="E551" s="3"/>
      <c r="F551" s="3"/>
      <c r="G551" s="3"/>
      <c r="H551" s="3"/>
      <c r="I551" s="3"/>
      <c r="J551" s="32"/>
      <c r="K551" s="32"/>
      <c r="L551" s="27"/>
      <c r="M551" s="33"/>
      <c r="N551" s="32"/>
      <c r="O551" s="33"/>
      <c r="P551" s="32"/>
      <c r="Q551" s="33"/>
      <c r="R551" s="33"/>
      <c r="S551" s="33"/>
      <c r="T551" s="31"/>
    </row>
    <row r="552" spans="1:20" x14ac:dyDescent="0.25">
      <c r="A552" s="3"/>
      <c r="B552" s="58"/>
      <c r="C552" s="59"/>
      <c r="D552" s="3"/>
      <c r="E552" s="3"/>
      <c r="F552" s="3"/>
      <c r="G552" s="3"/>
      <c r="H552" s="3"/>
      <c r="I552" s="3"/>
      <c r="J552" s="32"/>
      <c r="K552" s="32"/>
      <c r="L552" s="27"/>
      <c r="M552" s="33"/>
      <c r="N552" s="32"/>
      <c r="O552" s="33"/>
      <c r="P552" s="32"/>
      <c r="Q552" s="33"/>
      <c r="R552" s="33"/>
      <c r="S552" s="33"/>
      <c r="T552" s="31"/>
    </row>
    <row r="553" spans="1:20" x14ac:dyDescent="0.25">
      <c r="A553" s="3"/>
      <c r="B553" s="58"/>
      <c r="C553" s="59"/>
      <c r="D553" s="3"/>
      <c r="E553" s="3"/>
      <c r="F553" s="3"/>
      <c r="G553" s="3"/>
      <c r="H553" s="3"/>
      <c r="I553" s="3"/>
      <c r="J553" s="32"/>
      <c r="K553" s="32"/>
      <c r="L553" s="27"/>
      <c r="M553" s="33"/>
      <c r="N553" s="32"/>
      <c r="O553" s="33"/>
      <c r="P553" s="32"/>
      <c r="Q553" s="33"/>
      <c r="R553" s="33"/>
      <c r="S553" s="33"/>
      <c r="T553" s="31"/>
    </row>
    <row r="554" spans="1:20" x14ac:dyDescent="0.25">
      <c r="A554" s="3"/>
      <c r="B554" s="58"/>
      <c r="C554" s="59"/>
      <c r="D554" s="3"/>
      <c r="E554" s="3"/>
      <c r="F554" s="3"/>
      <c r="G554" s="3"/>
      <c r="H554" s="3"/>
      <c r="I554" s="3"/>
      <c r="J554" s="32"/>
      <c r="K554" s="32"/>
      <c r="L554" s="27"/>
      <c r="M554" s="33"/>
      <c r="N554" s="32"/>
      <c r="O554" s="33"/>
      <c r="P554" s="32"/>
      <c r="Q554" s="33"/>
      <c r="R554" s="33"/>
      <c r="S554" s="33"/>
      <c r="T554" s="31"/>
    </row>
    <row r="555" spans="1:20" x14ac:dyDescent="0.25">
      <c r="A555" s="3"/>
      <c r="B555" s="58"/>
      <c r="C555" s="59"/>
      <c r="D555" s="3"/>
      <c r="E555" s="3"/>
      <c r="F555" s="3"/>
      <c r="G555" s="3"/>
      <c r="H555" s="3"/>
      <c r="I555" s="3"/>
      <c r="J555" s="32"/>
      <c r="K555" s="32"/>
      <c r="L555" s="27"/>
      <c r="M555" s="33"/>
      <c r="N555" s="32"/>
      <c r="O555" s="33"/>
      <c r="P555" s="32"/>
      <c r="Q555" s="33"/>
      <c r="R555" s="33"/>
      <c r="S555" s="33"/>
      <c r="T555" s="31"/>
    </row>
    <row r="556" spans="1:20" x14ac:dyDescent="0.25">
      <c r="A556" s="3"/>
      <c r="B556" s="58"/>
      <c r="C556" s="59"/>
      <c r="D556" s="3"/>
      <c r="E556" s="3"/>
      <c r="F556" s="3"/>
      <c r="G556" s="3"/>
      <c r="H556" s="3"/>
      <c r="I556" s="3"/>
      <c r="J556" s="32"/>
      <c r="K556" s="32"/>
      <c r="L556" s="27"/>
      <c r="M556" s="33"/>
      <c r="N556" s="32"/>
      <c r="O556" s="33"/>
      <c r="P556" s="32"/>
      <c r="Q556" s="33"/>
      <c r="R556" s="33"/>
      <c r="S556" s="33"/>
      <c r="T556" s="31"/>
    </row>
    <row r="557" spans="1:20" x14ac:dyDescent="0.25">
      <c r="A557" s="3"/>
      <c r="B557" s="58"/>
      <c r="C557" s="59"/>
      <c r="D557" s="3"/>
      <c r="E557" s="3"/>
      <c r="F557" s="3"/>
      <c r="G557" s="3"/>
      <c r="H557" s="3"/>
      <c r="I557" s="3"/>
      <c r="J557" s="32"/>
      <c r="K557" s="32"/>
      <c r="L557" s="27"/>
      <c r="M557" s="33"/>
      <c r="N557" s="32"/>
      <c r="O557" s="33"/>
      <c r="P557" s="32"/>
      <c r="Q557" s="33"/>
      <c r="R557" s="33"/>
      <c r="S557" s="33"/>
      <c r="T557" s="31"/>
    </row>
    <row r="558" spans="1:20" x14ac:dyDescent="0.25">
      <c r="A558" s="3"/>
      <c r="B558" s="58"/>
      <c r="C558" s="59"/>
      <c r="D558" s="3"/>
      <c r="E558" s="3"/>
      <c r="F558" s="3"/>
      <c r="G558" s="3"/>
      <c r="H558" s="3"/>
      <c r="I558" s="3"/>
      <c r="J558" s="32"/>
      <c r="K558" s="32"/>
      <c r="L558" s="27"/>
      <c r="M558" s="33"/>
      <c r="N558" s="32"/>
      <c r="O558" s="33"/>
      <c r="P558" s="32"/>
      <c r="Q558" s="33"/>
      <c r="R558" s="33"/>
      <c r="S558" s="33"/>
      <c r="T558" s="31"/>
    </row>
    <row r="559" spans="1:20" x14ac:dyDescent="0.25">
      <c r="A559" s="3"/>
      <c r="B559" s="58"/>
      <c r="C559" s="59"/>
      <c r="D559" s="3"/>
      <c r="E559" s="3"/>
      <c r="F559" s="3"/>
      <c r="G559" s="3"/>
      <c r="H559" s="3"/>
      <c r="I559" s="3"/>
      <c r="J559" s="32"/>
      <c r="K559" s="32"/>
      <c r="L559" s="27"/>
      <c r="M559" s="33"/>
      <c r="N559" s="32"/>
      <c r="O559" s="33"/>
      <c r="P559" s="32"/>
      <c r="Q559" s="33"/>
      <c r="R559" s="33"/>
      <c r="S559" s="33"/>
      <c r="T559" s="31"/>
    </row>
    <row r="560" spans="1:20" x14ac:dyDescent="0.25">
      <c r="A560" s="3"/>
      <c r="B560" s="58"/>
      <c r="C560" s="59"/>
      <c r="D560" s="3"/>
      <c r="E560" s="3"/>
      <c r="F560" s="3"/>
      <c r="G560" s="3"/>
      <c r="H560" s="3"/>
      <c r="I560" s="3"/>
      <c r="J560" s="32"/>
      <c r="K560" s="32"/>
      <c r="L560" s="27"/>
      <c r="M560" s="33"/>
      <c r="N560" s="32"/>
      <c r="O560" s="33"/>
      <c r="P560" s="32"/>
      <c r="Q560" s="33"/>
      <c r="R560" s="33"/>
      <c r="S560" s="33"/>
      <c r="T560" s="31"/>
    </row>
    <row r="561" spans="1:20" x14ac:dyDescent="0.25">
      <c r="A561" s="3"/>
      <c r="B561" s="58"/>
      <c r="C561" s="59"/>
      <c r="D561" s="3"/>
      <c r="E561" s="3"/>
      <c r="F561" s="3"/>
      <c r="G561" s="3"/>
      <c r="H561" s="3"/>
      <c r="I561" s="3"/>
      <c r="J561" s="32"/>
      <c r="K561" s="32"/>
      <c r="L561" s="27"/>
      <c r="M561" s="33"/>
      <c r="N561" s="32"/>
      <c r="O561" s="33"/>
      <c r="P561" s="32"/>
      <c r="Q561" s="33"/>
      <c r="R561" s="33"/>
      <c r="S561" s="33"/>
      <c r="T561" s="31"/>
    </row>
    <row r="562" spans="1:20" x14ac:dyDescent="0.25">
      <c r="A562" s="3"/>
      <c r="B562" s="58"/>
      <c r="C562" s="59"/>
      <c r="D562" s="3"/>
      <c r="E562" s="3"/>
      <c r="F562" s="3"/>
      <c r="G562" s="3"/>
      <c r="H562" s="3"/>
      <c r="I562" s="3"/>
      <c r="J562" s="32"/>
      <c r="K562" s="32"/>
      <c r="L562" s="27"/>
      <c r="M562" s="33"/>
      <c r="N562" s="32"/>
      <c r="O562" s="33"/>
      <c r="P562" s="32"/>
      <c r="Q562" s="33"/>
      <c r="R562" s="33"/>
      <c r="S562" s="33"/>
      <c r="T562" s="31"/>
    </row>
    <row r="563" spans="1:20" x14ac:dyDescent="0.25">
      <c r="A563" s="3"/>
      <c r="B563" s="58"/>
      <c r="C563" s="59"/>
      <c r="D563" s="3"/>
      <c r="E563" s="3"/>
      <c r="F563" s="3"/>
      <c r="G563" s="3"/>
      <c r="H563" s="3"/>
      <c r="I563" s="3"/>
      <c r="J563" s="32"/>
      <c r="K563" s="32"/>
      <c r="L563" s="27"/>
      <c r="M563" s="33"/>
      <c r="N563" s="32"/>
      <c r="O563" s="33"/>
      <c r="P563" s="32"/>
      <c r="Q563" s="33"/>
      <c r="R563" s="33"/>
      <c r="S563" s="33"/>
      <c r="T563" s="31"/>
    </row>
    <row r="564" spans="1:20" x14ac:dyDescent="0.25">
      <c r="A564" s="3"/>
      <c r="B564" s="58"/>
      <c r="C564" s="59"/>
      <c r="D564" s="3"/>
      <c r="E564" s="3"/>
      <c r="F564" s="3"/>
      <c r="G564" s="3"/>
      <c r="H564" s="3"/>
      <c r="I564" s="3"/>
      <c r="J564" s="32"/>
      <c r="K564" s="32"/>
      <c r="L564" s="27"/>
      <c r="M564" s="33"/>
      <c r="N564" s="32"/>
      <c r="O564" s="33"/>
      <c r="P564" s="32"/>
      <c r="Q564" s="33"/>
      <c r="R564" s="33"/>
      <c r="S564" s="33"/>
      <c r="T564" s="31"/>
    </row>
    <row r="565" spans="1:20" x14ac:dyDescent="0.25">
      <c r="A565" s="3"/>
      <c r="B565" s="58"/>
      <c r="C565" s="59"/>
      <c r="D565" s="3"/>
      <c r="E565" s="3"/>
      <c r="F565" s="3"/>
      <c r="G565" s="3"/>
      <c r="H565" s="3"/>
      <c r="I565" s="3"/>
      <c r="J565" s="32"/>
      <c r="K565" s="32"/>
      <c r="L565" s="27"/>
      <c r="M565" s="33"/>
      <c r="N565" s="32"/>
      <c r="O565" s="33"/>
      <c r="P565" s="32"/>
      <c r="Q565" s="33"/>
      <c r="R565" s="33"/>
      <c r="S565" s="33"/>
      <c r="T565" s="31"/>
    </row>
    <row r="566" spans="1:20" x14ac:dyDescent="0.25">
      <c r="A566" s="3"/>
      <c r="B566" s="58"/>
      <c r="C566" s="59"/>
      <c r="D566" s="3"/>
      <c r="E566" s="3"/>
      <c r="F566" s="3"/>
      <c r="G566" s="3"/>
      <c r="H566" s="3"/>
      <c r="I566" s="3"/>
      <c r="J566" s="32"/>
      <c r="K566" s="32"/>
      <c r="L566" s="27"/>
      <c r="M566" s="33"/>
      <c r="N566" s="32"/>
      <c r="O566" s="33"/>
      <c r="P566" s="32"/>
      <c r="Q566" s="33"/>
      <c r="R566" s="33"/>
      <c r="S566" s="33"/>
      <c r="T566" s="31"/>
    </row>
    <row r="567" spans="1:20" x14ac:dyDescent="0.25">
      <c r="A567" s="3"/>
      <c r="B567" s="58"/>
      <c r="C567" s="59"/>
      <c r="D567" s="3"/>
      <c r="E567" s="3"/>
      <c r="F567" s="3"/>
      <c r="G567" s="3"/>
      <c r="H567" s="3"/>
      <c r="I567" s="3"/>
      <c r="J567" s="32"/>
      <c r="K567" s="32"/>
      <c r="L567" s="27"/>
      <c r="M567" s="33"/>
      <c r="N567" s="32"/>
      <c r="O567" s="33"/>
      <c r="P567" s="32"/>
      <c r="Q567" s="33"/>
      <c r="R567" s="33"/>
      <c r="S567" s="33"/>
      <c r="T567" s="31"/>
    </row>
    <row r="568" spans="1:20" x14ac:dyDescent="0.25">
      <c r="A568" s="3"/>
      <c r="B568" s="58"/>
      <c r="C568" s="59"/>
      <c r="D568" s="3"/>
      <c r="E568" s="3"/>
      <c r="F568" s="3"/>
      <c r="G568" s="3"/>
      <c r="H568" s="3"/>
      <c r="I568" s="3"/>
      <c r="J568" s="32"/>
      <c r="K568" s="32"/>
      <c r="L568" s="27"/>
      <c r="M568" s="33"/>
      <c r="N568" s="32"/>
      <c r="O568" s="33"/>
      <c r="P568" s="32"/>
      <c r="Q568" s="33"/>
      <c r="R568" s="33"/>
      <c r="S568" s="33"/>
      <c r="T568" s="31"/>
    </row>
    <row r="569" spans="1:20" x14ac:dyDescent="0.25">
      <c r="A569" s="3"/>
      <c r="B569" s="58"/>
      <c r="C569" s="59"/>
      <c r="D569" s="3"/>
      <c r="E569" s="3"/>
      <c r="F569" s="3"/>
      <c r="G569" s="3"/>
      <c r="H569" s="3"/>
      <c r="I569" s="3"/>
      <c r="J569" s="32"/>
      <c r="K569" s="32"/>
      <c r="L569" s="27"/>
      <c r="M569" s="33"/>
      <c r="N569" s="32"/>
      <c r="O569" s="33"/>
      <c r="P569" s="32"/>
      <c r="Q569" s="33"/>
      <c r="R569" s="33"/>
      <c r="S569" s="33"/>
      <c r="T569" s="31"/>
    </row>
    <row r="570" spans="1:20" x14ac:dyDescent="0.25">
      <c r="A570" s="3"/>
      <c r="B570" s="58"/>
      <c r="C570" s="59"/>
      <c r="D570" s="3"/>
      <c r="E570" s="3"/>
      <c r="F570" s="3"/>
      <c r="G570" s="3"/>
      <c r="H570" s="3"/>
      <c r="I570" s="3"/>
      <c r="J570" s="32"/>
      <c r="K570" s="32"/>
      <c r="L570" s="27"/>
      <c r="M570" s="33"/>
      <c r="N570" s="32"/>
      <c r="O570" s="33"/>
      <c r="P570" s="32"/>
      <c r="Q570" s="33"/>
      <c r="R570" s="33"/>
      <c r="S570" s="33"/>
      <c r="T570" s="31"/>
    </row>
    <row r="571" spans="1:20" x14ac:dyDescent="0.25">
      <c r="A571" s="3"/>
      <c r="B571" s="58"/>
      <c r="C571" s="59"/>
      <c r="D571" s="3"/>
      <c r="E571" s="3"/>
      <c r="F571" s="3"/>
      <c r="G571" s="3"/>
      <c r="H571" s="3"/>
      <c r="I571" s="3"/>
      <c r="J571" s="32"/>
      <c r="K571" s="32"/>
      <c r="L571" s="27"/>
      <c r="M571" s="33"/>
      <c r="N571" s="32"/>
      <c r="O571" s="33"/>
      <c r="P571" s="32"/>
      <c r="Q571" s="33"/>
      <c r="R571" s="33"/>
      <c r="S571" s="33"/>
      <c r="T571" s="31"/>
    </row>
    <row r="572" spans="1:20" x14ac:dyDescent="0.25">
      <c r="A572" s="3"/>
      <c r="B572" s="58"/>
      <c r="C572" s="59"/>
      <c r="D572" s="3"/>
      <c r="E572" s="3"/>
      <c r="F572" s="3"/>
      <c r="G572" s="3"/>
      <c r="H572" s="3"/>
      <c r="I572" s="3"/>
      <c r="J572" s="32"/>
      <c r="K572" s="32"/>
      <c r="L572" s="27"/>
      <c r="M572" s="33"/>
      <c r="N572" s="32"/>
      <c r="O572" s="33"/>
      <c r="P572" s="32"/>
      <c r="Q572" s="33"/>
      <c r="R572" s="33"/>
      <c r="S572" s="33"/>
      <c r="T572" s="31"/>
    </row>
    <row r="573" spans="1:20" x14ac:dyDescent="0.25">
      <c r="A573" s="3"/>
      <c r="B573" s="58"/>
      <c r="C573" s="59"/>
      <c r="D573" s="3"/>
      <c r="E573" s="3"/>
      <c r="F573" s="3"/>
      <c r="G573" s="3"/>
      <c r="H573" s="3"/>
      <c r="I573" s="3"/>
      <c r="J573" s="32"/>
      <c r="K573" s="32"/>
      <c r="L573" s="27"/>
      <c r="M573" s="33"/>
      <c r="N573" s="32"/>
      <c r="O573" s="33"/>
      <c r="P573" s="32"/>
      <c r="Q573" s="33"/>
      <c r="R573" s="33"/>
      <c r="S573" s="33"/>
      <c r="T573" s="31"/>
    </row>
    <row r="574" spans="1:20" x14ac:dyDescent="0.25">
      <c r="A574" s="3"/>
      <c r="B574" s="58"/>
      <c r="C574" s="59"/>
      <c r="D574" s="3"/>
      <c r="E574" s="3"/>
      <c r="F574" s="3"/>
      <c r="G574" s="3"/>
      <c r="H574" s="3"/>
      <c r="I574" s="3"/>
      <c r="J574" s="32"/>
      <c r="K574" s="32"/>
      <c r="L574" s="27"/>
      <c r="M574" s="33"/>
      <c r="N574" s="32"/>
      <c r="O574" s="33"/>
      <c r="P574" s="32"/>
      <c r="Q574" s="33"/>
      <c r="R574" s="33"/>
      <c r="S574" s="33"/>
      <c r="T574" s="31"/>
    </row>
    <row r="575" spans="1:20" x14ac:dyDescent="0.25">
      <c r="A575" s="3"/>
      <c r="B575" s="58"/>
      <c r="C575" s="59"/>
      <c r="D575" s="3"/>
      <c r="E575" s="3"/>
      <c r="F575" s="3"/>
      <c r="G575" s="3"/>
      <c r="H575" s="3"/>
      <c r="I575" s="3"/>
      <c r="J575" s="32"/>
      <c r="K575" s="32"/>
      <c r="L575" s="27"/>
      <c r="M575" s="33"/>
      <c r="N575" s="32"/>
      <c r="O575" s="33"/>
      <c r="P575" s="32"/>
      <c r="Q575" s="33"/>
      <c r="R575" s="33"/>
      <c r="S575" s="33"/>
      <c r="T575" s="31"/>
    </row>
    <row r="576" spans="1:20" x14ac:dyDescent="0.25">
      <c r="A576" s="3"/>
      <c r="B576" s="58"/>
      <c r="C576" s="59"/>
      <c r="D576" s="3"/>
      <c r="E576" s="3"/>
      <c r="F576" s="3"/>
      <c r="G576" s="3"/>
      <c r="H576" s="3"/>
      <c r="I576" s="3"/>
      <c r="J576" s="32"/>
      <c r="K576" s="32"/>
      <c r="L576" s="27"/>
      <c r="M576" s="33"/>
      <c r="N576" s="32"/>
      <c r="O576" s="33"/>
      <c r="P576" s="32"/>
      <c r="Q576" s="33"/>
      <c r="R576" s="33"/>
      <c r="S576" s="33"/>
      <c r="T576" s="31"/>
    </row>
    <row r="577" spans="1:20" x14ac:dyDescent="0.25">
      <c r="A577" s="3"/>
      <c r="B577" s="58"/>
      <c r="C577" s="59"/>
      <c r="D577" s="3"/>
      <c r="E577" s="3"/>
      <c r="F577" s="3"/>
      <c r="G577" s="3"/>
      <c r="H577" s="3"/>
      <c r="I577" s="3"/>
      <c r="J577" s="32"/>
      <c r="K577" s="32"/>
      <c r="L577" s="27"/>
      <c r="M577" s="33"/>
      <c r="N577" s="32"/>
      <c r="O577" s="33"/>
      <c r="P577" s="32"/>
      <c r="Q577" s="33"/>
      <c r="R577" s="33"/>
      <c r="S577" s="33"/>
      <c r="T577" s="31"/>
    </row>
    <row r="578" spans="1:20" x14ac:dyDescent="0.25">
      <c r="A578" s="3"/>
      <c r="B578" s="58"/>
      <c r="C578" s="59"/>
      <c r="D578" s="3"/>
      <c r="E578" s="3"/>
      <c r="F578" s="3"/>
      <c r="G578" s="3"/>
      <c r="H578" s="3"/>
      <c r="I578" s="3"/>
      <c r="J578" s="32"/>
      <c r="K578" s="32"/>
      <c r="L578" s="27"/>
      <c r="M578" s="33"/>
      <c r="N578" s="32"/>
      <c r="O578" s="33"/>
      <c r="P578" s="32"/>
      <c r="Q578" s="33"/>
      <c r="R578" s="33"/>
      <c r="S578" s="33"/>
      <c r="T578" s="31"/>
    </row>
    <row r="579" spans="1:20" x14ac:dyDescent="0.25">
      <c r="A579" s="3"/>
      <c r="B579" s="58"/>
      <c r="C579" s="59"/>
      <c r="D579" s="3"/>
      <c r="E579" s="3"/>
      <c r="F579" s="3"/>
      <c r="G579" s="3"/>
      <c r="H579" s="3"/>
      <c r="I579" s="3"/>
      <c r="J579" s="32"/>
      <c r="K579" s="32"/>
      <c r="L579" s="27"/>
      <c r="M579" s="33"/>
      <c r="N579" s="32"/>
      <c r="O579" s="33"/>
      <c r="P579" s="32"/>
      <c r="Q579" s="33"/>
      <c r="R579" s="33"/>
      <c r="S579" s="33"/>
      <c r="T579" s="31"/>
    </row>
    <row r="580" spans="1:20" x14ac:dyDescent="0.25">
      <c r="A580" s="3"/>
      <c r="B580" s="58"/>
      <c r="C580" s="59"/>
      <c r="D580" s="3"/>
      <c r="E580" s="3"/>
      <c r="F580" s="3"/>
      <c r="G580" s="3"/>
      <c r="H580" s="3"/>
      <c r="I580" s="3"/>
      <c r="J580" s="32"/>
      <c r="K580" s="32"/>
      <c r="L580" s="27"/>
      <c r="M580" s="33"/>
      <c r="N580" s="32"/>
      <c r="O580" s="33"/>
      <c r="P580" s="32"/>
      <c r="Q580" s="33"/>
      <c r="R580" s="33"/>
      <c r="S580" s="33"/>
      <c r="T580" s="31"/>
    </row>
    <row r="581" spans="1:20" x14ac:dyDescent="0.25">
      <c r="A581" s="3"/>
      <c r="B581" s="58"/>
      <c r="C581" s="59"/>
      <c r="D581" s="3"/>
      <c r="E581" s="3"/>
      <c r="F581" s="3"/>
      <c r="G581" s="3"/>
      <c r="H581" s="3"/>
      <c r="I581" s="3"/>
      <c r="J581" s="32"/>
      <c r="K581" s="32"/>
      <c r="L581" s="27"/>
      <c r="M581" s="33"/>
      <c r="N581" s="32"/>
      <c r="O581" s="33"/>
      <c r="P581" s="32"/>
      <c r="Q581" s="33"/>
      <c r="R581" s="33"/>
      <c r="S581" s="33"/>
      <c r="T581" s="31"/>
    </row>
    <row r="582" spans="1:20" x14ac:dyDescent="0.25">
      <c r="A582" s="3"/>
      <c r="B582" s="58"/>
      <c r="C582" s="59"/>
      <c r="D582" s="3"/>
      <c r="E582" s="3"/>
      <c r="F582" s="3"/>
      <c r="G582" s="3"/>
      <c r="H582" s="3"/>
      <c r="I582" s="3"/>
      <c r="J582" s="32"/>
      <c r="K582" s="32"/>
      <c r="L582" s="27"/>
      <c r="M582" s="33"/>
      <c r="N582" s="32"/>
      <c r="O582" s="33"/>
      <c r="P582" s="32"/>
      <c r="Q582" s="33"/>
      <c r="R582" s="33"/>
      <c r="S582" s="33"/>
      <c r="T582" s="31"/>
    </row>
    <row r="583" spans="1:20" x14ac:dyDescent="0.25">
      <c r="A583" s="3"/>
      <c r="B583" s="58"/>
      <c r="C583" s="59"/>
      <c r="D583" s="3"/>
      <c r="E583" s="3"/>
      <c r="F583" s="3"/>
      <c r="G583" s="3"/>
      <c r="H583" s="3"/>
      <c r="I583" s="3"/>
      <c r="J583" s="32"/>
      <c r="K583" s="32"/>
      <c r="L583" s="27"/>
      <c r="M583" s="33"/>
      <c r="N583" s="32"/>
      <c r="O583" s="33"/>
      <c r="P583" s="32"/>
      <c r="Q583" s="33"/>
      <c r="R583" s="33"/>
      <c r="S583" s="33"/>
      <c r="T583" s="31"/>
    </row>
    <row r="584" spans="1:20" x14ac:dyDescent="0.25">
      <c r="A584" s="3"/>
      <c r="B584" s="58"/>
      <c r="C584" s="59"/>
      <c r="D584" s="3"/>
      <c r="E584" s="3"/>
      <c r="F584" s="3"/>
      <c r="G584" s="3"/>
      <c r="H584" s="3"/>
      <c r="I584" s="3"/>
      <c r="J584" s="32"/>
      <c r="K584" s="32"/>
      <c r="L584" s="27"/>
      <c r="M584" s="33"/>
      <c r="N584" s="32"/>
      <c r="O584" s="33"/>
      <c r="P584" s="32"/>
      <c r="Q584" s="33"/>
      <c r="R584" s="33"/>
      <c r="S584" s="33"/>
      <c r="T584" s="31"/>
    </row>
    <row r="585" spans="1:20" x14ac:dyDescent="0.25">
      <c r="A585" s="3"/>
      <c r="B585" s="58"/>
      <c r="C585" s="59"/>
      <c r="D585" s="3"/>
      <c r="E585" s="3"/>
      <c r="F585" s="3"/>
      <c r="G585" s="3"/>
      <c r="H585" s="3"/>
      <c r="I585" s="3"/>
      <c r="J585" s="32"/>
      <c r="K585" s="32"/>
      <c r="L585" s="27"/>
      <c r="M585" s="33"/>
      <c r="N585" s="32"/>
      <c r="O585" s="33"/>
      <c r="P585" s="32"/>
      <c r="Q585" s="33"/>
      <c r="R585" s="33"/>
      <c r="S585" s="33"/>
      <c r="T585" s="31"/>
    </row>
    <row r="586" spans="1:20" x14ac:dyDescent="0.25">
      <c r="A586" s="3"/>
      <c r="B586" s="58"/>
      <c r="C586" s="59"/>
      <c r="D586" s="3"/>
      <c r="E586" s="3"/>
      <c r="F586" s="3"/>
      <c r="G586" s="3"/>
      <c r="H586" s="3"/>
      <c r="I586" s="3"/>
      <c r="J586" s="32"/>
      <c r="K586" s="32"/>
      <c r="L586" s="27"/>
      <c r="M586" s="33"/>
      <c r="N586" s="32"/>
      <c r="O586" s="33"/>
      <c r="P586" s="32"/>
      <c r="Q586" s="33"/>
      <c r="R586" s="33"/>
      <c r="S586" s="33"/>
      <c r="T586" s="31"/>
    </row>
    <row r="587" spans="1:20" x14ac:dyDescent="0.25">
      <c r="A587" s="3"/>
      <c r="B587" s="58"/>
      <c r="C587" s="59"/>
      <c r="D587" s="3"/>
      <c r="E587" s="3"/>
      <c r="F587" s="3"/>
      <c r="G587" s="3"/>
      <c r="H587" s="3"/>
      <c r="I587" s="3"/>
      <c r="J587" s="32"/>
      <c r="K587" s="32"/>
      <c r="L587" s="27"/>
      <c r="M587" s="33"/>
      <c r="N587" s="32"/>
      <c r="O587" s="33"/>
      <c r="P587" s="32"/>
      <c r="Q587" s="33"/>
      <c r="R587" s="33"/>
      <c r="S587" s="33"/>
      <c r="T587" s="31"/>
    </row>
    <row r="588" spans="1:20" x14ac:dyDescent="0.25">
      <c r="A588" s="3"/>
      <c r="B588" s="58"/>
      <c r="C588" s="59"/>
      <c r="D588" s="3"/>
      <c r="E588" s="3"/>
      <c r="F588" s="3"/>
      <c r="G588" s="3"/>
      <c r="H588" s="3"/>
      <c r="I588" s="3"/>
      <c r="J588" s="32"/>
      <c r="K588" s="32"/>
      <c r="L588" s="27"/>
      <c r="M588" s="33"/>
      <c r="N588" s="32"/>
      <c r="O588" s="33"/>
      <c r="P588" s="32"/>
      <c r="Q588" s="33"/>
      <c r="R588" s="33"/>
      <c r="S588" s="33"/>
      <c r="T588" s="31"/>
    </row>
    <row r="589" spans="1:20" x14ac:dyDescent="0.25">
      <c r="A589" s="3"/>
      <c r="B589" s="58"/>
      <c r="C589" s="59"/>
      <c r="D589" s="3"/>
      <c r="E589" s="3"/>
      <c r="F589" s="3"/>
      <c r="G589" s="3"/>
      <c r="H589" s="3"/>
      <c r="I589" s="3"/>
      <c r="J589" s="32"/>
      <c r="K589" s="32"/>
      <c r="L589" s="27"/>
      <c r="M589" s="33"/>
      <c r="N589" s="32"/>
      <c r="O589" s="33"/>
      <c r="P589" s="32"/>
      <c r="Q589" s="33"/>
      <c r="R589" s="33"/>
      <c r="S589" s="33"/>
      <c r="T589" s="31"/>
    </row>
    <row r="590" spans="1:20" x14ac:dyDescent="0.25">
      <c r="A590" s="3"/>
      <c r="B590" s="58"/>
      <c r="C590" s="59"/>
      <c r="D590" s="3"/>
      <c r="E590" s="3"/>
      <c r="F590" s="3"/>
      <c r="G590" s="3"/>
      <c r="H590" s="3"/>
      <c r="I590" s="3"/>
      <c r="J590" s="32"/>
      <c r="K590" s="32"/>
      <c r="L590" s="27"/>
      <c r="M590" s="33"/>
      <c r="N590" s="32"/>
      <c r="O590" s="33"/>
      <c r="P590" s="32"/>
      <c r="Q590" s="33"/>
      <c r="R590" s="33"/>
      <c r="S590" s="33"/>
      <c r="T590" s="31"/>
    </row>
    <row r="591" spans="1:20" x14ac:dyDescent="0.25">
      <c r="A591" s="3"/>
      <c r="B591" s="58"/>
      <c r="C591" s="59"/>
      <c r="D591" s="3"/>
      <c r="E591" s="3"/>
      <c r="F591" s="3"/>
      <c r="G591" s="3"/>
      <c r="H591" s="3"/>
      <c r="I591" s="3"/>
      <c r="J591" s="32"/>
      <c r="K591" s="32"/>
      <c r="L591" s="27"/>
      <c r="M591" s="33"/>
      <c r="N591" s="32"/>
      <c r="O591" s="33"/>
      <c r="P591" s="32"/>
      <c r="Q591" s="33"/>
      <c r="R591" s="33"/>
      <c r="S591" s="33"/>
      <c r="T591" s="31"/>
    </row>
    <row r="592" spans="1:20" x14ac:dyDescent="0.25">
      <c r="A592" s="3"/>
      <c r="B592" s="58"/>
      <c r="C592" s="59"/>
      <c r="D592" s="3"/>
      <c r="E592" s="3"/>
      <c r="F592" s="3"/>
      <c r="G592" s="3"/>
      <c r="H592" s="3"/>
      <c r="I592" s="3"/>
      <c r="J592" s="32"/>
      <c r="K592" s="32"/>
      <c r="L592" s="27"/>
      <c r="M592" s="33"/>
      <c r="N592" s="32"/>
      <c r="O592" s="33"/>
      <c r="P592" s="32"/>
      <c r="Q592" s="33"/>
      <c r="R592" s="33"/>
      <c r="S592" s="33"/>
      <c r="T592" s="31"/>
    </row>
    <row r="593" spans="1:20" x14ac:dyDescent="0.25">
      <c r="A593" s="3"/>
      <c r="B593" s="58"/>
      <c r="C593" s="59"/>
      <c r="D593" s="3"/>
      <c r="E593" s="3"/>
      <c r="F593" s="3"/>
      <c r="G593" s="3"/>
      <c r="H593" s="3"/>
      <c r="I593" s="3"/>
      <c r="J593" s="32"/>
      <c r="K593" s="32"/>
      <c r="L593" s="27"/>
      <c r="M593" s="33"/>
      <c r="N593" s="32"/>
      <c r="O593" s="33"/>
      <c r="P593" s="32"/>
      <c r="Q593" s="33"/>
      <c r="R593" s="33"/>
      <c r="S593" s="33"/>
      <c r="T593" s="31"/>
    </row>
    <row r="594" spans="1:20" x14ac:dyDescent="0.25">
      <c r="A594" s="3"/>
      <c r="B594" s="58"/>
      <c r="C594" s="59"/>
      <c r="D594" s="3"/>
      <c r="E594" s="3"/>
      <c r="F594" s="3"/>
      <c r="G594" s="3"/>
      <c r="H594" s="3"/>
      <c r="I594" s="3"/>
      <c r="J594" s="32"/>
      <c r="K594" s="32"/>
      <c r="L594" s="27"/>
      <c r="M594" s="33"/>
      <c r="N594" s="32"/>
      <c r="O594" s="33"/>
      <c r="P594" s="32"/>
      <c r="Q594" s="33"/>
      <c r="R594" s="33"/>
      <c r="S594" s="33"/>
      <c r="T594" s="31"/>
    </row>
    <row r="595" spans="1:20" x14ac:dyDescent="0.25">
      <c r="A595" s="3"/>
      <c r="B595" s="58"/>
      <c r="C595" s="59"/>
      <c r="D595" s="3"/>
      <c r="E595" s="3"/>
      <c r="F595" s="3"/>
      <c r="G595" s="3"/>
      <c r="H595" s="3"/>
      <c r="I595" s="3"/>
      <c r="J595" s="32"/>
      <c r="K595" s="32"/>
      <c r="L595" s="27"/>
      <c r="M595" s="33"/>
      <c r="N595" s="32"/>
      <c r="O595" s="33"/>
      <c r="P595" s="32"/>
      <c r="Q595" s="33"/>
      <c r="R595" s="33"/>
      <c r="S595" s="33"/>
      <c r="T595" s="31"/>
    </row>
    <row r="596" spans="1:20" x14ac:dyDescent="0.25">
      <c r="A596" s="3"/>
      <c r="B596" s="58"/>
      <c r="C596" s="59"/>
      <c r="D596" s="3"/>
      <c r="E596" s="3"/>
      <c r="F596" s="3"/>
      <c r="G596" s="3"/>
      <c r="H596" s="3"/>
      <c r="I596" s="3"/>
      <c r="J596" s="32"/>
      <c r="K596" s="32"/>
      <c r="L596" s="27"/>
      <c r="M596" s="33"/>
      <c r="N596" s="32"/>
      <c r="O596" s="33"/>
      <c r="P596" s="32"/>
      <c r="Q596" s="33"/>
      <c r="R596" s="33"/>
      <c r="S596" s="33"/>
      <c r="T596" s="31"/>
    </row>
    <row r="597" spans="1:20" x14ac:dyDescent="0.25">
      <c r="A597" s="3"/>
      <c r="B597" s="58"/>
      <c r="C597" s="59"/>
      <c r="D597" s="3"/>
      <c r="E597" s="3"/>
      <c r="F597" s="3"/>
      <c r="G597" s="3"/>
      <c r="H597" s="3"/>
      <c r="I597" s="3"/>
      <c r="J597" s="32"/>
      <c r="K597" s="32"/>
      <c r="L597" s="27"/>
      <c r="M597" s="33"/>
      <c r="N597" s="32"/>
      <c r="O597" s="33"/>
      <c r="P597" s="32"/>
      <c r="Q597" s="33"/>
      <c r="R597" s="33"/>
      <c r="S597" s="33"/>
      <c r="T597" s="31"/>
    </row>
    <row r="598" spans="1:20" x14ac:dyDescent="0.25">
      <c r="A598" s="3"/>
      <c r="B598" s="58"/>
      <c r="C598" s="59"/>
      <c r="D598" s="3"/>
      <c r="E598" s="3"/>
      <c r="F598" s="3"/>
      <c r="G598" s="3"/>
      <c r="H598" s="3"/>
      <c r="I598" s="3"/>
      <c r="J598" s="32"/>
      <c r="K598" s="32"/>
      <c r="L598" s="27"/>
      <c r="M598" s="33"/>
      <c r="N598" s="32"/>
      <c r="O598" s="33"/>
      <c r="P598" s="32"/>
      <c r="Q598" s="33"/>
      <c r="R598" s="33"/>
      <c r="S598" s="33"/>
      <c r="T598" s="31"/>
    </row>
    <row r="599" spans="1:20" x14ac:dyDescent="0.25">
      <c r="A599" s="3"/>
      <c r="B599" s="58"/>
      <c r="C599" s="59"/>
      <c r="D599" s="3"/>
      <c r="E599" s="3"/>
      <c r="F599" s="3"/>
      <c r="G599" s="3"/>
      <c r="H599" s="3"/>
      <c r="I599" s="3"/>
      <c r="J599" s="32"/>
      <c r="K599" s="32"/>
      <c r="L599" s="27"/>
      <c r="M599" s="33"/>
      <c r="N599" s="32"/>
      <c r="O599" s="33"/>
      <c r="P599" s="32"/>
      <c r="Q599" s="33"/>
      <c r="R599" s="33"/>
      <c r="S599" s="33"/>
      <c r="T599" s="31"/>
    </row>
    <row r="600" spans="1:20" x14ac:dyDescent="0.25">
      <c r="A600" s="3"/>
      <c r="B600" s="58"/>
      <c r="C600" s="59"/>
      <c r="D600" s="3"/>
      <c r="E600" s="3"/>
      <c r="F600" s="3"/>
      <c r="G600" s="3"/>
      <c r="H600" s="3"/>
      <c r="I600" s="3"/>
      <c r="J600" s="32"/>
      <c r="K600" s="32"/>
      <c r="L600" s="27"/>
      <c r="M600" s="33"/>
      <c r="N600" s="32"/>
      <c r="O600" s="33"/>
      <c r="P600" s="32"/>
      <c r="Q600" s="33"/>
      <c r="R600" s="33"/>
      <c r="S600" s="33"/>
      <c r="T600" s="31"/>
    </row>
    <row r="601" spans="1:20" x14ac:dyDescent="0.25">
      <c r="A601" s="3"/>
      <c r="B601" s="58"/>
      <c r="C601" s="59"/>
      <c r="D601" s="3"/>
      <c r="E601" s="3"/>
      <c r="F601" s="3"/>
      <c r="G601" s="3"/>
      <c r="H601" s="3"/>
      <c r="I601" s="3"/>
      <c r="J601" s="32"/>
      <c r="K601" s="32"/>
      <c r="L601" s="27"/>
      <c r="M601" s="33"/>
      <c r="N601" s="32"/>
      <c r="O601" s="33"/>
      <c r="P601" s="32"/>
      <c r="Q601" s="33"/>
      <c r="R601" s="33"/>
      <c r="S601" s="33"/>
      <c r="T601" s="31"/>
    </row>
    <row r="602" spans="1:20" x14ac:dyDescent="0.25">
      <c r="A602" s="3"/>
      <c r="B602" s="58"/>
      <c r="C602" s="59"/>
      <c r="D602" s="3"/>
      <c r="E602" s="3"/>
      <c r="F602" s="3"/>
      <c r="G602" s="3"/>
      <c r="H602" s="3"/>
      <c r="I602" s="3"/>
      <c r="J602" s="32"/>
      <c r="K602" s="32"/>
      <c r="L602" s="27"/>
      <c r="M602" s="33"/>
      <c r="N602" s="32"/>
      <c r="O602" s="33"/>
      <c r="P602" s="32"/>
      <c r="Q602" s="33"/>
      <c r="R602" s="33"/>
      <c r="S602" s="33"/>
      <c r="T602" s="31"/>
    </row>
    <row r="603" spans="1:20" x14ac:dyDescent="0.25">
      <c r="A603" s="3"/>
      <c r="B603" s="58"/>
      <c r="C603" s="59"/>
      <c r="D603" s="3"/>
      <c r="E603" s="3"/>
      <c r="F603" s="3"/>
      <c r="G603" s="3"/>
      <c r="H603" s="3"/>
      <c r="I603" s="3"/>
      <c r="J603" s="32"/>
      <c r="K603" s="32"/>
      <c r="L603" s="27"/>
      <c r="M603" s="33"/>
      <c r="N603" s="32"/>
      <c r="O603" s="33"/>
      <c r="P603" s="32"/>
      <c r="Q603" s="33"/>
      <c r="R603" s="33"/>
      <c r="S603" s="33"/>
      <c r="T603" s="31"/>
    </row>
    <row r="604" spans="1:20" x14ac:dyDescent="0.25">
      <c r="A604" s="3"/>
      <c r="B604" s="58"/>
      <c r="C604" s="59"/>
      <c r="D604" s="3"/>
      <c r="E604" s="3"/>
      <c r="F604" s="3"/>
      <c r="G604" s="3"/>
      <c r="H604" s="3"/>
      <c r="I604" s="3"/>
      <c r="J604" s="32"/>
      <c r="K604" s="32"/>
      <c r="L604" s="27"/>
      <c r="M604" s="33"/>
      <c r="N604" s="32"/>
      <c r="O604" s="33"/>
      <c r="P604" s="32"/>
      <c r="Q604" s="33"/>
      <c r="R604" s="33"/>
      <c r="S604" s="33"/>
      <c r="T604" s="31"/>
    </row>
    <row r="605" spans="1:20" x14ac:dyDescent="0.25">
      <c r="A605" s="3"/>
      <c r="B605" s="58"/>
      <c r="C605" s="59"/>
      <c r="D605" s="3"/>
      <c r="E605" s="3"/>
      <c r="F605" s="3"/>
      <c r="G605" s="3"/>
      <c r="H605" s="3"/>
      <c r="I605" s="3"/>
      <c r="J605" s="32"/>
      <c r="K605" s="32"/>
      <c r="L605" s="27"/>
      <c r="M605" s="33"/>
      <c r="N605" s="32"/>
      <c r="O605" s="33"/>
      <c r="P605" s="32"/>
      <c r="Q605" s="33"/>
      <c r="R605" s="33"/>
      <c r="S605" s="33"/>
      <c r="T605" s="31"/>
    </row>
    <row r="606" spans="1:20" x14ac:dyDescent="0.25">
      <c r="A606" s="3"/>
      <c r="B606" s="58"/>
      <c r="C606" s="59"/>
      <c r="D606" s="3"/>
      <c r="E606" s="3"/>
      <c r="F606" s="3"/>
      <c r="G606" s="3"/>
      <c r="H606" s="3"/>
      <c r="I606" s="3"/>
      <c r="J606" s="32"/>
      <c r="K606" s="32"/>
      <c r="L606" s="27"/>
      <c r="M606" s="33"/>
      <c r="N606" s="32"/>
      <c r="O606" s="33"/>
      <c r="P606" s="32"/>
      <c r="Q606" s="33"/>
      <c r="R606" s="33"/>
      <c r="S606" s="33"/>
      <c r="T606" s="31"/>
    </row>
    <row r="607" spans="1:20" x14ac:dyDescent="0.25">
      <c r="A607" s="3"/>
      <c r="B607" s="58"/>
      <c r="C607" s="59"/>
      <c r="D607" s="3"/>
      <c r="E607" s="3"/>
      <c r="F607" s="3"/>
      <c r="G607" s="3"/>
      <c r="H607" s="3"/>
      <c r="I607" s="3"/>
      <c r="J607" s="32"/>
      <c r="K607" s="32"/>
      <c r="L607" s="27"/>
      <c r="M607" s="33"/>
      <c r="N607" s="32"/>
      <c r="O607" s="33"/>
      <c r="P607" s="32"/>
      <c r="Q607" s="33"/>
      <c r="R607" s="33"/>
      <c r="S607" s="33"/>
      <c r="T607" s="31"/>
    </row>
    <row r="608" spans="1:20" x14ac:dyDescent="0.25">
      <c r="A608" s="3"/>
      <c r="B608" s="58"/>
      <c r="C608" s="59"/>
      <c r="D608" s="3"/>
      <c r="E608" s="3"/>
      <c r="F608" s="3"/>
      <c r="G608" s="3"/>
      <c r="H608" s="3"/>
      <c r="I608" s="3"/>
      <c r="J608" s="32"/>
      <c r="K608" s="32"/>
      <c r="L608" s="27"/>
      <c r="M608" s="33"/>
      <c r="N608" s="32"/>
      <c r="O608" s="33"/>
      <c r="P608" s="32"/>
      <c r="Q608" s="33"/>
      <c r="R608" s="33"/>
      <c r="S608" s="33"/>
      <c r="T608" s="31"/>
    </row>
    <row r="609" spans="1:20" x14ac:dyDescent="0.25">
      <c r="A609" s="3"/>
      <c r="B609" s="58"/>
      <c r="C609" s="59"/>
      <c r="D609" s="3"/>
      <c r="E609" s="3"/>
      <c r="F609" s="3"/>
      <c r="G609" s="3"/>
      <c r="H609" s="3"/>
      <c r="I609" s="3"/>
      <c r="J609" s="32"/>
      <c r="K609" s="32"/>
      <c r="L609" s="27"/>
      <c r="M609" s="33"/>
      <c r="N609" s="32"/>
      <c r="O609" s="33"/>
      <c r="P609" s="32"/>
      <c r="Q609" s="33"/>
      <c r="R609" s="33"/>
      <c r="S609" s="33"/>
      <c r="T609" s="31"/>
    </row>
    <row r="610" spans="1:20" x14ac:dyDescent="0.25">
      <c r="A610" s="3"/>
      <c r="B610" s="58"/>
      <c r="C610" s="59"/>
      <c r="D610" s="3"/>
      <c r="E610" s="3"/>
      <c r="F610" s="3"/>
      <c r="G610" s="3"/>
      <c r="H610" s="3"/>
      <c r="I610" s="3"/>
      <c r="J610" s="32"/>
      <c r="K610" s="32"/>
      <c r="L610" s="27"/>
      <c r="M610" s="33"/>
      <c r="N610" s="32"/>
      <c r="O610" s="33"/>
      <c r="P610" s="32"/>
      <c r="Q610" s="33"/>
      <c r="R610" s="33"/>
      <c r="S610" s="33"/>
      <c r="T610" s="31"/>
    </row>
    <row r="611" spans="1:20" x14ac:dyDescent="0.25">
      <c r="A611" s="3"/>
      <c r="B611" s="58"/>
      <c r="C611" s="59"/>
      <c r="D611" s="3"/>
      <c r="E611" s="3"/>
      <c r="F611" s="3"/>
      <c r="G611" s="3"/>
      <c r="H611" s="3"/>
      <c r="I611" s="3"/>
      <c r="J611" s="32"/>
      <c r="K611" s="32"/>
      <c r="L611" s="27"/>
      <c r="M611" s="33"/>
      <c r="N611" s="32"/>
      <c r="O611" s="33"/>
      <c r="P611" s="32"/>
      <c r="Q611" s="33"/>
      <c r="R611" s="33"/>
      <c r="S611" s="33"/>
      <c r="T611" s="31"/>
    </row>
    <row r="612" spans="1:20" x14ac:dyDescent="0.25">
      <c r="A612" s="3"/>
      <c r="B612" s="58"/>
      <c r="C612" s="59"/>
      <c r="D612" s="3"/>
      <c r="E612" s="3"/>
      <c r="F612" s="3"/>
      <c r="G612" s="3"/>
      <c r="H612" s="3"/>
      <c r="I612" s="3"/>
      <c r="J612" s="32"/>
      <c r="K612" s="32"/>
      <c r="L612" s="27"/>
      <c r="M612" s="33"/>
      <c r="N612" s="32"/>
      <c r="O612" s="33"/>
      <c r="P612" s="32"/>
      <c r="Q612" s="33"/>
      <c r="R612" s="33"/>
      <c r="S612" s="33"/>
      <c r="T612" s="31"/>
    </row>
    <row r="613" spans="1:20" x14ac:dyDescent="0.25">
      <c r="A613" s="3"/>
      <c r="B613" s="58"/>
      <c r="C613" s="59"/>
      <c r="D613" s="3"/>
      <c r="E613" s="3"/>
      <c r="F613" s="3"/>
      <c r="G613" s="3"/>
      <c r="H613" s="3"/>
      <c r="I613" s="3"/>
      <c r="J613" s="32"/>
      <c r="K613" s="32"/>
      <c r="L613" s="27"/>
      <c r="M613" s="33"/>
      <c r="N613" s="32"/>
      <c r="O613" s="33"/>
      <c r="P613" s="32"/>
      <c r="Q613" s="33"/>
      <c r="R613" s="33"/>
      <c r="S613" s="33"/>
      <c r="T613" s="31"/>
    </row>
    <row r="614" spans="1:20" x14ac:dyDescent="0.25">
      <c r="A614" s="3"/>
      <c r="B614" s="58"/>
      <c r="C614" s="59"/>
      <c r="D614" s="3"/>
      <c r="E614" s="3"/>
      <c r="F614" s="3"/>
      <c r="G614" s="3"/>
      <c r="H614" s="3"/>
      <c r="I614" s="3"/>
      <c r="J614" s="32"/>
      <c r="K614" s="32"/>
      <c r="L614" s="27"/>
      <c r="M614" s="33"/>
      <c r="N614" s="32"/>
      <c r="O614" s="33"/>
      <c r="P614" s="32"/>
      <c r="Q614" s="33"/>
      <c r="R614" s="33"/>
      <c r="S614" s="33"/>
      <c r="T614" s="31"/>
    </row>
    <row r="615" spans="1:20" x14ac:dyDescent="0.25">
      <c r="A615" s="3"/>
      <c r="B615" s="58"/>
      <c r="C615" s="59"/>
      <c r="D615" s="3"/>
      <c r="E615" s="3"/>
      <c r="F615" s="3"/>
      <c r="G615" s="3"/>
      <c r="H615" s="3"/>
      <c r="I615" s="3"/>
      <c r="J615" s="32"/>
      <c r="K615" s="32"/>
      <c r="L615" s="27"/>
      <c r="M615" s="33"/>
      <c r="N615" s="32"/>
      <c r="O615" s="33"/>
      <c r="P615" s="32"/>
      <c r="Q615" s="33"/>
      <c r="R615" s="33"/>
      <c r="S615" s="33"/>
      <c r="T615" s="31"/>
    </row>
    <row r="616" spans="1:20" x14ac:dyDescent="0.25">
      <c r="A616" s="3"/>
      <c r="B616" s="58"/>
      <c r="C616" s="59"/>
      <c r="D616" s="3"/>
      <c r="E616" s="3"/>
      <c r="F616" s="3"/>
      <c r="G616" s="3"/>
      <c r="H616" s="3"/>
      <c r="I616" s="3"/>
      <c r="J616" s="32"/>
      <c r="K616" s="32"/>
      <c r="L616" s="27"/>
      <c r="M616" s="33"/>
      <c r="N616" s="32"/>
      <c r="O616" s="33"/>
      <c r="P616" s="32"/>
      <c r="Q616" s="33"/>
      <c r="R616" s="33"/>
      <c r="S616" s="33"/>
      <c r="T616" s="31"/>
    </row>
    <row r="617" spans="1:20" x14ac:dyDescent="0.25">
      <c r="A617" s="3"/>
      <c r="B617" s="58"/>
      <c r="C617" s="59"/>
      <c r="D617" s="3"/>
      <c r="E617" s="3"/>
      <c r="F617" s="3"/>
      <c r="G617" s="3"/>
      <c r="H617" s="3"/>
      <c r="I617" s="3"/>
      <c r="J617" s="32"/>
      <c r="K617" s="32"/>
      <c r="L617" s="27"/>
      <c r="M617" s="33"/>
      <c r="N617" s="32"/>
      <c r="O617" s="33"/>
      <c r="P617" s="32"/>
      <c r="Q617" s="33"/>
      <c r="R617" s="33"/>
      <c r="S617" s="33"/>
      <c r="T617" s="31"/>
    </row>
    <row r="618" spans="1:20" x14ac:dyDescent="0.25">
      <c r="A618" s="3"/>
      <c r="B618" s="58"/>
      <c r="C618" s="59"/>
      <c r="D618" s="3"/>
      <c r="E618" s="3"/>
      <c r="F618" s="3"/>
      <c r="G618" s="3"/>
      <c r="H618" s="3"/>
      <c r="I618" s="3"/>
      <c r="J618" s="32"/>
      <c r="K618" s="32"/>
      <c r="L618" s="27"/>
      <c r="M618" s="33"/>
      <c r="N618" s="32"/>
      <c r="O618" s="33"/>
      <c r="P618" s="32"/>
      <c r="Q618" s="33"/>
      <c r="R618" s="33"/>
      <c r="S618" s="33"/>
      <c r="T618" s="31"/>
    </row>
    <row r="619" spans="1:20" x14ac:dyDescent="0.25">
      <c r="A619" s="3"/>
      <c r="B619" s="58"/>
      <c r="C619" s="59"/>
      <c r="D619" s="3"/>
      <c r="E619" s="3"/>
      <c r="F619" s="3"/>
      <c r="G619" s="3"/>
      <c r="H619" s="3"/>
      <c r="I619" s="3"/>
      <c r="J619" s="32"/>
      <c r="K619" s="32"/>
      <c r="L619" s="27"/>
      <c r="M619" s="33"/>
      <c r="N619" s="32"/>
      <c r="O619" s="33"/>
      <c r="P619" s="32"/>
      <c r="Q619" s="33"/>
      <c r="R619" s="33"/>
      <c r="S619" s="33"/>
      <c r="T619" s="31"/>
    </row>
    <row r="620" spans="1:20" x14ac:dyDescent="0.25">
      <c r="A620" s="3"/>
      <c r="B620" s="58"/>
      <c r="C620" s="59"/>
      <c r="D620" s="3"/>
      <c r="E620" s="3"/>
      <c r="F620" s="3"/>
      <c r="G620" s="3"/>
      <c r="H620" s="3"/>
      <c r="I620" s="3"/>
      <c r="J620" s="32"/>
      <c r="K620" s="32"/>
      <c r="L620" s="27"/>
      <c r="M620" s="33"/>
      <c r="N620" s="32"/>
      <c r="O620" s="33"/>
      <c r="P620" s="32"/>
      <c r="Q620" s="33"/>
      <c r="R620" s="33"/>
      <c r="S620" s="33"/>
      <c r="T620" s="31"/>
    </row>
    <row r="621" spans="1:20" x14ac:dyDescent="0.25">
      <c r="A621" s="3"/>
      <c r="B621" s="58"/>
      <c r="C621" s="59"/>
      <c r="D621" s="3"/>
      <c r="E621" s="3"/>
      <c r="F621" s="3"/>
      <c r="G621" s="3"/>
      <c r="H621" s="3"/>
      <c r="I621" s="3"/>
      <c r="J621" s="32"/>
      <c r="K621" s="32"/>
      <c r="L621" s="27"/>
      <c r="M621" s="33"/>
      <c r="N621" s="32"/>
      <c r="O621" s="33"/>
      <c r="P621" s="32"/>
      <c r="Q621" s="33"/>
      <c r="R621" s="33"/>
      <c r="S621" s="33"/>
      <c r="T621" s="31"/>
    </row>
    <row r="622" spans="1:20" x14ac:dyDescent="0.25">
      <c r="A622" s="3"/>
      <c r="B622" s="58"/>
      <c r="C622" s="59"/>
      <c r="D622" s="3"/>
      <c r="E622" s="3"/>
      <c r="F622" s="3"/>
      <c r="G622" s="3"/>
      <c r="H622" s="3"/>
      <c r="I622" s="3"/>
      <c r="J622" s="32"/>
      <c r="K622" s="32"/>
      <c r="L622" s="27"/>
      <c r="M622" s="33"/>
      <c r="N622" s="32"/>
      <c r="O622" s="33"/>
      <c r="P622" s="32"/>
      <c r="Q622" s="33"/>
      <c r="R622" s="33"/>
      <c r="S622" s="33"/>
      <c r="T622" s="31"/>
    </row>
    <row r="623" spans="1:20" x14ac:dyDescent="0.25">
      <c r="A623" s="3"/>
      <c r="B623" s="58"/>
      <c r="C623" s="59"/>
      <c r="D623" s="3"/>
      <c r="E623" s="3"/>
      <c r="F623" s="3"/>
      <c r="G623" s="3"/>
      <c r="H623" s="3"/>
      <c r="I623" s="3"/>
      <c r="J623" s="32"/>
      <c r="K623" s="32"/>
      <c r="L623" s="27"/>
      <c r="M623" s="33"/>
      <c r="N623" s="32"/>
      <c r="O623" s="33"/>
      <c r="P623" s="32"/>
      <c r="Q623" s="33"/>
      <c r="R623" s="33"/>
      <c r="S623" s="33"/>
      <c r="T623" s="31"/>
    </row>
    <row r="624" spans="1:20" x14ac:dyDescent="0.25">
      <c r="A624" s="3"/>
      <c r="B624" s="58"/>
      <c r="C624" s="59"/>
      <c r="D624" s="3"/>
      <c r="E624" s="3"/>
      <c r="F624" s="3"/>
      <c r="G624" s="3"/>
      <c r="H624" s="3"/>
      <c r="I624" s="3"/>
      <c r="J624" s="32"/>
      <c r="K624" s="32"/>
      <c r="L624" s="27"/>
      <c r="M624" s="33"/>
      <c r="N624" s="32"/>
      <c r="O624" s="33"/>
      <c r="P624" s="32"/>
      <c r="Q624" s="33"/>
      <c r="R624" s="33"/>
      <c r="S624" s="33"/>
      <c r="T624" s="31"/>
    </row>
    <row r="625" spans="1:20" x14ac:dyDescent="0.25">
      <c r="A625" s="3"/>
      <c r="B625" s="58"/>
      <c r="C625" s="59"/>
      <c r="D625" s="3"/>
      <c r="E625" s="3"/>
      <c r="F625" s="3"/>
      <c r="G625" s="3"/>
      <c r="H625" s="3"/>
      <c r="I625" s="3"/>
      <c r="J625" s="32"/>
      <c r="K625" s="32"/>
      <c r="L625" s="27"/>
      <c r="M625" s="33"/>
      <c r="N625" s="32"/>
      <c r="O625" s="33"/>
      <c r="P625" s="32"/>
      <c r="Q625" s="33"/>
      <c r="R625" s="33"/>
      <c r="S625" s="33"/>
      <c r="T625" s="31"/>
    </row>
    <row r="626" spans="1:20" x14ac:dyDescent="0.25">
      <c r="A626" s="3"/>
      <c r="B626" s="58"/>
      <c r="C626" s="59"/>
      <c r="D626" s="3"/>
      <c r="E626" s="3"/>
      <c r="F626" s="3"/>
      <c r="G626" s="3"/>
      <c r="H626" s="3"/>
      <c r="I626" s="3"/>
      <c r="J626" s="32"/>
      <c r="K626" s="32"/>
      <c r="L626" s="27"/>
      <c r="M626" s="33"/>
      <c r="N626" s="32"/>
      <c r="O626" s="33"/>
      <c r="P626" s="32"/>
      <c r="Q626" s="33"/>
      <c r="R626" s="33"/>
      <c r="S626" s="33"/>
      <c r="T626" s="31"/>
    </row>
    <row r="627" spans="1:20" x14ac:dyDescent="0.25">
      <c r="A627" s="3"/>
      <c r="B627" s="58"/>
      <c r="C627" s="59"/>
      <c r="D627" s="3"/>
      <c r="E627" s="3"/>
      <c r="F627" s="3"/>
      <c r="G627" s="3"/>
      <c r="H627" s="3"/>
      <c r="I627" s="3"/>
      <c r="J627" s="32"/>
      <c r="K627" s="32"/>
      <c r="L627" s="27"/>
      <c r="M627" s="33"/>
      <c r="N627" s="32"/>
      <c r="O627" s="33"/>
      <c r="P627" s="32"/>
      <c r="Q627" s="33"/>
      <c r="R627" s="33"/>
      <c r="S627" s="33"/>
      <c r="T627" s="31"/>
    </row>
    <row r="628" spans="1:20" x14ac:dyDescent="0.25">
      <c r="A628" s="3"/>
      <c r="B628" s="58"/>
      <c r="C628" s="59"/>
      <c r="D628" s="3"/>
      <c r="E628" s="3"/>
      <c r="F628" s="3"/>
      <c r="G628" s="3"/>
      <c r="H628" s="3"/>
      <c r="I628" s="3"/>
      <c r="J628" s="32"/>
      <c r="K628" s="32"/>
      <c r="L628" s="27"/>
      <c r="M628" s="33"/>
      <c r="N628" s="32"/>
      <c r="O628" s="33"/>
      <c r="P628" s="32"/>
      <c r="Q628" s="33"/>
      <c r="R628" s="33"/>
      <c r="S628" s="33"/>
      <c r="T628" s="31"/>
    </row>
    <row r="629" spans="1:20" x14ac:dyDescent="0.25">
      <c r="A629" s="3"/>
      <c r="B629" s="58"/>
      <c r="C629" s="59"/>
      <c r="D629" s="3"/>
      <c r="E629" s="3"/>
      <c r="F629" s="3"/>
      <c r="G629" s="3"/>
      <c r="H629" s="3"/>
      <c r="I629" s="3"/>
      <c r="J629" s="32"/>
      <c r="K629" s="32"/>
      <c r="L629" s="27"/>
      <c r="M629" s="33"/>
      <c r="N629" s="32"/>
      <c r="O629" s="33"/>
      <c r="P629" s="32"/>
      <c r="Q629" s="33"/>
      <c r="R629" s="33"/>
      <c r="S629" s="33"/>
      <c r="T629" s="31"/>
    </row>
    <row r="630" spans="1:20" x14ac:dyDescent="0.25">
      <c r="A630" s="3"/>
      <c r="B630" s="58"/>
      <c r="C630" s="59"/>
      <c r="D630" s="3"/>
      <c r="E630" s="3"/>
      <c r="F630" s="3"/>
      <c r="G630" s="3"/>
      <c r="H630" s="3"/>
      <c r="I630" s="3"/>
      <c r="J630" s="32"/>
      <c r="K630" s="32"/>
      <c r="L630" s="27"/>
      <c r="M630" s="33"/>
      <c r="N630" s="32"/>
      <c r="O630" s="33"/>
      <c r="P630" s="32"/>
      <c r="Q630" s="33"/>
      <c r="R630" s="33"/>
      <c r="S630" s="33"/>
      <c r="T630" s="31"/>
    </row>
    <row r="631" spans="1:20" x14ac:dyDescent="0.25">
      <c r="A631" s="3"/>
      <c r="B631" s="58"/>
      <c r="C631" s="59"/>
      <c r="D631" s="3"/>
      <c r="E631" s="3"/>
      <c r="F631" s="3"/>
      <c r="G631" s="3"/>
      <c r="H631" s="3"/>
      <c r="I631" s="3"/>
      <c r="J631" s="32"/>
      <c r="K631" s="32"/>
      <c r="L631" s="27"/>
      <c r="M631" s="33"/>
      <c r="N631" s="32"/>
      <c r="O631" s="33"/>
      <c r="P631" s="32"/>
      <c r="Q631" s="33"/>
      <c r="R631" s="33"/>
      <c r="S631" s="33"/>
      <c r="T631" s="31"/>
    </row>
    <row r="632" spans="1:20" x14ac:dyDescent="0.25">
      <c r="A632" s="3"/>
      <c r="B632" s="58"/>
      <c r="C632" s="59"/>
      <c r="D632" s="3"/>
      <c r="E632" s="3"/>
      <c r="F632" s="3"/>
      <c r="G632" s="3"/>
      <c r="H632" s="3"/>
      <c r="I632" s="3"/>
      <c r="J632" s="32"/>
      <c r="K632" s="32"/>
      <c r="L632" s="27"/>
      <c r="M632" s="33"/>
      <c r="N632" s="32"/>
      <c r="O632" s="33"/>
      <c r="P632" s="32"/>
      <c r="Q632" s="33"/>
      <c r="R632" s="33"/>
      <c r="S632" s="33"/>
      <c r="T632" s="31"/>
    </row>
    <row r="633" spans="1:20" x14ac:dyDescent="0.25">
      <c r="A633" s="3"/>
      <c r="B633" s="58"/>
      <c r="C633" s="59"/>
      <c r="D633" s="3"/>
      <c r="E633" s="3"/>
      <c r="F633" s="3"/>
      <c r="G633" s="3"/>
      <c r="H633" s="3"/>
      <c r="I633" s="3"/>
      <c r="J633" s="32"/>
      <c r="K633" s="32"/>
      <c r="L633" s="27"/>
      <c r="M633" s="33"/>
      <c r="N633" s="32"/>
      <c r="O633" s="33"/>
      <c r="P633" s="32"/>
      <c r="Q633" s="33"/>
      <c r="R633" s="33"/>
      <c r="S633" s="33"/>
      <c r="T633" s="31"/>
    </row>
    <row r="634" spans="1:20" x14ac:dyDescent="0.25">
      <c r="A634" s="3"/>
      <c r="B634" s="58"/>
      <c r="C634" s="59"/>
      <c r="D634" s="3"/>
      <c r="E634" s="3"/>
      <c r="F634" s="3"/>
      <c r="G634" s="3"/>
      <c r="H634" s="3"/>
      <c r="I634" s="3"/>
      <c r="J634" s="32"/>
      <c r="K634" s="32"/>
      <c r="L634" s="27"/>
      <c r="M634" s="33"/>
      <c r="N634" s="32"/>
      <c r="O634" s="33"/>
      <c r="P634" s="32"/>
      <c r="Q634" s="33"/>
      <c r="R634" s="33"/>
      <c r="S634" s="33"/>
      <c r="T634" s="31"/>
    </row>
    <row r="635" spans="1:20" x14ac:dyDescent="0.25">
      <c r="A635" s="3"/>
      <c r="B635" s="58"/>
      <c r="C635" s="59"/>
      <c r="D635" s="3"/>
      <c r="E635" s="3"/>
      <c r="F635" s="3"/>
      <c r="G635" s="3"/>
      <c r="H635" s="3"/>
      <c r="I635" s="3"/>
      <c r="J635" s="32"/>
      <c r="K635" s="32"/>
      <c r="L635" s="27"/>
      <c r="M635" s="33"/>
      <c r="N635" s="32"/>
      <c r="O635" s="33"/>
      <c r="P635" s="32"/>
      <c r="Q635" s="33"/>
      <c r="R635" s="33"/>
      <c r="S635" s="33"/>
      <c r="T635" s="31"/>
    </row>
    <row r="636" spans="1:20" x14ac:dyDescent="0.25">
      <c r="A636" s="3"/>
      <c r="B636" s="58"/>
      <c r="C636" s="59"/>
      <c r="D636" s="3"/>
      <c r="E636" s="3"/>
      <c r="F636" s="3"/>
      <c r="G636" s="3"/>
      <c r="H636" s="3"/>
      <c r="I636" s="3"/>
      <c r="J636" s="32"/>
      <c r="K636" s="32"/>
      <c r="L636" s="27"/>
      <c r="M636" s="33"/>
      <c r="N636" s="32"/>
      <c r="O636" s="33"/>
      <c r="P636" s="32"/>
      <c r="Q636" s="33"/>
      <c r="R636" s="33"/>
      <c r="S636" s="33"/>
      <c r="T636" s="31"/>
    </row>
    <row r="637" spans="1:20" x14ac:dyDescent="0.25">
      <c r="A637" s="3"/>
      <c r="B637" s="58"/>
      <c r="C637" s="59"/>
      <c r="D637" s="3"/>
      <c r="E637" s="3"/>
      <c r="F637" s="3"/>
      <c r="G637" s="3"/>
      <c r="H637" s="3"/>
      <c r="I637" s="3"/>
      <c r="J637" s="32"/>
      <c r="K637" s="32"/>
      <c r="L637" s="27"/>
      <c r="M637" s="33"/>
      <c r="N637" s="32"/>
      <c r="O637" s="33"/>
      <c r="P637" s="32"/>
      <c r="Q637" s="33"/>
      <c r="R637" s="33"/>
      <c r="S637" s="33"/>
      <c r="T637" s="31"/>
    </row>
    <row r="638" spans="1:20" x14ac:dyDescent="0.25">
      <c r="A638" s="3"/>
      <c r="B638" s="58"/>
      <c r="C638" s="59"/>
      <c r="D638" s="3"/>
      <c r="E638" s="3"/>
      <c r="F638" s="3"/>
      <c r="G638" s="3"/>
      <c r="H638" s="3"/>
      <c r="I638" s="3"/>
      <c r="J638" s="32"/>
      <c r="K638" s="32"/>
      <c r="L638" s="27"/>
      <c r="M638" s="33"/>
      <c r="N638" s="32"/>
      <c r="O638" s="33"/>
      <c r="P638" s="32"/>
      <c r="Q638" s="33"/>
      <c r="R638" s="33"/>
      <c r="S638" s="33"/>
      <c r="T638" s="31"/>
    </row>
    <row r="639" spans="1:20" x14ac:dyDescent="0.25">
      <c r="A639" s="3"/>
      <c r="B639" s="58"/>
      <c r="C639" s="59"/>
      <c r="D639" s="3"/>
      <c r="E639" s="3"/>
      <c r="F639" s="3"/>
      <c r="G639" s="3"/>
      <c r="H639" s="3"/>
      <c r="I639" s="3"/>
      <c r="J639" s="32"/>
      <c r="K639" s="32"/>
      <c r="L639" s="27"/>
      <c r="M639" s="33"/>
      <c r="N639" s="32"/>
      <c r="O639" s="33"/>
      <c r="P639" s="32"/>
      <c r="Q639" s="33"/>
      <c r="R639" s="33"/>
      <c r="S639" s="33"/>
      <c r="T639" s="31"/>
    </row>
    <row r="640" spans="1:20" x14ac:dyDescent="0.25">
      <c r="A640" s="3"/>
      <c r="B640" s="58"/>
      <c r="C640" s="59"/>
      <c r="D640" s="3"/>
      <c r="E640" s="3"/>
      <c r="F640" s="3"/>
      <c r="G640" s="3"/>
      <c r="H640" s="3"/>
      <c r="I640" s="3"/>
      <c r="J640" s="32"/>
      <c r="K640" s="32"/>
      <c r="L640" s="27"/>
      <c r="M640" s="33"/>
      <c r="N640" s="32"/>
      <c r="O640" s="33"/>
      <c r="P640" s="32"/>
      <c r="Q640" s="33"/>
      <c r="R640" s="33"/>
      <c r="S640" s="33"/>
      <c r="T640" s="31"/>
    </row>
    <row r="641" spans="1:20" x14ac:dyDescent="0.25">
      <c r="A641" s="3"/>
      <c r="B641" s="58"/>
      <c r="C641" s="59"/>
      <c r="D641" s="3"/>
      <c r="E641" s="3"/>
      <c r="F641" s="3"/>
      <c r="G641" s="3"/>
      <c r="H641" s="3"/>
      <c r="I641" s="3"/>
      <c r="J641" s="32"/>
      <c r="K641" s="32"/>
      <c r="L641" s="27"/>
      <c r="M641" s="33"/>
      <c r="N641" s="32"/>
      <c r="O641" s="33"/>
      <c r="P641" s="32"/>
      <c r="Q641" s="33"/>
      <c r="R641" s="33"/>
      <c r="S641" s="33"/>
      <c r="T641" s="31"/>
    </row>
    <row r="642" spans="1:20" x14ac:dyDescent="0.25">
      <c r="A642" s="3"/>
      <c r="B642" s="58"/>
      <c r="C642" s="59"/>
      <c r="D642" s="3"/>
      <c r="E642" s="3"/>
      <c r="F642" s="3"/>
      <c r="G642" s="3"/>
      <c r="H642" s="3"/>
      <c r="I642" s="3"/>
      <c r="J642" s="32"/>
      <c r="K642" s="32"/>
      <c r="L642" s="27"/>
      <c r="M642" s="33"/>
      <c r="N642" s="32"/>
      <c r="O642" s="33"/>
      <c r="P642" s="32"/>
      <c r="Q642" s="33"/>
      <c r="R642" s="33"/>
      <c r="S642" s="33"/>
      <c r="T642" s="31"/>
    </row>
    <row r="643" spans="1:20" x14ac:dyDescent="0.25">
      <c r="A643" s="3"/>
      <c r="B643" s="58"/>
      <c r="C643" s="59"/>
      <c r="D643" s="3"/>
      <c r="E643" s="3"/>
      <c r="F643" s="3"/>
      <c r="G643" s="3"/>
      <c r="H643" s="3"/>
      <c r="I643" s="3"/>
      <c r="J643" s="32"/>
      <c r="K643" s="32"/>
      <c r="L643" s="27"/>
      <c r="M643" s="33"/>
      <c r="N643" s="32"/>
      <c r="O643" s="33"/>
      <c r="P643" s="32"/>
      <c r="Q643" s="33"/>
      <c r="R643" s="33"/>
      <c r="S643" s="33"/>
      <c r="T643" s="31"/>
    </row>
    <row r="644" spans="1:20" x14ac:dyDescent="0.25">
      <c r="A644" s="3"/>
      <c r="B644" s="58"/>
      <c r="C644" s="59"/>
      <c r="D644" s="3"/>
      <c r="E644" s="3"/>
      <c r="F644" s="3"/>
      <c r="G644" s="3"/>
      <c r="H644" s="3"/>
      <c r="I644" s="3"/>
      <c r="J644" s="32"/>
      <c r="K644" s="32"/>
      <c r="L644" s="27"/>
      <c r="M644" s="33"/>
      <c r="N644" s="32"/>
      <c r="O644" s="33"/>
      <c r="P644" s="32"/>
      <c r="Q644" s="33"/>
      <c r="R644" s="33"/>
      <c r="S644" s="33"/>
      <c r="T644" s="31"/>
    </row>
    <row r="645" spans="1:20" x14ac:dyDescent="0.25">
      <c r="A645" s="3"/>
      <c r="B645" s="58"/>
      <c r="C645" s="59"/>
      <c r="D645" s="3"/>
      <c r="E645" s="3"/>
      <c r="F645" s="3"/>
      <c r="G645" s="3"/>
      <c r="H645" s="3"/>
      <c r="I645" s="3"/>
      <c r="J645" s="32"/>
      <c r="K645" s="32"/>
      <c r="L645" s="27"/>
      <c r="M645" s="33"/>
      <c r="N645" s="32"/>
      <c r="O645" s="33"/>
      <c r="P645" s="32"/>
      <c r="Q645" s="33"/>
      <c r="R645" s="33"/>
      <c r="S645" s="33"/>
      <c r="T645" s="31"/>
    </row>
    <row r="646" spans="1:20" x14ac:dyDescent="0.25">
      <c r="A646" s="3"/>
      <c r="B646" s="58"/>
      <c r="C646" s="59"/>
      <c r="D646" s="3"/>
      <c r="E646" s="3"/>
      <c r="F646" s="3"/>
      <c r="G646" s="3"/>
      <c r="H646" s="3"/>
      <c r="I646" s="3"/>
      <c r="J646" s="32"/>
      <c r="K646" s="32"/>
      <c r="L646" s="27"/>
      <c r="M646" s="33"/>
      <c r="N646" s="32"/>
      <c r="O646" s="33"/>
      <c r="P646" s="32"/>
      <c r="Q646" s="33"/>
      <c r="R646" s="33"/>
      <c r="S646" s="33"/>
      <c r="T646" s="31"/>
    </row>
    <row r="647" spans="1:20" x14ac:dyDescent="0.25">
      <c r="A647" s="3"/>
      <c r="B647" s="58"/>
      <c r="C647" s="59"/>
      <c r="D647" s="3"/>
      <c r="E647" s="3"/>
      <c r="F647" s="3"/>
      <c r="G647" s="3"/>
      <c r="H647" s="3"/>
      <c r="I647" s="3"/>
      <c r="J647" s="32"/>
      <c r="K647" s="32"/>
      <c r="L647" s="27"/>
      <c r="M647" s="33"/>
      <c r="N647" s="32"/>
      <c r="O647" s="33"/>
      <c r="P647" s="32"/>
      <c r="Q647" s="33"/>
      <c r="R647" s="33"/>
      <c r="S647" s="33"/>
      <c r="T647" s="31"/>
    </row>
    <row r="648" spans="1:20" x14ac:dyDescent="0.25">
      <c r="A648" s="3"/>
      <c r="B648" s="58"/>
      <c r="C648" s="59"/>
      <c r="D648" s="3"/>
      <c r="E648" s="3"/>
      <c r="F648" s="3"/>
      <c r="G648" s="3"/>
      <c r="H648" s="3"/>
      <c r="I648" s="3"/>
      <c r="J648" s="32"/>
      <c r="K648" s="32"/>
      <c r="L648" s="27"/>
      <c r="M648" s="33"/>
      <c r="N648" s="32"/>
      <c r="O648" s="33"/>
      <c r="P648" s="32"/>
      <c r="Q648" s="33"/>
      <c r="R648" s="33"/>
      <c r="S648" s="33"/>
      <c r="T648" s="31"/>
    </row>
    <row r="649" spans="1:20" x14ac:dyDescent="0.25">
      <c r="A649" s="3"/>
      <c r="B649" s="58"/>
      <c r="C649" s="59"/>
      <c r="D649" s="3"/>
      <c r="E649" s="3"/>
      <c r="F649" s="3"/>
      <c r="G649" s="3"/>
      <c r="H649" s="3"/>
      <c r="I649" s="3"/>
      <c r="J649" s="32"/>
      <c r="K649" s="32"/>
      <c r="L649" s="27"/>
      <c r="M649" s="33"/>
      <c r="N649" s="32"/>
      <c r="O649" s="33"/>
      <c r="P649" s="32"/>
      <c r="Q649" s="33"/>
      <c r="R649" s="33"/>
      <c r="S649" s="33"/>
      <c r="T649" s="31"/>
    </row>
    <row r="650" spans="1:20" x14ac:dyDescent="0.25">
      <c r="A650" s="3"/>
      <c r="B650" s="58"/>
      <c r="C650" s="59"/>
      <c r="D650" s="3"/>
      <c r="E650" s="3"/>
      <c r="F650" s="3"/>
      <c r="G650" s="3"/>
      <c r="H650" s="3"/>
      <c r="I650" s="3"/>
      <c r="J650" s="32"/>
      <c r="K650" s="32"/>
      <c r="L650" s="27"/>
      <c r="M650" s="33"/>
      <c r="N650" s="32"/>
      <c r="O650" s="33"/>
      <c r="P650" s="32"/>
      <c r="Q650" s="33"/>
      <c r="R650" s="33"/>
      <c r="S650" s="33"/>
      <c r="T650" s="31"/>
    </row>
    <row r="651" spans="1:20" x14ac:dyDescent="0.25">
      <c r="A651" s="3"/>
      <c r="B651" s="58"/>
      <c r="C651" s="59"/>
      <c r="D651" s="3"/>
      <c r="E651" s="3"/>
      <c r="F651" s="3"/>
      <c r="G651" s="3"/>
      <c r="H651" s="3"/>
      <c r="I651" s="3"/>
      <c r="J651" s="32"/>
      <c r="K651" s="32"/>
      <c r="L651" s="27"/>
      <c r="M651" s="33"/>
      <c r="N651" s="32"/>
      <c r="O651" s="33"/>
      <c r="P651" s="32"/>
      <c r="Q651" s="33"/>
      <c r="R651" s="33"/>
      <c r="S651" s="33"/>
      <c r="T651" s="31"/>
    </row>
    <row r="652" spans="1:20" x14ac:dyDescent="0.25">
      <c r="A652" s="3"/>
      <c r="B652" s="58"/>
      <c r="C652" s="59"/>
      <c r="D652" s="3"/>
      <c r="E652" s="3"/>
      <c r="F652" s="3"/>
      <c r="G652" s="3"/>
      <c r="H652" s="3"/>
      <c r="I652" s="3"/>
      <c r="J652" s="32"/>
      <c r="K652" s="32"/>
      <c r="L652" s="27"/>
      <c r="M652" s="33"/>
      <c r="N652" s="32"/>
      <c r="O652" s="33"/>
      <c r="P652" s="32"/>
      <c r="Q652" s="33"/>
      <c r="R652" s="33"/>
      <c r="S652" s="33"/>
      <c r="T652" s="31"/>
    </row>
    <row r="653" spans="1:20" x14ac:dyDescent="0.25">
      <c r="A653" s="3"/>
      <c r="B653" s="58"/>
      <c r="C653" s="59"/>
      <c r="D653" s="3"/>
      <c r="E653" s="3"/>
      <c r="F653" s="3"/>
      <c r="G653" s="3"/>
      <c r="H653" s="3"/>
      <c r="I653" s="3"/>
      <c r="J653" s="32"/>
      <c r="K653" s="32"/>
      <c r="L653" s="27"/>
      <c r="M653" s="33"/>
      <c r="N653" s="32"/>
      <c r="O653" s="33"/>
      <c r="P653" s="32"/>
      <c r="Q653" s="33"/>
      <c r="R653" s="33"/>
      <c r="S653" s="33"/>
      <c r="T653" s="31"/>
    </row>
    <row r="654" spans="1:20" x14ac:dyDescent="0.25">
      <c r="A654" s="3"/>
      <c r="B654" s="58"/>
      <c r="C654" s="59"/>
      <c r="D654" s="3"/>
      <c r="E654" s="3"/>
      <c r="F654" s="3"/>
      <c r="G654" s="3"/>
      <c r="H654" s="3"/>
      <c r="I654" s="3"/>
      <c r="J654" s="32"/>
      <c r="K654" s="32"/>
      <c r="L654" s="27"/>
      <c r="M654" s="33"/>
      <c r="N654" s="32"/>
      <c r="O654" s="33"/>
      <c r="P654" s="32"/>
      <c r="Q654" s="33"/>
      <c r="R654" s="33"/>
      <c r="S654" s="33"/>
      <c r="T654" s="31"/>
    </row>
    <row r="655" spans="1:20" x14ac:dyDescent="0.25">
      <c r="A655" s="3"/>
      <c r="B655" s="58"/>
      <c r="C655" s="59"/>
      <c r="D655" s="3"/>
      <c r="E655" s="3"/>
      <c r="F655" s="3"/>
      <c r="G655" s="3"/>
      <c r="H655" s="3"/>
      <c r="I655" s="3"/>
      <c r="J655" s="32"/>
      <c r="K655" s="32"/>
      <c r="L655" s="27"/>
      <c r="M655" s="33"/>
      <c r="N655" s="32"/>
      <c r="O655" s="33"/>
      <c r="P655" s="32"/>
      <c r="Q655" s="33"/>
      <c r="R655" s="33"/>
      <c r="S655" s="33"/>
      <c r="T655" s="31"/>
    </row>
    <row r="656" spans="1:20" x14ac:dyDescent="0.25">
      <c r="A656" s="3"/>
      <c r="B656" s="58"/>
      <c r="C656" s="59"/>
      <c r="D656" s="3"/>
      <c r="E656" s="3"/>
      <c r="F656" s="3"/>
      <c r="G656" s="3"/>
      <c r="H656" s="3"/>
      <c r="I656" s="3"/>
      <c r="J656" s="32"/>
      <c r="K656" s="32"/>
      <c r="L656" s="27"/>
      <c r="M656" s="33"/>
      <c r="N656" s="32"/>
      <c r="O656" s="33"/>
      <c r="P656" s="32"/>
      <c r="Q656" s="33"/>
      <c r="R656" s="33"/>
      <c r="S656" s="33"/>
      <c r="T656" s="31"/>
    </row>
    <row r="657" spans="1:20" x14ac:dyDescent="0.25">
      <c r="A657" s="3"/>
      <c r="B657" s="58"/>
      <c r="C657" s="59"/>
      <c r="D657" s="3"/>
      <c r="E657" s="3"/>
      <c r="F657" s="3"/>
      <c r="G657" s="3"/>
      <c r="H657" s="3"/>
      <c r="I657" s="3"/>
      <c r="J657" s="32"/>
      <c r="K657" s="32"/>
      <c r="L657" s="27"/>
      <c r="M657" s="33"/>
      <c r="N657" s="32"/>
      <c r="O657" s="33"/>
      <c r="P657" s="32"/>
      <c r="Q657" s="33"/>
      <c r="R657" s="33"/>
      <c r="S657" s="33"/>
      <c r="T657" s="31"/>
    </row>
    <row r="658" spans="1:20" x14ac:dyDescent="0.25">
      <c r="A658" s="3"/>
      <c r="B658" s="58"/>
      <c r="C658" s="59"/>
      <c r="D658" s="3"/>
      <c r="E658" s="3"/>
      <c r="F658" s="3"/>
      <c r="G658" s="3"/>
      <c r="H658" s="3"/>
      <c r="I658" s="3"/>
      <c r="J658" s="32"/>
      <c r="K658" s="32"/>
      <c r="L658" s="27"/>
      <c r="M658" s="33"/>
      <c r="N658" s="32"/>
      <c r="O658" s="33"/>
      <c r="P658" s="32"/>
      <c r="Q658" s="33"/>
      <c r="R658" s="33"/>
      <c r="S658" s="33"/>
      <c r="T658" s="31"/>
    </row>
    <row r="659" spans="1:20" x14ac:dyDescent="0.25">
      <c r="A659" s="3"/>
      <c r="B659" s="58"/>
      <c r="C659" s="59"/>
      <c r="D659" s="3"/>
      <c r="E659" s="3"/>
      <c r="F659" s="3"/>
      <c r="G659" s="3"/>
      <c r="H659" s="3"/>
      <c r="I659" s="3"/>
      <c r="J659" s="32"/>
      <c r="K659" s="32"/>
      <c r="L659" s="27"/>
      <c r="M659" s="33"/>
      <c r="N659" s="32"/>
      <c r="O659" s="33"/>
      <c r="P659" s="32"/>
      <c r="Q659" s="33"/>
      <c r="R659" s="33"/>
      <c r="S659" s="33"/>
      <c r="T659" s="31"/>
    </row>
    <row r="660" spans="1:20" x14ac:dyDescent="0.25">
      <c r="A660" s="3"/>
      <c r="B660" s="58"/>
      <c r="C660" s="59"/>
      <c r="D660" s="3"/>
      <c r="E660" s="3"/>
      <c r="F660" s="3"/>
      <c r="G660" s="3"/>
      <c r="H660" s="3"/>
      <c r="I660" s="3"/>
      <c r="J660" s="32"/>
      <c r="K660" s="32"/>
      <c r="L660" s="27"/>
      <c r="M660" s="33"/>
      <c r="N660" s="32"/>
      <c r="O660" s="33"/>
      <c r="P660" s="32"/>
      <c r="Q660" s="33"/>
      <c r="R660" s="33"/>
      <c r="S660" s="33"/>
      <c r="T660" s="31"/>
    </row>
    <row r="661" spans="1:20" x14ac:dyDescent="0.25">
      <c r="A661" s="3"/>
      <c r="B661" s="58"/>
      <c r="C661" s="59"/>
      <c r="D661" s="3"/>
      <c r="E661" s="3"/>
      <c r="F661" s="3"/>
      <c r="G661" s="3"/>
      <c r="H661" s="3"/>
      <c r="I661" s="3"/>
      <c r="J661" s="32"/>
      <c r="K661" s="32"/>
      <c r="L661" s="27"/>
      <c r="M661" s="33"/>
      <c r="N661" s="32"/>
      <c r="O661" s="33"/>
      <c r="P661" s="32"/>
      <c r="Q661" s="33"/>
      <c r="R661" s="33"/>
      <c r="S661" s="33"/>
      <c r="T661" s="31"/>
    </row>
    <row r="662" spans="1:20" x14ac:dyDescent="0.25">
      <c r="A662" s="3"/>
      <c r="B662" s="58"/>
      <c r="C662" s="59"/>
      <c r="D662" s="3"/>
      <c r="E662" s="3"/>
      <c r="F662" s="3"/>
      <c r="G662" s="3"/>
      <c r="H662" s="3"/>
      <c r="I662" s="3"/>
      <c r="J662" s="32"/>
      <c r="K662" s="32"/>
      <c r="L662" s="27"/>
      <c r="M662" s="33"/>
      <c r="N662" s="32"/>
      <c r="O662" s="33"/>
      <c r="P662" s="32"/>
      <c r="Q662" s="33"/>
      <c r="R662" s="33"/>
      <c r="S662" s="33"/>
      <c r="T662" s="31"/>
    </row>
    <row r="663" spans="1:20" x14ac:dyDescent="0.25">
      <c r="A663" s="3"/>
      <c r="B663" s="58"/>
      <c r="C663" s="59"/>
      <c r="D663" s="3"/>
      <c r="E663" s="3"/>
      <c r="F663" s="3"/>
      <c r="G663" s="3"/>
      <c r="H663" s="3"/>
      <c r="I663" s="3"/>
      <c r="J663" s="32"/>
      <c r="K663" s="32"/>
      <c r="L663" s="27"/>
      <c r="M663" s="33"/>
      <c r="N663" s="32"/>
      <c r="O663" s="33"/>
      <c r="P663" s="32"/>
      <c r="Q663" s="33"/>
      <c r="R663" s="33"/>
      <c r="S663" s="33"/>
      <c r="T663" s="31"/>
    </row>
    <row r="664" spans="1:20" x14ac:dyDescent="0.25">
      <c r="A664" s="3"/>
      <c r="B664" s="58"/>
      <c r="C664" s="59"/>
      <c r="D664" s="3"/>
      <c r="E664" s="3"/>
      <c r="F664" s="3"/>
      <c r="G664" s="3"/>
      <c r="H664" s="3"/>
      <c r="I664" s="3"/>
      <c r="J664" s="32"/>
      <c r="K664" s="32"/>
      <c r="L664" s="27"/>
      <c r="M664" s="33"/>
      <c r="N664" s="32"/>
      <c r="O664" s="33"/>
      <c r="P664" s="32"/>
      <c r="Q664" s="33"/>
      <c r="R664" s="33"/>
      <c r="S664" s="33"/>
      <c r="T664" s="31"/>
    </row>
    <row r="665" spans="1:20" x14ac:dyDescent="0.25">
      <c r="A665" s="3"/>
      <c r="B665" s="58"/>
      <c r="C665" s="59"/>
      <c r="D665" s="3"/>
      <c r="E665" s="3"/>
      <c r="F665" s="3"/>
      <c r="G665" s="3"/>
      <c r="H665" s="3"/>
      <c r="I665" s="3"/>
      <c r="J665" s="32"/>
      <c r="K665" s="32"/>
      <c r="L665" s="27"/>
      <c r="M665" s="33"/>
      <c r="N665" s="32"/>
      <c r="O665" s="33"/>
      <c r="P665" s="32"/>
      <c r="Q665" s="33"/>
      <c r="R665" s="33"/>
      <c r="S665" s="33"/>
      <c r="T665" s="31"/>
    </row>
    <row r="666" spans="1:20" x14ac:dyDescent="0.25">
      <c r="A666" s="3"/>
      <c r="B666" s="58"/>
      <c r="C666" s="59"/>
      <c r="D666" s="3"/>
      <c r="E666" s="3"/>
      <c r="F666" s="3"/>
      <c r="G666" s="3"/>
      <c r="H666" s="3"/>
      <c r="I666" s="3"/>
      <c r="J666" s="32"/>
      <c r="K666" s="32"/>
      <c r="L666" s="27"/>
      <c r="M666" s="33"/>
      <c r="N666" s="32"/>
      <c r="O666" s="33"/>
      <c r="P666" s="32"/>
      <c r="Q666" s="33"/>
      <c r="R666" s="33"/>
      <c r="S666" s="33"/>
      <c r="T666" s="31"/>
    </row>
    <row r="667" spans="1:20" x14ac:dyDescent="0.25">
      <c r="A667" s="3"/>
      <c r="B667" s="58"/>
      <c r="C667" s="59"/>
      <c r="D667" s="3"/>
      <c r="E667" s="3"/>
      <c r="F667" s="3"/>
      <c r="G667" s="3"/>
      <c r="H667" s="3"/>
      <c r="I667" s="3"/>
      <c r="J667" s="32"/>
      <c r="K667" s="32"/>
      <c r="L667" s="27"/>
      <c r="M667" s="33"/>
      <c r="N667" s="32"/>
      <c r="O667" s="33"/>
      <c r="P667" s="32"/>
      <c r="Q667" s="33"/>
      <c r="R667" s="33"/>
      <c r="S667" s="33"/>
      <c r="T667" s="31"/>
    </row>
    <row r="668" spans="1:20" x14ac:dyDescent="0.25">
      <c r="A668" s="3"/>
      <c r="B668" s="58"/>
      <c r="C668" s="59"/>
      <c r="D668" s="3"/>
      <c r="E668" s="3"/>
      <c r="F668" s="3"/>
      <c r="G668" s="3"/>
      <c r="H668" s="3"/>
      <c r="I668" s="3"/>
      <c r="J668" s="32"/>
      <c r="K668" s="32"/>
      <c r="L668" s="27"/>
      <c r="M668" s="33"/>
      <c r="N668" s="32"/>
      <c r="O668" s="33"/>
      <c r="P668" s="32"/>
      <c r="Q668" s="33"/>
      <c r="R668" s="33"/>
      <c r="S668" s="33"/>
      <c r="T668" s="31"/>
    </row>
    <row r="669" spans="1:20" x14ac:dyDescent="0.25">
      <c r="A669" s="3"/>
      <c r="B669" s="58"/>
      <c r="C669" s="59"/>
      <c r="D669" s="3"/>
      <c r="E669" s="3"/>
      <c r="F669" s="3"/>
      <c r="G669" s="3"/>
      <c r="H669" s="3"/>
      <c r="I669" s="3"/>
      <c r="J669" s="32"/>
      <c r="K669" s="32"/>
      <c r="L669" s="27"/>
      <c r="M669" s="33"/>
      <c r="N669" s="32"/>
      <c r="O669" s="33"/>
      <c r="P669" s="32"/>
      <c r="Q669" s="33"/>
      <c r="R669" s="33"/>
      <c r="S669" s="33"/>
      <c r="T669" s="31"/>
    </row>
    <row r="670" spans="1:20" x14ac:dyDescent="0.25">
      <c r="A670" s="3"/>
      <c r="B670" s="58"/>
      <c r="C670" s="59"/>
      <c r="D670" s="3"/>
      <c r="E670" s="3"/>
      <c r="F670" s="3"/>
      <c r="G670" s="3"/>
      <c r="H670" s="3"/>
      <c r="I670" s="3"/>
      <c r="J670" s="32"/>
      <c r="K670" s="32"/>
      <c r="L670" s="27"/>
      <c r="M670" s="33"/>
      <c r="N670" s="32"/>
      <c r="O670" s="33"/>
      <c r="P670" s="32"/>
      <c r="Q670" s="33"/>
      <c r="R670" s="33"/>
      <c r="S670" s="33"/>
      <c r="T670" s="31"/>
    </row>
    <row r="671" spans="1:20" x14ac:dyDescent="0.25">
      <c r="A671" s="3"/>
      <c r="B671" s="58"/>
      <c r="C671" s="59"/>
      <c r="D671" s="3"/>
      <c r="E671" s="3"/>
      <c r="F671" s="3"/>
      <c r="G671" s="3"/>
      <c r="H671" s="3"/>
      <c r="I671" s="3"/>
      <c r="J671" s="32"/>
      <c r="K671" s="32"/>
      <c r="L671" s="27"/>
      <c r="M671" s="33"/>
      <c r="N671" s="32"/>
      <c r="O671" s="33"/>
      <c r="P671" s="32"/>
      <c r="Q671" s="33"/>
      <c r="R671" s="33"/>
      <c r="S671" s="33"/>
      <c r="T671" s="31"/>
    </row>
    <row r="672" spans="1:20" x14ac:dyDescent="0.25">
      <c r="A672" s="3"/>
      <c r="B672" s="58"/>
      <c r="C672" s="59"/>
      <c r="D672" s="3"/>
      <c r="E672" s="3"/>
      <c r="F672" s="3"/>
      <c r="G672" s="3"/>
      <c r="H672" s="3"/>
      <c r="I672" s="3"/>
      <c r="J672" s="32"/>
      <c r="K672" s="32"/>
      <c r="L672" s="27"/>
      <c r="M672" s="33"/>
      <c r="N672" s="32"/>
      <c r="O672" s="33"/>
      <c r="P672" s="32"/>
      <c r="Q672" s="33"/>
      <c r="R672" s="33"/>
      <c r="S672" s="33"/>
      <c r="T672" s="31"/>
    </row>
    <row r="673" spans="1:20" x14ac:dyDescent="0.25">
      <c r="A673" s="3"/>
      <c r="B673" s="58"/>
      <c r="C673" s="59"/>
      <c r="D673" s="3"/>
      <c r="E673" s="3"/>
      <c r="F673" s="3"/>
      <c r="G673" s="3"/>
      <c r="H673" s="3"/>
      <c r="I673" s="3"/>
      <c r="J673" s="32"/>
      <c r="K673" s="32"/>
      <c r="L673" s="27"/>
      <c r="M673" s="33"/>
      <c r="N673" s="32"/>
      <c r="O673" s="33"/>
      <c r="P673" s="32"/>
      <c r="Q673" s="33"/>
      <c r="R673" s="33"/>
      <c r="S673" s="33"/>
      <c r="T673" s="31"/>
    </row>
    <row r="674" spans="1:20" x14ac:dyDescent="0.25">
      <c r="A674" s="3"/>
      <c r="B674" s="58"/>
      <c r="C674" s="59"/>
      <c r="D674" s="3"/>
      <c r="E674" s="3"/>
      <c r="F674" s="3"/>
      <c r="G674" s="3"/>
      <c r="H674" s="3"/>
      <c r="I674" s="3"/>
      <c r="J674" s="32"/>
      <c r="K674" s="32"/>
      <c r="L674" s="27"/>
      <c r="M674" s="33"/>
      <c r="N674" s="32"/>
      <c r="O674" s="33"/>
      <c r="P674" s="32"/>
      <c r="Q674" s="33"/>
      <c r="R674" s="33"/>
      <c r="S674" s="33"/>
      <c r="T674" s="31"/>
    </row>
    <row r="675" spans="1:20" x14ac:dyDescent="0.25">
      <c r="A675" s="3"/>
      <c r="B675" s="58"/>
      <c r="C675" s="59"/>
      <c r="D675" s="3"/>
      <c r="E675" s="3"/>
      <c r="F675" s="3"/>
      <c r="G675" s="3"/>
      <c r="H675" s="3"/>
      <c r="I675" s="3"/>
      <c r="J675" s="32"/>
      <c r="K675" s="32"/>
      <c r="L675" s="27"/>
      <c r="M675" s="33"/>
      <c r="N675" s="32"/>
      <c r="O675" s="33"/>
      <c r="P675" s="32"/>
      <c r="Q675" s="33"/>
      <c r="R675" s="33"/>
      <c r="S675" s="33"/>
      <c r="T675" s="31"/>
    </row>
    <row r="676" spans="1:20" x14ac:dyDescent="0.25">
      <c r="A676" s="3"/>
      <c r="B676" s="58"/>
      <c r="C676" s="59"/>
      <c r="D676" s="3"/>
      <c r="E676" s="3"/>
      <c r="F676" s="3"/>
      <c r="G676" s="3"/>
      <c r="H676" s="3"/>
      <c r="I676" s="3"/>
      <c r="J676" s="32"/>
      <c r="K676" s="32"/>
      <c r="L676" s="27"/>
      <c r="M676" s="33"/>
      <c r="N676" s="32"/>
      <c r="O676" s="33"/>
      <c r="P676" s="32"/>
      <c r="Q676" s="33"/>
      <c r="R676" s="33"/>
      <c r="S676" s="33"/>
      <c r="T676" s="31"/>
    </row>
    <row r="677" spans="1:20" x14ac:dyDescent="0.25">
      <c r="A677" s="3"/>
      <c r="B677" s="58"/>
      <c r="C677" s="59"/>
      <c r="D677" s="3"/>
      <c r="E677" s="3"/>
      <c r="F677" s="3"/>
      <c r="G677" s="3"/>
      <c r="H677" s="3"/>
      <c r="I677" s="3"/>
      <c r="J677" s="32"/>
      <c r="K677" s="32"/>
      <c r="L677" s="27"/>
      <c r="M677" s="33"/>
      <c r="N677" s="32"/>
      <c r="O677" s="33"/>
      <c r="P677" s="32"/>
      <c r="Q677" s="33"/>
      <c r="R677" s="33"/>
      <c r="S677" s="33"/>
      <c r="T677" s="31"/>
    </row>
    <row r="678" spans="1:20" x14ac:dyDescent="0.25">
      <c r="A678" s="3"/>
      <c r="B678" s="58"/>
      <c r="C678" s="59"/>
      <c r="D678" s="3"/>
      <c r="E678" s="3"/>
      <c r="F678" s="3"/>
      <c r="G678" s="3"/>
      <c r="H678" s="3"/>
      <c r="I678" s="3"/>
      <c r="J678" s="32"/>
      <c r="K678" s="32"/>
      <c r="L678" s="27"/>
      <c r="M678" s="33"/>
      <c r="N678" s="32"/>
      <c r="O678" s="33"/>
      <c r="P678" s="32"/>
      <c r="Q678" s="33"/>
      <c r="R678" s="33"/>
      <c r="S678" s="33"/>
      <c r="T678" s="31"/>
    </row>
    <row r="679" spans="1:20" x14ac:dyDescent="0.25">
      <c r="A679" s="3"/>
      <c r="B679" s="58"/>
      <c r="C679" s="59"/>
      <c r="D679" s="3"/>
      <c r="E679" s="3"/>
      <c r="F679" s="3"/>
      <c r="G679" s="3"/>
      <c r="H679" s="3"/>
      <c r="I679" s="3"/>
      <c r="J679" s="32"/>
      <c r="K679" s="32"/>
      <c r="L679" s="27"/>
      <c r="M679" s="33"/>
      <c r="N679" s="32"/>
      <c r="O679" s="33"/>
      <c r="P679" s="32"/>
      <c r="Q679" s="33"/>
      <c r="R679" s="33"/>
      <c r="S679" s="33"/>
      <c r="T679" s="31"/>
    </row>
    <row r="680" spans="1:20" x14ac:dyDescent="0.25">
      <c r="A680" s="3"/>
      <c r="B680" s="58"/>
      <c r="C680" s="59"/>
      <c r="D680" s="3"/>
      <c r="E680" s="3"/>
      <c r="F680" s="3"/>
      <c r="G680" s="3"/>
      <c r="H680" s="3"/>
      <c r="I680" s="3"/>
      <c r="J680" s="32"/>
      <c r="K680" s="32"/>
      <c r="L680" s="27"/>
      <c r="M680" s="33"/>
      <c r="N680" s="32"/>
      <c r="O680" s="33"/>
      <c r="P680" s="32"/>
      <c r="Q680" s="33"/>
      <c r="R680" s="33"/>
      <c r="S680" s="33"/>
      <c r="T680" s="31"/>
    </row>
    <row r="681" spans="1:20" x14ac:dyDescent="0.25">
      <c r="A681" s="3"/>
      <c r="B681" s="58"/>
      <c r="C681" s="59"/>
      <c r="D681" s="3"/>
      <c r="E681" s="3"/>
      <c r="F681" s="3"/>
      <c r="G681" s="3"/>
      <c r="H681" s="3"/>
      <c r="I681" s="3"/>
      <c r="J681" s="32"/>
      <c r="K681" s="32"/>
      <c r="L681" s="27"/>
      <c r="M681" s="33"/>
      <c r="N681" s="32"/>
      <c r="O681" s="33"/>
      <c r="P681" s="32"/>
      <c r="Q681" s="33"/>
      <c r="R681" s="33"/>
      <c r="S681" s="33"/>
      <c r="T681" s="31"/>
    </row>
    <row r="682" spans="1:20" x14ac:dyDescent="0.25">
      <c r="A682" s="3"/>
      <c r="B682" s="58"/>
      <c r="C682" s="59"/>
      <c r="D682" s="3"/>
      <c r="E682" s="3"/>
      <c r="F682" s="3"/>
      <c r="G682" s="3"/>
      <c r="H682" s="3"/>
      <c r="I682" s="3"/>
      <c r="J682" s="32"/>
      <c r="K682" s="32"/>
      <c r="L682" s="27"/>
      <c r="M682" s="33"/>
      <c r="N682" s="32"/>
      <c r="O682" s="33"/>
      <c r="P682" s="32"/>
      <c r="Q682" s="33"/>
      <c r="R682" s="33"/>
      <c r="S682" s="33"/>
      <c r="T682" s="31"/>
    </row>
    <row r="683" spans="1:20" x14ac:dyDescent="0.25">
      <c r="A683" s="3"/>
      <c r="B683" s="58"/>
      <c r="C683" s="59"/>
      <c r="D683" s="3"/>
      <c r="E683" s="3"/>
      <c r="F683" s="3"/>
      <c r="G683" s="3"/>
      <c r="H683" s="3"/>
      <c r="I683" s="3"/>
      <c r="J683" s="32"/>
      <c r="K683" s="32"/>
      <c r="L683" s="27"/>
      <c r="M683" s="33"/>
      <c r="N683" s="32"/>
      <c r="O683" s="33"/>
      <c r="P683" s="32"/>
      <c r="Q683" s="33"/>
      <c r="R683" s="33"/>
      <c r="S683" s="33"/>
      <c r="T683" s="31"/>
    </row>
    <row r="684" spans="1:20" x14ac:dyDescent="0.25">
      <c r="A684" s="3"/>
      <c r="B684" s="58"/>
      <c r="C684" s="59"/>
      <c r="D684" s="3"/>
      <c r="E684" s="3"/>
      <c r="F684" s="3"/>
      <c r="G684" s="3"/>
      <c r="H684" s="3"/>
      <c r="I684" s="3"/>
      <c r="J684" s="32"/>
      <c r="K684" s="32"/>
      <c r="L684" s="27"/>
      <c r="M684" s="33"/>
      <c r="N684" s="32"/>
      <c r="O684" s="33"/>
      <c r="P684" s="32"/>
      <c r="Q684" s="33"/>
      <c r="R684" s="33"/>
      <c r="S684" s="33"/>
      <c r="T684" s="31"/>
    </row>
    <row r="685" spans="1:20" x14ac:dyDescent="0.25">
      <c r="A685" s="3"/>
      <c r="B685" s="58"/>
      <c r="C685" s="59"/>
      <c r="D685" s="3"/>
      <c r="E685" s="3"/>
      <c r="F685" s="3"/>
      <c r="G685" s="3"/>
      <c r="H685" s="3"/>
      <c r="I685" s="3"/>
      <c r="J685" s="32"/>
      <c r="K685" s="32"/>
      <c r="L685" s="27"/>
      <c r="M685" s="33"/>
      <c r="N685" s="32"/>
      <c r="O685" s="33"/>
      <c r="P685" s="32"/>
      <c r="Q685" s="33"/>
      <c r="R685" s="33"/>
      <c r="S685" s="33"/>
      <c r="T685" s="31"/>
    </row>
    <row r="686" spans="1:20" x14ac:dyDescent="0.25">
      <c r="A686" s="3"/>
      <c r="B686" s="58"/>
      <c r="C686" s="59"/>
      <c r="D686" s="3"/>
      <c r="E686" s="3"/>
      <c r="F686" s="3"/>
      <c r="G686" s="3"/>
      <c r="H686" s="3"/>
      <c r="I686" s="3"/>
      <c r="J686" s="32"/>
      <c r="K686" s="32"/>
      <c r="L686" s="27"/>
      <c r="M686" s="33"/>
      <c r="N686" s="32"/>
      <c r="O686" s="33"/>
      <c r="P686" s="32"/>
      <c r="Q686" s="33"/>
      <c r="R686" s="33"/>
      <c r="S686" s="33"/>
      <c r="T686" s="31"/>
    </row>
    <row r="687" spans="1:20" x14ac:dyDescent="0.25">
      <c r="A687" s="3"/>
      <c r="B687" s="58"/>
      <c r="C687" s="59"/>
      <c r="D687" s="3"/>
      <c r="E687" s="3"/>
      <c r="F687" s="3"/>
      <c r="G687" s="3"/>
      <c r="H687" s="3"/>
      <c r="I687" s="3"/>
      <c r="J687" s="32"/>
      <c r="K687" s="32"/>
      <c r="L687" s="27"/>
      <c r="M687" s="33"/>
      <c r="N687" s="32"/>
      <c r="O687" s="33"/>
      <c r="P687" s="32"/>
      <c r="Q687" s="33"/>
      <c r="R687" s="33"/>
      <c r="S687" s="33"/>
      <c r="T687" s="31"/>
    </row>
    <row r="688" spans="1:20" x14ac:dyDescent="0.25">
      <c r="A688" s="3"/>
      <c r="B688" s="58"/>
      <c r="C688" s="59"/>
      <c r="D688" s="3"/>
      <c r="E688" s="3"/>
      <c r="F688" s="3"/>
      <c r="G688" s="3"/>
      <c r="H688" s="3"/>
      <c r="I688" s="3"/>
      <c r="J688" s="32"/>
      <c r="K688" s="32"/>
      <c r="L688" s="27"/>
      <c r="M688" s="33"/>
      <c r="N688" s="32"/>
      <c r="O688" s="33"/>
      <c r="P688" s="32"/>
      <c r="Q688" s="33"/>
      <c r="R688" s="33"/>
      <c r="S688" s="33"/>
      <c r="T688" s="31"/>
    </row>
    <row r="689" spans="1:20" x14ac:dyDescent="0.25">
      <c r="A689" s="3"/>
      <c r="B689" s="58"/>
      <c r="C689" s="59"/>
      <c r="D689" s="3"/>
      <c r="E689" s="3"/>
      <c r="F689" s="3"/>
      <c r="G689" s="3"/>
      <c r="H689" s="3"/>
      <c r="I689" s="3"/>
      <c r="J689" s="32"/>
      <c r="K689" s="32"/>
      <c r="L689" s="27"/>
      <c r="M689" s="33"/>
      <c r="N689" s="32"/>
      <c r="O689" s="33"/>
      <c r="P689" s="32"/>
      <c r="Q689" s="33"/>
      <c r="R689" s="33"/>
      <c r="S689" s="33"/>
      <c r="T689" s="31"/>
    </row>
    <row r="690" spans="1:20" x14ac:dyDescent="0.25">
      <c r="A690" s="3"/>
      <c r="B690" s="58"/>
      <c r="C690" s="59"/>
      <c r="D690" s="3"/>
      <c r="E690" s="3"/>
      <c r="F690" s="3"/>
      <c r="G690" s="3"/>
      <c r="H690" s="3"/>
      <c r="I690" s="3"/>
      <c r="J690" s="32"/>
      <c r="K690" s="32"/>
      <c r="L690" s="27"/>
      <c r="M690" s="33"/>
      <c r="N690" s="32"/>
      <c r="O690" s="33"/>
      <c r="P690" s="32"/>
      <c r="Q690" s="33"/>
      <c r="R690" s="33"/>
      <c r="S690" s="33"/>
      <c r="T690" s="31"/>
    </row>
    <row r="691" spans="1:20" x14ac:dyDescent="0.25">
      <c r="A691" s="3"/>
      <c r="B691" s="58"/>
      <c r="C691" s="59"/>
      <c r="D691" s="3"/>
      <c r="E691" s="3"/>
      <c r="F691" s="3"/>
      <c r="G691" s="3"/>
      <c r="H691" s="3"/>
      <c r="I691" s="3"/>
      <c r="J691" s="32"/>
      <c r="K691" s="32"/>
      <c r="L691" s="27"/>
      <c r="M691" s="33"/>
      <c r="N691" s="32"/>
      <c r="O691" s="33"/>
      <c r="P691" s="32"/>
      <c r="Q691" s="33"/>
      <c r="R691" s="33"/>
      <c r="S691" s="33"/>
      <c r="T691" s="31"/>
    </row>
    <row r="692" spans="1:20" x14ac:dyDescent="0.25">
      <c r="A692" s="3"/>
      <c r="B692" s="58"/>
      <c r="C692" s="59"/>
      <c r="D692" s="3"/>
      <c r="E692" s="3"/>
      <c r="F692" s="3"/>
      <c r="G692" s="3"/>
      <c r="H692" s="3"/>
      <c r="I692" s="3"/>
      <c r="J692" s="32"/>
      <c r="K692" s="32"/>
      <c r="L692" s="27"/>
      <c r="M692" s="33"/>
      <c r="N692" s="32"/>
      <c r="O692" s="33"/>
      <c r="P692" s="32"/>
      <c r="Q692" s="33"/>
      <c r="R692" s="33"/>
      <c r="S692" s="33"/>
      <c r="T692" s="31"/>
    </row>
    <row r="693" spans="1:20" x14ac:dyDescent="0.25">
      <c r="A693" s="3"/>
      <c r="B693" s="58"/>
      <c r="C693" s="59"/>
      <c r="D693" s="3"/>
      <c r="E693" s="3"/>
      <c r="F693" s="3"/>
      <c r="G693" s="3"/>
      <c r="H693" s="3"/>
      <c r="I693" s="3"/>
      <c r="J693" s="32"/>
      <c r="K693" s="32"/>
      <c r="L693" s="27"/>
      <c r="M693" s="33"/>
      <c r="N693" s="32"/>
      <c r="O693" s="33"/>
      <c r="P693" s="32"/>
      <c r="Q693" s="33"/>
      <c r="R693" s="33"/>
      <c r="S693" s="33"/>
      <c r="T693" s="31"/>
    </row>
    <row r="694" spans="1:20" x14ac:dyDescent="0.25">
      <c r="A694" s="3"/>
      <c r="B694" s="58"/>
      <c r="C694" s="59"/>
      <c r="D694" s="3"/>
      <c r="E694" s="3"/>
      <c r="F694" s="3"/>
      <c r="G694" s="3"/>
      <c r="H694" s="3"/>
      <c r="I694" s="3"/>
      <c r="J694" s="32"/>
      <c r="K694" s="32"/>
      <c r="L694" s="27"/>
      <c r="M694" s="33"/>
      <c r="N694" s="32"/>
      <c r="O694" s="33"/>
      <c r="P694" s="32"/>
      <c r="Q694" s="33"/>
      <c r="R694" s="33"/>
      <c r="S694" s="33"/>
      <c r="T694" s="31"/>
    </row>
    <row r="695" spans="1:20" x14ac:dyDescent="0.25">
      <c r="A695" s="3"/>
      <c r="B695" s="58"/>
      <c r="C695" s="59"/>
      <c r="D695" s="3"/>
      <c r="E695" s="3"/>
      <c r="F695" s="3"/>
      <c r="G695" s="3"/>
      <c r="H695" s="3"/>
      <c r="I695" s="3"/>
      <c r="J695" s="32"/>
      <c r="K695" s="32"/>
      <c r="L695" s="27"/>
      <c r="M695" s="33"/>
      <c r="N695" s="32"/>
      <c r="O695" s="33"/>
      <c r="P695" s="32"/>
      <c r="Q695" s="33"/>
      <c r="R695" s="33"/>
      <c r="S695" s="33"/>
      <c r="T695" s="31"/>
    </row>
    <row r="696" spans="1:20" x14ac:dyDescent="0.25">
      <c r="A696" s="3"/>
      <c r="B696" s="58"/>
      <c r="C696" s="59"/>
      <c r="D696" s="3"/>
      <c r="E696" s="3"/>
      <c r="F696" s="3"/>
      <c r="G696" s="3"/>
      <c r="H696" s="3"/>
      <c r="I696" s="3"/>
      <c r="J696" s="32"/>
      <c r="K696" s="32"/>
      <c r="L696" s="27"/>
      <c r="M696" s="33"/>
      <c r="N696" s="32"/>
      <c r="O696" s="33"/>
      <c r="P696" s="32"/>
      <c r="Q696" s="33"/>
      <c r="R696" s="33"/>
      <c r="S696" s="33"/>
      <c r="T696" s="31"/>
    </row>
    <row r="697" spans="1:20" x14ac:dyDescent="0.25">
      <c r="A697" s="3"/>
      <c r="B697" s="58"/>
      <c r="C697" s="59"/>
      <c r="D697" s="3"/>
      <c r="E697" s="3"/>
      <c r="F697" s="3"/>
      <c r="G697" s="3"/>
      <c r="H697" s="3"/>
      <c r="I697" s="3"/>
      <c r="J697" s="32"/>
      <c r="K697" s="32"/>
      <c r="L697" s="27"/>
      <c r="M697" s="33"/>
      <c r="N697" s="32"/>
      <c r="O697" s="33"/>
      <c r="P697" s="32"/>
      <c r="Q697" s="33"/>
      <c r="R697" s="33"/>
      <c r="S697" s="33"/>
      <c r="T697" s="31"/>
    </row>
    <row r="698" spans="1:20" x14ac:dyDescent="0.25">
      <c r="A698" s="3"/>
      <c r="B698" s="58"/>
      <c r="C698" s="59"/>
      <c r="D698" s="3"/>
      <c r="E698" s="3"/>
      <c r="F698" s="3"/>
      <c r="G698" s="3"/>
      <c r="H698" s="3"/>
      <c r="I698" s="3"/>
      <c r="J698" s="32"/>
      <c r="K698" s="32"/>
      <c r="L698" s="27"/>
      <c r="M698" s="33"/>
      <c r="N698" s="32"/>
      <c r="O698" s="33"/>
      <c r="P698" s="32"/>
      <c r="Q698" s="33"/>
      <c r="R698" s="33"/>
      <c r="S698" s="33"/>
      <c r="T698" s="31"/>
    </row>
    <row r="699" spans="1:20" x14ac:dyDescent="0.25">
      <c r="A699" s="3"/>
      <c r="B699" s="58"/>
      <c r="C699" s="59"/>
      <c r="D699" s="3"/>
      <c r="E699" s="3"/>
      <c r="F699" s="3"/>
      <c r="G699" s="3"/>
      <c r="H699" s="3"/>
      <c r="I699" s="3"/>
      <c r="J699" s="32"/>
      <c r="K699" s="32"/>
      <c r="L699" s="27"/>
      <c r="M699" s="33"/>
      <c r="N699" s="32"/>
      <c r="O699" s="33"/>
      <c r="P699" s="32"/>
      <c r="Q699" s="33"/>
      <c r="R699" s="33"/>
      <c r="S699" s="33"/>
      <c r="T699" s="31"/>
    </row>
    <row r="700" spans="1:20" x14ac:dyDescent="0.25">
      <c r="A700" s="3"/>
      <c r="B700" s="58"/>
      <c r="C700" s="59"/>
      <c r="D700" s="3"/>
      <c r="E700" s="3"/>
      <c r="F700" s="3"/>
      <c r="G700" s="3"/>
      <c r="H700" s="3"/>
      <c r="I700" s="3"/>
      <c r="J700" s="32"/>
      <c r="K700" s="32"/>
      <c r="L700" s="27"/>
      <c r="M700" s="33"/>
      <c r="N700" s="32"/>
      <c r="O700" s="33"/>
      <c r="P700" s="32"/>
      <c r="Q700" s="33"/>
      <c r="R700" s="33"/>
      <c r="S700" s="33"/>
      <c r="T700" s="31"/>
    </row>
    <row r="701" spans="1:20" x14ac:dyDescent="0.25">
      <c r="A701" s="3"/>
      <c r="B701" s="58"/>
      <c r="C701" s="59"/>
      <c r="D701" s="3"/>
      <c r="E701" s="3"/>
      <c r="F701" s="3"/>
      <c r="G701" s="3"/>
      <c r="H701" s="3"/>
      <c r="I701" s="3"/>
      <c r="J701" s="32"/>
      <c r="K701" s="32"/>
      <c r="L701" s="27"/>
      <c r="M701" s="33"/>
      <c r="N701" s="32"/>
      <c r="O701" s="33"/>
      <c r="P701" s="32"/>
      <c r="Q701" s="33"/>
      <c r="R701" s="33"/>
      <c r="S701" s="33"/>
      <c r="T701" s="31"/>
    </row>
    <row r="702" spans="1:20" x14ac:dyDescent="0.25">
      <c r="A702" s="3"/>
      <c r="B702" s="58"/>
      <c r="C702" s="59"/>
      <c r="D702" s="3"/>
      <c r="E702" s="3"/>
      <c r="F702" s="3"/>
      <c r="G702" s="3"/>
      <c r="H702" s="3"/>
      <c r="I702" s="3"/>
      <c r="J702" s="32"/>
      <c r="K702" s="32"/>
      <c r="L702" s="27"/>
      <c r="M702" s="33"/>
      <c r="N702" s="32"/>
      <c r="O702" s="33"/>
      <c r="P702" s="32"/>
      <c r="Q702" s="33"/>
      <c r="R702" s="33"/>
      <c r="S702" s="33"/>
      <c r="T702" s="31"/>
    </row>
    <row r="703" spans="1:20" x14ac:dyDescent="0.25">
      <c r="A703" s="3"/>
      <c r="B703" s="58"/>
      <c r="C703" s="59"/>
      <c r="D703" s="3"/>
      <c r="E703" s="3"/>
      <c r="F703" s="3"/>
      <c r="G703" s="3"/>
      <c r="H703" s="3"/>
      <c r="I703" s="3"/>
      <c r="J703" s="32"/>
      <c r="K703" s="32"/>
      <c r="L703" s="27"/>
      <c r="M703" s="33"/>
      <c r="N703" s="32"/>
      <c r="O703" s="33"/>
      <c r="P703" s="32"/>
      <c r="Q703" s="33"/>
      <c r="R703" s="33"/>
      <c r="S703" s="33"/>
      <c r="T703" s="31"/>
    </row>
    <row r="704" spans="1:20" x14ac:dyDescent="0.25">
      <c r="A704" s="3"/>
      <c r="B704" s="58"/>
      <c r="C704" s="59"/>
      <c r="D704" s="3"/>
      <c r="E704" s="3"/>
      <c r="F704" s="3"/>
      <c r="G704" s="3"/>
      <c r="H704" s="3"/>
      <c r="I704" s="3"/>
      <c r="J704" s="32"/>
      <c r="K704" s="32"/>
      <c r="L704" s="27"/>
      <c r="M704" s="33"/>
      <c r="N704" s="32"/>
      <c r="O704" s="33"/>
      <c r="P704" s="32"/>
      <c r="Q704" s="33"/>
      <c r="R704" s="33"/>
      <c r="S704" s="33"/>
      <c r="T704" s="31"/>
    </row>
    <row r="705" spans="1:20" x14ac:dyDescent="0.25">
      <c r="A705" s="3"/>
      <c r="B705" s="58"/>
      <c r="C705" s="59"/>
      <c r="D705" s="3"/>
      <c r="E705" s="3"/>
      <c r="F705" s="3"/>
      <c r="G705" s="3"/>
      <c r="H705" s="3"/>
      <c r="I705" s="3"/>
      <c r="J705" s="32"/>
      <c r="K705" s="32"/>
      <c r="L705" s="27"/>
      <c r="M705" s="33"/>
      <c r="N705" s="32"/>
      <c r="O705" s="33"/>
      <c r="P705" s="32"/>
      <c r="Q705" s="33"/>
      <c r="R705" s="33"/>
      <c r="S705" s="33"/>
      <c r="T705" s="31"/>
    </row>
    <row r="706" spans="1:20" x14ac:dyDescent="0.25">
      <c r="A706" s="3"/>
      <c r="B706" s="58"/>
      <c r="C706" s="59"/>
      <c r="D706" s="3"/>
      <c r="E706" s="3"/>
      <c r="F706" s="3"/>
      <c r="G706" s="3"/>
      <c r="H706" s="3"/>
      <c r="I706" s="3"/>
      <c r="J706" s="32"/>
      <c r="K706" s="32"/>
      <c r="L706" s="27"/>
      <c r="M706" s="33"/>
      <c r="N706" s="32"/>
      <c r="O706" s="33"/>
      <c r="P706" s="32"/>
      <c r="Q706" s="33"/>
      <c r="R706" s="33"/>
      <c r="S706" s="33"/>
      <c r="T706" s="31"/>
    </row>
    <row r="707" spans="1:20" x14ac:dyDescent="0.25">
      <c r="A707" s="3"/>
      <c r="B707" s="58"/>
      <c r="C707" s="59"/>
      <c r="D707" s="3"/>
      <c r="E707" s="3"/>
      <c r="F707" s="3"/>
      <c r="G707" s="3"/>
      <c r="H707" s="3"/>
      <c r="I707" s="3"/>
      <c r="J707" s="32"/>
      <c r="K707" s="32"/>
      <c r="L707" s="27"/>
      <c r="M707" s="33"/>
      <c r="N707" s="32"/>
      <c r="O707" s="33"/>
      <c r="P707" s="32"/>
      <c r="Q707" s="33"/>
      <c r="R707" s="33"/>
      <c r="S707" s="33"/>
      <c r="T707" s="31"/>
    </row>
    <row r="708" spans="1:20" x14ac:dyDescent="0.25">
      <c r="A708" s="3"/>
      <c r="B708" s="58"/>
      <c r="C708" s="59"/>
      <c r="D708" s="3"/>
      <c r="E708" s="3"/>
      <c r="F708" s="3"/>
      <c r="G708" s="3"/>
      <c r="H708" s="3"/>
      <c r="I708" s="3"/>
      <c r="J708" s="32"/>
      <c r="K708" s="32"/>
      <c r="L708" s="27"/>
      <c r="M708" s="33"/>
      <c r="N708" s="32"/>
      <c r="O708" s="33"/>
      <c r="P708" s="32"/>
      <c r="Q708" s="33"/>
      <c r="R708" s="33"/>
      <c r="S708" s="33"/>
      <c r="T708" s="31"/>
    </row>
    <row r="709" spans="1:20" x14ac:dyDescent="0.25">
      <c r="A709" s="3"/>
      <c r="B709" s="58"/>
      <c r="C709" s="59"/>
      <c r="D709" s="3"/>
      <c r="E709" s="3"/>
      <c r="F709" s="3"/>
      <c r="G709" s="3"/>
      <c r="H709" s="3"/>
      <c r="I709" s="3"/>
      <c r="J709" s="32"/>
      <c r="K709" s="32"/>
      <c r="L709" s="27"/>
      <c r="M709" s="33"/>
      <c r="N709" s="32"/>
      <c r="O709" s="33"/>
      <c r="P709" s="32"/>
      <c r="Q709" s="33"/>
      <c r="R709" s="33"/>
      <c r="S709" s="33"/>
      <c r="T709" s="31"/>
    </row>
    <row r="710" spans="1:20" x14ac:dyDescent="0.25">
      <c r="A710" s="3"/>
      <c r="B710" s="58"/>
      <c r="C710" s="59"/>
      <c r="D710" s="3"/>
      <c r="E710" s="3"/>
      <c r="F710" s="3"/>
      <c r="G710" s="3"/>
      <c r="H710" s="3"/>
      <c r="I710" s="3"/>
      <c r="J710" s="32"/>
      <c r="K710" s="32"/>
      <c r="L710" s="27"/>
      <c r="M710" s="33"/>
      <c r="N710" s="32"/>
      <c r="O710" s="33"/>
      <c r="P710" s="32"/>
      <c r="Q710" s="33"/>
      <c r="R710" s="33"/>
      <c r="S710" s="33"/>
      <c r="T710" s="31"/>
    </row>
    <row r="711" spans="1:20" x14ac:dyDescent="0.25">
      <c r="A711" s="3"/>
      <c r="B711" s="58"/>
      <c r="C711" s="59"/>
      <c r="D711" s="3"/>
      <c r="E711" s="3"/>
      <c r="F711" s="3"/>
      <c r="G711" s="3"/>
      <c r="H711" s="3"/>
      <c r="I711" s="3"/>
      <c r="J711" s="32"/>
      <c r="K711" s="32"/>
      <c r="L711" s="27"/>
      <c r="M711" s="33"/>
      <c r="N711" s="32"/>
      <c r="O711" s="33"/>
      <c r="P711" s="32"/>
      <c r="Q711" s="33"/>
      <c r="R711" s="33"/>
      <c r="S711" s="33"/>
      <c r="T711" s="31"/>
    </row>
    <row r="712" spans="1:20" x14ac:dyDescent="0.25">
      <c r="A712" s="3"/>
      <c r="B712" s="58"/>
      <c r="C712" s="59"/>
      <c r="D712" s="3"/>
      <c r="E712" s="3"/>
      <c r="F712" s="3"/>
      <c r="G712" s="3"/>
      <c r="H712" s="3"/>
      <c r="I712" s="3"/>
      <c r="J712" s="32"/>
      <c r="K712" s="32"/>
      <c r="L712" s="27"/>
      <c r="M712" s="33"/>
      <c r="N712" s="32"/>
      <c r="O712" s="33"/>
      <c r="P712" s="32"/>
      <c r="Q712" s="33"/>
      <c r="R712" s="33"/>
      <c r="S712" s="33"/>
      <c r="T712" s="31"/>
    </row>
    <row r="713" spans="1:20" x14ac:dyDescent="0.25">
      <c r="A713" s="3"/>
      <c r="B713" s="58"/>
      <c r="C713" s="59"/>
      <c r="D713" s="3"/>
      <c r="E713" s="3"/>
      <c r="F713" s="3"/>
      <c r="G713" s="3"/>
      <c r="H713" s="3"/>
      <c r="I713" s="3"/>
      <c r="J713" s="32"/>
      <c r="K713" s="32"/>
      <c r="L713" s="27"/>
      <c r="M713" s="33"/>
      <c r="N713" s="32"/>
      <c r="O713" s="33"/>
      <c r="P713" s="32"/>
      <c r="Q713" s="33"/>
      <c r="R713" s="33"/>
      <c r="S713" s="33"/>
      <c r="T713" s="31"/>
    </row>
    <row r="714" spans="1:20" x14ac:dyDescent="0.25">
      <c r="A714" s="3"/>
      <c r="B714" s="58"/>
      <c r="C714" s="59"/>
      <c r="D714" s="3"/>
      <c r="E714" s="3"/>
      <c r="F714" s="3"/>
      <c r="G714" s="3"/>
      <c r="H714" s="3"/>
      <c r="I714" s="3"/>
      <c r="J714" s="32"/>
      <c r="K714" s="32"/>
      <c r="L714" s="27"/>
      <c r="M714" s="33"/>
      <c r="N714" s="32"/>
      <c r="O714" s="33"/>
      <c r="P714" s="32"/>
      <c r="Q714" s="33"/>
      <c r="R714" s="33"/>
      <c r="S714" s="33"/>
      <c r="T714" s="31"/>
    </row>
    <row r="715" spans="1:20" x14ac:dyDescent="0.25">
      <c r="A715" s="3"/>
      <c r="B715" s="58"/>
      <c r="C715" s="59"/>
      <c r="D715" s="3"/>
      <c r="E715" s="3"/>
      <c r="F715" s="3"/>
      <c r="G715" s="3"/>
      <c r="H715" s="3"/>
      <c r="I715" s="3"/>
      <c r="J715" s="32"/>
      <c r="K715" s="32"/>
      <c r="L715" s="27"/>
      <c r="M715" s="33"/>
      <c r="N715" s="32"/>
      <c r="O715" s="33"/>
      <c r="P715" s="32"/>
      <c r="Q715" s="33"/>
      <c r="R715" s="33"/>
      <c r="S715" s="33"/>
      <c r="T715" s="31"/>
    </row>
    <row r="716" spans="1:20" x14ac:dyDescent="0.25">
      <c r="A716" s="3"/>
      <c r="B716" s="58"/>
      <c r="C716" s="59"/>
      <c r="D716" s="3"/>
      <c r="E716" s="3"/>
      <c r="F716" s="3"/>
      <c r="G716" s="3"/>
      <c r="H716" s="3"/>
      <c r="I716" s="3"/>
      <c r="J716" s="32"/>
      <c r="K716" s="32"/>
      <c r="L716" s="27"/>
      <c r="M716" s="33"/>
      <c r="N716" s="32"/>
      <c r="O716" s="33"/>
      <c r="P716" s="32"/>
      <c r="Q716" s="33"/>
      <c r="R716" s="33"/>
      <c r="S716" s="33"/>
      <c r="T716" s="31"/>
    </row>
    <row r="717" spans="1:20" x14ac:dyDescent="0.25">
      <c r="A717" s="3"/>
      <c r="B717" s="58"/>
      <c r="C717" s="59"/>
      <c r="D717" s="3"/>
      <c r="E717" s="3"/>
      <c r="F717" s="3"/>
      <c r="G717" s="3"/>
      <c r="H717" s="3"/>
      <c r="I717" s="3"/>
      <c r="J717" s="32"/>
      <c r="K717" s="32"/>
      <c r="L717" s="27"/>
      <c r="M717" s="33"/>
      <c r="N717" s="32"/>
      <c r="O717" s="33"/>
      <c r="P717" s="32"/>
      <c r="Q717" s="33"/>
      <c r="R717" s="33"/>
      <c r="S717" s="33"/>
      <c r="T717" s="31"/>
    </row>
    <row r="718" spans="1:20" x14ac:dyDescent="0.25">
      <c r="A718" s="3"/>
      <c r="B718" s="58"/>
      <c r="C718" s="59"/>
      <c r="D718" s="3"/>
      <c r="E718" s="3"/>
      <c r="F718" s="3"/>
      <c r="G718" s="3"/>
      <c r="H718" s="3"/>
      <c r="I718" s="3"/>
      <c r="J718" s="32"/>
      <c r="K718" s="32"/>
      <c r="L718" s="27"/>
      <c r="M718" s="33"/>
      <c r="N718" s="32"/>
      <c r="O718" s="33"/>
      <c r="P718" s="32"/>
      <c r="Q718" s="33"/>
      <c r="R718" s="33"/>
      <c r="S718" s="33"/>
      <c r="T718" s="31"/>
    </row>
    <row r="719" spans="1:20" x14ac:dyDescent="0.25">
      <c r="A719" s="3"/>
      <c r="B719" s="58"/>
      <c r="C719" s="59"/>
      <c r="D719" s="3"/>
      <c r="E719" s="3"/>
      <c r="F719" s="3"/>
      <c r="G719" s="3"/>
      <c r="H719" s="3"/>
      <c r="I719" s="3"/>
      <c r="J719" s="32"/>
      <c r="K719" s="32"/>
      <c r="L719" s="27"/>
      <c r="M719" s="33"/>
      <c r="N719" s="32"/>
      <c r="O719" s="33"/>
      <c r="P719" s="32"/>
      <c r="Q719" s="33"/>
      <c r="R719" s="33"/>
      <c r="S719" s="33"/>
      <c r="T719" s="31"/>
    </row>
    <row r="720" spans="1:20" x14ac:dyDescent="0.25">
      <c r="A720" s="3"/>
      <c r="B720" s="58"/>
      <c r="C720" s="59"/>
      <c r="D720" s="3"/>
      <c r="E720" s="3"/>
      <c r="F720" s="3"/>
      <c r="G720" s="3"/>
      <c r="H720" s="3"/>
      <c r="I720" s="3"/>
      <c r="J720" s="32"/>
      <c r="K720" s="32"/>
      <c r="L720" s="27"/>
      <c r="M720" s="33"/>
      <c r="N720" s="32"/>
      <c r="O720" s="33"/>
      <c r="P720" s="32"/>
      <c r="Q720" s="33"/>
      <c r="R720" s="33"/>
      <c r="S720" s="33"/>
      <c r="T720" s="31"/>
    </row>
    <row r="721" spans="1:20" x14ac:dyDescent="0.25">
      <c r="A721" s="3"/>
      <c r="B721" s="58"/>
      <c r="C721" s="59"/>
      <c r="D721" s="3"/>
      <c r="E721" s="3"/>
      <c r="F721" s="3"/>
      <c r="G721" s="3"/>
      <c r="H721" s="3"/>
      <c r="I721" s="3"/>
      <c r="J721" s="32"/>
      <c r="K721" s="32"/>
      <c r="L721" s="27"/>
      <c r="M721" s="33"/>
      <c r="N721" s="32"/>
      <c r="O721" s="33"/>
      <c r="P721" s="32"/>
      <c r="Q721" s="33"/>
      <c r="R721" s="33"/>
      <c r="S721" s="33"/>
      <c r="T721" s="31"/>
    </row>
    <row r="722" spans="1:20" x14ac:dyDescent="0.25">
      <c r="A722" s="3"/>
      <c r="B722" s="58"/>
      <c r="C722" s="59"/>
      <c r="D722" s="3"/>
      <c r="E722" s="3"/>
      <c r="F722" s="3"/>
      <c r="G722" s="3"/>
      <c r="H722" s="3"/>
      <c r="I722" s="3"/>
      <c r="J722" s="32"/>
      <c r="K722" s="32"/>
      <c r="L722" s="27"/>
      <c r="M722" s="33"/>
      <c r="N722" s="32"/>
      <c r="O722" s="33"/>
      <c r="P722" s="32"/>
      <c r="Q722" s="33"/>
      <c r="R722" s="33"/>
      <c r="S722" s="33"/>
      <c r="T722" s="31"/>
    </row>
    <row r="723" spans="1:20" x14ac:dyDescent="0.25">
      <c r="A723" s="3"/>
      <c r="B723" s="58"/>
      <c r="C723" s="59"/>
      <c r="D723" s="3"/>
      <c r="E723" s="3"/>
      <c r="F723" s="3"/>
      <c r="G723" s="3"/>
      <c r="H723" s="3"/>
      <c r="I723" s="3"/>
      <c r="J723" s="32"/>
      <c r="K723" s="32"/>
      <c r="L723" s="27"/>
      <c r="M723" s="33"/>
      <c r="N723" s="32"/>
      <c r="O723" s="33"/>
      <c r="P723" s="32"/>
      <c r="Q723" s="33"/>
      <c r="R723" s="33"/>
      <c r="S723" s="33"/>
      <c r="T723" s="31"/>
    </row>
    <row r="724" spans="1:20" x14ac:dyDescent="0.25">
      <c r="A724" s="3"/>
      <c r="B724" s="58"/>
      <c r="C724" s="59"/>
      <c r="D724" s="3"/>
      <c r="E724" s="3"/>
      <c r="F724" s="3"/>
      <c r="G724" s="3"/>
      <c r="H724" s="3"/>
      <c r="I724" s="3"/>
      <c r="J724" s="32"/>
      <c r="K724" s="32"/>
      <c r="L724" s="27"/>
      <c r="M724" s="33"/>
      <c r="N724" s="32"/>
      <c r="O724" s="33"/>
      <c r="P724" s="32"/>
      <c r="Q724" s="33"/>
      <c r="R724" s="33"/>
      <c r="S724" s="33"/>
      <c r="T724" s="31"/>
    </row>
    <row r="725" spans="1:20" x14ac:dyDescent="0.25">
      <c r="A725" s="3"/>
      <c r="B725" s="58"/>
      <c r="C725" s="59"/>
      <c r="D725" s="3"/>
      <c r="E725" s="3"/>
      <c r="F725" s="3"/>
      <c r="G725" s="3"/>
      <c r="H725" s="3"/>
      <c r="I725" s="3"/>
      <c r="J725" s="32"/>
      <c r="K725" s="32"/>
      <c r="L725" s="27"/>
      <c r="M725" s="33"/>
      <c r="N725" s="32"/>
      <c r="O725" s="33"/>
      <c r="P725" s="32"/>
      <c r="Q725" s="33"/>
      <c r="R725" s="33"/>
      <c r="S725" s="33"/>
      <c r="T725" s="31"/>
    </row>
    <row r="726" spans="1:20" x14ac:dyDescent="0.25">
      <c r="A726" s="3"/>
      <c r="B726" s="58"/>
      <c r="C726" s="59"/>
      <c r="D726" s="3"/>
      <c r="E726" s="3"/>
      <c r="F726" s="3"/>
      <c r="G726" s="3"/>
      <c r="H726" s="3"/>
      <c r="I726" s="3"/>
      <c r="J726" s="32"/>
      <c r="K726" s="32"/>
      <c r="L726" s="27"/>
      <c r="M726" s="33"/>
      <c r="N726" s="32"/>
      <c r="O726" s="33"/>
      <c r="P726" s="32"/>
      <c r="Q726" s="33"/>
      <c r="R726" s="33"/>
      <c r="S726" s="33"/>
      <c r="T726" s="31"/>
    </row>
    <row r="727" spans="1:20" x14ac:dyDescent="0.25">
      <c r="A727" s="3"/>
      <c r="B727" s="58"/>
      <c r="C727" s="59"/>
      <c r="D727" s="3"/>
      <c r="E727" s="3"/>
      <c r="F727" s="3"/>
      <c r="G727" s="3"/>
      <c r="H727" s="3"/>
      <c r="I727" s="3"/>
      <c r="J727" s="32"/>
      <c r="K727" s="32"/>
      <c r="L727" s="27"/>
      <c r="M727" s="33"/>
      <c r="N727" s="32"/>
      <c r="O727" s="33"/>
      <c r="P727" s="32"/>
      <c r="Q727" s="33"/>
      <c r="R727" s="33"/>
      <c r="S727" s="33"/>
      <c r="T727" s="31"/>
    </row>
    <row r="728" spans="1:20" x14ac:dyDescent="0.25">
      <c r="A728" s="3"/>
      <c r="B728" s="58"/>
      <c r="C728" s="59"/>
      <c r="D728" s="3"/>
      <c r="E728" s="3"/>
      <c r="F728" s="3"/>
      <c r="G728" s="3"/>
      <c r="H728" s="3"/>
      <c r="I728" s="3"/>
      <c r="J728" s="32"/>
      <c r="K728" s="32"/>
      <c r="L728" s="27"/>
      <c r="M728" s="33"/>
      <c r="N728" s="32"/>
      <c r="O728" s="33"/>
      <c r="P728" s="32"/>
      <c r="Q728" s="33"/>
      <c r="R728" s="33"/>
      <c r="S728" s="33"/>
      <c r="T728" s="31"/>
    </row>
    <row r="729" spans="1:20" x14ac:dyDescent="0.25">
      <c r="A729" s="3"/>
      <c r="B729" s="58"/>
      <c r="C729" s="59"/>
      <c r="D729" s="3"/>
      <c r="E729" s="3"/>
      <c r="F729" s="3"/>
      <c r="G729" s="3"/>
      <c r="H729" s="3"/>
      <c r="I729" s="3"/>
      <c r="J729" s="32"/>
      <c r="K729" s="32"/>
      <c r="L729" s="27"/>
      <c r="M729" s="33"/>
      <c r="N729" s="32"/>
      <c r="O729" s="33"/>
      <c r="P729" s="32"/>
      <c r="Q729" s="33"/>
      <c r="R729" s="33"/>
      <c r="S729" s="33"/>
      <c r="T729" s="31"/>
    </row>
    <row r="730" spans="1:20" x14ac:dyDescent="0.25">
      <c r="A730" s="3"/>
      <c r="B730" s="58"/>
      <c r="C730" s="59"/>
      <c r="D730" s="3"/>
      <c r="E730" s="3"/>
      <c r="F730" s="3"/>
      <c r="G730" s="3"/>
      <c r="H730" s="3"/>
      <c r="I730" s="3"/>
      <c r="J730" s="32"/>
      <c r="K730" s="32"/>
      <c r="L730" s="27"/>
      <c r="M730" s="33"/>
      <c r="N730" s="32"/>
      <c r="O730" s="33"/>
      <c r="P730" s="32"/>
      <c r="Q730" s="33"/>
      <c r="R730" s="33"/>
      <c r="S730" s="33"/>
      <c r="T730" s="31"/>
    </row>
    <row r="731" spans="1:20" x14ac:dyDescent="0.25">
      <c r="A731" s="3"/>
      <c r="B731" s="58"/>
      <c r="C731" s="59"/>
      <c r="D731" s="3"/>
      <c r="E731" s="3"/>
      <c r="F731" s="3"/>
      <c r="G731" s="3"/>
      <c r="H731" s="3"/>
      <c r="I731" s="3"/>
      <c r="J731" s="32"/>
      <c r="K731" s="32"/>
      <c r="L731" s="27"/>
      <c r="M731" s="33"/>
      <c r="N731" s="32"/>
      <c r="O731" s="33"/>
      <c r="P731" s="32"/>
      <c r="Q731" s="33"/>
      <c r="R731" s="33"/>
      <c r="S731" s="33"/>
      <c r="T731" s="31"/>
    </row>
    <row r="732" spans="1:20" x14ac:dyDescent="0.25">
      <c r="A732" s="3"/>
      <c r="B732" s="58"/>
      <c r="C732" s="59"/>
      <c r="D732" s="3"/>
      <c r="E732" s="3"/>
      <c r="F732" s="3"/>
      <c r="G732" s="3"/>
      <c r="H732" s="3"/>
      <c r="I732" s="3"/>
      <c r="J732" s="32"/>
      <c r="K732" s="32"/>
      <c r="L732" s="27"/>
      <c r="M732" s="33"/>
      <c r="N732" s="32"/>
      <c r="O732" s="33"/>
      <c r="P732" s="32"/>
      <c r="Q732" s="33"/>
      <c r="R732" s="33"/>
      <c r="S732" s="33"/>
      <c r="T732" s="31"/>
    </row>
    <row r="733" spans="1:20" x14ac:dyDescent="0.25">
      <c r="A733" s="3"/>
      <c r="B733" s="58"/>
      <c r="C733" s="59"/>
      <c r="D733" s="3"/>
      <c r="E733" s="3"/>
      <c r="F733" s="3"/>
      <c r="G733" s="3"/>
      <c r="H733" s="3"/>
      <c r="I733" s="3"/>
      <c r="J733" s="32"/>
      <c r="K733" s="32"/>
      <c r="L733" s="27"/>
      <c r="M733" s="33"/>
      <c r="N733" s="32"/>
      <c r="O733" s="33"/>
      <c r="P733" s="32"/>
      <c r="Q733" s="33"/>
      <c r="R733" s="33"/>
      <c r="S733" s="33"/>
      <c r="T733" s="31"/>
    </row>
    <row r="734" spans="1:20" x14ac:dyDescent="0.25">
      <c r="A734" s="3"/>
      <c r="B734" s="58"/>
      <c r="C734" s="59"/>
      <c r="D734" s="3"/>
      <c r="E734" s="3"/>
      <c r="F734" s="3"/>
      <c r="G734" s="3"/>
      <c r="H734" s="3"/>
      <c r="I734" s="3"/>
      <c r="J734" s="32"/>
      <c r="K734" s="32"/>
      <c r="L734" s="27"/>
      <c r="M734" s="33"/>
      <c r="N734" s="32"/>
      <c r="O734" s="33"/>
      <c r="P734" s="32"/>
      <c r="Q734" s="33"/>
      <c r="R734" s="33"/>
      <c r="S734" s="33"/>
      <c r="T734" s="31"/>
    </row>
    <row r="735" spans="1:20" x14ac:dyDescent="0.25">
      <c r="A735" s="3"/>
      <c r="B735" s="58"/>
      <c r="C735" s="59"/>
      <c r="D735" s="3"/>
      <c r="E735" s="3"/>
      <c r="F735" s="3"/>
      <c r="G735" s="3"/>
      <c r="H735" s="3"/>
      <c r="I735" s="3"/>
      <c r="J735" s="32"/>
      <c r="K735" s="32"/>
      <c r="L735" s="27"/>
      <c r="M735" s="33"/>
      <c r="N735" s="32"/>
      <c r="O735" s="33"/>
      <c r="P735" s="32"/>
      <c r="Q735" s="33"/>
      <c r="R735" s="33"/>
      <c r="S735" s="33"/>
      <c r="T735" s="31"/>
    </row>
    <row r="736" spans="1:20" x14ac:dyDescent="0.25">
      <c r="A736" s="3"/>
      <c r="B736" s="58"/>
      <c r="C736" s="59"/>
      <c r="D736" s="3"/>
      <c r="E736" s="3"/>
      <c r="F736" s="3"/>
      <c r="G736" s="3"/>
      <c r="H736" s="3"/>
      <c r="I736" s="3"/>
      <c r="J736" s="32"/>
      <c r="K736" s="32"/>
      <c r="L736" s="27"/>
      <c r="M736" s="33"/>
      <c r="N736" s="32"/>
      <c r="O736" s="33"/>
      <c r="P736" s="32"/>
      <c r="Q736" s="33"/>
      <c r="R736" s="33"/>
      <c r="S736" s="33"/>
      <c r="T736" s="31"/>
    </row>
    <row r="737" spans="1:20" x14ac:dyDescent="0.25">
      <c r="A737" s="3"/>
      <c r="B737" s="58"/>
      <c r="C737" s="59"/>
      <c r="D737" s="3"/>
      <c r="E737" s="3"/>
      <c r="F737" s="3"/>
      <c r="G737" s="3"/>
      <c r="H737" s="3"/>
      <c r="I737" s="3"/>
      <c r="J737" s="32"/>
      <c r="K737" s="32"/>
      <c r="L737" s="27"/>
      <c r="M737" s="33"/>
      <c r="N737" s="32"/>
      <c r="O737" s="33"/>
      <c r="P737" s="32"/>
      <c r="Q737" s="33"/>
      <c r="R737" s="33"/>
      <c r="S737" s="33"/>
      <c r="T737" s="31"/>
    </row>
    <row r="738" spans="1:20" x14ac:dyDescent="0.25">
      <c r="A738" s="3"/>
      <c r="B738" s="58"/>
      <c r="C738" s="59"/>
      <c r="D738" s="3"/>
      <c r="E738" s="3"/>
      <c r="F738" s="3"/>
      <c r="G738" s="3"/>
      <c r="H738" s="3"/>
      <c r="I738" s="3"/>
      <c r="J738" s="32"/>
      <c r="K738" s="32"/>
      <c r="L738" s="27"/>
      <c r="M738" s="33"/>
      <c r="N738" s="32"/>
      <c r="O738" s="33"/>
      <c r="P738" s="32"/>
      <c r="Q738" s="33"/>
      <c r="R738" s="33"/>
      <c r="S738" s="33"/>
      <c r="T738" s="31"/>
    </row>
    <row r="739" spans="1:20" x14ac:dyDescent="0.25">
      <c r="A739" s="3"/>
      <c r="B739" s="58"/>
      <c r="C739" s="59"/>
      <c r="D739" s="3"/>
      <c r="E739" s="3"/>
      <c r="F739" s="3"/>
      <c r="G739" s="3"/>
      <c r="H739" s="3"/>
      <c r="I739" s="3"/>
      <c r="J739" s="32"/>
      <c r="K739" s="32"/>
      <c r="L739" s="27"/>
      <c r="M739" s="33"/>
      <c r="N739" s="32"/>
      <c r="O739" s="33"/>
      <c r="P739" s="32"/>
      <c r="Q739" s="33"/>
      <c r="R739" s="33"/>
      <c r="S739" s="33"/>
      <c r="T739" s="31"/>
    </row>
    <row r="740" spans="1:20" x14ac:dyDescent="0.25">
      <c r="A740" s="3"/>
      <c r="B740" s="58"/>
      <c r="C740" s="59"/>
      <c r="D740" s="3"/>
      <c r="E740" s="3"/>
      <c r="F740" s="3"/>
      <c r="G740" s="3"/>
      <c r="H740" s="3"/>
      <c r="I740" s="3"/>
      <c r="J740" s="32"/>
      <c r="K740" s="32"/>
      <c r="L740" s="27"/>
      <c r="M740" s="33"/>
      <c r="N740" s="32"/>
      <c r="O740" s="33"/>
      <c r="P740" s="32"/>
      <c r="Q740" s="33"/>
      <c r="R740" s="33"/>
      <c r="S740" s="33"/>
      <c r="T740" s="31"/>
    </row>
    <row r="741" spans="1:20" x14ac:dyDescent="0.25">
      <c r="A741" s="3"/>
      <c r="B741" s="58"/>
      <c r="C741" s="59"/>
      <c r="D741" s="3"/>
      <c r="E741" s="3"/>
      <c r="F741" s="3"/>
      <c r="G741" s="3"/>
      <c r="H741" s="3"/>
      <c r="I741" s="3"/>
      <c r="J741" s="32"/>
      <c r="K741" s="32"/>
      <c r="L741" s="27"/>
      <c r="M741" s="33"/>
      <c r="N741" s="32"/>
      <c r="O741" s="33"/>
      <c r="P741" s="32"/>
      <c r="Q741" s="33"/>
      <c r="R741" s="33"/>
      <c r="S741" s="33"/>
      <c r="T741" s="31"/>
    </row>
    <row r="742" spans="1:20" x14ac:dyDescent="0.25">
      <c r="A742" s="3"/>
      <c r="B742" s="58"/>
      <c r="C742" s="59"/>
      <c r="D742" s="3"/>
      <c r="E742" s="3"/>
      <c r="F742" s="3"/>
      <c r="G742" s="3"/>
      <c r="H742" s="3"/>
      <c r="I742" s="3"/>
      <c r="J742" s="32"/>
      <c r="K742" s="32"/>
      <c r="L742" s="27"/>
      <c r="M742" s="33"/>
      <c r="N742" s="32"/>
      <c r="O742" s="33"/>
      <c r="P742" s="32"/>
      <c r="Q742" s="33"/>
      <c r="R742" s="33"/>
      <c r="S742" s="33"/>
      <c r="T742" s="31"/>
    </row>
    <row r="743" spans="1:20" x14ac:dyDescent="0.25">
      <c r="A743" s="3"/>
      <c r="B743" s="58"/>
      <c r="C743" s="59"/>
      <c r="D743" s="3"/>
      <c r="E743" s="3"/>
      <c r="F743" s="3"/>
      <c r="G743" s="3"/>
      <c r="H743" s="3"/>
      <c r="I743" s="3"/>
      <c r="J743" s="32"/>
      <c r="K743" s="32"/>
      <c r="L743" s="27"/>
      <c r="M743" s="33"/>
      <c r="N743" s="32"/>
      <c r="O743" s="33"/>
      <c r="P743" s="32"/>
      <c r="Q743" s="33"/>
      <c r="R743" s="33"/>
      <c r="S743" s="33"/>
      <c r="T743" s="31"/>
    </row>
    <row r="744" spans="1:20" x14ac:dyDescent="0.25">
      <c r="A744" s="3"/>
      <c r="B744" s="58"/>
      <c r="C744" s="59"/>
      <c r="D744" s="3"/>
      <c r="E744" s="3"/>
      <c r="F744" s="3"/>
      <c r="G744" s="3"/>
      <c r="H744" s="3"/>
      <c r="I744" s="3"/>
      <c r="J744" s="32"/>
      <c r="K744" s="32"/>
      <c r="L744" s="27"/>
      <c r="M744" s="33"/>
      <c r="N744" s="32"/>
      <c r="O744" s="33"/>
      <c r="P744" s="32"/>
      <c r="Q744" s="33"/>
      <c r="R744" s="33"/>
      <c r="S744" s="33"/>
      <c r="T744" s="31"/>
    </row>
    <row r="745" spans="1:20" x14ac:dyDescent="0.25">
      <c r="A745" s="3"/>
      <c r="B745" s="58"/>
      <c r="C745" s="59"/>
      <c r="D745" s="3"/>
      <c r="E745" s="3"/>
      <c r="F745" s="3"/>
      <c r="G745" s="3"/>
      <c r="H745" s="3"/>
      <c r="I745" s="3"/>
      <c r="J745" s="32"/>
      <c r="K745" s="32"/>
      <c r="L745" s="27"/>
      <c r="M745" s="33"/>
      <c r="N745" s="32"/>
      <c r="O745" s="33"/>
      <c r="P745" s="32"/>
      <c r="Q745" s="33"/>
      <c r="R745" s="33"/>
      <c r="S745" s="33"/>
      <c r="T745" s="31"/>
    </row>
    <row r="746" spans="1:20" x14ac:dyDescent="0.25">
      <c r="A746" s="3"/>
      <c r="B746" s="58"/>
      <c r="C746" s="59"/>
      <c r="D746" s="3"/>
      <c r="E746" s="3"/>
      <c r="F746" s="3"/>
      <c r="G746" s="3"/>
      <c r="H746" s="3"/>
      <c r="I746" s="3"/>
      <c r="J746" s="32"/>
      <c r="K746" s="32"/>
      <c r="L746" s="27"/>
      <c r="M746" s="33"/>
      <c r="N746" s="32"/>
      <c r="O746" s="33"/>
      <c r="P746" s="32"/>
      <c r="Q746" s="33"/>
      <c r="R746" s="33"/>
      <c r="S746" s="33"/>
      <c r="T746" s="31"/>
    </row>
    <row r="747" spans="1:20" x14ac:dyDescent="0.25">
      <c r="A747" s="3"/>
      <c r="B747" s="58"/>
      <c r="C747" s="59"/>
      <c r="D747" s="3"/>
      <c r="E747" s="3"/>
      <c r="F747" s="3"/>
      <c r="G747" s="3"/>
      <c r="H747" s="3"/>
      <c r="I747" s="3"/>
      <c r="J747" s="32"/>
      <c r="K747" s="32"/>
      <c r="L747" s="27"/>
      <c r="M747" s="33"/>
      <c r="N747" s="32"/>
      <c r="O747" s="33"/>
      <c r="P747" s="32"/>
      <c r="Q747" s="33"/>
      <c r="R747" s="33"/>
      <c r="S747" s="33"/>
      <c r="T747" s="31"/>
    </row>
    <row r="748" spans="1:20" x14ac:dyDescent="0.25">
      <c r="A748" s="3"/>
      <c r="B748" s="58"/>
      <c r="C748" s="59"/>
      <c r="D748" s="3"/>
      <c r="E748" s="3"/>
      <c r="F748" s="3"/>
      <c r="G748" s="3"/>
      <c r="H748" s="3"/>
      <c r="I748" s="3"/>
      <c r="J748" s="32"/>
      <c r="K748" s="32"/>
      <c r="L748" s="27"/>
      <c r="M748" s="33"/>
      <c r="N748" s="32"/>
      <c r="O748" s="33"/>
      <c r="P748" s="32"/>
      <c r="Q748" s="33"/>
      <c r="R748" s="33"/>
      <c r="S748" s="33"/>
      <c r="T748" s="31"/>
    </row>
    <row r="749" spans="1:20" x14ac:dyDescent="0.25">
      <c r="A749" s="3"/>
      <c r="B749" s="58"/>
      <c r="C749" s="59"/>
      <c r="D749" s="3"/>
      <c r="E749" s="3"/>
      <c r="F749" s="3"/>
      <c r="G749" s="3"/>
      <c r="H749" s="3"/>
      <c r="I749" s="3"/>
      <c r="J749" s="32"/>
      <c r="K749" s="32"/>
      <c r="L749" s="27"/>
      <c r="M749" s="33"/>
      <c r="N749" s="32"/>
      <c r="O749" s="33"/>
      <c r="P749" s="32"/>
      <c r="Q749" s="33"/>
      <c r="R749" s="33"/>
      <c r="S749" s="33"/>
      <c r="T749" s="31"/>
    </row>
    <row r="750" spans="1:20" x14ac:dyDescent="0.25">
      <c r="A750" s="3"/>
      <c r="B750" s="58"/>
      <c r="C750" s="59"/>
      <c r="D750" s="3"/>
      <c r="E750" s="3"/>
      <c r="F750" s="3"/>
      <c r="G750" s="3"/>
      <c r="H750" s="3"/>
      <c r="I750" s="3"/>
      <c r="J750" s="32"/>
      <c r="K750" s="32"/>
      <c r="L750" s="27"/>
      <c r="M750" s="33"/>
      <c r="N750" s="32"/>
      <c r="O750" s="33"/>
      <c r="P750" s="32"/>
      <c r="Q750" s="33"/>
      <c r="R750" s="33"/>
      <c r="S750" s="33"/>
      <c r="T750" s="31"/>
    </row>
    <row r="751" spans="1:20" x14ac:dyDescent="0.25">
      <c r="A751" s="3"/>
      <c r="B751" s="58"/>
      <c r="C751" s="59"/>
      <c r="D751" s="3"/>
      <c r="E751" s="3"/>
      <c r="F751" s="3"/>
      <c r="G751" s="3"/>
      <c r="H751" s="3"/>
      <c r="I751" s="3"/>
      <c r="J751" s="32"/>
      <c r="K751" s="32"/>
      <c r="L751" s="27"/>
      <c r="M751" s="33"/>
      <c r="N751" s="32"/>
      <c r="O751" s="33"/>
      <c r="P751" s="32"/>
      <c r="Q751" s="33"/>
      <c r="R751" s="33"/>
      <c r="S751" s="33"/>
      <c r="T751" s="31"/>
    </row>
    <row r="752" spans="1:20" x14ac:dyDescent="0.25">
      <c r="A752" s="3"/>
      <c r="B752" s="58"/>
      <c r="C752" s="59"/>
      <c r="D752" s="3"/>
      <c r="E752" s="3"/>
      <c r="F752" s="3"/>
      <c r="G752" s="3"/>
      <c r="H752" s="3"/>
      <c r="I752" s="3"/>
      <c r="J752" s="32"/>
      <c r="K752" s="32"/>
      <c r="L752" s="27"/>
      <c r="M752" s="33"/>
      <c r="N752" s="32"/>
      <c r="O752" s="33"/>
      <c r="P752" s="32"/>
      <c r="Q752" s="33"/>
      <c r="R752" s="33"/>
      <c r="S752" s="33"/>
      <c r="T752" s="31"/>
    </row>
    <row r="753" spans="1:20" x14ac:dyDescent="0.25">
      <c r="A753" s="3"/>
      <c r="B753" s="58"/>
      <c r="C753" s="59"/>
      <c r="D753" s="3"/>
      <c r="E753" s="3"/>
      <c r="F753" s="3"/>
      <c r="G753" s="3"/>
      <c r="H753" s="3"/>
      <c r="I753" s="3"/>
      <c r="J753" s="32"/>
      <c r="K753" s="32"/>
      <c r="L753" s="27"/>
      <c r="M753" s="33"/>
      <c r="N753" s="32"/>
      <c r="O753" s="33"/>
      <c r="P753" s="32"/>
      <c r="Q753" s="33"/>
      <c r="R753" s="33"/>
      <c r="S753" s="33"/>
      <c r="T753" s="31"/>
    </row>
    <row r="754" spans="1:20" x14ac:dyDescent="0.25">
      <c r="A754" s="3"/>
      <c r="B754" s="58"/>
      <c r="C754" s="59"/>
      <c r="D754" s="3"/>
      <c r="E754" s="3"/>
      <c r="F754" s="3"/>
      <c r="G754" s="3"/>
      <c r="H754" s="3"/>
      <c r="I754" s="3"/>
      <c r="J754" s="32"/>
      <c r="K754" s="32"/>
      <c r="L754" s="27"/>
      <c r="M754" s="33"/>
      <c r="N754" s="32"/>
      <c r="O754" s="33"/>
      <c r="P754" s="32"/>
      <c r="Q754" s="33"/>
      <c r="R754" s="33"/>
      <c r="S754" s="33"/>
      <c r="T754" s="31"/>
    </row>
    <row r="755" spans="1:20" x14ac:dyDescent="0.25">
      <c r="A755" s="3"/>
      <c r="B755" s="58"/>
      <c r="C755" s="59"/>
      <c r="D755" s="3"/>
      <c r="E755" s="3"/>
      <c r="F755" s="3"/>
      <c r="G755" s="3"/>
      <c r="H755" s="3"/>
      <c r="I755" s="3"/>
      <c r="J755" s="32"/>
      <c r="K755" s="32"/>
      <c r="L755" s="27"/>
      <c r="M755" s="33"/>
      <c r="N755" s="32"/>
      <c r="O755" s="33"/>
      <c r="P755" s="32"/>
      <c r="Q755" s="33"/>
      <c r="R755" s="33"/>
      <c r="S755" s="33"/>
      <c r="T755" s="31"/>
    </row>
    <row r="756" spans="1:20" x14ac:dyDescent="0.25">
      <c r="A756" s="3"/>
      <c r="B756" s="58"/>
      <c r="C756" s="59"/>
      <c r="D756" s="3"/>
      <c r="E756" s="3"/>
      <c r="F756" s="3"/>
      <c r="G756" s="3"/>
      <c r="H756" s="3"/>
      <c r="I756" s="3"/>
      <c r="J756" s="32"/>
      <c r="K756" s="32"/>
      <c r="L756" s="27"/>
      <c r="M756" s="33"/>
      <c r="N756" s="32"/>
      <c r="O756" s="33"/>
      <c r="P756" s="32"/>
      <c r="Q756" s="33"/>
      <c r="R756" s="33"/>
      <c r="S756" s="33"/>
      <c r="T756" s="31"/>
    </row>
    <row r="757" spans="1:20" x14ac:dyDescent="0.25">
      <c r="A757" s="3"/>
      <c r="B757" s="58"/>
      <c r="C757" s="59"/>
      <c r="D757" s="3"/>
      <c r="E757" s="3"/>
      <c r="F757" s="3"/>
      <c r="G757" s="3"/>
      <c r="H757" s="3"/>
      <c r="I757" s="3"/>
      <c r="J757" s="32"/>
      <c r="K757" s="32"/>
      <c r="L757" s="27"/>
      <c r="M757" s="33"/>
      <c r="N757" s="32"/>
      <c r="O757" s="33"/>
      <c r="P757" s="32"/>
      <c r="Q757" s="33"/>
      <c r="R757" s="33"/>
      <c r="S757" s="33"/>
      <c r="T757" s="31"/>
    </row>
    <row r="758" spans="1:20" x14ac:dyDescent="0.25">
      <c r="A758" s="3"/>
      <c r="B758" s="58"/>
      <c r="C758" s="59"/>
      <c r="D758" s="3"/>
      <c r="E758" s="3"/>
      <c r="F758" s="3"/>
      <c r="G758" s="3"/>
      <c r="H758" s="3"/>
      <c r="I758" s="3"/>
      <c r="J758" s="32"/>
      <c r="K758" s="32"/>
      <c r="L758" s="27"/>
      <c r="M758" s="33"/>
      <c r="N758" s="32"/>
      <c r="O758" s="33"/>
      <c r="P758" s="32"/>
      <c r="Q758" s="33"/>
      <c r="R758" s="33"/>
      <c r="S758" s="33"/>
      <c r="T758" s="31"/>
    </row>
    <row r="759" spans="1:20" x14ac:dyDescent="0.25">
      <c r="A759" s="3"/>
      <c r="B759" s="58"/>
      <c r="C759" s="59"/>
      <c r="D759" s="3"/>
      <c r="E759" s="3"/>
      <c r="F759" s="3"/>
      <c r="G759" s="3"/>
      <c r="H759" s="3"/>
      <c r="I759" s="3"/>
      <c r="J759" s="32"/>
      <c r="K759" s="32"/>
      <c r="L759" s="27"/>
      <c r="M759" s="33"/>
      <c r="N759" s="32"/>
      <c r="O759" s="33"/>
      <c r="P759" s="32"/>
      <c r="Q759" s="33"/>
      <c r="R759" s="33"/>
      <c r="S759" s="33"/>
      <c r="T759" s="31"/>
    </row>
    <row r="760" spans="1:20" x14ac:dyDescent="0.25">
      <c r="A760" s="3"/>
      <c r="B760" s="58"/>
      <c r="C760" s="59"/>
      <c r="D760" s="3"/>
      <c r="E760" s="3"/>
      <c r="F760" s="3"/>
      <c r="G760" s="3"/>
      <c r="H760" s="3"/>
      <c r="I760" s="3"/>
      <c r="J760" s="32"/>
      <c r="K760" s="32"/>
      <c r="L760" s="27"/>
      <c r="M760" s="33"/>
      <c r="N760" s="32"/>
      <c r="O760" s="33"/>
      <c r="P760" s="32"/>
      <c r="Q760" s="33"/>
      <c r="R760" s="33"/>
      <c r="S760" s="33"/>
      <c r="T760" s="31"/>
    </row>
    <row r="761" spans="1:20" x14ac:dyDescent="0.25">
      <c r="A761" s="3"/>
      <c r="B761" s="58"/>
      <c r="C761" s="59"/>
      <c r="D761" s="3"/>
      <c r="E761" s="3"/>
      <c r="F761" s="3"/>
      <c r="G761" s="3"/>
      <c r="H761" s="3"/>
      <c r="I761" s="3"/>
      <c r="J761" s="32"/>
      <c r="K761" s="32"/>
      <c r="L761" s="27"/>
      <c r="M761" s="33"/>
      <c r="N761" s="32"/>
      <c r="O761" s="33"/>
      <c r="P761" s="32"/>
      <c r="Q761" s="33"/>
      <c r="R761" s="33"/>
      <c r="S761" s="33"/>
      <c r="T761" s="31"/>
    </row>
    <row r="762" spans="1:20" x14ac:dyDescent="0.25">
      <c r="A762" s="3"/>
      <c r="B762" s="58"/>
      <c r="C762" s="59"/>
      <c r="D762" s="3"/>
      <c r="E762" s="3"/>
      <c r="F762" s="3"/>
      <c r="G762" s="3"/>
      <c r="H762" s="3"/>
      <c r="I762" s="3"/>
      <c r="J762" s="32"/>
      <c r="K762" s="32"/>
      <c r="L762" s="27"/>
      <c r="M762" s="33"/>
      <c r="N762" s="32"/>
      <c r="O762" s="33"/>
      <c r="P762" s="32"/>
      <c r="Q762" s="33"/>
      <c r="R762" s="33"/>
      <c r="S762" s="33"/>
      <c r="T762" s="31"/>
    </row>
    <row r="763" spans="1:20" x14ac:dyDescent="0.25">
      <c r="A763" s="3"/>
      <c r="B763" s="58"/>
      <c r="C763" s="59"/>
      <c r="D763" s="3"/>
      <c r="E763" s="3"/>
      <c r="F763" s="3"/>
      <c r="G763" s="3"/>
      <c r="H763" s="3"/>
      <c r="I763" s="3"/>
      <c r="J763" s="32"/>
      <c r="K763" s="32"/>
      <c r="L763" s="27"/>
      <c r="M763" s="33"/>
      <c r="N763" s="32"/>
      <c r="O763" s="33"/>
      <c r="P763" s="32"/>
      <c r="Q763" s="33"/>
      <c r="R763" s="33"/>
      <c r="S763" s="33"/>
      <c r="T763" s="31"/>
    </row>
  </sheetData>
  <sheetProtection algorithmName="SHA-512" hashValue="rfYOB/d7JDnh4e4yock+95z2cRVDJnNqEZwOV6Kjxb8PiSsnOVgPl0HOcsuGJwsUVXU7GDWHhxpFYnsVcVLA7Q==" saltValue="l7anlPKxmtseBvKzrpNEHA==" spinCount="100000" sheet="1" objects="1" scenarios="1"/>
  <phoneticPr fontId="6" type="noConversion"/>
  <hyperlinks>
    <hyperlink ref="H2:I2" location="Instructions!A1" display="Return to Menu"/>
  </hyperlinks>
  <pageMargins left="0.75" right="0.75" top="1" bottom="1" header="0.5" footer="0.5"/>
  <pageSetup paperSize="9" orientation="portrait" horizontalDpi="4294967292" verticalDpi="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10"/>
  </sheetPr>
  <dimension ref="A1:I9"/>
  <sheetViews>
    <sheetView zoomScale="85" workbookViewId="0">
      <selection activeCell="M35" sqref="M35"/>
    </sheetView>
  </sheetViews>
  <sheetFormatPr defaultRowHeight="13.2" x14ac:dyDescent="0.25"/>
  <cols>
    <col min="2" max="2" width="12.6640625" customWidth="1"/>
  </cols>
  <sheetData>
    <row r="1" spans="1:9" ht="15.6" x14ac:dyDescent="0.3">
      <c r="A1" s="56" t="s">
        <v>168</v>
      </c>
    </row>
    <row r="2" spans="1:9" ht="16.8" x14ac:dyDescent="0.3">
      <c r="A2" s="80" t="s">
        <v>94</v>
      </c>
      <c r="B2" s="81" t="str">
        <f>Weather_Site!D2</f>
        <v>Nicholson Street Melbourne</v>
      </c>
      <c r="C2" s="81"/>
      <c r="D2" s="81"/>
      <c r="E2" s="81"/>
      <c r="H2" s="170" t="s">
        <v>202</v>
      </c>
      <c r="I2" s="169"/>
    </row>
    <row r="5" spans="1:9" x14ac:dyDescent="0.25">
      <c r="A5" t="s">
        <v>167</v>
      </c>
    </row>
    <row r="8" spans="1:9" ht="66" x14ac:dyDescent="0.25">
      <c r="A8" s="26" t="s">
        <v>28</v>
      </c>
      <c r="B8" s="26" t="s">
        <v>32</v>
      </c>
      <c r="C8" s="26" t="s">
        <v>27</v>
      </c>
      <c r="D8" s="26" t="s">
        <v>18</v>
      </c>
      <c r="E8" s="26" t="s">
        <v>19</v>
      </c>
      <c r="F8" s="26" t="s">
        <v>24</v>
      </c>
      <c r="G8" s="26" t="s">
        <v>20</v>
      </c>
      <c r="H8" s="57" t="s">
        <v>113</v>
      </c>
    </row>
    <row r="9" spans="1:9" x14ac:dyDescent="0.25">
      <c r="A9" s="23" t="str">
        <f>Weather_Site!A13</f>
        <v>Sun</v>
      </c>
      <c r="B9" s="24">
        <f>Weather_Site!B13</f>
        <v>44549</v>
      </c>
      <c r="C9" s="25">
        <f>Weather_Site!C13</f>
        <v>0.20833333333333334</v>
      </c>
      <c r="D9" s="27">
        <f>Weather_Site!D13</f>
        <v>23.6</v>
      </c>
      <c r="E9" s="27">
        <f>Weather_Site!E13</f>
        <v>24.4</v>
      </c>
      <c r="F9" s="28">
        <f>Weather_Site!F13</f>
        <v>312</v>
      </c>
      <c r="G9" s="27">
        <f>Weather_Site!G13</f>
        <v>13</v>
      </c>
      <c r="H9" s="27">
        <f>IF(Weather_Site!M13&lt;180,Weather_Site!M13+180,Weather_Site!M13-180)</f>
        <v>132</v>
      </c>
    </row>
  </sheetData>
  <phoneticPr fontId="6" type="noConversion"/>
  <hyperlinks>
    <hyperlink ref="H2:I2" location="Instructions!A1" display="Return to Menu"/>
  </hyperlink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33"/>
  </sheetPr>
  <dimension ref="A1:AJ764"/>
  <sheetViews>
    <sheetView zoomScale="85" workbookViewId="0">
      <selection activeCell="A3" sqref="A3"/>
    </sheetView>
  </sheetViews>
  <sheetFormatPr defaultRowHeight="13.2" x14ac:dyDescent="0.25"/>
  <cols>
    <col min="2" max="2" width="11.109375" customWidth="1"/>
    <col min="15" max="15" width="8.6640625" customWidth="1"/>
    <col min="22" max="22" width="8.88671875" customWidth="1"/>
    <col min="23" max="23" width="9.5546875" bestFit="1" customWidth="1"/>
    <col min="31" max="31" width="9.44140625" customWidth="1"/>
  </cols>
  <sheetData>
    <row r="1" spans="1:36" x14ac:dyDescent="0.25">
      <c r="A1" s="212" t="s">
        <v>272</v>
      </c>
    </row>
    <row r="2" spans="1:36" x14ac:dyDescent="0.25">
      <c r="A2" s="219" t="s">
        <v>271</v>
      </c>
      <c r="B2" s="220" t="s">
        <v>93</v>
      </c>
      <c r="C2" s="221"/>
      <c r="D2" s="221"/>
      <c r="K2" s="38"/>
    </row>
    <row r="3" spans="1:36" ht="27" customHeight="1" x14ac:dyDescent="0.3">
      <c r="I3" s="271" t="s">
        <v>202</v>
      </c>
      <c r="J3" s="169"/>
    </row>
    <row r="4" spans="1:36" x14ac:dyDescent="0.25">
      <c r="A4" s="199" t="s">
        <v>339</v>
      </c>
      <c r="B4" s="200"/>
      <c r="C4" s="201"/>
      <c r="D4" s="178">
        <v>18</v>
      </c>
      <c r="I4" s="263"/>
    </row>
    <row r="5" spans="1:36" ht="17.399999999999999" x14ac:dyDescent="0.3">
      <c r="A5" s="199" t="s">
        <v>340</v>
      </c>
      <c r="B5" s="200"/>
      <c r="C5" s="201"/>
      <c r="D5" s="178">
        <v>4</v>
      </c>
      <c r="F5" s="254" t="s">
        <v>363</v>
      </c>
    </row>
    <row r="6" spans="1:36" x14ac:dyDescent="0.25">
      <c r="A6" s="199" t="s">
        <v>341</v>
      </c>
      <c r="B6" s="200"/>
      <c r="C6" s="201"/>
      <c r="D6" s="178"/>
      <c r="F6" s="263" t="s">
        <v>388</v>
      </c>
    </row>
    <row r="7" spans="1:36" x14ac:dyDescent="0.25">
      <c r="A7" s="199" t="s">
        <v>342</v>
      </c>
      <c r="B7" s="200"/>
      <c r="C7" s="201"/>
      <c r="D7" s="7">
        <f>SUM(D4:D6)</f>
        <v>22</v>
      </c>
    </row>
    <row r="8" spans="1:36" x14ac:dyDescent="0.25">
      <c r="A8" s="107" t="s">
        <v>344</v>
      </c>
      <c r="B8" s="175"/>
      <c r="C8" s="35">
        <f>Weather_Site!D6</f>
        <v>0</v>
      </c>
      <c r="D8" s="38"/>
      <c r="AA8" s="278"/>
      <c r="AB8" s="278"/>
      <c r="AI8" s="278"/>
      <c r="AJ8" s="278"/>
    </row>
    <row r="9" spans="1:36" x14ac:dyDescent="0.25">
      <c r="A9" s="184" t="s">
        <v>366</v>
      </c>
      <c r="B9" s="185"/>
      <c r="C9" s="178">
        <v>3</v>
      </c>
      <c r="D9" s="38"/>
      <c r="AA9" s="278"/>
      <c r="AB9" s="278"/>
      <c r="AI9" s="278"/>
      <c r="AJ9" s="278"/>
    </row>
    <row r="10" spans="1:36" x14ac:dyDescent="0.25">
      <c r="L10" t="s">
        <v>370</v>
      </c>
      <c r="P10" t="s">
        <v>371</v>
      </c>
      <c r="AA10" s="278"/>
      <c r="AB10" s="278"/>
      <c r="AI10" s="278"/>
      <c r="AJ10" s="278"/>
    </row>
    <row r="11" spans="1:36" x14ac:dyDescent="0.25">
      <c r="L11" s="253" t="s">
        <v>337</v>
      </c>
      <c r="M11" s="253" t="s">
        <v>337</v>
      </c>
      <c r="N11" s="253" t="s">
        <v>337</v>
      </c>
      <c r="O11" s="253" t="s">
        <v>337</v>
      </c>
      <c r="P11" s="252" t="s">
        <v>338</v>
      </c>
      <c r="Q11" s="252" t="s">
        <v>338</v>
      </c>
      <c r="R11" s="252" t="s">
        <v>338</v>
      </c>
      <c r="S11" s="252" t="s">
        <v>338</v>
      </c>
      <c r="T11" s="253" t="s">
        <v>337</v>
      </c>
      <c r="U11" s="253" t="s">
        <v>337</v>
      </c>
      <c r="V11" s="253" t="s">
        <v>337</v>
      </c>
      <c r="W11" s="253" t="s">
        <v>337</v>
      </c>
      <c r="X11" s="253" t="s">
        <v>337</v>
      </c>
      <c r="Y11" s="253" t="s">
        <v>337</v>
      </c>
      <c r="Z11" s="253" t="s">
        <v>337</v>
      </c>
      <c r="AA11" s="253" t="s">
        <v>337</v>
      </c>
      <c r="AB11" s="253" t="s">
        <v>337</v>
      </c>
      <c r="AC11" s="252" t="s">
        <v>338</v>
      </c>
      <c r="AD11" s="252" t="s">
        <v>338</v>
      </c>
      <c r="AE11" s="252" t="s">
        <v>338</v>
      </c>
      <c r="AF11" s="252" t="s">
        <v>338</v>
      </c>
      <c r="AG11" s="262" t="s">
        <v>338</v>
      </c>
      <c r="AH11" s="262" t="s">
        <v>338</v>
      </c>
      <c r="AI11" s="262" t="s">
        <v>338</v>
      </c>
      <c r="AJ11" s="262" t="s">
        <v>338</v>
      </c>
    </row>
    <row r="12" spans="1:36" ht="79.2" x14ac:dyDescent="0.25">
      <c r="A12" s="91" t="s">
        <v>28</v>
      </c>
      <c r="B12" s="91" t="s">
        <v>32</v>
      </c>
      <c r="C12" s="91" t="s">
        <v>27</v>
      </c>
      <c r="D12" s="91" t="s">
        <v>18</v>
      </c>
      <c r="E12" s="91" t="s">
        <v>19</v>
      </c>
      <c r="F12" s="91" t="s">
        <v>24</v>
      </c>
      <c r="G12" s="91" t="s">
        <v>20</v>
      </c>
      <c r="H12" s="91" t="s">
        <v>17</v>
      </c>
      <c r="I12" s="91" t="s">
        <v>16</v>
      </c>
      <c r="J12" s="91" t="s">
        <v>25</v>
      </c>
      <c r="K12" s="11" t="s">
        <v>276</v>
      </c>
      <c r="L12" s="11" t="s">
        <v>385</v>
      </c>
      <c r="M12" s="11" t="s">
        <v>279</v>
      </c>
      <c r="N12" s="11" t="s">
        <v>280</v>
      </c>
      <c r="O12" s="11" t="s">
        <v>386</v>
      </c>
      <c r="P12" s="11" t="s">
        <v>277</v>
      </c>
      <c r="Q12" s="11" t="s">
        <v>278</v>
      </c>
      <c r="R12" s="11" t="s">
        <v>281</v>
      </c>
      <c r="S12" s="11" t="s">
        <v>282</v>
      </c>
      <c r="T12" s="11" t="s">
        <v>283</v>
      </c>
      <c r="U12" s="249" t="s">
        <v>333</v>
      </c>
      <c r="V12" s="11" t="s">
        <v>334</v>
      </c>
      <c r="W12" s="11" t="s">
        <v>387</v>
      </c>
      <c r="X12" s="11" t="s">
        <v>335</v>
      </c>
      <c r="Y12" s="11" t="s">
        <v>336</v>
      </c>
      <c r="Z12" s="11" t="s">
        <v>343</v>
      </c>
      <c r="AA12" s="11" t="s">
        <v>345</v>
      </c>
      <c r="AB12" s="11" t="s">
        <v>346</v>
      </c>
      <c r="AC12" s="249" t="s">
        <v>364</v>
      </c>
      <c r="AD12" s="11" t="s">
        <v>365</v>
      </c>
      <c r="AE12" s="11" t="s">
        <v>347</v>
      </c>
      <c r="AF12" s="249" t="s">
        <v>343</v>
      </c>
      <c r="AG12" s="11" t="s">
        <v>367</v>
      </c>
      <c r="AH12" s="11" t="s">
        <v>368</v>
      </c>
      <c r="AI12" s="11" t="s">
        <v>391</v>
      </c>
      <c r="AJ12" s="11" t="s">
        <v>369</v>
      </c>
    </row>
    <row r="13" spans="1:36" x14ac:dyDescent="0.25">
      <c r="A13" s="222"/>
      <c r="B13" s="223"/>
      <c r="C13" s="224"/>
      <c r="D13" s="222"/>
      <c r="E13" s="222"/>
      <c r="F13" s="222"/>
      <c r="G13" s="222"/>
      <c r="H13" s="222"/>
      <c r="I13" s="222"/>
      <c r="J13" s="222"/>
      <c r="K13" s="186" t="s">
        <v>383</v>
      </c>
      <c r="L13" s="255">
        <v>9</v>
      </c>
      <c r="M13" s="186" t="s">
        <v>374</v>
      </c>
      <c r="N13" s="186" t="s">
        <v>374</v>
      </c>
      <c r="O13" s="260">
        <f>W13+M14+N14</f>
        <v>10.611993735635409</v>
      </c>
      <c r="P13" s="180">
        <v>30</v>
      </c>
      <c r="Q13" s="186" t="s">
        <v>375</v>
      </c>
      <c r="R13" s="186" t="s">
        <v>375</v>
      </c>
      <c r="S13" s="260">
        <f>P13+Q14+R14</f>
        <v>30</v>
      </c>
      <c r="T13" s="186" t="s">
        <v>372</v>
      </c>
      <c r="U13" s="264" t="s">
        <v>373</v>
      </c>
      <c r="V13" s="186" t="s">
        <v>376</v>
      </c>
      <c r="W13" s="251">
        <f>L13</f>
        <v>9</v>
      </c>
      <c r="X13" s="186"/>
      <c r="Y13" s="186"/>
      <c r="Z13" s="186" t="s">
        <v>377</v>
      </c>
      <c r="AA13" s="186"/>
      <c r="AB13" s="186"/>
      <c r="AC13" s="186" t="s">
        <v>380</v>
      </c>
      <c r="AD13" s="186">
        <f>P13</f>
        <v>30</v>
      </c>
      <c r="AE13" s="186"/>
      <c r="AF13" s="264" t="s">
        <v>377</v>
      </c>
      <c r="AG13" s="186" t="s">
        <v>378</v>
      </c>
      <c r="AH13" s="186" t="s">
        <v>379</v>
      </c>
      <c r="AI13" s="186"/>
      <c r="AJ13" s="186"/>
    </row>
    <row r="14" spans="1:36" x14ac:dyDescent="0.25">
      <c r="A14" s="272" t="str">
        <f>Weather_Site!A12</f>
        <v>Sun</v>
      </c>
      <c r="B14" s="273">
        <f>Weather_Site!B12</f>
        <v>44549</v>
      </c>
      <c r="C14" s="274">
        <f>Weather_Site!C12</f>
        <v>0.16666666666666666</v>
      </c>
      <c r="D14" s="272">
        <f>Weather_Site!D12</f>
        <v>23.9</v>
      </c>
      <c r="E14" s="272">
        <f>Weather_Site!E12</f>
        <v>24.2</v>
      </c>
      <c r="F14" s="272">
        <f>Weather_Site!F12</f>
        <v>36</v>
      </c>
      <c r="G14" s="272">
        <f>Weather_Site!G12</f>
        <v>16</v>
      </c>
      <c r="H14" s="272">
        <f>Weather_Site!I12</f>
        <v>10</v>
      </c>
      <c r="I14" s="272">
        <f>Weather_Site!J12</f>
        <v>10</v>
      </c>
      <c r="J14" s="272">
        <f>Weather_Site!K12</f>
        <v>110</v>
      </c>
      <c r="K14" s="33">
        <f>Weather_Site!N12</f>
        <v>0</v>
      </c>
      <c r="L14" s="33">
        <f>W14</f>
        <v>7.9681709295925778</v>
      </c>
      <c r="M14" s="32">
        <f>IF(I14&lt;=1,(121.42-94.27/(1+107.55*EXP(-0.037*W13)))/(1+(101.71/(1+17.13*EXP(-0.017*W13)))*H14^(-0.84-0.62/(1+1087.88*EXP(-0.053*W13)))),0)</f>
        <v>0</v>
      </c>
      <c r="N14" s="32">
        <f>IF(I14&gt;1,(0.29/(1+1.34*EXP(-0.019*W13))*K14+(51.61-367.12*(0.29/(1+1.34*EXP(-0.019*W13))))),0)</f>
        <v>1.6119937356354086</v>
      </c>
      <c r="O14" s="32">
        <f>IF(OR(AND(C14&gt;0.33,C13&gt;=0.33),AND(C14&lt;C13,C14&lt;=0.33),C14&lt;0.33),O13,W13+M14+N14)</f>
        <v>10.611993735635409</v>
      </c>
      <c r="P14" s="33">
        <f>IF(OR(S14&gt;AD13,C14&gt;=0.625),AD13,S13)</f>
        <v>30</v>
      </c>
      <c r="Q14" s="32">
        <f>IF(I14&lt;=1,(121.42-94.27/(1+107.55*EXP(-0.037*W13)))/(1+(101.71/(1+17.13*EXP(-0.017*W13)))*H14^(-0.84-0.62/(1+1087.88*EXP(-0.053*W13)))),0)</f>
        <v>0</v>
      </c>
      <c r="R14" s="240">
        <v>0</v>
      </c>
      <c r="S14" s="32">
        <f>P13+Q14+R14</f>
        <v>30</v>
      </c>
      <c r="T14" s="32">
        <f>(57.29/(1+1.93*EXP(-0.042*D14)))/(1+(42.77/(D14-5.8))*EXP((-0.016*D14/(D14-5.27))*(100-E14)))</f>
        <v>22.391293731961561</v>
      </c>
      <c r="U14" s="250">
        <f>((O13-103.79)/((O13-103.79)^2-12643.93)*12.81-0.65)*T14+((O13-99.7)/((O13-99.7)^2-25199.32)*3570.12-23.26)+10</f>
        <v>-2.6438228060428308</v>
      </c>
      <c r="V14" s="32">
        <f>O13+U14</f>
        <v>7.9681709295925778</v>
      </c>
      <c r="W14" s="33">
        <f>IF(OR(V14&lt;W13,C14&gt;=0.625),V14,W13)</f>
        <v>7.9681709295925778</v>
      </c>
      <c r="X14" s="32" t="str">
        <f>IF(AND(C14&gt;0.33,C14&lt;0.625),(W14-(W14-O14)*(14.29*C14*24-114.29)/100),IF(AND(C14&gt;=0.625,C14&lt;0.71),(W14-(W14-O14)*(14.29*(30-C14*24)-114.29)/100)," "))</f>
        <v xml:space="preserve"> </v>
      </c>
      <c r="Y14" s="42">
        <f>IF(V14&lt;=27,(21.37-3.42*V14+0.085*V14^2)+(48.09*V14*EXP(-0.6*V14)+11.9)*EXP(G14/$C$9*(-0.0096*V14^1.05+0.44)),0)</f>
        <v>99.972715258852446</v>
      </c>
      <c r="Z14" s="31">
        <f>IF($D$7&lt;8,(1.02/(1+7266.83*EXP(-1.36*$D$7))+0.1),IF(V14&lt;=9,((6.03+5.81*$D$7)/53.44),IF(AND(V14&gt;9,V14&lt;=18),((11.19+2.92*$D$7)/35.02),((0.055+0.0023*$D$7)/0.074))))</f>
        <v>2.5046781437125749</v>
      </c>
      <c r="AA14" s="42">
        <f>Z14*Y14</f>
        <v>250.39947487644835</v>
      </c>
      <c r="AB14" s="42">
        <f>AA14*EXP(0.069*$C$8)</f>
        <v>250.39947487644835</v>
      </c>
      <c r="AC14" s="250">
        <f>((S13-112.15)/((S13-112.15)^2-21835.42)*40.96-0.46)*T14+((S13-140.78)/((S13-140.78)^2-24819.47)*298.78)</f>
        <v>-2.6680483916514808</v>
      </c>
      <c r="AD14" s="32">
        <f>AC14+S13</f>
        <v>27.331951608348518</v>
      </c>
      <c r="AE14" s="282">
        <f>IF(V14&lt;=27,(4.88-263.78*V14^-1.8)+(163.4*V14^-1.18)*EXP(G14/$C$9*(-0.0059*V14+0.54)),0)</f>
        <v>194.25847111267012</v>
      </c>
      <c r="AF14" s="261">
        <f>IF(AH14&lt;17,(0.95/(1+957.74*EXP(-0.52*AH14))+0.16),IF(V14&lt;=10,((5.08+6.26*AH14)/111.5),IF(AND(V14&gt;10,V14&lt;=19),((17.35+1.7*AH14)/46.25),((10.88+0.46*AH14)/18.7))))</f>
        <v>1.1732209459576666</v>
      </c>
      <c r="AG14" s="31">
        <f>MAX((1-(1/(1+(0.43*EXP(0.23*V14)+2)*EXP((-0.0085*V14+0.024)*AD14))+(0.013*V14-0.43))),0)</f>
        <v>0.91296932525617058</v>
      </c>
      <c r="AH14" s="32">
        <f>AG14*$D$7</f>
        <v>20.085325155635754</v>
      </c>
      <c r="AI14" s="42">
        <f>AE14*AF14</f>
        <v>227.90810723909689</v>
      </c>
      <c r="AJ14" s="42">
        <f>AI14*EXP(0.069*$C$8)</f>
        <v>227.90810723909689</v>
      </c>
    </row>
    <row r="15" spans="1:36" x14ac:dyDescent="0.25">
      <c r="A15" s="272" t="str">
        <f>Weather_Site!A13</f>
        <v>Sun</v>
      </c>
      <c r="B15" s="273">
        <f>Weather_Site!B13</f>
        <v>44549</v>
      </c>
      <c r="C15" s="274">
        <f>Weather_Site!C13</f>
        <v>0.20833333333333334</v>
      </c>
      <c r="D15" s="272">
        <f>Weather_Site!D13</f>
        <v>23.6</v>
      </c>
      <c r="E15" s="272">
        <f>Weather_Site!E13</f>
        <v>24.4</v>
      </c>
      <c r="F15" s="272">
        <f>Weather_Site!F13</f>
        <v>312</v>
      </c>
      <c r="G15" s="272">
        <f>Weather_Site!G13</f>
        <v>13</v>
      </c>
      <c r="H15" s="272">
        <f>Weather_Site!I13</f>
        <v>10</v>
      </c>
      <c r="I15" s="272">
        <f>Weather_Site!J13</f>
        <v>10</v>
      </c>
      <c r="J15" s="272">
        <f>Weather_Site!K13</f>
        <v>110</v>
      </c>
      <c r="K15" s="33">
        <f>Weather_Site!N13</f>
        <v>0</v>
      </c>
      <c r="L15" s="33">
        <f t="shared" ref="L15:L17" si="0">W15</f>
        <v>7.9681709295925778</v>
      </c>
      <c r="M15" s="32">
        <f t="shared" ref="M15:M17" si="1">IF(I15&lt;=1,(121.42-94.27/(1+107.55*EXP(-0.037*W14)))/(1+(101.71/(1+17.13*EXP(-0.017*W14)))*H15^(-0.84-0.62/(1+1087.88*EXP(-0.053*W14)))),0)</f>
        <v>0</v>
      </c>
      <c r="N15" s="32">
        <f t="shared" ref="N15:N17" si="2">IF(I15&gt;1,(0.29/(1+1.34*EXP(-0.019*W14))*K15+(51.61-367.12*(0.29/(1+1.34*EXP(-0.019*W14))))),0)</f>
        <v>2.1315452878383425</v>
      </c>
      <c r="O15" s="32">
        <f t="shared" ref="O15:O17" si="3">IF(OR(AND(C15&gt;0.33,C14&gt;=0.33),AND(C15&lt;C14,C15&lt;=0.33),C15&lt;0.33),O14,W14+M15+N15)</f>
        <v>10.611993735635409</v>
      </c>
      <c r="P15" s="33">
        <f t="shared" ref="P15:P17" si="4">IF(OR(S15&gt;AD14,C15&gt;=0.625),AD14,S14)</f>
        <v>27.331951608348518</v>
      </c>
      <c r="Q15" s="32">
        <f t="shared" ref="Q15:Q17" si="5">IF(I15&lt;=1,(121.42-94.27/(1+107.55*EXP(-0.037*W14)))/(1+(101.71/(1+17.13*EXP(-0.017*W14)))*H15^(-0.84-0.62/(1+1087.88*EXP(-0.053*W14)))),0)</f>
        <v>0</v>
      </c>
      <c r="R15" s="240">
        <v>1</v>
      </c>
      <c r="S15" s="32">
        <f t="shared" ref="S15:S17" si="6">P14+Q15+R15</f>
        <v>31</v>
      </c>
      <c r="T15" s="32">
        <f t="shared" ref="T15:T17" si="7">(57.29/(1+1.93*EXP(-0.042*D15)))/(1+(42.77/(D15-5.8))*EXP((-0.016*D15/(D15-5.27))*(100-E15)))</f>
        <v>22.161217696354331</v>
      </c>
      <c r="U15" s="250">
        <f t="shared" ref="U15:U17" si="8">((O14-103.79)/((O14-103.79)^2-12643.93)*12.81-0.65)*T15+((O14-99.7)/((O14-99.7)^2-25199.32)*3570.12-23.26)+10</f>
        <v>-2.5635908317671152</v>
      </c>
      <c r="V15" s="32">
        <f t="shared" ref="V15:V17" si="9">O14+U15</f>
        <v>8.0484029038682934</v>
      </c>
      <c r="W15" s="33">
        <f t="shared" ref="W15:W17" si="10">IF(OR(V15&lt;W14,C15&gt;=0.625),V15,W14)</f>
        <v>7.9681709295925778</v>
      </c>
      <c r="X15" s="32" t="str">
        <f t="shared" ref="X15:X17" si="11">IF(AND(C15&gt;0.33,C15&lt;0.625),(W15-(W15-O15)*(14.29*C15*24-114.29)/100),IF(AND(C15&gt;=0.625,C15&lt;0.71),(W15-(W15-O15)*(14.29*(30-C15*24)-114.29)/100)," "))</f>
        <v xml:space="preserve"> </v>
      </c>
      <c r="Y15" s="42">
        <f t="shared" ref="Y15:Y17" si="12">IF(V15&lt;=27,(21.37-3.42*V15+0.085*V15^2)+(48.09*V15*EXP(-0.6*V15)+11.9)*EXP(G15/$C$9*(-0.0096*V15^1.05+0.44)),0)</f>
        <v>68.946995424492656</v>
      </c>
      <c r="Z15" s="31">
        <f t="shared" ref="Z15:Z17" si="13">IF($D$7&lt;8,(1.02/(1+7266.83*EXP(-1.36*$D$7))+0.1),IF(V15&lt;=9,((6.03+5.81*$D$7)/53.44),IF(AND(V15&gt;9,V15&lt;=18),((11.19+2.92*$D$7)/35.02),((0.055+0.0023*$D$7)/0.074))))</f>
        <v>2.5046781437125749</v>
      </c>
      <c r="AA15" s="42">
        <f t="shared" ref="AA15:AA17" si="14">Z15*Y15</f>
        <v>172.69003251437766</v>
      </c>
      <c r="AB15" s="42">
        <f t="shared" ref="AB15:AB17" si="15">AA15*EXP(0.069*$C$8)</f>
        <v>172.69003251437766</v>
      </c>
      <c r="AC15" s="250">
        <f t="shared" ref="AC15:AC17" si="16">((S14-112.15)/((S14-112.15)^2-21835.42)*40.96-0.46)*T15+((S14-140.78)/((S14-140.78)^2-24819.47)*298.78)</f>
        <v>-2.6135281206943954</v>
      </c>
      <c r="AD15" s="32">
        <f t="shared" ref="AD15:AD17" si="17">AC15+S14</f>
        <v>27.386471879305603</v>
      </c>
      <c r="AE15" s="282">
        <f t="shared" ref="AE15:AE17" si="18">IF(V15&lt;=27,(4.88-263.78*V15^-1.8)+(163.4*V15^-1.18)*EXP(G15/$C$9*(-0.0059*V15+0.54)),0)</f>
        <v>116.56905677520869</v>
      </c>
      <c r="AF15" s="261">
        <f t="shared" ref="AF15:AF17" si="19">IF(AH15&lt;17,(0.95/(1+957.74*EXP(-0.52*AH15))+0.16),IF(V15&lt;=10,((5.08+6.26*AH15)/111.5),IF(AND(V15&gt;10,V15&lt;=19),((17.35+1.7*AH15)/46.25),((10.88+0.46*AH15)/18.7))))</f>
        <v>1.1688030163242167</v>
      </c>
      <c r="AG15" s="31">
        <f t="shared" ref="AG15:AG17" si="20">MAX((1-(1/(1+(0.43*EXP(0.23*V15)+2)*EXP((-0.0085*V15+0.024)*AD15))+(0.013*V15-0.43))),0)</f>
        <v>0.90939250885964396</v>
      </c>
      <c r="AH15" s="32">
        <f t="shared" ref="AH15:AH17" si="21">AG15*$D$7</f>
        <v>20.006635194912167</v>
      </c>
      <c r="AI15" s="42">
        <f t="shared" ref="AI15:AI17" si="22">AE15*AF15</f>
        <v>136.24626516893278</v>
      </c>
      <c r="AJ15" s="42">
        <f t="shared" ref="AJ15:AJ17" si="23">AI15*EXP(0.069*$C$8)</f>
        <v>136.24626516893278</v>
      </c>
    </row>
    <row r="16" spans="1:36" x14ac:dyDescent="0.25">
      <c r="A16" s="272" t="str">
        <f>Weather_Site!A14</f>
        <v>Sun</v>
      </c>
      <c r="B16" s="273">
        <f>Weather_Site!B14</f>
        <v>44549</v>
      </c>
      <c r="C16" s="274">
        <f>Weather_Site!C14</f>
        <v>0.25</v>
      </c>
      <c r="D16" s="272">
        <f>Weather_Site!D14</f>
        <v>22.7</v>
      </c>
      <c r="E16" s="272">
        <f>Weather_Site!E14</f>
        <v>27.3</v>
      </c>
      <c r="F16" s="272">
        <f>Weather_Site!F14</f>
        <v>336</v>
      </c>
      <c r="G16" s="272">
        <f>Weather_Site!G14</f>
        <v>16</v>
      </c>
      <c r="H16" s="272">
        <f>Weather_Site!I14</f>
        <v>10</v>
      </c>
      <c r="I16" s="272">
        <f>Weather_Site!J14</f>
        <v>10</v>
      </c>
      <c r="J16" s="272">
        <f>Weather_Site!K14</f>
        <v>110</v>
      </c>
      <c r="K16" s="33">
        <f>Weather_Site!N14</f>
        <v>0</v>
      </c>
      <c r="L16" s="33">
        <f t="shared" si="0"/>
        <v>7.9681709295925778</v>
      </c>
      <c r="M16" s="32">
        <f t="shared" si="1"/>
        <v>0</v>
      </c>
      <c r="N16" s="32">
        <f t="shared" si="2"/>
        <v>2.1315452878383425</v>
      </c>
      <c r="O16" s="32">
        <f t="shared" si="3"/>
        <v>10.611993735635409</v>
      </c>
      <c r="P16" s="33">
        <f t="shared" si="4"/>
        <v>27.386471879305603</v>
      </c>
      <c r="Q16" s="32">
        <f t="shared" si="5"/>
        <v>0</v>
      </c>
      <c r="R16" s="240">
        <v>2</v>
      </c>
      <c r="S16" s="32">
        <f t="shared" si="6"/>
        <v>29.331951608348518</v>
      </c>
      <c r="T16" s="32">
        <f t="shared" si="7"/>
        <v>21.108537026670813</v>
      </c>
      <c r="U16" s="250">
        <f t="shared" si="8"/>
        <v>-2.1965006731259287</v>
      </c>
      <c r="V16" s="32">
        <f t="shared" si="9"/>
        <v>8.4154930625094799</v>
      </c>
      <c r="W16" s="33">
        <f t="shared" si="10"/>
        <v>7.9681709295925778</v>
      </c>
      <c r="X16" s="32" t="str">
        <f t="shared" si="11"/>
        <v xml:space="preserve"> </v>
      </c>
      <c r="Y16" s="42">
        <f t="shared" si="12"/>
        <v>92.414160019537277</v>
      </c>
      <c r="Z16" s="31">
        <f t="shared" si="13"/>
        <v>2.5046781437125749</v>
      </c>
      <c r="AA16" s="42">
        <f t="shared" si="14"/>
        <v>231.46772677049148</v>
      </c>
      <c r="AB16" s="42">
        <f t="shared" si="15"/>
        <v>231.46772677049148</v>
      </c>
      <c r="AC16" s="250">
        <f t="shared" si="16"/>
        <v>-2.5401567810264272</v>
      </c>
      <c r="AD16" s="32">
        <f t="shared" si="17"/>
        <v>28.459843218973575</v>
      </c>
      <c r="AE16" s="282">
        <f t="shared" si="18"/>
        <v>180.07009037930669</v>
      </c>
      <c r="AF16" s="261">
        <f t="shared" si="19"/>
        <v>1.1366825915544236</v>
      </c>
      <c r="AG16" s="31">
        <f t="shared" si="20"/>
        <v>0.88338737262792799</v>
      </c>
      <c r="AH16" s="32">
        <f t="shared" si="21"/>
        <v>19.434522197814417</v>
      </c>
      <c r="AI16" s="42">
        <f t="shared" si="22"/>
        <v>204.68253699378963</v>
      </c>
      <c r="AJ16" s="42">
        <f t="shared" si="23"/>
        <v>204.68253699378963</v>
      </c>
    </row>
    <row r="17" spans="1:36" x14ac:dyDescent="0.25">
      <c r="A17" s="272" t="str">
        <f>Weather_Site!A15</f>
        <v>Sun</v>
      </c>
      <c r="B17" s="273">
        <f>Weather_Site!B15</f>
        <v>44549</v>
      </c>
      <c r="C17" s="274">
        <f>Weather_Site!C15</f>
        <v>0.29166666666666669</v>
      </c>
      <c r="D17" s="272">
        <f>Weather_Site!D15</f>
        <v>23</v>
      </c>
      <c r="E17" s="272">
        <f>Weather_Site!E15</f>
        <v>28.2</v>
      </c>
      <c r="F17" s="272">
        <f>Weather_Site!F15</f>
        <v>2</v>
      </c>
      <c r="G17" s="272">
        <f>Weather_Site!G15</f>
        <v>25</v>
      </c>
      <c r="H17" s="272">
        <f>Weather_Site!I15</f>
        <v>10</v>
      </c>
      <c r="I17" s="272">
        <f>Weather_Site!J15</f>
        <v>2</v>
      </c>
      <c r="J17" s="272">
        <f>Weather_Site!K15</f>
        <v>70</v>
      </c>
      <c r="K17" s="33">
        <f>Weather_Site!N15</f>
        <v>0</v>
      </c>
      <c r="L17" s="33">
        <f t="shared" si="0"/>
        <v>7.9681709295925778</v>
      </c>
      <c r="M17" s="32">
        <f t="shared" si="1"/>
        <v>0</v>
      </c>
      <c r="N17" s="32">
        <f t="shared" si="2"/>
        <v>2.1315452878383425</v>
      </c>
      <c r="O17" s="32">
        <f t="shared" si="3"/>
        <v>10.611993735635409</v>
      </c>
      <c r="P17" s="33">
        <f t="shared" si="4"/>
        <v>28.459843218973575</v>
      </c>
      <c r="Q17" s="32">
        <f t="shared" si="5"/>
        <v>0</v>
      </c>
      <c r="R17" s="240">
        <v>3</v>
      </c>
      <c r="S17" s="32">
        <f t="shared" si="6"/>
        <v>30.386471879305603</v>
      </c>
      <c r="T17" s="32">
        <f t="shared" si="7"/>
        <v>21.168458963832116</v>
      </c>
      <c r="U17" s="250">
        <f t="shared" si="8"/>
        <v>-2.2173966143663453</v>
      </c>
      <c r="V17" s="32">
        <f t="shared" si="9"/>
        <v>8.3945971212690633</v>
      </c>
      <c r="W17" s="33">
        <f t="shared" si="10"/>
        <v>7.9681709295925778</v>
      </c>
      <c r="X17" s="32" t="str">
        <f t="shared" si="11"/>
        <v xml:space="preserve"> </v>
      </c>
      <c r="Y17" s="42">
        <f t="shared" si="12"/>
        <v>267.82983819023758</v>
      </c>
      <c r="Z17" s="31">
        <f t="shared" si="13"/>
        <v>2.5046781437125749</v>
      </c>
      <c r="AA17" s="42">
        <f t="shared" si="14"/>
        <v>670.82754194916356</v>
      </c>
      <c r="AB17" s="42">
        <f t="shared" si="15"/>
        <v>670.82754194916356</v>
      </c>
      <c r="AC17" s="250">
        <f t="shared" si="16"/>
        <v>-2.2571755110605212</v>
      </c>
      <c r="AD17" s="32">
        <f t="shared" si="17"/>
        <v>27.074776097287998</v>
      </c>
      <c r="AE17" s="282">
        <f t="shared" si="18"/>
        <v>789.84674153862045</v>
      </c>
      <c r="AF17" s="261">
        <f t="shared" si="19"/>
        <v>1.1575198905375914</v>
      </c>
      <c r="AG17" s="31">
        <f t="shared" si="20"/>
        <v>0.9002575355427056</v>
      </c>
      <c r="AH17" s="32">
        <f t="shared" si="21"/>
        <v>19.805665781939524</v>
      </c>
      <c r="AI17" s="42">
        <f t="shared" si="22"/>
        <v>914.26331380725719</v>
      </c>
      <c r="AJ17" s="42">
        <f t="shared" si="23"/>
        <v>914.26331380725719</v>
      </c>
    </row>
    <row r="18" spans="1:36" s="89" customFormat="1" x14ac:dyDescent="0.25">
      <c r="A18" s="272"/>
      <c r="B18" s="273"/>
      <c r="C18" s="274"/>
      <c r="D18" s="272"/>
      <c r="E18" s="272"/>
      <c r="F18" s="272"/>
      <c r="G18" s="272"/>
      <c r="H18" s="272"/>
      <c r="I18" s="272"/>
      <c r="J18" s="272"/>
      <c r="K18" s="265"/>
      <c r="L18" s="265"/>
      <c r="M18" s="266"/>
      <c r="N18" s="266"/>
      <c r="O18" s="32"/>
      <c r="P18" s="265"/>
      <c r="Q18" s="266"/>
      <c r="R18" s="240"/>
      <c r="S18" s="266"/>
      <c r="T18" s="266"/>
      <c r="U18" s="267"/>
      <c r="V18" s="266"/>
      <c r="W18" s="265"/>
      <c r="X18" s="266"/>
      <c r="Y18" s="268"/>
      <c r="Z18" s="269"/>
      <c r="AA18" s="268"/>
      <c r="AB18" s="268"/>
      <c r="AC18" s="267"/>
      <c r="AD18" s="266"/>
      <c r="AE18" s="283"/>
      <c r="AF18" s="270"/>
      <c r="AG18" s="269"/>
      <c r="AH18" s="266"/>
      <c r="AI18" s="268"/>
      <c r="AJ18" s="268"/>
    </row>
    <row r="19" spans="1:36" s="89" customFormat="1" x14ac:dyDescent="0.25">
      <c r="A19" s="272"/>
      <c r="B19" s="273"/>
      <c r="C19" s="274"/>
      <c r="D19" s="272"/>
      <c r="E19" s="272"/>
      <c r="F19" s="272"/>
      <c r="G19" s="272"/>
      <c r="H19" s="272"/>
      <c r="I19" s="272"/>
      <c r="J19" s="272"/>
      <c r="K19" s="265"/>
      <c r="L19" s="265"/>
      <c r="M19" s="266"/>
      <c r="N19" s="266"/>
      <c r="O19" s="32"/>
      <c r="P19" s="265"/>
      <c r="Q19" s="266"/>
      <c r="R19" s="240"/>
      <c r="S19" s="266"/>
      <c r="T19" s="266"/>
      <c r="U19" s="267"/>
      <c r="V19" s="266"/>
      <c r="W19" s="265"/>
      <c r="X19" s="266"/>
      <c r="Y19" s="268"/>
      <c r="Z19" s="269"/>
      <c r="AA19" s="268"/>
      <c r="AB19" s="268"/>
      <c r="AC19" s="267"/>
      <c r="AD19" s="266"/>
      <c r="AE19" s="283"/>
      <c r="AF19" s="270"/>
      <c r="AG19" s="269"/>
      <c r="AH19" s="266"/>
      <c r="AI19" s="268"/>
      <c r="AJ19" s="268"/>
    </row>
    <row r="20" spans="1:36" s="89" customFormat="1" x14ac:dyDescent="0.25">
      <c r="A20" s="272"/>
      <c r="B20" s="273"/>
      <c r="C20" s="274"/>
      <c r="D20" s="272"/>
      <c r="E20" s="272"/>
      <c r="F20" s="272"/>
      <c r="G20" s="272"/>
      <c r="H20" s="272"/>
      <c r="I20" s="272"/>
      <c r="J20" s="272"/>
      <c r="K20" s="265"/>
      <c r="L20" s="265"/>
      <c r="M20" s="266"/>
      <c r="N20" s="266"/>
      <c r="O20" s="32"/>
      <c r="P20" s="265"/>
      <c r="Q20" s="266"/>
      <c r="R20" s="240"/>
      <c r="S20" s="266"/>
      <c r="T20" s="266"/>
      <c r="U20" s="267"/>
      <c r="V20" s="266"/>
      <c r="W20" s="265"/>
      <c r="X20" s="266"/>
      <c r="Y20" s="268"/>
      <c r="Z20" s="269"/>
      <c r="AA20" s="268"/>
      <c r="AB20" s="268"/>
      <c r="AC20" s="267"/>
      <c r="AD20" s="266"/>
      <c r="AE20" s="283"/>
      <c r="AF20" s="270"/>
      <c r="AG20" s="269"/>
      <c r="AH20" s="266"/>
      <c r="AI20" s="268"/>
      <c r="AJ20" s="268"/>
    </row>
    <row r="21" spans="1:36" s="89" customFormat="1" x14ac:dyDescent="0.25">
      <c r="A21" s="272"/>
      <c r="B21" s="273"/>
      <c r="C21" s="274"/>
      <c r="D21" s="272"/>
      <c r="E21" s="272"/>
      <c r="F21" s="272"/>
      <c r="G21" s="272"/>
      <c r="H21" s="272"/>
      <c r="I21" s="272"/>
      <c r="J21" s="272"/>
      <c r="K21" s="265"/>
      <c r="L21" s="265"/>
      <c r="M21" s="266"/>
      <c r="N21" s="266"/>
      <c r="O21" s="32"/>
      <c r="P21" s="265"/>
      <c r="Q21" s="266"/>
      <c r="R21" s="240"/>
      <c r="S21" s="266"/>
      <c r="T21" s="266"/>
      <c r="U21" s="267"/>
      <c r="V21" s="266"/>
      <c r="W21" s="265"/>
      <c r="X21" s="266"/>
      <c r="Y21" s="268"/>
      <c r="Z21" s="269"/>
      <c r="AA21" s="268"/>
      <c r="AB21" s="268"/>
      <c r="AC21" s="267"/>
      <c r="AD21" s="266"/>
      <c r="AE21" s="283"/>
      <c r="AF21" s="270"/>
      <c r="AG21" s="269"/>
      <c r="AH21" s="266"/>
      <c r="AI21" s="268"/>
      <c r="AJ21" s="268"/>
    </row>
    <row r="22" spans="1:36" x14ac:dyDescent="0.25">
      <c r="A22" s="272"/>
      <c r="B22" s="273"/>
      <c r="C22" s="274"/>
      <c r="D22" s="272"/>
      <c r="E22" s="272"/>
      <c r="F22" s="272"/>
      <c r="G22" s="272"/>
      <c r="H22" s="272"/>
      <c r="I22" s="272"/>
      <c r="J22" s="272"/>
      <c r="K22" s="33"/>
      <c r="L22" s="33"/>
      <c r="M22" s="32"/>
      <c r="N22" s="32"/>
      <c r="O22" s="32"/>
      <c r="P22" s="33"/>
      <c r="Q22" s="32"/>
      <c r="R22" s="240"/>
      <c r="S22" s="32"/>
      <c r="T22" s="32"/>
      <c r="U22" s="250"/>
      <c r="V22" s="32"/>
      <c r="W22" s="33"/>
      <c r="X22" s="32"/>
      <c r="Y22" s="42"/>
      <c r="Z22" s="31"/>
      <c r="AA22" s="42"/>
      <c r="AB22" s="42"/>
      <c r="AC22" s="250"/>
      <c r="AD22" s="32"/>
      <c r="AE22" s="282"/>
      <c r="AF22" s="261"/>
      <c r="AG22" s="31"/>
      <c r="AH22" s="32"/>
      <c r="AI22" s="42"/>
      <c r="AJ22" s="42"/>
    </row>
    <row r="23" spans="1:36" x14ac:dyDescent="0.25">
      <c r="A23" s="272"/>
      <c r="B23" s="273"/>
      <c r="C23" s="274"/>
      <c r="D23" s="272"/>
      <c r="E23" s="272"/>
      <c r="F23" s="272"/>
      <c r="G23" s="272"/>
      <c r="H23" s="272"/>
      <c r="I23" s="272"/>
      <c r="J23" s="272"/>
      <c r="K23" s="33"/>
      <c r="L23" s="33"/>
      <c r="M23" s="32"/>
      <c r="N23" s="32"/>
      <c r="O23" s="32"/>
      <c r="P23" s="33"/>
      <c r="Q23" s="32"/>
      <c r="R23" s="240"/>
      <c r="S23" s="32"/>
      <c r="T23" s="32"/>
      <c r="U23" s="250"/>
      <c r="V23" s="32"/>
      <c r="W23" s="33"/>
      <c r="X23" s="32"/>
      <c r="Y23" s="42"/>
      <c r="Z23" s="31"/>
      <c r="AA23" s="42"/>
      <c r="AB23" s="42"/>
      <c r="AC23" s="250"/>
      <c r="AD23" s="32"/>
      <c r="AE23" s="282"/>
      <c r="AF23" s="261"/>
      <c r="AG23" s="31"/>
      <c r="AH23" s="32"/>
      <c r="AI23" s="42"/>
      <c r="AJ23" s="42"/>
    </row>
    <row r="24" spans="1:36" x14ac:dyDescent="0.25">
      <c r="A24" s="272"/>
      <c r="B24" s="273"/>
      <c r="C24" s="274"/>
      <c r="D24" s="272"/>
      <c r="E24" s="272"/>
      <c r="F24" s="272"/>
      <c r="G24" s="272"/>
      <c r="H24" s="272"/>
      <c r="I24" s="272"/>
      <c r="J24" s="272"/>
      <c r="K24" s="33"/>
      <c r="L24" s="33"/>
      <c r="M24" s="32"/>
      <c r="N24" s="32"/>
      <c r="O24" s="32"/>
      <c r="P24" s="33"/>
      <c r="Q24" s="32"/>
      <c r="R24" s="240"/>
      <c r="S24" s="32"/>
      <c r="T24" s="32"/>
      <c r="U24" s="250"/>
      <c r="V24" s="32"/>
      <c r="W24" s="33"/>
      <c r="X24" s="32"/>
      <c r="Y24" s="42"/>
      <c r="Z24" s="31"/>
      <c r="AA24" s="42"/>
      <c r="AB24" s="42"/>
      <c r="AC24" s="250"/>
      <c r="AD24" s="32"/>
      <c r="AE24" s="282"/>
      <c r="AF24" s="261"/>
      <c r="AG24" s="31"/>
      <c r="AH24" s="32"/>
      <c r="AI24" s="42"/>
      <c r="AJ24" s="42"/>
    </row>
    <row r="25" spans="1:36" x14ac:dyDescent="0.25">
      <c r="A25" s="272"/>
      <c r="B25" s="273"/>
      <c r="C25" s="274"/>
      <c r="D25" s="272"/>
      <c r="E25" s="272"/>
      <c r="F25" s="272"/>
      <c r="G25" s="272"/>
      <c r="H25" s="272"/>
      <c r="I25" s="272"/>
      <c r="J25" s="272"/>
      <c r="K25" s="33"/>
      <c r="L25" s="33"/>
      <c r="M25" s="32"/>
      <c r="N25" s="32"/>
      <c r="O25" s="32"/>
      <c r="P25" s="33"/>
      <c r="Q25" s="32"/>
      <c r="R25" s="240"/>
      <c r="S25" s="32"/>
      <c r="T25" s="32"/>
      <c r="U25" s="250"/>
      <c r="V25" s="32"/>
      <c r="W25" s="33"/>
      <c r="X25" s="32"/>
      <c r="Y25" s="42"/>
      <c r="Z25" s="31"/>
      <c r="AA25" s="42"/>
      <c r="AB25" s="42"/>
      <c r="AC25" s="250"/>
      <c r="AD25" s="32"/>
      <c r="AE25" s="282"/>
      <c r="AF25" s="261"/>
      <c r="AG25" s="31"/>
      <c r="AH25" s="32"/>
      <c r="AI25" s="42"/>
      <c r="AJ25" s="42"/>
    </row>
    <row r="26" spans="1:36" x14ac:dyDescent="0.25">
      <c r="A26" s="272"/>
      <c r="B26" s="273"/>
      <c r="C26" s="274"/>
      <c r="D26" s="272"/>
      <c r="E26" s="272"/>
      <c r="F26" s="272"/>
      <c r="G26" s="272"/>
      <c r="H26" s="272"/>
      <c r="I26" s="272"/>
      <c r="J26" s="272"/>
      <c r="K26" s="33"/>
      <c r="L26" s="33"/>
      <c r="M26" s="32"/>
      <c r="N26" s="32"/>
      <c r="O26" s="32"/>
      <c r="P26" s="33"/>
      <c r="Q26" s="32"/>
      <c r="R26" s="240"/>
      <c r="S26" s="32"/>
      <c r="T26" s="32"/>
      <c r="U26" s="250"/>
      <c r="V26" s="32"/>
      <c r="W26" s="33"/>
      <c r="X26" s="32"/>
      <c r="Y26" s="42"/>
      <c r="Z26" s="31"/>
      <c r="AA26" s="42"/>
      <c r="AB26" s="42"/>
      <c r="AC26" s="250"/>
      <c r="AD26" s="32"/>
      <c r="AE26" s="282"/>
      <c r="AF26" s="261"/>
      <c r="AG26" s="31"/>
      <c r="AH26" s="32"/>
      <c r="AI26" s="42"/>
      <c r="AJ26" s="42"/>
    </row>
    <row r="27" spans="1:36" s="89" customFormat="1" x14ac:dyDescent="0.25">
      <c r="A27" s="272"/>
      <c r="B27" s="273"/>
      <c r="C27" s="274"/>
      <c r="D27" s="272"/>
      <c r="E27" s="272"/>
      <c r="F27" s="272"/>
      <c r="G27" s="272"/>
      <c r="H27" s="272"/>
      <c r="I27" s="272"/>
      <c r="J27" s="272"/>
      <c r="K27" s="265"/>
      <c r="L27" s="265"/>
      <c r="M27" s="266"/>
      <c r="N27" s="266"/>
      <c r="O27" s="32"/>
      <c r="P27" s="265"/>
      <c r="Q27" s="266"/>
      <c r="R27" s="240"/>
      <c r="S27" s="266"/>
      <c r="T27" s="266"/>
      <c r="U27" s="267"/>
      <c r="V27" s="266"/>
      <c r="W27" s="265"/>
      <c r="X27" s="266"/>
      <c r="Y27" s="268"/>
      <c r="Z27" s="269"/>
      <c r="AA27" s="268"/>
      <c r="AB27" s="268"/>
      <c r="AC27" s="267"/>
      <c r="AD27" s="266"/>
      <c r="AE27" s="283"/>
      <c r="AF27" s="270"/>
      <c r="AG27" s="269"/>
      <c r="AH27" s="266"/>
      <c r="AI27" s="268"/>
      <c r="AJ27" s="268"/>
    </row>
    <row r="28" spans="1:36" s="89" customFormat="1" x14ac:dyDescent="0.25">
      <c r="A28" s="272"/>
      <c r="B28" s="273"/>
      <c r="C28" s="274"/>
      <c r="D28" s="272"/>
      <c r="E28" s="272"/>
      <c r="F28" s="272"/>
      <c r="G28" s="272"/>
      <c r="H28" s="272"/>
      <c r="I28" s="272"/>
      <c r="J28" s="272"/>
      <c r="K28" s="265"/>
      <c r="L28" s="265"/>
      <c r="M28" s="266"/>
      <c r="N28" s="266"/>
      <c r="O28" s="32"/>
      <c r="P28" s="265"/>
      <c r="Q28" s="266"/>
      <c r="R28" s="240"/>
      <c r="S28" s="266"/>
      <c r="T28" s="266"/>
      <c r="U28" s="267"/>
      <c r="V28" s="266"/>
      <c r="W28" s="265"/>
      <c r="X28" s="266"/>
      <c r="Y28" s="268"/>
      <c r="Z28" s="269"/>
      <c r="AA28" s="268"/>
      <c r="AB28" s="268"/>
      <c r="AC28" s="267"/>
      <c r="AD28" s="266"/>
      <c r="AE28" s="283"/>
      <c r="AF28" s="270"/>
      <c r="AG28" s="269"/>
      <c r="AH28" s="266"/>
      <c r="AI28" s="268"/>
      <c r="AJ28" s="268"/>
    </row>
    <row r="29" spans="1:36" s="89" customFormat="1" x14ac:dyDescent="0.25">
      <c r="A29" s="272"/>
      <c r="B29" s="273"/>
      <c r="C29" s="274"/>
      <c r="D29" s="272"/>
      <c r="E29" s="272"/>
      <c r="F29" s="272"/>
      <c r="G29" s="272"/>
      <c r="H29" s="272"/>
      <c r="I29" s="272"/>
      <c r="J29" s="272"/>
      <c r="K29" s="265"/>
      <c r="L29" s="265"/>
      <c r="M29" s="266"/>
      <c r="N29" s="266"/>
      <c r="O29" s="32"/>
      <c r="P29" s="265"/>
      <c r="Q29" s="266"/>
      <c r="R29" s="240"/>
      <c r="S29" s="266"/>
      <c r="T29" s="266"/>
      <c r="U29" s="267"/>
      <c r="V29" s="266"/>
      <c r="W29" s="265"/>
      <c r="X29" s="266"/>
      <c r="Y29" s="268"/>
      <c r="Z29" s="269"/>
      <c r="AA29" s="268"/>
      <c r="AB29" s="268"/>
      <c r="AC29" s="267"/>
      <c r="AD29" s="266"/>
      <c r="AE29" s="283"/>
      <c r="AF29" s="270"/>
      <c r="AG29" s="269"/>
      <c r="AH29" s="266"/>
      <c r="AI29" s="268"/>
      <c r="AJ29" s="268"/>
    </row>
    <row r="30" spans="1:36" s="89" customFormat="1" x14ac:dyDescent="0.25">
      <c r="A30" s="272"/>
      <c r="B30" s="273"/>
      <c r="C30" s="274"/>
      <c r="D30" s="272"/>
      <c r="E30" s="272"/>
      <c r="F30" s="272"/>
      <c r="G30" s="272"/>
      <c r="H30" s="272"/>
      <c r="I30" s="272"/>
      <c r="J30" s="272"/>
      <c r="K30" s="265"/>
      <c r="L30" s="265"/>
      <c r="M30" s="266"/>
      <c r="N30" s="266"/>
      <c r="O30" s="32"/>
      <c r="P30" s="265"/>
      <c r="Q30" s="266"/>
      <c r="R30" s="240"/>
      <c r="S30" s="266"/>
      <c r="T30" s="266"/>
      <c r="U30" s="267"/>
      <c r="V30" s="266"/>
      <c r="W30" s="265"/>
      <c r="X30" s="266"/>
      <c r="Y30" s="268"/>
      <c r="Z30" s="269"/>
      <c r="AA30" s="268"/>
      <c r="AB30" s="268"/>
      <c r="AC30" s="267"/>
      <c r="AD30" s="266"/>
      <c r="AE30" s="283"/>
      <c r="AF30" s="270"/>
      <c r="AG30" s="269"/>
      <c r="AH30" s="266"/>
      <c r="AI30" s="268"/>
      <c r="AJ30" s="268"/>
    </row>
    <row r="31" spans="1:36" x14ac:dyDescent="0.25">
      <c r="A31" s="272"/>
      <c r="B31" s="273"/>
      <c r="C31" s="274"/>
      <c r="D31" s="272"/>
      <c r="E31" s="272"/>
      <c r="F31" s="272"/>
      <c r="G31" s="272"/>
      <c r="H31" s="272"/>
      <c r="I31" s="272"/>
      <c r="J31" s="272"/>
      <c r="K31" s="33"/>
      <c r="L31" s="33"/>
      <c r="M31" s="32"/>
      <c r="N31" s="32"/>
      <c r="O31" s="32"/>
      <c r="P31" s="33"/>
      <c r="Q31" s="32"/>
      <c r="R31" s="240"/>
      <c r="S31" s="32"/>
      <c r="T31" s="32"/>
      <c r="U31" s="250"/>
      <c r="V31" s="32"/>
      <c r="W31" s="33"/>
      <c r="X31" s="32"/>
      <c r="Y31" s="42"/>
      <c r="Z31" s="31"/>
      <c r="AA31" s="42"/>
      <c r="AB31" s="42"/>
      <c r="AC31" s="250"/>
      <c r="AD31" s="32"/>
      <c r="AE31" s="282"/>
      <c r="AF31" s="261"/>
      <c r="AG31" s="31"/>
      <c r="AH31" s="32"/>
      <c r="AI31" s="42"/>
      <c r="AJ31" s="42"/>
    </row>
    <row r="32" spans="1:36" x14ac:dyDescent="0.25">
      <c r="A32" s="272"/>
      <c r="B32" s="273"/>
      <c r="C32" s="274"/>
      <c r="D32" s="272"/>
      <c r="E32" s="272"/>
      <c r="F32" s="272"/>
      <c r="G32" s="272"/>
      <c r="H32" s="272"/>
      <c r="I32" s="272"/>
      <c r="J32" s="272"/>
      <c r="K32" s="33"/>
      <c r="L32" s="33"/>
      <c r="M32" s="32"/>
      <c r="N32" s="32"/>
      <c r="O32" s="32"/>
      <c r="P32" s="33"/>
      <c r="Q32" s="32"/>
      <c r="R32" s="240"/>
      <c r="S32" s="32"/>
      <c r="T32" s="32"/>
      <c r="U32" s="250"/>
      <c r="V32" s="32"/>
      <c r="W32" s="33"/>
      <c r="X32" s="32"/>
      <c r="Y32" s="42"/>
      <c r="Z32" s="31"/>
      <c r="AA32" s="42"/>
      <c r="AB32" s="42"/>
      <c r="AC32" s="250"/>
      <c r="AD32" s="32"/>
      <c r="AE32" s="282"/>
      <c r="AF32" s="261"/>
      <c r="AG32" s="31"/>
      <c r="AH32" s="32"/>
      <c r="AI32" s="42"/>
      <c r="AJ32" s="42"/>
    </row>
    <row r="33" spans="1:36" x14ac:dyDescent="0.25">
      <c r="A33" s="272"/>
      <c r="B33" s="273"/>
      <c r="C33" s="274"/>
      <c r="D33" s="272"/>
      <c r="E33" s="272"/>
      <c r="F33" s="272"/>
      <c r="G33" s="272"/>
      <c r="H33" s="272"/>
      <c r="I33" s="272"/>
      <c r="J33" s="272"/>
      <c r="K33" s="33"/>
      <c r="L33" s="33"/>
      <c r="M33" s="32"/>
      <c r="N33" s="32"/>
      <c r="O33" s="32"/>
      <c r="P33" s="33"/>
      <c r="Q33" s="32"/>
      <c r="R33" s="240"/>
      <c r="S33" s="32"/>
      <c r="T33" s="32"/>
      <c r="U33" s="250"/>
      <c r="V33" s="32"/>
      <c r="W33" s="33"/>
      <c r="X33" s="32"/>
      <c r="Y33" s="42"/>
      <c r="Z33" s="31"/>
      <c r="AA33" s="42"/>
      <c r="AB33" s="42"/>
      <c r="AC33" s="250"/>
      <c r="AD33" s="32"/>
      <c r="AE33" s="282"/>
      <c r="AF33" s="261"/>
      <c r="AG33" s="31"/>
      <c r="AH33" s="32"/>
      <c r="AI33" s="42"/>
      <c r="AJ33" s="42"/>
    </row>
    <row r="34" spans="1:36" x14ac:dyDescent="0.25">
      <c r="A34" s="272"/>
      <c r="B34" s="273"/>
      <c r="C34" s="274"/>
      <c r="D34" s="272"/>
      <c r="E34" s="272"/>
      <c r="F34" s="272"/>
      <c r="G34" s="272"/>
      <c r="H34" s="272"/>
      <c r="I34" s="272"/>
      <c r="J34" s="272"/>
      <c r="K34" s="33"/>
      <c r="L34" s="33"/>
      <c r="M34" s="32"/>
      <c r="N34" s="32"/>
      <c r="O34" s="32"/>
      <c r="P34" s="33"/>
      <c r="Q34" s="32"/>
      <c r="R34" s="240"/>
      <c r="S34" s="32"/>
      <c r="T34" s="32"/>
      <c r="U34" s="250"/>
      <c r="V34" s="32"/>
      <c r="W34" s="33"/>
      <c r="X34" s="32"/>
      <c r="Y34" s="42"/>
      <c r="Z34" s="31"/>
      <c r="AA34" s="42"/>
      <c r="AB34" s="42"/>
      <c r="AC34" s="250"/>
      <c r="AD34" s="32"/>
      <c r="AE34" s="282"/>
      <c r="AF34" s="261"/>
      <c r="AG34" s="31"/>
      <c r="AH34" s="32"/>
      <c r="AI34" s="42"/>
      <c r="AJ34" s="42"/>
    </row>
    <row r="35" spans="1:36" x14ac:dyDescent="0.25">
      <c r="A35" s="272"/>
      <c r="B35" s="273"/>
      <c r="C35" s="274"/>
      <c r="D35" s="272"/>
      <c r="E35" s="272"/>
      <c r="F35" s="272"/>
      <c r="G35" s="272"/>
      <c r="H35" s="272"/>
      <c r="I35" s="272"/>
      <c r="J35" s="272"/>
      <c r="K35" s="33"/>
      <c r="L35" s="33"/>
      <c r="M35" s="32"/>
      <c r="N35" s="32"/>
      <c r="O35" s="32"/>
      <c r="P35" s="33"/>
      <c r="Q35" s="32"/>
      <c r="R35" s="240"/>
      <c r="S35" s="32"/>
      <c r="T35" s="32"/>
      <c r="U35" s="250"/>
      <c r="V35" s="32"/>
      <c r="W35" s="33"/>
      <c r="X35" s="32"/>
      <c r="Y35" s="42"/>
      <c r="Z35" s="31"/>
      <c r="AA35" s="42"/>
      <c r="AB35" s="42"/>
      <c r="AC35" s="250"/>
      <c r="AD35" s="32"/>
      <c r="AE35" s="282"/>
      <c r="AF35" s="261"/>
      <c r="AG35" s="31"/>
      <c r="AH35" s="32"/>
      <c r="AI35" s="42"/>
      <c r="AJ35" s="42"/>
    </row>
    <row r="36" spans="1:36" x14ac:dyDescent="0.25">
      <c r="A36" s="272"/>
      <c r="B36" s="273"/>
      <c r="C36" s="274"/>
      <c r="D36" s="272"/>
      <c r="E36" s="272"/>
      <c r="F36" s="272"/>
      <c r="G36" s="272"/>
      <c r="H36" s="272"/>
      <c r="I36" s="272"/>
      <c r="J36" s="272"/>
      <c r="K36" s="33"/>
      <c r="L36" s="33"/>
      <c r="M36" s="32"/>
      <c r="N36" s="32"/>
      <c r="O36" s="32"/>
      <c r="P36" s="33"/>
      <c r="Q36" s="32"/>
      <c r="R36" s="240"/>
      <c r="S36" s="32"/>
      <c r="T36" s="32"/>
      <c r="U36" s="250"/>
      <c r="V36" s="32"/>
      <c r="W36" s="33"/>
      <c r="X36" s="32"/>
      <c r="Y36" s="42"/>
      <c r="Z36" s="31"/>
      <c r="AA36" s="42"/>
      <c r="AB36" s="42"/>
      <c r="AC36" s="250"/>
      <c r="AD36" s="32"/>
      <c r="AE36" s="282"/>
      <c r="AF36" s="261"/>
      <c r="AG36" s="31"/>
      <c r="AH36" s="32"/>
      <c r="AI36" s="42"/>
      <c r="AJ36" s="42"/>
    </row>
    <row r="37" spans="1:36" x14ac:dyDescent="0.25">
      <c r="A37" s="272"/>
      <c r="B37" s="273"/>
      <c r="C37" s="274"/>
      <c r="D37" s="272"/>
      <c r="E37" s="272"/>
      <c r="F37" s="272"/>
      <c r="G37" s="272"/>
      <c r="H37" s="272"/>
      <c r="I37" s="272"/>
      <c r="J37" s="272"/>
      <c r="K37" s="33"/>
      <c r="L37" s="33"/>
      <c r="M37" s="32"/>
      <c r="N37" s="32"/>
      <c r="O37" s="32"/>
      <c r="P37" s="33"/>
      <c r="Q37" s="32"/>
      <c r="R37" s="240"/>
      <c r="S37" s="32"/>
      <c r="T37" s="32"/>
      <c r="U37" s="250"/>
      <c r="V37" s="32"/>
      <c r="W37" s="33"/>
      <c r="X37" s="32"/>
      <c r="Y37" s="42"/>
      <c r="Z37" s="31"/>
      <c r="AA37" s="42"/>
      <c r="AB37" s="42"/>
      <c r="AC37" s="250"/>
      <c r="AD37" s="32"/>
      <c r="AE37" s="282"/>
      <c r="AF37" s="261"/>
      <c r="AG37" s="31"/>
      <c r="AH37" s="32"/>
      <c r="AI37" s="42"/>
      <c r="AJ37" s="42"/>
    </row>
    <row r="38" spans="1:36" x14ac:dyDescent="0.25">
      <c r="A38" s="272"/>
      <c r="B38" s="273"/>
      <c r="C38" s="274"/>
      <c r="D38" s="272"/>
      <c r="E38" s="272"/>
      <c r="F38" s="272"/>
      <c r="G38" s="272"/>
      <c r="H38" s="272"/>
      <c r="I38" s="272"/>
      <c r="J38" s="272"/>
      <c r="K38" s="33"/>
      <c r="L38" s="33"/>
      <c r="M38" s="32"/>
      <c r="N38" s="32"/>
      <c r="O38" s="32"/>
      <c r="P38" s="33"/>
      <c r="Q38" s="32"/>
      <c r="R38" s="240"/>
      <c r="S38" s="32"/>
      <c r="T38" s="32"/>
      <c r="U38" s="250"/>
      <c r="V38" s="32"/>
      <c r="W38" s="33"/>
      <c r="X38" s="32"/>
      <c r="Y38" s="42"/>
      <c r="Z38" s="31"/>
      <c r="AA38" s="42"/>
      <c r="AB38" s="42"/>
      <c r="AC38" s="250"/>
      <c r="AD38" s="32"/>
      <c r="AE38" s="282"/>
      <c r="AF38" s="261"/>
      <c r="AG38" s="31"/>
      <c r="AH38" s="32"/>
      <c r="AI38" s="42"/>
      <c r="AJ38" s="42"/>
    </row>
    <row r="39" spans="1:36" x14ac:dyDescent="0.25">
      <c r="A39" s="272"/>
      <c r="B39" s="273"/>
      <c r="C39" s="274"/>
      <c r="D39" s="272"/>
      <c r="E39" s="272"/>
      <c r="F39" s="272"/>
      <c r="G39" s="272"/>
      <c r="H39" s="272"/>
      <c r="I39" s="272"/>
      <c r="J39" s="272"/>
      <c r="K39" s="33"/>
      <c r="L39" s="33"/>
      <c r="M39" s="32"/>
      <c r="N39" s="32"/>
      <c r="O39" s="32"/>
      <c r="P39" s="33"/>
      <c r="Q39" s="32"/>
      <c r="R39" s="240"/>
      <c r="S39" s="32"/>
      <c r="T39" s="32"/>
      <c r="U39" s="250"/>
      <c r="V39" s="32"/>
      <c r="W39" s="33"/>
      <c r="X39" s="32"/>
      <c r="Y39" s="42"/>
      <c r="Z39" s="31"/>
      <c r="AA39" s="42"/>
      <c r="AB39" s="42"/>
      <c r="AC39" s="250"/>
      <c r="AD39" s="32"/>
      <c r="AE39" s="282"/>
      <c r="AF39" s="261"/>
      <c r="AG39" s="31"/>
      <c r="AH39" s="32"/>
      <c r="AI39" s="42"/>
      <c r="AJ39" s="42"/>
    </row>
    <row r="40" spans="1:36" x14ac:dyDescent="0.25">
      <c r="A40" s="272"/>
      <c r="B40" s="273"/>
      <c r="C40" s="274"/>
      <c r="D40" s="272"/>
      <c r="E40" s="272"/>
      <c r="F40" s="272"/>
      <c r="G40" s="272"/>
      <c r="H40" s="272"/>
      <c r="I40" s="272"/>
      <c r="J40" s="272"/>
      <c r="K40" s="33"/>
      <c r="L40" s="33"/>
      <c r="M40" s="32"/>
      <c r="N40" s="32"/>
      <c r="O40" s="32"/>
      <c r="P40" s="33"/>
      <c r="Q40" s="32"/>
      <c r="R40" s="240"/>
      <c r="S40" s="32"/>
      <c r="T40" s="32"/>
      <c r="U40" s="250"/>
      <c r="V40" s="32"/>
      <c r="W40" s="33"/>
      <c r="X40" s="32"/>
      <c r="Y40" s="42"/>
      <c r="Z40" s="31"/>
      <c r="AA40" s="42"/>
      <c r="AB40" s="42"/>
      <c r="AC40" s="250"/>
      <c r="AD40" s="32"/>
      <c r="AE40" s="282"/>
      <c r="AF40" s="261"/>
      <c r="AG40" s="31"/>
      <c r="AH40" s="32"/>
      <c r="AI40" s="42"/>
      <c r="AJ40" s="42"/>
    </row>
    <row r="41" spans="1:36" x14ac:dyDescent="0.25">
      <c r="A41" s="272"/>
      <c r="B41" s="273"/>
      <c r="C41" s="274"/>
      <c r="D41" s="272"/>
      <c r="E41" s="272"/>
      <c r="F41" s="272"/>
      <c r="G41" s="272"/>
      <c r="H41" s="272"/>
      <c r="I41" s="272"/>
      <c r="J41" s="272"/>
      <c r="K41" s="33"/>
      <c r="L41" s="33"/>
      <c r="M41" s="32"/>
      <c r="N41" s="32"/>
      <c r="O41" s="32"/>
      <c r="P41" s="33"/>
      <c r="Q41" s="32"/>
      <c r="R41" s="240"/>
      <c r="S41" s="32"/>
      <c r="T41" s="32"/>
      <c r="U41" s="250"/>
      <c r="V41" s="32"/>
      <c r="W41" s="33"/>
      <c r="X41" s="32"/>
      <c r="Y41" s="42"/>
      <c r="Z41" s="31"/>
      <c r="AA41" s="42"/>
      <c r="AB41" s="42"/>
      <c r="AC41" s="250"/>
      <c r="AD41" s="32"/>
      <c r="AE41" s="282"/>
      <c r="AF41" s="261"/>
      <c r="AG41" s="31"/>
      <c r="AH41" s="32"/>
      <c r="AI41" s="42"/>
      <c r="AJ41" s="42"/>
    </row>
    <row r="42" spans="1:36" x14ac:dyDescent="0.25">
      <c r="A42" s="272"/>
      <c r="B42" s="273"/>
      <c r="C42" s="274"/>
      <c r="D42" s="272"/>
      <c r="E42" s="272"/>
      <c r="F42" s="272"/>
      <c r="G42" s="272"/>
      <c r="H42" s="272"/>
      <c r="I42" s="272"/>
      <c r="J42" s="272"/>
      <c r="K42" s="33"/>
      <c r="L42" s="33"/>
      <c r="M42" s="32"/>
      <c r="N42" s="32"/>
      <c r="O42" s="32"/>
      <c r="P42" s="33"/>
      <c r="Q42" s="32"/>
      <c r="R42" s="240"/>
      <c r="S42" s="32"/>
      <c r="T42" s="32"/>
      <c r="U42" s="250"/>
      <c r="V42" s="32"/>
      <c r="W42" s="33"/>
      <c r="X42" s="32"/>
      <c r="Y42" s="42"/>
      <c r="Z42" s="31"/>
      <c r="AA42" s="42"/>
      <c r="AB42" s="42"/>
      <c r="AC42" s="250"/>
      <c r="AD42" s="32"/>
      <c r="AE42" s="282"/>
      <c r="AF42" s="261"/>
      <c r="AG42" s="31"/>
      <c r="AH42" s="32"/>
      <c r="AI42" s="42"/>
      <c r="AJ42" s="42"/>
    </row>
    <row r="43" spans="1:36" x14ac:dyDescent="0.25">
      <c r="A43" s="272"/>
      <c r="B43" s="273"/>
      <c r="C43" s="274"/>
      <c r="D43" s="272"/>
      <c r="E43" s="272"/>
      <c r="F43" s="272"/>
      <c r="G43" s="272"/>
      <c r="H43" s="272"/>
      <c r="I43" s="272"/>
      <c r="J43" s="272"/>
      <c r="K43" s="33"/>
      <c r="L43" s="33"/>
      <c r="M43" s="32"/>
      <c r="N43" s="32"/>
      <c r="O43" s="32"/>
      <c r="P43" s="33"/>
      <c r="Q43" s="32"/>
      <c r="R43" s="240"/>
      <c r="S43" s="32"/>
      <c r="T43" s="32"/>
      <c r="U43" s="250"/>
      <c r="V43" s="32"/>
      <c r="W43" s="33"/>
      <c r="X43" s="32"/>
      <c r="Y43" s="42"/>
      <c r="Z43" s="31"/>
      <c r="AA43" s="42"/>
      <c r="AB43" s="42"/>
      <c r="AC43" s="250"/>
      <c r="AD43" s="32"/>
      <c r="AE43" s="282"/>
      <c r="AF43" s="261"/>
      <c r="AG43" s="31"/>
      <c r="AH43" s="32"/>
      <c r="AI43" s="42"/>
      <c r="AJ43" s="42"/>
    </row>
    <row r="44" spans="1:36" x14ac:dyDescent="0.25">
      <c r="A44" s="272"/>
      <c r="B44" s="273"/>
      <c r="C44" s="274"/>
      <c r="D44" s="272"/>
      <c r="E44" s="272"/>
      <c r="F44" s="272"/>
      <c r="G44" s="272"/>
      <c r="H44" s="272"/>
      <c r="I44" s="272"/>
      <c r="J44" s="272"/>
      <c r="K44" s="33"/>
      <c r="L44" s="33"/>
      <c r="M44" s="32"/>
      <c r="N44" s="32"/>
      <c r="O44" s="32"/>
      <c r="P44" s="33"/>
      <c r="Q44" s="32"/>
      <c r="R44" s="240"/>
      <c r="S44" s="32"/>
      <c r="T44" s="32"/>
      <c r="U44" s="250"/>
      <c r="V44" s="32"/>
      <c r="W44" s="33"/>
      <c r="X44" s="32"/>
      <c r="Y44" s="42"/>
      <c r="Z44" s="31"/>
      <c r="AA44" s="42"/>
      <c r="AB44" s="42"/>
      <c r="AC44" s="250"/>
      <c r="AD44" s="32"/>
      <c r="AE44" s="282"/>
      <c r="AF44" s="261"/>
      <c r="AG44" s="31"/>
      <c r="AH44" s="32"/>
      <c r="AI44" s="42"/>
      <c r="AJ44" s="42"/>
    </row>
    <row r="45" spans="1:36" x14ac:dyDescent="0.25">
      <c r="A45" s="272"/>
      <c r="B45" s="273"/>
      <c r="C45" s="274"/>
      <c r="D45" s="272"/>
      <c r="E45" s="272"/>
      <c r="F45" s="272"/>
      <c r="G45" s="272"/>
      <c r="H45" s="272"/>
      <c r="I45" s="272"/>
      <c r="J45" s="272"/>
      <c r="K45" s="33"/>
      <c r="L45" s="33"/>
      <c r="M45" s="32"/>
      <c r="N45" s="32"/>
      <c r="O45" s="32"/>
      <c r="P45" s="33"/>
      <c r="Q45" s="32"/>
      <c r="R45" s="240"/>
      <c r="S45" s="32"/>
      <c r="T45" s="32"/>
      <c r="U45" s="250"/>
      <c r="V45" s="32"/>
      <c r="W45" s="33"/>
      <c r="X45" s="32"/>
      <c r="Y45" s="42"/>
      <c r="Z45" s="31"/>
      <c r="AA45" s="42"/>
      <c r="AB45" s="42"/>
      <c r="AC45" s="250"/>
      <c r="AD45" s="32"/>
      <c r="AE45" s="282"/>
      <c r="AF45" s="261"/>
      <c r="AG45" s="31"/>
      <c r="AH45" s="32"/>
      <c r="AI45" s="42"/>
      <c r="AJ45" s="42"/>
    </row>
    <row r="46" spans="1:36" x14ac:dyDescent="0.25">
      <c r="A46" s="272"/>
      <c r="B46" s="273"/>
      <c r="C46" s="274"/>
      <c r="D46" s="272"/>
      <c r="E46" s="272"/>
      <c r="F46" s="272"/>
      <c r="G46" s="272"/>
      <c r="H46" s="272"/>
      <c r="I46" s="272"/>
      <c r="J46" s="272"/>
      <c r="K46" s="33"/>
      <c r="L46" s="33"/>
      <c r="M46" s="32"/>
      <c r="N46" s="32"/>
      <c r="O46" s="32"/>
      <c r="P46" s="33"/>
      <c r="Q46" s="32"/>
      <c r="R46" s="240"/>
      <c r="S46" s="32"/>
      <c r="T46" s="32"/>
      <c r="U46" s="250"/>
      <c r="V46" s="32"/>
      <c r="W46" s="33"/>
      <c r="X46" s="32"/>
      <c r="Y46" s="42"/>
      <c r="Z46" s="31"/>
      <c r="AA46" s="42"/>
      <c r="AB46" s="42"/>
      <c r="AC46" s="250"/>
      <c r="AD46" s="32"/>
      <c r="AE46" s="282"/>
      <c r="AF46" s="261"/>
      <c r="AG46" s="31"/>
      <c r="AH46" s="32"/>
      <c r="AI46" s="42"/>
      <c r="AJ46" s="42"/>
    </row>
    <row r="47" spans="1:36" x14ac:dyDescent="0.25">
      <c r="A47" s="272"/>
      <c r="B47" s="273"/>
      <c r="C47" s="274"/>
      <c r="D47" s="272"/>
      <c r="E47" s="272"/>
      <c r="F47" s="272"/>
      <c r="G47" s="272"/>
      <c r="H47" s="272"/>
      <c r="I47" s="272"/>
      <c r="J47" s="272"/>
      <c r="K47" s="33"/>
      <c r="L47" s="33"/>
      <c r="M47" s="32"/>
      <c r="N47" s="32"/>
      <c r="O47" s="32"/>
      <c r="P47" s="33"/>
      <c r="Q47" s="32"/>
      <c r="R47" s="240"/>
      <c r="S47" s="32"/>
      <c r="T47" s="32"/>
      <c r="U47" s="250"/>
      <c r="V47" s="32"/>
      <c r="W47" s="33"/>
      <c r="X47" s="32"/>
      <c r="Y47" s="42"/>
      <c r="Z47" s="31"/>
      <c r="AA47" s="42"/>
      <c r="AB47" s="42"/>
      <c r="AC47" s="250"/>
      <c r="AD47" s="32"/>
      <c r="AE47" s="282"/>
      <c r="AF47" s="261"/>
      <c r="AG47" s="31"/>
      <c r="AH47" s="32"/>
      <c r="AI47" s="42"/>
      <c r="AJ47" s="42"/>
    </row>
    <row r="48" spans="1:36" x14ac:dyDescent="0.25">
      <c r="A48" s="272"/>
      <c r="B48" s="273"/>
      <c r="C48" s="274"/>
      <c r="D48" s="272"/>
      <c r="E48" s="272"/>
      <c r="F48" s="272"/>
      <c r="G48" s="272"/>
      <c r="H48" s="272"/>
      <c r="I48" s="272"/>
      <c r="J48" s="272"/>
      <c r="K48" s="33"/>
      <c r="L48" s="33"/>
      <c r="M48" s="32"/>
      <c r="N48" s="32"/>
      <c r="O48" s="32"/>
      <c r="P48" s="33"/>
      <c r="Q48" s="32"/>
      <c r="R48" s="240"/>
      <c r="S48" s="32"/>
      <c r="T48" s="32"/>
      <c r="U48" s="250"/>
      <c r="V48" s="32"/>
      <c r="W48" s="33"/>
      <c r="X48" s="32"/>
      <c r="Y48" s="42"/>
      <c r="Z48" s="31"/>
      <c r="AA48" s="42"/>
      <c r="AB48" s="42"/>
      <c r="AC48" s="250"/>
      <c r="AD48" s="32"/>
      <c r="AE48" s="282"/>
      <c r="AF48" s="261"/>
      <c r="AG48" s="31"/>
      <c r="AH48" s="32"/>
      <c r="AI48" s="42"/>
      <c r="AJ48" s="42"/>
    </row>
    <row r="49" spans="1:36" x14ac:dyDescent="0.25">
      <c r="A49" s="272"/>
      <c r="B49" s="273"/>
      <c r="C49" s="274"/>
      <c r="D49" s="272"/>
      <c r="E49" s="272"/>
      <c r="F49" s="272"/>
      <c r="G49" s="272"/>
      <c r="H49" s="272"/>
      <c r="I49" s="272"/>
      <c r="J49" s="272"/>
      <c r="K49" s="33"/>
      <c r="L49" s="33"/>
      <c r="M49" s="32"/>
      <c r="N49" s="32"/>
      <c r="O49" s="32"/>
      <c r="P49" s="33"/>
      <c r="Q49" s="32"/>
      <c r="R49" s="240"/>
      <c r="S49" s="32"/>
      <c r="T49" s="32"/>
      <c r="U49" s="250"/>
      <c r="V49" s="32"/>
      <c r="W49" s="33"/>
      <c r="X49" s="32"/>
      <c r="Y49" s="42"/>
      <c r="Z49" s="31"/>
      <c r="AA49" s="42"/>
      <c r="AB49" s="42"/>
      <c r="AC49" s="250"/>
      <c r="AD49" s="32"/>
      <c r="AE49" s="282"/>
      <c r="AF49" s="261"/>
      <c r="AG49" s="31"/>
      <c r="AH49" s="32"/>
      <c r="AI49" s="42"/>
      <c r="AJ49" s="42"/>
    </row>
    <row r="50" spans="1:36" x14ac:dyDescent="0.25">
      <c r="A50" s="272"/>
      <c r="B50" s="273"/>
      <c r="C50" s="274"/>
      <c r="D50" s="272"/>
      <c r="E50" s="272"/>
      <c r="F50" s="272"/>
      <c r="G50" s="272"/>
      <c r="H50" s="272"/>
      <c r="I50" s="272"/>
      <c r="J50" s="272"/>
      <c r="K50" s="33"/>
      <c r="L50" s="33"/>
      <c r="M50" s="32"/>
      <c r="N50" s="32"/>
      <c r="O50" s="32"/>
      <c r="P50" s="33"/>
      <c r="Q50" s="32"/>
      <c r="R50" s="240"/>
      <c r="S50" s="32"/>
      <c r="T50" s="32"/>
      <c r="U50" s="250"/>
      <c r="V50" s="32"/>
      <c r="W50" s="33"/>
      <c r="X50" s="32"/>
      <c r="Y50" s="42"/>
      <c r="Z50" s="31"/>
      <c r="AA50" s="42"/>
      <c r="AB50" s="42"/>
      <c r="AC50" s="250"/>
      <c r="AD50" s="32"/>
      <c r="AE50" s="282"/>
      <c r="AF50" s="261"/>
      <c r="AG50" s="31"/>
      <c r="AH50" s="32"/>
      <c r="AI50" s="42"/>
      <c r="AJ50" s="42"/>
    </row>
    <row r="51" spans="1:36" x14ac:dyDescent="0.25">
      <c r="A51" s="272"/>
      <c r="B51" s="273"/>
      <c r="C51" s="274"/>
      <c r="D51" s="272"/>
      <c r="E51" s="272"/>
      <c r="F51" s="272"/>
      <c r="G51" s="272"/>
      <c r="H51" s="272"/>
      <c r="I51" s="272"/>
      <c r="J51" s="272"/>
      <c r="K51" s="33"/>
      <c r="L51" s="33"/>
      <c r="M51" s="32"/>
      <c r="N51" s="32"/>
      <c r="O51" s="32"/>
      <c r="P51" s="33"/>
      <c r="Q51" s="32"/>
      <c r="R51" s="240"/>
      <c r="S51" s="32"/>
      <c r="T51" s="32"/>
      <c r="U51" s="250"/>
      <c r="V51" s="32"/>
      <c r="W51" s="33"/>
      <c r="X51" s="32"/>
      <c r="Y51" s="42"/>
      <c r="Z51" s="31"/>
      <c r="AA51" s="42"/>
      <c r="AB51" s="42"/>
      <c r="AC51" s="250"/>
      <c r="AD51" s="32"/>
      <c r="AE51" s="282"/>
      <c r="AF51" s="261"/>
      <c r="AG51" s="31"/>
      <c r="AH51" s="32"/>
      <c r="AI51" s="42"/>
      <c r="AJ51" s="42"/>
    </row>
    <row r="52" spans="1:36" x14ac:dyDescent="0.25">
      <c r="A52" s="272"/>
      <c r="B52" s="273"/>
      <c r="C52" s="274"/>
      <c r="D52" s="272"/>
      <c r="E52" s="272"/>
      <c r="F52" s="272"/>
      <c r="G52" s="272"/>
      <c r="H52" s="272"/>
      <c r="I52" s="272"/>
      <c r="J52" s="272"/>
      <c r="K52" s="33"/>
      <c r="L52" s="33"/>
      <c r="M52" s="32"/>
      <c r="N52" s="32"/>
      <c r="O52" s="32"/>
      <c r="P52" s="33"/>
      <c r="Q52" s="32"/>
      <c r="R52" s="240"/>
      <c r="S52" s="32"/>
      <c r="T52" s="32"/>
      <c r="U52" s="250"/>
      <c r="V52" s="32"/>
      <c r="W52" s="33"/>
      <c r="X52" s="32"/>
      <c r="Y52" s="42"/>
      <c r="Z52" s="31"/>
      <c r="AA52" s="42"/>
      <c r="AB52" s="42"/>
      <c r="AC52" s="250"/>
      <c r="AD52" s="32"/>
      <c r="AE52" s="282"/>
      <c r="AF52" s="261"/>
      <c r="AG52" s="31"/>
      <c r="AH52" s="32"/>
      <c r="AI52" s="42"/>
      <c r="AJ52" s="42"/>
    </row>
    <row r="53" spans="1:36" x14ac:dyDescent="0.25">
      <c r="A53" s="272"/>
      <c r="B53" s="273"/>
      <c r="C53" s="274"/>
      <c r="D53" s="272"/>
      <c r="E53" s="272"/>
      <c r="F53" s="272"/>
      <c r="G53" s="272"/>
      <c r="H53" s="272"/>
      <c r="I53" s="272"/>
      <c r="J53" s="272"/>
      <c r="K53" s="33"/>
      <c r="L53" s="33"/>
      <c r="M53" s="32"/>
      <c r="N53" s="32"/>
      <c r="O53" s="32"/>
      <c r="P53" s="33"/>
      <c r="Q53" s="32"/>
      <c r="R53" s="240"/>
      <c r="S53" s="32"/>
      <c r="T53" s="32"/>
      <c r="U53" s="250"/>
      <c r="V53" s="32"/>
      <c r="W53" s="33"/>
      <c r="X53" s="32"/>
      <c r="Y53" s="42"/>
      <c r="Z53" s="31"/>
      <c r="AA53" s="42"/>
      <c r="AB53" s="42"/>
      <c r="AC53" s="250"/>
      <c r="AD53" s="32"/>
      <c r="AE53" s="282"/>
      <c r="AF53" s="261"/>
      <c r="AG53" s="31"/>
      <c r="AH53" s="32"/>
      <c r="AI53" s="42"/>
      <c r="AJ53" s="42"/>
    </row>
    <row r="54" spans="1:36" x14ac:dyDescent="0.25">
      <c r="A54" s="272"/>
      <c r="B54" s="273"/>
      <c r="C54" s="274"/>
      <c r="D54" s="272"/>
      <c r="E54" s="272"/>
      <c r="F54" s="272"/>
      <c r="G54" s="272"/>
      <c r="H54" s="272"/>
      <c r="I54" s="272"/>
      <c r="J54" s="272"/>
      <c r="K54" s="33"/>
      <c r="L54" s="33"/>
      <c r="M54" s="32"/>
      <c r="N54" s="32"/>
      <c r="O54" s="32"/>
      <c r="P54" s="33"/>
      <c r="Q54" s="32"/>
      <c r="R54" s="240"/>
      <c r="S54" s="32"/>
      <c r="T54" s="32"/>
      <c r="U54" s="250"/>
      <c r="V54" s="32"/>
      <c r="W54" s="33"/>
      <c r="X54" s="32"/>
      <c r="Y54" s="42"/>
      <c r="Z54" s="31"/>
      <c r="AA54" s="42"/>
      <c r="AB54" s="42"/>
      <c r="AC54" s="250"/>
      <c r="AD54" s="32"/>
      <c r="AE54" s="282"/>
      <c r="AF54" s="261"/>
      <c r="AG54" s="31"/>
      <c r="AH54" s="32"/>
      <c r="AI54" s="42"/>
      <c r="AJ54" s="42"/>
    </row>
    <row r="55" spans="1:36" x14ac:dyDescent="0.25">
      <c r="A55" s="272"/>
      <c r="B55" s="273"/>
      <c r="C55" s="274"/>
      <c r="D55" s="272"/>
      <c r="E55" s="272"/>
      <c r="F55" s="272"/>
      <c r="G55" s="272"/>
      <c r="H55" s="272"/>
      <c r="I55" s="272"/>
      <c r="J55" s="272"/>
      <c r="K55" s="33"/>
      <c r="L55" s="33"/>
      <c r="M55" s="32"/>
      <c r="N55" s="32"/>
      <c r="O55" s="32"/>
      <c r="P55" s="33"/>
      <c r="Q55" s="32"/>
      <c r="R55" s="240"/>
      <c r="S55" s="32"/>
      <c r="T55" s="32"/>
      <c r="U55" s="250"/>
      <c r="V55" s="32"/>
      <c r="W55" s="33"/>
      <c r="X55" s="32"/>
      <c r="Y55" s="42"/>
      <c r="Z55" s="31"/>
      <c r="AA55" s="42"/>
      <c r="AB55" s="42"/>
      <c r="AC55" s="250"/>
      <c r="AD55" s="32"/>
      <c r="AE55" s="282"/>
      <c r="AF55" s="261"/>
      <c r="AG55" s="31"/>
      <c r="AH55" s="32"/>
      <c r="AI55" s="42"/>
      <c r="AJ55" s="42"/>
    </row>
    <row r="56" spans="1:36" x14ac:dyDescent="0.25">
      <c r="A56" s="272"/>
      <c r="B56" s="273"/>
      <c r="C56" s="274"/>
      <c r="D56" s="272"/>
      <c r="E56" s="272"/>
      <c r="F56" s="272"/>
      <c r="G56" s="272"/>
      <c r="H56" s="272"/>
      <c r="I56" s="272"/>
      <c r="J56" s="272"/>
      <c r="K56" s="33"/>
      <c r="L56" s="33"/>
      <c r="M56" s="32"/>
      <c r="N56" s="32"/>
      <c r="O56" s="32"/>
      <c r="P56" s="33"/>
      <c r="Q56" s="32"/>
      <c r="R56" s="240"/>
      <c r="S56" s="32"/>
      <c r="T56" s="32"/>
      <c r="U56" s="250"/>
      <c r="V56" s="32"/>
      <c r="W56" s="33"/>
      <c r="X56" s="32"/>
      <c r="Y56" s="42"/>
      <c r="Z56" s="31"/>
      <c r="AA56" s="42"/>
      <c r="AB56" s="42"/>
      <c r="AC56" s="250"/>
      <c r="AD56" s="32"/>
      <c r="AE56" s="282"/>
      <c r="AF56" s="261"/>
      <c r="AG56" s="31"/>
      <c r="AH56" s="32"/>
      <c r="AI56" s="42"/>
      <c r="AJ56" s="42"/>
    </row>
    <row r="57" spans="1:36" x14ac:dyDescent="0.25">
      <c r="A57" s="272"/>
      <c r="B57" s="273"/>
      <c r="C57" s="274"/>
      <c r="D57" s="272"/>
      <c r="E57" s="272"/>
      <c r="F57" s="272"/>
      <c r="G57" s="272"/>
      <c r="H57" s="272"/>
      <c r="I57" s="272"/>
      <c r="J57" s="272"/>
      <c r="K57" s="33"/>
      <c r="L57" s="33"/>
      <c r="M57" s="32"/>
      <c r="N57" s="32"/>
      <c r="O57" s="32"/>
      <c r="P57" s="33"/>
      <c r="Q57" s="32"/>
      <c r="R57" s="240"/>
      <c r="S57" s="32"/>
      <c r="T57" s="32"/>
      <c r="U57" s="250"/>
      <c r="V57" s="32"/>
      <c r="W57" s="33"/>
      <c r="X57" s="32"/>
      <c r="Y57" s="42"/>
      <c r="Z57" s="31"/>
      <c r="AA57" s="42"/>
      <c r="AB57" s="42"/>
      <c r="AC57" s="250"/>
      <c r="AD57" s="32"/>
      <c r="AE57" s="282"/>
      <c r="AF57" s="261"/>
      <c r="AG57" s="31"/>
      <c r="AH57" s="32"/>
      <c r="AI57" s="42"/>
      <c r="AJ57" s="42"/>
    </row>
    <row r="58" spans="1:36" x14ac:dyDescent="0.25">
      <c r="A58" s="272"/>
      <c r="B58" s="273"/>
      <c r="C58" s="274"/>
      <c r="D58" s="272"/>
      <c r="E58" s="272"/>
      <c r="F58" s="272"/>
      <c r="G58" s="272"/>
      <c r="H58" s="272"/>
      <c r="I58" s="272"/>
      <c r="J58" s="272"/>
      <c r="K58" s="33"/>
      <c r="L58" s="33"/>
      <c r="M58" s="32"/>
      <c r="N58" s="32"/>
      <c r="O58" s="32"/>
      <c r="P58" s="33"/>
      <c r="Q58" s="32"/>
      <c r="R58" s="240"/>
      <c r="S58" s="32"/>
      <c r="T58" s="32"/>
      <c r="U58" s="250"/>
      <c r="V58" s="32"/>
      <c r="W58" s="33"/>
      <c r="X58" s="32"/>
      <c r="Y58" s="42"/>
      <c r="Z58" s="31"/>
      <c r="AA58" s="42"/>
      <c r="AB58" s="42"/>
      <c r="AC58" s="250"/>
      <c r="AD58" s="32"/>
      <c r="AE58" s="282"/>
      <c r="AF58" s="261"/>
      <c r="AG58" s="31"/>
      <c r="AH58" s="32"/>
      <c r="AI58" s="42"/>
      <c r="AJ58" s="42"/>
    </row>
    <row r="59" spans="1:36" x14ac:dyDescent="0.25">
      <c r="A59" s="272"/>
      <c r="B59" s="273"/>
      <c r="C59" s="274"/>
      <c r="D59" s="272"/>
      <c r="E59" s="272"/>
      <c r="F59" s="272"/>
      <c r="G59" s="272"/>
      <c r="H59" s="272"/>
      <c r="I59" s="272"/>
      <c r="J59" s="272"/>
      <c r="K59" s="33"/>
      <c r="L59" s="33"/>
      <c r="M59" s="32"/>
      <c r="N59" s="32"/>
      <c r="O59" s="32"/>
      <c r="P59" s="33"/>
      <c r="Q59" s="32"/>
      <c r="R59" s="240"/>
      <c r="S59" s="32"/>
      <c r="T59" s="32"/>
      <c r="U59" s="250"/>
      <c r="V59" s="32"/>
      <c r="W59" s="33"/>
      <c r="X59" s="32"/>
      <c r="Y59" s="42"/>
      <c r="Z59" s="31"/>
      <c r="AA59" s="42"/>
      <c r="AB59" s="42"/>
      <c r="AC59" s="250"/>
      <c r="AD59" s="32"/>
      <c r="AE59" s="282"/>
      <c r="AF59" s="261"/>
      <c r="AG59" s="31"/>
      <c r="AH59" s="32"/>
      <c r="AI59" s="42"/>
      <c r="AJ59" s="42"/>
    </row>
    <row r="60" spans="1:36" x14ac:dyDescent="0.25">
      <c r="A60" s="272"/>
      <c r="B60" s="273"/>
      <c r="C60" s="274"/>
      <c r="D60" s="272"/>
      <c r="E60" s="272"/>
      <c r="F60" s="272"/>
      <c r="G60" s="272"/>
      <c r="H60" s="272"/>
      <c r="I60" s="272"/>
      <c r="J60" s="272"/>
      <c r="K60" s="33"/>
      <c r="L60" s="33"/>
      <c r="M60" s="32"/>
      <c r="N60" s="32"/>
      <c r="O60" s="32"/>
      <c r="P60" s="33"/>
      <c r="Q60" s="32"/>
      <c r="R60" s="240"/>
      <c r="S60" s="32"/>
      <c r="T60" s="32"/>
      <c r="U60" s="250"/>
      <c r="V60" s="32"/>
      <c r="W60" s="33"/>
      <c r="X60" s="32"/>
      <c r="Y60" s="42"/>
      <c r="Z60" s="31"/>
      <c r="AA60" s="42"/>
      <c r="AB60" s="42"/>
      <c r="AC60" s="250"/>
      <c r="AD60" s="32"/>
      <c r="AE60" s="282"/>
      <c r="AF60" s="261"/>
      <c r="AG60" s="31"/>
      <c r="AH60" s="32"/>
      <c r="AI60" s="42"/>
      <c r="AJ60" s="42"/>
    </row>
    <row r="61" spans="1:36" x14ac:dyDescent="0.25">
      <c r="A61" s="272"/>
      <c r="B61" s="273"/>
      <c r="C61" s="274"/>
      <c r="D61" s="272"/>
      <c r="E61" s="272"/>
      <c r="F61" s="272"/>
      <c r="G61" s="272"/>
      <c r="H61" s="272"/>
      <c r="I61" s="272"/>
      <c r="J61" s="272"/>
      <c r="K61" s="33"/>
      <c r="L61" s="33"/>
      <c r="M61" s="32"/>
      <c r="N61" s="32"/>
      <c r="O61" s="32"/>
      <c r="P61" s="33"/>
      <c r="Q61" s="32"/>
      <c r="R61" s="240"/>
      <c r="S61" s="32"/>
      <c r="T61" s="32"/>
      <c r="U61" s="250"/>
      <c r="V61" s="32"/>
      <c r="W61" s="33"/>
      <c r="X61" s="32"/>
      <c r="Y61" s="42"/>
      <c r="Z61" s="31"/>
      <c r="AA61" s="42"/>
      <c r="AB61" s="42"/>
      <c r="AC61" s="250"/>
      <c r="AD61" s="32"/>
      <c r="AE61" s="282"/>
      <c r="AF61" s="261"/>
      <c r="AG61" s="31"/>
      <c r="AH61" s="32"/>
      <c r="AI61" s="42"/>
      <c r="AJ61" s="42"/>
    </row>
    <row r="62" spans="1:36" x14ac:dyDescent="0.25">
      <c r="A62" s="272"/>
      <c r="B62" s="273"/>
      <c r="C62" s="274"/>
      <c r="D62" s="272"/>
      <c r="E62" s="272"/>
      <c r="F62" s="272"/>
      <c r="G62" s="272"/>
      <c r="H62" s="272"/>
      <c r="I62" s="272"/>
      <c r="J62" s="272"/>
      <c r="K62" s="33"/>
      <c r="L62" s="33"/>
      <c r="M62" s="32"/>
      <c r="N62" s="32"/>
      <c r="O62" s="32"/>
      <c r="P62" s="33"/>
      <c r="Q62" s="32"/>
      <c r="R62" s="240"/>
      <c r="S62" s="32"/>
      <c r="T62" s="32"/>
      <c r="U62" s="250"/>
      <c r="V62" s="32"/>
      <c r="W62" s="33"/>
      <c r="X62" s="32"/>
      <c r="Y62" s="42"/>
      <c r="Z62" s="31"/>
      <c r="AA62" s="42"/>
      <c r="AB62" s="42"/>
      <c r="AC62" s="250"/>
      <c r="AD62" s="32"/>
      <c r="AE62" s="282"/>
      <c r="AF62" s="261"/>
      <c r="AG62" s="31"/>
      <c r="AH62" s="32"/>
      <c r="AI62" s="42"/>
      <c r="AJ62" s="42"/>
    </row>
    <row r="63" spans="1:36" x14ac:dyDescent="0.25">
      <c r="A63" s="272"/>
      <c r="B63" s="273"/>
      <c r="C63" s="274"/>
      <c r="D63" s="272"/>
      <c r="E63" s="272"/>
      <c r="F63" s="272"/>
      <c r="G63" s="272"/>
      <c r="H63" s="272"/>
      <c r="I63" s="272"/>
      <c r="J63" s="272"/>
      <c r="K63" s="33"/>
      <c r="L63" s="33"/>
      <c r="M63" s="32"/>
      <c r="N63" s="32"/>
      <c r="O63" s="32"/>
      <c r="P63" s="33"/>
      <c r="Q63" s="32"/>
      <c r="R63" s="240"/>
      <c r="S63" s="32"/>
      <c r="T63" s="32"/>
      <c r="U63" s="250"/>
      <c r="V63" s="32"/>
      <c r="W63" s="33"/>
      <c r="X63" s="32"/>
      <c r="Y63" s="42"/>
      <c r="Z63" s="31"/>
      <c r="AA63" s="42"/>
      <c r="AB63" s="42"/>
      <c r="AC63" s="250"/>
      <c r="AD63" s="32"/>
      <c r="AE63" s="282"/>
      <c r="AF63" s="261"/>
      <c r="AG63" s="31"/>
      <c r="AH63" s="32"/>
      <c r="AI63" s="42"/>
      <c r="AJ63" s="42"/>
    </row>
    <row r="64" spans="1:36" x14ac:dyDescent="0.25">
      <c r="A64" s="272"/>
      <c r="B64" s="273"/>
      <c r="C64" s="274"/>
      <c r="D64" s="272"/>
      <c r="E64" s="272"/>
      <c r="F64" s="272"/>
      <c r="G64" s="272"/>
      <c r="H64" s="272"/>
      <c r="I64" s="272"/>
      <c r="J64" s="272"/>
      <c r="K64" s="33"/>
      <c r="L64" s="33"/>
      <c r="M64" s="32"/>
      <c r="N64" s="32"/>
      <c r="O64" s="32"/>
      <c r="P64" s="33"/>
      <c r="Q64" s="32"/>
      <c r="R64" s="240"/>
      <c r="S64" s="32"/>
      <c r="T64" s="32"/>
      <c r="U64" s="250"/>
      <c r="V64" s="32"/>
      <c r="W64" s="33"/>
      <c r="X64" s="32"/>
      <c r="Y64" s="42"/>
      <c r="Z64" s="31"/>
      <c r="AA64" s="42"/>
      <c r="AB64" s="42"/>
      <c r="AC64" s="250"/>
      <c r="AD64" s="32"/>
      <c r="AE64" s="282"/>
      <c r="AF64" s="261"/>
      <c r="AG64" s="31"/>
      <c r="AH64" s="32"/>
      <c r="AI64" s="42"/>
      <c r="AJ64" s="42"/>
    </row>
    <row r="65" spans="1:36" x14ac:dyDescent="0.25">
      <c r="A65" s="272"/>
      <c r="B65" s="273"/>
      <c r="C65" s="274"/>
      <c r="D65" s="272"/>
      <c r="E65" s="272"/>
      <c r="F65" s="272"/>
      <c r="G65" s="272"/>
      <c r="H65" s="272"/>
      <c r="I65" s="272"/>
      <c r="J65" s="272"/>
      <c r="K65" s="33"/>
      <c r="L65" s="33"/>
      <c r="M65" s="32"/>
      <c r="N65" s="32"/>
      <c r="O65" s="32"/>
      <c r="P65" s="33"/>
      <c r="Q65" s="32"/>
      <c r="R65" s="240"/>
      <c r="S65" s="32"/>
      <c r="T65" s="32"/>
      <c r="U65" s="250"/>
      <c r="V65" s="32"/>
      <c r="W65" s="33"/>
      <c r="X65" s="32"/>
      <c r="Y65" s="42"/>
      <c r="Z65" s="31"/>
      <c r="AA65" s="42"/>
      <c r="AB65" s="42"/>
      <c r="AC65" s="250"/>
      <c r="AD65" s="32"/>
      <c r="AE65" s="282"/>
      <c r="AF65" s="261"/>
      <c r="AG65" s="31"/>
      <c r="AH65" s="32"/>
      <c r="AI65" s="42"/>
      <c r="AJ65" s="42"/>
    </row>
    <row r="66" spans="1:36" x14ac:dyDescent="0.25">
      <c r="A66" s="272"/>
      <c r="B66" s="273"/>
      <c r="C66" s="274"/>
      <c r="D66" s="272"/>
      <c r="E66" s="272"/>
      <c r="F66" s="272"/>
      <c r="G66" s="272"/>
      <c r="H66" s="272"/>
      <c r="I66" s="272"/>
      <c r="J66" s="272"/>
      <c r="K66" s="33"/>
      <c r="L66" s="33"/>
      <c r="M66" s="32"/>
      <c r="N66" s="32"/>
      <c r="O66" s="32"/>
      <c r="P66" s="33"/>
      <c r="Q66" s="32"/>
      <c r="R66" s="240"/>
      <c r="S66" s="32"/>
      <c r="T66" s="32"/>
      <c r="U66" s="250"/>
      <c r="V66" s="32"/>
      <c r="W66" s="33"/>
      <c r="X66" s="32"/>
      <c r="Y66" s="42"/>
      <c r="Z66" s="31"/>
      <c r="AA66" s="42"/>
      <c r="AB66" s="42"/>
      <c r="AC66" s="250"/>
      <c r="AD66" s="32"/>
      <c r="AE66" s="282"/>
      <c r="AF66" s="261"/>
      <c r="AG66" s="31"/>
      <c r="AH66" s="32"/>
      <c r="AI66" s="42"/>
      <c r="AJ66" s="42"/>
    </row>
    <row r="67" spans="1:36" x14ac:dyDescent="0.25">
      <c r="A67" s="272"/>
      <c r="B67" s="273"/>
      <c r="C67" s="274"/>
      <c r="D67" s="272"/>
      <c r="E67" s="272"/>
      <c r="F67" s="272"/>
      <c r="G67" s="272"/>
      <c r="H67" s="272"/>
      <c r="I67" s="272"/>
      <c r="J67" s="272"/>
      <c r="K67" s="33"/>
      <c r="L67" s="33"/>
      <c r="M67" s="32"/>
      <c r="N67" s="32"/>
      <c r="O67" s="32"/>
      <c r="P67" s="33"/>
      <c r="Q67" s="32"/>
      <c r="R67" s="240"/>
      <c r="S67" s="32"/>
      <c r="T67" s="32"/>
      <c r="U67" s="250"/>
      <c r="V67" s="32"/>
      <c r="W67" s="33"/>
      <c r="X67" s="32"/>
      <c r="Y67" s="42"/>
      <c r="Z67" s="31"/>
      <c r="AA67" s="42"/>
      <c r="AB67" s="42"/>
      <c r="AC67" s="250"/>
      <c r="AD67" s="32"/>
      <c r="AE67" s="282"/>
      <c r="AF67" s="261"/>
      <c r="AG67" s="31"/>
      <c r="AH67" s="32"/>
      <c r="AI67" s="42"/>
      <c r="AJ67" s="42"/>
    </row>
    <row r="68" spans="1:36" x14ac:dyDescent="0.25">
      <c r="A68" s="272"/>
      <c r="B68" s="273"/>
      <c r="C68" s="274"/>
      <c r="D68" s="272"/>
      <c r="E68" s="272"/>
      <c r="F68" s="272"/>
      <c r="G68" s="272"/>
      <c r="H68" s="272"/>
      <c r="I68" s="272"/>
      <c r="J68" s="272"/>
      <c r="K68" s="33"/>
      <c r="L68" s="33"/>
      <c r="M68" s="32"/>
      <c r="N68" s="32"/>
      <c r="O68" s="32"/>
      <c r="P68" s="33"/>
      <c r="Q68" s="32"/>
      <c r="R68" s="240"/>
      <c r="S68" s="32"/>
      <c r="T68" s="32"/>
      <c r="U68" s="250"/>
      <c r="V68" s="32"/>
      <c r="W68" s="33"/>
      <c r="X68" s="32"/>
      <c r="Y68" s="42"/>
      <c r="Z68" s="31"/>
      <c r="AA68" s="42"/>
      <c r="AB68" s="42"/>
      <c r="AC68" s="250"/>
      <c r="AD68" s="32"/>
      <c r="AE68" s="282"/>
      <c r="AF68" s="261"/>
      <c r="AG68" s="31"/>
      <c r="AH68" s="32"/>
      <c r="AI68" s="42"/>
      <c r="AJ68" s="42"/>
    </row>
    <row r="69" spans="1:36" x14ac:dyDescent="0.25">
      <c r="A69" s="272"/>
      <c r="B69" s="273"/>
      <c r="C69" s="274"/>
      <c r="D69" s="272"/>
      <c r="E69" s="272"/>
      <c r="F69" s="272"/>
      <c r="G69" s="272"/>
      <c r="H69" s="272"/>
      <c r="I69" s="272"/>
      <c r="J69" s="272"/>
      <c r="K69" s="33"/>
      <c r="L69" s="33"/>
      <c r="M69" s="32"/>
      <c r="N69" s="32"/>
      <c r="O69" s="32"/>
      <c r="P69" s="33"/>
      <c r="Q69" s="32"/>
      <c r="R69" s="240"/>
      <c r="S69" s="32"/>
      <c r="T69" s="32"/>
      <c r="U69" s="250"/>
      <c r="V69" s="32"/>
      <c r="W69" s="33"/>
      <c r="X69" s="32"/>
      <c r="Y69" s="42"/>
      <c r="Z69" s="31"/>
      <c r="AA69" s="42"/>
      <c r="AB69" s="42"/>
      <c r="AC69" s="250"/>
      <c r="AD69" s="32"/>
      <c r="AE69" s="282"/>
      <c r="AF69" s="261"/>
      <c r="AG69" s="31"/>
      <c r="AH69" s="32"/>
      <c r="AI69" s="42"/>
      <c r="AJ69" s="42"/>
    </row>
    <row r="70" spans="1:36" x14ac:dyDescent="0.25">
      <c r="A70" s="272"/>
      <c r="B70" s="273"/>
      <c r="C70" s="274"/>
      <c r="D70" s="272"/>
      <c r="E70" s="272"/>
      <c r="F70" s="272"/>
      <c r="G70" s="272"/>
      <c r="H70" s="272"/>
      <c r="I70" s="272"/>
      <c r="J70" s="272"/>
      <c r="K70" s="33"/>
      <c r="L70" s="33"/>
      <c r="M70" s="32"/>
      <c r="N70" s="32"/>
      <c r="O70" s="32"/>
      <c r="P70" s="33"/>
      <c r="Q70" s="32"/>
      <c r="R70" s="240"/>
      <c r="S70" s="32"/>
      <c r="T70" s="32"/>
      <c r="U70" s="250"/>
      <c r="V70" s="32"/>
      <c r="W70" s="33"/>
      <c r="X70" s="32"/>
      <c r="Y70" s="42"/>
      <c r="Z70" s="31"/>
      <c r="AA70" s="42"/>
      <c r="AB70" s="42"/>
      <c r="AC70" s="250"/>
      <c r="AD70" s="32"/>
      <c r="AE70" s="282"/>
      <c r="AF70" s="261"/>
      <c r="AG70" s="31"/>
      <c r="AH70" s="32"/>
      <c r="AI70" s="42"/>
      <c r="AJ70" s="42"/>
    </row>
    <row r="71" spans="1:36" x14ac:dyDescent="0.25">
      <c r="A71" s="272"/>
      <c r="B71" s="273"/>
      <c r="C71" s="274"/>
      <c r="D71" s="272"/>
      <c r="E71" s="272"/>
      <c r="F71" s="272"/>
      <c r="G71" s="272"/>
      <c r="H71" s="272"/>
      <c r="I71" s="272"/>
      <c r="J71" s="272"/>
      <c r="K71" s="33"/>
      <c r="L71" s="33"/>
      <c r="M71" s="32"/>
      <c r="N71" s="32"/>
      <c r="O71" s="32"/>
      <c r="P71" s="33"/>
      <c r="Q71" s="32"/>
      <c r="R71" s="240"/>
      <c r="S71" s="32"/>
      <c r="T71" s="32"/>
      <c r="U71" s="250"/>
      <c r="V71" s="32"/>
      <c r="W71" s="33"/>
      <c r="X71" s="32"/>
      <c r="Y71" s="42"/>
      <c r="Z71" s="31"/>
      <c r="AA71" s="42"/>
      <c r="AB71" s="42"/>
      <c r="AC71" s="250"/>
      <c r="AD71" s="32"/>
      <c r="AE71" s="282"/>
      <c r="AF71" s="261"/>
      <c r="AG71" s="31"/>
      <c r="AH71" s="32"/>
      <c r="AI71" s="42"/>
      <c r="AJ71" s="42"/>
    </row>
    <row r="72" spans="1:36" x14ac:dyDescent="0.25">
      <c r="A72" s="272"/>
      <c r="B72" s="273"/>
      <c r="C72" s="274"/>
      <c r="D72" s="272"/>
      <c r="E72" s="272"/>
      <c r="F72" s="272"/>
      <c r="G72" s="272"/>
      <c r="H72" s="272"/>
      <c r="I72" s="272"/>
      <c r="J72" s="272"/>
      <c r="K72" s="33"/>
      <c r="L72" s="33"/>
      <c r="M72" s="32"/>
      <c r="N72" s="32"/>
      <c r="O72" s="32"/>
      <c r="P72" s="33"/>
      <c r="Q72" s="32"/>
      <c r="R72" s="240"/>
      <c r="S72" s="32"/>
      <c r="T72" s="32"/>
      <c r="U72" s="250"/>
      <c r="V72" s="32"/>
      <c r="W72" s="33"/>
      <c r="X72" s="32"/>
      <c r="Y72" s="42"/>
      <c r="Z72" s="31"/>
      <c r="AA72" s="42"/>
      <c r="AB72" s="42"/>
      <c r="AC72" s="250"/>
      <c r="AD72" s="32"/>
      <c r="AE72" s="282"/>
      <c r="AF72" s="261"/>
      <c r="AG72" s="31"/>
      <c r="AH72" s="32"/>
      <c r="AI72" s="42"/>
      <c r="AJ72" s="42"/>
    </row>
    <row r="73" spans="1:36" x14ac:dyDescent="0.25">
      <c r="A73" s="272"/>
      <c r="B73" s="273"/>
      <c r="C73" s="274"/>
      <c r="D73" s="272"/>
      <c r="E73" s="272"/>
      <c r="F73" s="272"/>
      <c r="G73" s="272"/>
      <c r="H73" s="272"/>
      <c r="I73" s="272"/>
      <c r="J73" s="272"/>
      <c r="K73" s="33"/>
      <c r="L73" s="33"/>
      <c r="M73" s="32"/>
      <c r="N73" s="32"/>
      <c r="O73" s="32"/>
      <c r="P73" s="33"/>
      <c r="Q73" s="32"/>
      <c r="R73" s="240"/>
      <c r="S73" s="32"/>
      <c r="T73" s="32"/>
      <c r="U73" s="250"/>
      <c r="V73" s="32"/>
      <c r="W73" s="33"/>
      <c r="X73" s="32"/>
      <c r="Y73" s="42"/>
      <c r="Z73" s="31"/>
      <c r="AA73" s="42"/>
      <c r="AB73" s="42"/>
      <c r="AC73" s="250"/>
      <c r="AD73" s="32"/>
      <c r="AE73" s="282"/>
      <c r="AF73" s="261"/>
      <c r="AG73" s="31"/>
      <c r="AH73" s="32"/>
      <c r="AI73" s="42"/>
      <c r="AJ73" s="42"/>
    </row>
    <row r="74" spans="1:36" x14ac:dyDescent="0.25">
      <c r="A74" s="272"/>
      <c r="B74" s="273"/>
      <c r="C74" s="274"/>
      <c r="D74" s="272"/>
      <c r="E74" s="272"/>
      <c r="F74" s="272"/>
      <c r="G74" s="272"/>
      <c r="H74" s="272"/>
      <c r="I74" s="272"/>
      <c r="J74" s="272"/>
      <c r="K74" s="33"/>
      <c r="L74" s="33"/>
      <c r="M74" s="32"/>
      <c r="N74" s="32"/>
      <c r="O74" s="32"/>
      <c r="P74" s="33"/>
      <c r="Q74" s="32"/>
      <c r="R74" s="240"/>
      <c r="S74" s="32"/>
      <c r="T74" s="32"/>
      <c r="U74" s="250"/>
      <c r="V74" s="32"/>
      <c r="W74" s="33"/>
      <c r="X74" s="32"/>
      <c r="Y74" s="42"/>
      <c r="Z74" s="31"/>
      <c r="AA74" s="42"/>
      <c r="AB74" s="42"/>
      <c r="AC74" s="250"/>
      <c r="AD74" s="32"/>
      <c r="AE74" s="282"/>
      <c r="AF74" s="261"/>
      <c r="AG74" s="31"/>
      <c r="AH74" s="32"/>
      <c r="AI74" s="42"/>
      <c r="AJ74" s="42"/>
    </row>
    <row r="75" spans="1:36" x14ac:dyDescent="0.25">
      <c r="A75" s="272"/>
      <c r="B75" s="273"/>
      <c r="C75" s="274"/>
      <c r="D75" s="272"/>
      <c r="E75" s="272"/>
      <c r="F75" s="272"/>
      <c r="G75" s="272"/>
      <c r="H75" s="272"/>
      <c r="I75" s="272"/>
      <c r="J75" s="272"/>
      <c r="K75" s="33"/>
      <c r="L75" s="33"/>
      <c r="M75" s="32"/>
      <c r="N75" s="32"/>
      <c r="O75" s="32"/>
      <c r="P75" s="33"/>
      <c r="Q75" s="32"/>
      <c r="R75" s="240"/>
      <c r="S75" s="32"/>
      <c r="T75" s="32"/>
      <c r="U75" s="250"/>
      <c r="V75" s="32"/>
      <c r="W75" s="33"/>
      <c r="X75" s="32"/>
      <c r="Y75" s="42"/>
      <c r="Z75" s="31"/>
      <c r="AA75" s="42"/>
      <c r="AB75" s="42"/>
      <c r="AC75" s="250"/>
      <c r="AD75" s="32"/>
      <c r="AE75" s="282"/>
      <c r="AF75" s="261"/>
      <c r="AG75" s="31"/>
      <c r="AH75" s="32"/>
      <c r="AI75" s="42"/>
      <c r="AJ75" s="42"/>
    </row>
    <row r="76" spans="1:36" x14ac:dyDescent="0.25">
      <c r="A76" s="272"/>
      <c r="B76" s="273"/>
      <c r="C76" s="274"/>
      <c r="D76" s="272"/>
      <c r="E76" s="272"/>
      <c r="F76" s="272"/>
      <c r="G76" s="272"/>
      <c r="H76" s="272"/>
      <c r="I76" s="272"/>
      <c r="J76" s="272"/>
      <c r="K76" s="33"/>
      <c r="L76" s="33"/>
      <c r="M76" s="32"/>
      <c r="N76" s="32"/>
      <c r="O76" s="32"/>
      <c r="P76" s="33"/>
      <c r="Q76" s="32"/>
      <c r="R76" s="240"/>
      <c r="S76" s="32"/>
      <c r="T76" s="32"/>
      <c r="U76" s="250"/>
      <c r="V76" s="32"/>
      <c r="W76" s="33"/>
      <c r="X76" s="32"/>
      <c r="Y76" s="42"/>
      <c r="Z76" s="31"/>
      <c r="AA76" s="42"/>
      <c r="AB76" s="42"/>
      <c r="AC76" s="250"/>
      <c r="AD76" s="32"/>
      <c r="AE76" s="282"/>
      <c r="AF76" s="261"/>
      <c r="AG76" s="31"/>
      <c r="AH76" s="32"/>
      <c r="AI76" s="42"/>
      <c r="AJ76" s="42"/>
    </row>
    <row r="77" spans="1:36" x14ac:dyDescent="0.25">
      <c r="A77" s="272"/>
      <c r="B77" s="273"/>
      <c r="C77" s="274"/>
      <c r="D77" s="272"/>
      <c r="E77" s="272"/>
      <c r="F77" s="272"/>
      <c r="G77" s="272"/>
      <c r="H77" s="272"/>
      <c r="I77" s="272"/>
      <c r="J77" s="272"/>
      <c r="K77" s="33"/>
      <c r="L77" s="33"/>
      <c r="M77" s="32"/>
      <c r="N77" s="32"/>
      <c r="O77" s="32"/>
      <c r="P77" s="33"/>
      <c r="Q77" s="32"/>
      <c r="R77" s="240"/>
      <c r="S77" s="32"/>
      <c r="T77" s="32"/>
      <c r="U77" s="250"/>
      <c r="V77" s="32"/>
      <c r="W77" s="33"/>
      <c r="X77" s="32"/>
      <c r="Y77" s="42"/>
      <c r="Z77" s="31"/>
      <c r="AA77" s="42"/>
      <c r="AB77" s="42"/>
      <c r="AC77" s="250"/>
      <c r="AD77" s="32"/>
      <c r="AE77" s="282"/>
      <c r="AF77" s="261"/>
      <c r="AG77" s="31"/>
      <c r="AH77" s="32"/>
      <c r="AI77" s="42"/>
      <c r="AJ77" s="42"/>
    </row>
    <row r="78" spans="1:36" x14ac:dyDescent="0.25">
      <c r="A78" s="272"/>
      <c r="B78" s="273"/>
      <c r="C78" s="274"/>
      <c r="D78" s="272"/>
      <c r="E78" s="272"/>
      <c r="F78" s="272"/>
      <c r="G78" s="272"/>
      <c r="H78" s="272"/>
      <c r="I78" s="272"/>
      <c r="J78" s="272"/>
      <c r="K78" s="33"/>
      <c r="L78" s="33"/>
      <c r="M78" s="32"/>
      <c r="N78" s="32"/>
      <c r="O78" s="32"/>
      <c r="P78" s="33"/>
      <c r="Q78" s="32"/>
      <c r="R78" s="240"/>
      <c r="S78" s="32"/>
      <c r="T78" s="32"/>
      <c r="U78" s="250"/>
      <c r="V78" s="32"/>
      <c r="W78" s="33"/>
      <c r="X78" s="32"/>
      <c r="Y78" s="42"/>
      <c r="Z78" s="31"/>
      <c r="AA78" s="42"/>
      <c r="AB78" s="42"/>
      <c r="AC78" s="250"/>
      <c r="AD78" s="32"/>
      <c r="AE78" s="282"/>
      <c r="AF78" s="261"/>
      <c r="AG78" s="31"/>
      <c r="AH78" s="32"/>
      <c r="AI78" s="42"/>
      <c r="AJ78" s="42"/>
    </row>
    <row r="79" spans="1:36" x14ac:dyDescent="0.25">
      <c r="A79" s="272"/>
      <c r="B79" s="273"/>
      <c r="C79" s="274"/>
      <c r="D79" s="272"/>
      <c r="E79" s="272"/>
      <c r="F79" s="272"/>
      <c r="G79" s="272"/>
      <c r="H79" s="272"/>
      <c r="I79" s="272"/>
      <c r="J79" s="272"/>
      <c r="K79" s="33"/>
      <c r="L79" s="33"/>
      <c r="M79" s="32"/>
      <c r="N79" s="32"/>
      <c r="O79" s="32"/>
      <c r="P79" s="33"/>
      <c r="Q79" s="32"/>
      <c r="R79" s="240"/>
      <c r="S79" s="32"/>
      <c r="T79" s="32"/>
      <c r="U79" s="250"/>
      <c r="V79" s="32"/>
      <c r="W79" s="33"/>
      <c r="X79" s="32"/>
      <c r="Y79" s="42"/>
      <c r="Z79" s="31"/>
      <c r="AA79" s="42"/>
      <c r="AB79" s="42"/>
      <c r="AC79" s="250"/>
      <c r="AD79" s="32"/>
      <c r="AE79" s="282"/>
      <c r="AF79" s="261"/>
      <c r="AG79" s="31"/>
      <c r="AH79" s="32"/>
      <c r="AI79" s="42"/>
      <c r="AJ79" s="42"/>
    </row>
    <row r="80" spans="1:36" x14ac:dyDescent="0.25">
      <c r="A80" s="272"/>
      <c r="B80" s="273"/>
      <c r="C80" s="274"/>
      <c r="D80" s="272"/>
      <c r="E80" s="272"/>
      <c r="F80" s="272"/>
      <c r="G80" s="272"/>
      <c r="H80" s="272"/>
      <c r="I80" s="272"/>
      <c r="J80" s="272"/>
      <c r="K80" s="33"/>
      <c r="L80" s="33"/>
      <c r="M80" s="32"/>
      <c r="N80" s="32"/>
      <c r="O80" s="32"/>
      <c r="P80" s="33"/>
      <c r="Q80" s="32"/>
      <c r="R80" s="240"/>
      <c r="S80" s="32"/>
      <c r="T80" s="32"/>
      <c r="U80" s="250"/>
      <c r="V80" s="32"/>
      <c r="W80" s="33"/>
      <c r="X80" s="32"/>
      <c r="Y80" s="42"/>
      <c r="Z80" s="31"/>
      <c r="AA80" s="42"/>
      <c r="AB80" s="42"/>
      <c r="AC80" s="250"/>
      <c r="AD80" s="32"/>
      <c r="AE80" s="282"/>
      <c r="AF80" s="261"/>
      <c r="AG80" s="31"/>
      <c r="AH80" s="32"/>
      <c r="AI80" s="42"/>
      <c r="AJ80" s="42"/>
    </row>
    <row r="81" spans="1:36" x14ac:dyDescent="0.25">
      <c r="A81" s="272"/>
      <c r="B81" s="273"/>
      <c r="C81" s="274"/>
      <c r="D81" s="272"/>
      <c r="E81" s="272"/>
      <c r="F81" s="272"/>
      <c r="G81" s="272"/>
      <c r="H81" s="272"/>
      <c r="I81" s="272"/>
      <c r="J81" s="272"/>
      <c r="K81" s="33"/>
      <c r="L81" s="33"/>
      <c r="M81" s="32"/>
      <c r="N81" s="32"/>
      <c r="O81" s="32"/>
      <c r="P81" s="33"/>
      <c r="Q81" s="32"/>
      <c r="R81" s="240"/>
      <c r="S81" s="32"/>
      <c r="T81" s="32"/>
      <c r="U81" s="250"/>
      <c r="V81" s="32"/>
      <c r="W81" s="33"/>
      <c r="X81" s="32"/>
      <c r="Y81" s="42"/>
      <c r="Z81" s="31"/>
      <c r="AA81" s="42"/>
      <c r="AB81" s="42"/>
      <c r="AC81" s="250"/>
      <c r="AD81" s="32"/>
      <c r="AE81" s="282"/>
      <c r="AF81" s="261"/>
      <c r="AG81" s="31"/>
      <c r="AH81" s="32"/>
      <c r="AI81" s="42"/>
      <c r="AJ81" s="42"/>
    </row>
    <row r="82" spans="1:36" x14ac:dyDescent="0.25">
      <c r="A82" s="272"/>
      <c r="B82" s="273"/>
      <c r="C82" s="274"/>
      <c r="D82" s="272"/>
      <c r="E82" s="272"/>
      <c r="F82" s="272"/>
      <c r="G82" s="272"/>
      <c r="H82" s="272"/>
      <c r="I82" s="272"/>
      <c r="J82" s="272"/>
      <c r="K82" s="33"/>
      <c r="L82" s="33"/>
      <c r="M82" s="32"/>
      <c r="N82" s="32"/>
      <c r="O82" s="32"/>
      <c r="P82" s="33"/>
      <c r="Q82" s="32"/>
      <c r="R82" s="240"/>
      <c r="S82" s="32"/>
      <c r="T82" s="32"/>
      <c r="U82" s="250"/>
      <c r="V82" s="32"/>
      <c r="W82" s="33"/>
      <c r="X82" s="32"/>
      <c r="Y82" s="42"/>
      <c r="Z82" s="31"/>
      <c r="AA82" s="42"/>
      <c r="AB82" s="42"/>
      <c r="AC82" s="250"/>
      <c r="AD82" s="32"/>
      <c r="AE82" s="282"/>
      <c r="AF82" s="261"/>
      <c r="AG82" s="31"/>
      <c r="AH82" s="32"/>
      <c r="AI82" s="42"/>
      <c r="AJ82" s="42"/>
    </row>
    <row r="83" spans="1:36" x14ac:dyDescent="0.25">
      <c r="A83" s="272"/>
      <c r="B83" s="273"/>
      <c r="C83" s="274"/>
      <c r="D83" s="272"/>
      <c r="E83" s="272"/>
      <c r="F83" s="272"/>
      <c r="G83" s="272"/>
      <c r="H83" s="272"/>
      <c r="I83" s="272"/>
      <c r="J83" s="272"/>
      <c r="K83" s="33"/>
      <c r="L83" s="33"/>
      <c r="M83" s="32"/>
      <c r="N83" s="32"/>
      <c r="O83" s="32"/>
      <c r="P83" s="33"/>
      <c r="Q83" s="32"/>
      <c r="R83" s="240"/>
      <c r="S83" s="32"/>
      <c r="T83" s="32"/>
      <c r="U83" s="250"/>
      <c r="V83" s="32"/>
      <c r="W83" s="33"/>
      <c r="X83" s="32"/>
      <c r="Y83" s="42"/>
      <c r="Z83" s="31"/>
      <c r="AA83" s="42"/>
      <c r="AB83" s="42"/>
      <c r="AC83" s="250"/>
      <c r="AD83" s="32"/>
      <c r="AE83" s="282"/>
      <c r="AF83" s="261"/>
      <c r="AG83" s="31"/>
      <c r="AH83" s="32"/>
      <c r="AI83" s="42"/>
      <c r="AJ83" s="42"/>
    </row>
    <row r="84" spans="1:36" x14ac:dyDescent="0.25">
      <c r="A84" s="272"/>
      <c r="B84" s="273"/>
      <c r="C84" s="274"/>
      <c r="D84" s="272"/>
      <c r="E84" s="272"/>
      <c r="F84" s="272"/>
      <c r="G84" s="272"/>
      <c r="H84" s="272"/>
      <c r="I84" s="272"/>
      <c r="J84" s="272"/>
      <c r="K84" s="33"/>
      <c r="L84" s="33"/>
      <c r="M84" s="32"/>
      <c r="N84" s="32"/>
      <c r="O84" s="32"/>
      <c r="P84" s="33"/>
      <c r="Q84" s="32"/>
      <c r="R84" s="240"/>
      <c r="S84" s="32"/>
      <c r="T84" s="32"/>
      <c r="U84" s="250"/>
      <c r="V84" s="32"/>
      <c r="W84" s="33"/>
      <c r="X84" s="32"/>
      <c r="Y84" s="42"/>
      <c r="Z84" s="31"/>
      <c r="AA84" s="42"/>
      <c r="AB84" s="42"/>
      <c r="AC84" s="250"/>
      <c r="AD84" s="32"/>
      <c r="AE84" s="282"/>
      <c r="AF84" s="261"/>
      <c r="AG84" s="31"/>
      <c r="AH84" s="32"/>
      <c r="AI84" s="42"/>
      <c r="AJ84" s="42"/>
    </row>
    <row r="85" spans="1:36" x14ac:dyDescent="0.25">
      <c r="A85" s="272"/>
      <c r="B85" s="273"/>
      <c r="C85" s="274"/>
      <c r="D85" s="272"/>
      <c r="E85" s="272"/>
      <c r="F85" s="272"/>
      <c r="G85" s="272"/>
      <c r="H85" s="272"/>
      <c r="I85" s="272"/>
      <c r="J85" s="272"/>
      <c r="K85" s="33"/>
      <c r="L85" s="33"/>
      <c r="M85" s="32"/>
      <c r="N85" s="32"/>
      <c r="O85" s="32"/>
      <c r="P85" s="33"/>
      <c r="Q85" s="32"/>
      <c r="R85" s="240"/>
      <c r="S85" s="32"/>
      <c r="T85" s="32"/>
      <c r="U85" s="250"/>
      <c r="V85" s="32"/>
      <c r="W85" s="33"/>
      <c r="X85" s="32"/>
      <c r="Y85" s="42"/>
      <c r="Z85" s="31"/>
      <c r="AA85" s="42"/>
      <c r="AB85" s="42"/>
      <c r="AC85" s="250"/>
      <c r="AD85" s="32"/>
      <c r="AE85" s="282"/>
      <c r="AF85" s="261"/>
      <c r="AG85" s="31"/>
      <c r="AH85" s="32"/>
      <c r="AI85" s="42"/>
      <c r="AJ85" s="42"/>
    </row>
    <row r="86" spans="1:36" x14ac:dyDescent="0.25">
      <c r="A86" s="272"/>
      <c r="B86" s="273"/>
      <c r="C86" s="274"/>
      <c r="D86" s="272"/>
      <c r="E86" s="272"/>
      <c r="F86" s="272"/>
      <c r="G86" s="272"/>
      <c r="H86" s="272"/>
      <c r="I86" s="272"/>
      <c r="J86" s="272"/>
      <c r="K86" s="33"/>
      <c r="L86" s="33"/>
      <c r="M86" s="32"/>
      <c r="N86" s="32"/>
      <c r="O86" s="32"/>
      <c r="P86" s="33"/>
      <c r="Q86" s="32"/>
      <c r="R86" s="240"/>
      <c r="S86" s="32"/>
      <c r="T86" s="32"/>
      <c r="U86" s="250"/>
      <c r="V86" s="32"/>
      <c r="W86" s="33"/>
      <c r="X86" s="32"/>
      <c r="Y86" s="42"/>
      <c r="Z86" s="31"/>
      <c r="AA86" s="42"/>
      <c r="AB86" s="42"/>
      <c r="AC86" s="250"/>
      <c r="AD86" s="32"/>
      <c r="AE86" s="282"/>
      <c r="AF86" s="261"/>
      <c r="AG86" s="31"/>
      <c r="AH86" s="32"/>
      <c r="AI86" s="42"/>
      <c r="AJ86" s="42"/>
    </row>
    <row r="87" spans="1:36" x14ac:dyDescent="0.25">
      <c r="A87" s="272"/>
      <c r="B87" s="273"/>
      <c r="C87" s="274"/>
      <c r="D87" s="272"/>
      <c r="E87" s="272"/>
      <c r="F87" s="272"/>
      <c r="G87" s="272"/>
      <c r="H87" s="272"/>
      <c r="I87" s="272"/>
      <c r="J87" s="272"/>
      <c r="K87" s="33"/>
      <c r="L87" s="33"/>
      <c r="M87" s="32"/>
      <c r="N87" s="32"/>
      <c r="O87" s="32"/>
      <c r="P87" s="33"/>
      <c r="Q87" s="32"/>
      <c r="R87" s="240"/>
      <c r="S87" s="32"/>
      <c r="T87" s="32"/>
      <c r="U87" s="250"/>
      <c r="V87" s="32"/>
      <c r="W87" s="33"/>
      <c r="X87" s="32"/>
      <c r="Y87" s="42"/>
      <c r="Z87" s="31"/>
      <c r="AA87" s="42"/>
      <c r="AB87" s="42"/>
      <c r="AC87" s="250"/>
      <c r="AD87" s="32"/>
      <c r="AE87" s="282"/>
      <c r="AF87" s="261"/>
      <c r="AG87" s="31"/>
      <c r="AH87" s="32"/>
      <c r="AI87" s="42"/>
      <c r="AJ87" s="42"/>
    </row>
    <row r="88" spans="1:36" x14ac:dyDescent="0.25">
      <c r="A88" s="272"/>
      <c r="B88" s="273"/>
      <c r="C88" s="274"/>
      <c r="D88" s="272"/>
      <c r="E88" s="272"/>
      <c r="F88" s="272"/>
      <c r="G88" s="272"/>
      <c r="H88" s="272"/>
      <c r="I88" s="272"/>
      <c r="J88" s="272"/>
      <c r="K88" s="33"/>
      <c r="L88" s="33"/>
      <c r="M88" s="32"/>
      <c r="N88" s="32"/>
      <c r="O88" s="32"/>
      <c r="P88" s="33"/>
      <c r="Q88" s="32"/>
      <c r="R88" s="240"/>
      <c r="S88" s="32"/>
      <c r="T88" s="32"/>
      <c r="U88" s="250"/>
      <c r="V88" s="32"/>
      <c r="W88" s="33"/>
      <c r="X88" s="32"/>
      <c r="Y88" s="42"/>
      <c r="Z88" s="31"/>
      <c r="AA88" s="42"/>
      <c r="AB88" s="42"/>
      <c r="AC88" s="250"/>
      <c r="AD88" s="32"/>
      <c r="AE88" s="282"/>
      <c r="AF88" s="261"/>
      <c r="AG88" s="31"/>
      <c r="AH88" s="32"/>
      <c r="AI88" s="42"/>
      <c r="AJ88" s="42"/>
    </row>
    <row r="89" spans="1:36" x14ac:dyDescent="0.25">
      <c r="A89" s="272"/>
      <c r="B89" s="273"/>
      <c r="C89" s="274"/>
      <c r="D89" s="272"/>
      <c r="E89" s="272"/>
      <c r="F89" s="272"/>
      <c r="G89" s="272"/>
      <c r="H89" s="272"/>
      <c r="I89" s="272"/>
      <c r="J89" s="272"/>
      <c r="K89" s="33"/>
      <c r="L89" s="33"/>
      <c r="M89" s="32"/>
      <c r="N89" s="32"/>
      <c r="O89" s="32"/>
      <c r="P89" s="33"/>
      <c r="Q89" s="32"/>
      <c r="R89" s="240"/>
      <c r="S89" s="32"/>
      <c r="T89" s="32"/>
      <c r="U89" s="250"/>
      <c r="V89" s="32"/>
      <c r="W89" s="33"/>
      <c r="X89" s="32"/>
      <c r="Y89" s="42"/>
      <c r="Z89" s="31"/>
      <c r="AA89" s="42"/>
      <c r="AB89" s="42"/>
      <c r="AC89" s="250"/>
      <c r="AD89" s="32"/>
      <c r="AE89" s="282"/>
      <c r="AF89" s="261"/>
      <c r="AG89" s="31"/>
      <c r="AH89" s="32"/>
      <c r="AI89" s="42"/>
      <c r="AJ89" s="42"/>
    </row>
    <row r="90" spans="1:36" x14ac:dyDescent="0.25">
      <c r="A90" s="272"/>
      <c r="B90" s="273"/>
      <c r="C90" s="274"/>
      <c r="D90" s="272"/>
      <c r="E90" s="272"/>
      <c r="F90" s="272"/>
      <c r="G90" s="272"/>
      <c r="H90" s="272"/>
      <c r="I90" s="272"/>
      <c r="J90" s="272"/>
      <c r="K90" s="33"/>
      <c r="L90" s="33"/>
      <c r="M90" s="32"/>
      <c r="N90" s="32"/>
      <c r="O90" s="32"/>
      <c r="P90" s="33"/>
      <c r="Q90" s="32"/>
      <c r="R90" s="240"/>
      <c r="S90" s="32"/>
      <c r="T90" s="32"/>
      <c r="U90" s="250"/>
      <c r="V90" s="32"/>
      <c r="W90" s="33"/>
      <c r="X90" s="32"/>
      <c r="Y90" s="42"/>
      <c r="Z90" s="31"/>
      <c r="AA90" s="42"/>
      <c r="AB90" s="42"/>
      <c r="AC90" s="250"/>
      <c r="AD90" s="32"/>
      <c r="AE90" s="282"/>
      <c r="AF90" s="261"/>
      <c r="AG90" s="31"/>
      <c r="AH90" s="32"/>
      <c r="AI90" s="42"/>
      <c r="AJ90" s="42"/>
    </row>
    <row r="91" spans="1:36" x14ac:dyDescent="0.25">
      <c r="A91" s="272"/>
      <c r="B91" s="273"/>
      <c r="C91" s="274"/>
      <c r="D91" s="272"/>
      <c r="E91" s="272"/>
      <c r="F91" s="272"/>
      <c r="G91" s="272"/>
      <c r="H91" s="272"/>
      <c r="I91" s="272"/>
      <c r="J91" s="272"/>
      <c r="K91" s="33"/>
      <c r="L91" s="33"/>
      <c r="M91" s="32"/>
      <c r="N91" s="32"/>
      <c r="O91" s="32"/>
      <c r="P91" s="33"/>
      <c r="Q91" s="32"/>
      <c r="R91" s="240"/>
      <c r="S91" s="32"/>
      <c r="T91" s="32"/>
      <c r="U91" s="250"/>
      <c r="V91" s="32"/>
      <c r="W91" s="33"/>
      <c r="X91" s="32"/>
      <c r="Y91" s="42"/>
      <c r="Z91" s="31"/>
      <c r="AA91" s="42"/>
      <c r="AB91" s="42"/>
      <c r="AC91" s="250"/>
      <c r="AD91" s="32"/>
      <c r="AE91" s="282"/>
      <c r="AF91" s="261"/>
      <c r="AG91" s="31"/>
      <c r="AH91" s="32"/>
      <c r="AI91" s="42"/>
      <c r="AJ91" s="42"/>
    </row>
    <row r="92" spans="1:36" x14ac:dyDescent="0.25">
      <c r="A92" s="272"/>
      <c r="B92" s="273"/>
      <c r="C92" s="274"/>
      <c r="D92" s="272"/>
      <c r="E92" s="272"/>
      <c r="F92" s="272"/>
      <c r="G92" s="272"/>
      <c r="H92" s="272"/>
      <c r="I92" s="272"/>
      <c r="J92" s="272"/>
      <c r="K92" s="33"/>
      <c r="L92" s="33"/>
      <c r="M92" s="32"/>
      <c r="N92" s="32"/>
      <c r="O92" s="32"/>
      <c r="P92" s="33"/>
      <c r="Q92" s="32"/>
      <c r="R92" s="240"/>
      <c r="S92" s="32"/>
      <c r="T92" s="32"/>
      <c r="U92" s="250"/>
      <c r="V92" s="32"/>
      <c r="W92" s="33"/>
      <c r="X92" s="32"/>
      <c r="Y92" s="42"/>
      <c r="Z92" s="31"/>
      <c r="AA92" s="42"/>
      <c r="AB92" s="42"/>
      <c r="AC92" s="250"/>
      <c r="AD92" s="32"/>
      <c r="AE92" s="282"/>
      <c r="AF92" s="261"/>
      <c r="AG92" s="31"/>
      <c r="AH92" s="32"/>
      <c r="AI92" s="42"/>
      <c r="AJ92" s="42"/>
    </row>
    <row r="93" spans="1:36" x14ac:dyDescent="0.25">
      <c r="A93" s="272"/>
      <c r="B93" s="273"/>
      <c r="C93" s="274"/>
      <c r="D93" s="272"/>
      <c r="E93" s="272"/>
      <c r="F93" s="272"/>
      <c r="G93" s="272"/>
      <c r="H93" s="272"/>
      <c r="I93" s="272"/>
      <c r="J93" s="272"/>
      <c r="K93" s="33"/>
      <c r="L93" s="33"/>
      <c r="M93" s="32"/>
      <c r="N93" s="32"/>
      <c r="O93" s="32"/>
      <c r="P93" s="33"/>
      <c r="Q93" s="32"/>
      <c r="R93" s="240"/>
      <c r="S93" s="32"/>
      <c r="T93" s="32"/>
      <c r="U93" s="250"/>
      <c r="V93" s="32"/>
      <c r="W93" s="33"/>
      <c r="X93" s="32"/>
      <c r="Y93" s="42"/>
      <c r="Z93" s="31"/>
      <c r="AA93" s="42"/>
      <c r="AB93" s="42"/>
      <c r="AC93" s="250"/>
      <c r="AD93" s="32"/>
      <c r="AE93" s="282"/>
      <c r="AF93" s="261"/>
      <c r="AG93" s="31"/>
      <c r="AH93" s="32"/>
      <c r="AI93" s="42"/>
      <c r="AJ93" s="42"/>
    </row>
    <row r="94" spans="1:36" x14ac:dyDescent="0.25">
      <c r="A94" s="272"/>
      <c r="B94" s="273"/>
      <c r="C94" s="274"/>
      <c r="D94" s="272"/>
      <c r="E94" s="272"/>
      <c r="F94" s="272"/>
      <c r="G94" s="272"/>
      <c r="H94" s="272"/>
      <c r="I94" s="272"/>
      <c r="J94" s="272"/>
      <c r="K94" s="33"/>
      <c r="L94" s="33"/>
      <c r="M94" s="32"/>
      <c r="N94" s="32"/>
      <c r="O94" s="32"/>
      <c r="P94" s="33"/>
      <c r="Q94" s="32"/>
      <c r="R94" s="240"/>
      <c r="S94" s="32"/>
      <c r="T94" s="32"/>
      <c r="U94" s="250"/>
      <c r="V94" s="32"/>
      <c r="W94" s="33"/>
      <c r="X94" s="32"/>
      <c r="Y94" s="42"/>
      <c r="Z94" s="31"/>
      <c r="AA94" s="42"/>
      <c r="AB94" s="42"/>
      <c r="AC94" s="250"/>
      <c r="AD94" s="32"/>
      <c r="AE94" s="282"/>
      <c r="AF94" s="261"/>
      <c r="AG94" s="31"/>
      <c r="AH94" s="32"/>
      <c r="AI94" s="42"/>
      <c r="AJ94" s="42"/>
    </row>
    <row r="95" spans="1:36" x14ac:dyDescent="0.25">
      <c r="A95" s="272"/>
      <c r="B95" s="273"/>
      <c r="C95" s="274"/>
      <c r="D95" s="272"/>
      <c r="E95" s="272"/>
      <c r="F95" s="272"/>
      <c r="G95" s="272"/>
      <c r="H95" s="272"/>
      <c r="I95" s="272"/>
      <c r="J95" s="272"/>
      <c r="K95" s="33"/>
      <c r="L95" s="33"/>
      <c r="M95" s="32"/>
      <c r="N95" s="32"/>
      <c r="O95" s="32"/>
      <c r="P95" s="33"/>
      <c r="Q95" s="32"/>
      <c r="R95" s="240"/>
      <c r="S95" s="32"/>
      <c r="T95" s="32"/>
      <c r="U95" s="250"/>
      <c r="V95" s="32"/>
      <c r="W95" s="33"/>
      <c r="X95" s="32"/>
      <c r="Y95" s="42"/>
      <c r="Z95" s="31"/>
      <c r="AA95" s="42"/>
      <c r="AB95" s="42"/>
      <c r="AC95" s="250"/>
      <c r="AD95" s="32"/>
      <c r="AE95" s="282"/>
      <c r="AF95" s="261"/>
      <c r="AG95" s="31"/>
      <c r="AH95" s="32"/>
      <c r="AI95" s="42"/>
      <c r="AJ95" s="42"/>
    </row>
    <row r="96" spans="1:36" x14ac:dyDescent="0.25">
      <c r="A96" s="272"/>
      <c r="B96" s="273"/>
      <c r="C96" s="274"/>
      <c r="D96" s="272"/>
      <c r="E96" s="272"/>
      <c r="F96" s="272"/>
      <c r="G96" s="272"/>
      <c r="H96" s="272"/>
      <c r="I96" s="272"/>
      <c r="J96" s="272"/>
      <c r="K96" s="33"/>
      <c r="L96" s="33"/>
      <c r="M96" s="32"/>
      <c r="N96" s="32"/>
      <c r="O96" s="32"/>
      <c r="P96" s="33"/>
      <c r="Q96" s="32"/>
      <c r="R96" s="240"/>
      <c r="S96" s="32"/>
      <c r="T96" s="32"/>
      <c r="U96" s="250"/>
      <c r="V96" s="32"/>
      <c r="W96" s="33"/>
      <c r="X96" s="32"/>
      <c r="Y96" s="42"/>
      <c r="Z96" s="31"/>
      <c r="AA96" s="42"/>
      <c r="AB96" s="42"/>
      <c r="AC96" s="250"/>
      <c r="AD96" s="32"/>
      <c r="AE96" s="282"/>
      <c r="AF96" s="261"/>
      <c r="AG96" s="31"/>
      <c r="AH96" s="32"/>
      <c r="AI96" s="42"/>
      <c r="AJ96" s="42"/>
    </row>
    <row r="97" spans="1:36" x14ac:dyDescent="0.25">
      <c r="A97" s="272"/>
      <c r="B97" s="273"/>
      <c r="C97" s="274"/>
      <c r="D97" s="272"/>
      <c r="E97" s="272"/>
      <c r="F97" s="272"/>
      <c r="G97" s="272"/>
      <c r="H97" s="272"/>
      <c r="I97" s="272"/>
      <c r="J97" s="272"/>
      <c r="K97" s="33"/>
      <c r="L97" s="33"/>
      <c r="M97" s="32"/>
      <c r="N97" s="32"/>
      <c r="O97" s="32"/>
      <c r="P97" s="33"/>
      <c r="Q97" s="32"/>
      <c r="R97" s="240"/>
      <c r="S97" s="32"/>
      <c r="T97" s="32"/>
      <c r="U97" s="250"/>
      <c r="V97" s="32"/>
      <c r="W97" s="33"/>
      <c r="X97" s="32"/>
      <c r="Y97" s="42"/>
      <c r="Z97" s="31"/>
      <c r="AA97" s="42"/>
      <c r="AB97" s="42"/>
      <c r="AC97" s="250"/>
      <c r="AD97" s="32"/>
      <c r="AE97" s="282"/>
      <c r="AF97" s="261"/>
      <c r="AG97" s="31"/>
      <c r="AH97" s="32"/>
      <c r="AI97" s="42"/>
      <c r="AJ97" s="42"/>
    </row>
    <row r="98" spans="1:36" x14ac:dyDescent="0.25">
      <c r="A98" s="272"/>
      <c r="B98" s="273"/>
      <c r="C98" s="274"/>
      <c r="D98" s="272"/>
      <c r="E98" s="272"/>
      <c r="F98" s="272"/>
      <c r="G98" s="272"/>
      <c r="H98" s="272"/>
      <c r="I98" s="272"/>
      <c r="J98" s="272"/>
      <c r="K98" s="33"/>
      <c r="L98" s="33"/>
      <c r="M98" s="32"/>
      <c r="N98" s="32"/>
      <c r="O98" s="32"/>
      <c r="P98" s="33"/>
      <c r="Q98" s="32"/>
      <c r="R98" s="240"/>
      <c r="S98" s="32"/>
      <c r="T98" s="32"/>
      <c r="U98" s="250"/>
      <c r="V98" s="32"/>
      <c r="W98" s="33"/>
      <c r="X98" s="32"/>
      <c r="Y98" s="42"/>
      <c r="Z98" s="31"/>
      <c r="AA98" s="42"/>
      <c r="AB98" s="42"/>
      <c r="AC98" s="250"/>
      <c r="AD98" s="32"/>
      <c r="AE98" s="282"/>
      <c r="AF98" s="261"/>
      <c r="AG98" s="31"/>
      <c r="AH98" s="32"/>
      <c r="AI98" s="42"/>
      <c r="AJ98" s="42"/>
    </row>
    <row r="99" spans="1:36" x14ac:dyDescent="0.25">
      <c r="A99" s="272"/>
      <c r="B99" s="273"/>
      <c r="C99" s="274"/>
      <c r="D99" s="272"/>
      <c r="E99" s="272"/>
      <c r="F99" s="272"/>
      <c r="G99" s="272"/>
      <c r="H99" s="272"/>
      <c r="I99" s="272"/>
      <c r="J99" s="272"/>
      <c r="K99" s="33"/>
      <c r="L99" s="33"/>
      <c r="M99" s="32"/>
      <c r="N99" s="32"/>
      <c r="O99" s="32"/>
      <c r="P99" s="33"/>
      <c r="Q99" s="32"/>
      <c r="R99" s="240"/>
      <c r="S99" s="32"/>
      <c r="T99" s="32"/>
      <c r="U99" s="250"/>
      <c r="V99" s="32"/>
      <c r="W99" s="33"/>
      <c r="X99" s="32"/>
      <c r="Y99" s="42"/>
      <c r="Z99" s="31"/>
      <c r="AA99" s="42"/>
      <c r="AB99" s="42"/>
      <c r="AC99" s="250"/>
      <c r="AD99" s="32"/>
      <c r="AE99" s="282"/>
      <c r="AF99" s="261"/>
      <c r="AG99" s="31"/>
      <c r="AH99" s="32"/>
      <c r="AI99" s="42"/>
      <c r="AJ99" s="42"/>
    </row>
    <row r="100" spans="1:36" x14ac:dyDescent="0.25">
      <c r="A100" s="272"/>
      <c r="B100" s="273"/>
      <c r="C100" s="274"/>
      <c r="D100" s="272"/>
      <c r="E100" s="272"/>
      <c r="F100" s="272"/>
      <c r="G100" s="272"/>
      <c r="H100" s="272"/>
      <c r="I100" s="272"/>
      <c r="J100" s="272"/>
      <c r="K100" s="33"/>
      <c r="L100" s="33"/>
      <c r="M100" s="32"/>
      <c r="N100" s="32"/>
      <c r="O100" s="32"/>
      <c r="P100" s="33"/>
      <c r="Q100" s="32"/>
      <c r="R100" s="240"/>
      <c r="S100" s="32"/>
      <c r="T100" s="32"/>
      <c r="U100" s="250"/>
      <c r="V100" s="32"/>
      <c r="W100" s="33"/>
      <c r="X100" s="32"/>
      <c r="Y100" s="42"/>
      <c r="Z100" s="31"/>
      <c r="AA100" s="42"/>
      <c r="AB100" s="42"/>
      <c r="AC100" s="250"/>
      <c r="AD100" s="32"/>
      <c r="AE100" s="282"/>
      <c r="AF100" s="261"/>
      <c r="AG100" s="31"/>
      <c r="AH100" s="32"/>
      <c r="AI100" s="42"/>
      <c r="AJ100" s="42"/>
    </row>
    <row r="101" spans="1:36" x14ac:dyDescent="0.25">
      <c r="A101" s="272"/>
      <c r="B101" s="273"/>
      <c r="C101" s="274"/>
      <c r="D101" s="272"/>
      <c r="E101" s="272"/>
      <c r="F101" s="272"/>
      <c r="G101" s="272"/>
      <c r="H101" s="272"/>
      <c r="I101" s="272"/>
      <c r="J101" s="272"/>
      <c r="K101" s="33"/>
      <c r="L101" s="33"/>
      <c r="M101" s="32"/>
      <c r="N101" s="32"/>
      <c r="O101" s="32"/>
      <c r="P101" s="33"/>
      <c r="Q101" s="32"/>
      <c r="R101" s="240"/>
      <c r="S101" s="32"/>
      <c r="T101" s="32"/>
      <c r="U101" s="250"/>
      <c r="V101" s="32"/>
      <c r="W101" s="33"/>
      <c r="X101" s="32"/>
      <c r="Y101" s="42"/>
      <c r="Z101" s="31"/>
      <c r="AA101" s="42"/>
      <c r="AB101" s="42"/>
      <c r="AC101" s="250"/>
      <c r="AD101" s="32"/>
      <c r="AE101" s="282"/>
      <c r="AF101" s="261"/>
      <c r="AG101" s="31"/>
      <c r="AH101" s="32"/>
      <c r="AI101" s="42"/>
      <c r="AJ101" s="42"/>
    </row>
    <row r="102" spans="1:36" x14ac:dyDescent="0.25">
      <c r="A102" s="272"/>
      <c r="B102" s="273"/>
      <c r="C102" s="274"/>
      <c r="D102" s="272"/>
      <c r="E102" s="272"/>
      <c r="F102" s="272"/>
      <c r="G102" s="272"/>
      <c r="H102" s="272"/>
      <c r="I102" s="272"/>
      <c r="J102" s="272"/>
      <c r="K102" s="33"/>
      <c r="L102" s="33"/>
      <c r="M102" s="32"/>
      <c r="N102" s="32"/>
      <c r="O102" s="32"/>
      <c r="P102" s="33"/>
      <c r="Q102" s="32"/>
      <c r="R102" s="240"/>
      <c r="S102" s="32"/>
      <c r="T102" s="32"/>
      <c r="U102" s="250"/>
      <c r="V102" s="32"/>
      <c r="W102" s="33"/>
      <c r="X102" s="32"/>
      <c r="Y102" s="42"/>
      <c r="Z102" s="31"/>
      <c r="AA102" s="42"/>
      <c r="AB102" s="42"/>
      <c r="AC102" s="250"/>
      <c r="AD102" s="32"/>
      <c r="AE102" s="282"/>
      <c r="AF102" s="261"/>
      <c r="AG102" s="31"/>
      <c r="AH102" s="32"/>
      <c r="AI102" s="42"/>
      <c r="AJ102" s="42"/>
    </row>
    <row r="103" spans="1:36" x14ac:dyDescent="0.25">
      <c r="A103" s="272"/>
      <c r="B103" s="273"/>
      <c r="C103" s="274"/>
      <c r="D103" s="272"/>
      <c r="E103" s="272"/>
      <c r="F103" s="272"/>
      <c r="G103" s="272"/>
      <c r="H103" s="272"/>
      <c r="I103" s="272"/>
      <c r="J103" s="272"/>
      <c r="K103" s="33"/>
      <c r="L103" s="33"/>
      <c r="M103" s="32"/>
      <c r="N103" s="32"/>
      <c r="O103" s="32"/>
      <c r="P103" s="33"/>
      <c r="Q103" s="32"/>
      <c r="R103" s="240"/>
      <c r="S103" s="32"/>
      <c r="T103" s="32"/>
      <c r="U103" s="250"/>
      <c r="V103" s="32"/>
      <c r="W103" s="33"/>
      <c r="X103" s="32"/>
      <c r="Y103" s="42"/>
      <c r="Z103" s="31"/>
      <c r="AA103" s="42"/>
      <c r="AB103" s="42"/>
      <c r="AC103" s="250"/>
      <c r="AD103" s="32"/>
      <c r="AE103" s="282"/>
      <c r="AF103" s="261"/>
      <c r="AG103" s="31"/>
      <c r="AH103" s="32"/>
      <c r="AI103" s="42"/>
      <c r="AJ103" s="42"/>
    </row>
    <row r="104" spans="1:36" x14ac:dyDescent="0.25">
      <c r="A104" s="272"/>
      <c r="B104" s="273"/>
      <c r="C104" s="274"/>
      <c r="D104" s="272"/>
      <c r="E104" s="272"/>
      <c r="F104" s="272"/>
      <c r="G104" s="272"/>
      <c r="H104" s="272"/>
      <c r="I104" s="272"/>
      <c r="J104" s="272"/>
      <c r="K104" s="33"/>
      <c r="L104" s="33"/>
      <c r="M104" s="32"/>
      <c r="N104" s="32"/>
      <c r="O104" s="32"/>
      <c r="P104" s="33"/>
      <c r="Q104" s="32"/>
      <c r="R104" s="240"/>
      <c r="S104" s="32"/>
      <c r="T104" s="32"/>
      <c r="U104" s="250"/>
      <c r="V104" s="32"/>
      <c r="W104" s="33"/>
      <c r="X104" s="32"/>
      <c r="Y104" s="42"/>
      <c r="Z104" s="31"/>
      <c r="AA104" s="42"/>
      <c r="AB104" s="42"/>
      <c r="AC104" s="250"/>
      <c r="AD104" s="32"/>
      <c r="AE104" s="282"/>
      <c r="AF104" s="261"/>
      <c r="AG104" s="31"/>
      <c r="AH104" s="32"/>
      <c r="AI104" s="42"/>
      <c r="AJ104" s="42"/>
    </row>
    <row r="105" spans="1:36" x14ac:dyDescent="0.25">
      <c r="A105" s="272"/>
      <c r="B105" s="273"/>
      <c r="C105" s="274"/>
      <c r="D105" s="272"/>
      <c r="E105" s="272"/>
      <c r="F105" s="272"/>
      <c r="G105" s="272"/>
      <c r="H105" s="272"/>
      <c r="I105" s="272"/>
      <c r="J105" s="272"/>
      <c r="K105" s="33"/>
      <c r="L105" s="33"/>
      <c r="M105" s="32"/>
      <c r="N105" s="32"/>
      <c r="O105" s="32"/>
      <c r="P105" s="33"/>
      <c r="Q105" s="32"/>
      <c r="R105" s="240"/>
      <c r="S105" s="32"/>
      <c r="T105" s="32"/>
      <c r="U105" s="250"/>
      <c r="V105" s="32"/>
      <c r="W105" s="33"/>
      <c r="X105" s="32"/>
      <c r="Y105" s="42"/>
      <c r="Z105" s="31"/>
      <c r="AA105" s="42"/>
      <c r="AB105" s="42"/>
      <c r="AC105" s="250"/>
      <c r="AD105" s="32"/>
      <c r="AE105" s="282"/>
      <c r="AF105" s="261"/>
      <c r="AG105" s="31"/>
      <c r="AH105" s="32"/>
      <c r="AI105" s="42"/>
      <c r="AJ105" s="42"/>
    </row>
    <row r="106" spans="1:36" x14ac:dyDescent="0.25">
      <c r="A106" s="272"/>
      <c r="B106" s="273"/>
      <c r="C106" s="274"/>
      <c r="D106" s="272"/>
      <c r="E106" s="272"/>
      <c r="F106" s="272"/>
      <c r="G106" s="272"/>
      <c r="H106" s="272"/>
      <c r="I106" s="272"/>
      <c r="J106" s="272"/>
      <c r="K106" s="33"/>
      <c r="L106" s="33"/>
      <c r="M106" s="32"/>
      <c r="N106" s="32"/>
      <c r="O106" s="32"/>
      <c r="P106" s="33"/>
      <c r="Q106" s="32"/>
      <c r="R106" s="240"/>
      <c r="S106" s="32"/>
      <c r="T106" s="32"/>
      <c r="U106" s="250"/>
      <c r="V106" s="32"/>
      <c r="W106" s="33"/>
      <c r="X106" s="32"/>
      <c r="Y106" s="42"/>
      <c r="Z106" s="31"/>
      <c r="AA106" s="42"/>
      <c r="AB106" s="42"/>
      <c r="AC106" s="250"/>
      <c r="AD106" s="32"/>
      <c r="AE106" s="282"/>
      <c r="AF106" s="261"/>
      <c r="AG106" s="31"/>
      <c r="AH106" s="32"/>
      <c r="AI106" s="42"/>
      <c r="AJ106" s="42"/>
    </row>
    <row r="107" spans="1:36" x14ac:dyDescent="0.25">
      <c r="A107" s="272"/>
      <c r="B107" s="273"/>
      <c r="C107" s="274"/>
      <c r="D107" s="272"/>
      <c r="E107" s="272"/>
      <c r="F107" s="272"/>
      <c r="G107" s="272"/>
      <c r="H107" s="272"/>
      <c r="I107" s="272"/>
      <c r="J107" s="272"/>
      <c r="K107" s="33"/>
      <c r="L107" s="33"/>
      <c r="M107" s="32"/>
      <c r="N107" s="32"/>
      <c r="O107" s="32"/>
      <c r="P107" s="33"/>
      <c r="Q107" s="32"/>
      <c r="R107" s="240"/>
      <c r="S107" s="32"/>
      <c r="T107" s="32"/>
      <c r="U107" s="250"/>
      <c r="V107" s="32"/>
      <c r="W107" s="33"/>
      <c r="X107" s="32"/>
      <c r="Y107" s="42"/>
      <c r="Z107" s="31"/>
      <c r="AA107" s="42"/>
      <c r="AB107" s="42"/>
      <c r="AC107" s="250"/>
      <c r="AD107" s="32"/>
      <c r="AE107" s="282"/>
      <c r="AF107" s="261"/>
      <c r="AG107" s="31"/>
      <c r="AH107" s="32"/>
      <c r="AI107" s="42"/>
      <c r="AJ107" s="42"/>
    </row>
    <row r="108" spans="1:36" x14ac:dyDescent="0.25">
      <c r="A108" s="272"/>
      <c r="B108" s="273"/>
      <c r="C108" s="274"/>
      <c r="D108" s="272"/>
      <c r="E108" s="272"/>
      <c r="F108" s="272"/>
      <c r="G108" s="272"/>
      <c r="H108" s="272"/>
      <c r="I108" s="272"/>
      <c r="J108" s="272"/>
      <c r="K108" s="33"/>
      <c r="L108" s="33"/>
      <c r="M108" s="32"/>
      <c r="N108" s="32"/>
      <c r="O108" s="32"/>
      <c r="P108" s="33"/>
      <c r="Q108" s="32"/>
      <c r="R108" s="240"/>
      <c r="S108" s="32"/>
      <c r="T108" s="32"/>
      <c r="U108" s="250"/>
      <c r="V108" s="32"/>
      <c r="W108" s="33"/>
      <c r="X108" s="32"/>
      <c r="Y108" s="42"/>
      <c r="Z108" s="31"/>
      <c r="AA108" s="42"/>
      <c r="AB108" s="42"/>
      <c r="AC108" s="250"/>
      <c r="AD108" s="32"/>
      <c r="AE108" s="282"/>
      <c r="AF108" s="261"/>
      <c r="AG108" s="31"/>
      <c r="AH108" s="32"/>
      <c r="AI108" s="42"/>
      <c r="AJ108" s="42"/>
    </row>
    <row r="109" spans="1:36" x14ac:dyDescent="0.25">
      <c r="A109" s="272"/>
      <c r="B109" s="273"/>
      <c r="C109" s="274"/>
      <c r="D109" s="272"/>
      <c r="E109" s="272"/>
      <c r="F109" s="272"/>
      <c r="G109" s="272"/>
      <c r="H109" s="272"/>
      <c r="I109" s="272"/>
      <c r="J109" s="272"/>
      <c r="K109" s="33"/>
      <c r="L109" s="33"/>
      <c r="M109" s="32"/>
      <c r="N109" s="32"/>
      <c r="O109" s="32"/>
      <c r="P109" s="33"/>
      <c r="Q109" s="32"/>
      <c r="R109" s="240"/>
      <c r="S109" s="32"/>
      <c r="T109" s="32"/>
      <c r="U109" s="250"/>
      <c r="V109" s="32"/>
      <c r="W109" s="33"/>
      <c r="X109" s="32"/>
      <c r="Y109" s="42"/>
      <c r="Z109" s="31"/>
      <c r="AA109" s="42"/>
      <c r="AB109" s="42"/>
      <c r="AC109" s="250"/>
      <c r="AD109" s="32"/>
      <c r="AE109" s="282"/>
      <c r="AF109" s="261"/>
      <c r="AG109" s="31"/>
      <c r="AH109" s="32"/>
      <c r="AI109" s="42"/>
      <c r="AJ109" s="42"/>
    </row>
    <row r="110" spans="1:36" x14ac:dyDescent="0.25">
      <c r="A110" s="272"/>
      <c r="B110" s="273"/>
      <c r="C110" s="274"/>
      <c r="D110" s="272"/>
      <c r="E110" s="272"/>
      <c r="F110" s="272"/>
      <c r="G110" s="272"/>
      <c r="H110" s="272"/>
      <c r="I110" s="272"/>
      <c r="J110" s="272"/>
      <c r="K110" s="33"/>
      <c r="L110" s="33"/>
      <c r="M110" s="32"/>
      <c r="N110" s="32"/>
      <c r="O110" s="32"/>
      <c r="P110" s="33"/>
      <c r="Q110" s="32"/>
      <c r="R110" s="240"/>
      <c r="S110" s="32"/>
      <c r="T110" s="32"/>
      <c r="U110" s="250"/>
      <c r="V110" s="32"/>
      <c r="W110" s="33"/>
      <c r="X110" s="32"/>
      <c r="Y110" s="42"/>
      <c r="Z110" s="31"/>
      <c r="AA110" s="42"/>
      <c r="AB110" s="42"/>
      <c r="AC110" s="250"/>
      <c r="AD110" s="32"/>
      <c r="AE110" s="282"/>
      <c r="AF110" s="261"/>
      <c r="AG110" s="31"/>
      <c r="AH110" s="32"/>
      <c r="AI110" s="42"/>
      <c r="AJ110" s="42"/>
    </row>
    <row r="111" spans="1:36" x14ac:dyDescent="0.25">
      <c r="A111" s="272"/>
      <c r="B111" s="273"/>
      <c r="C111" s="274"/>
      <c r="D111" s="272"/>
      <c r="E111" s="272"/>
      <c r="F111" s="272"/>
      <c r="G111" s="272"/>
      <c r="H111" s="272"/>
      <c r="I111" s="272"/>
      <c r="J111" s="272"/>
      <c r="K111" s="33"/>
      <c r="L111" s="33"/>
      <c r="M111" s="32"/>
      <c r="N111" s="32"/>
      <c r="O111" s="32"/>
      <c r="P111" s="33"/>
      <c r="Q111" s="32"/>
      <c r="R111" s="240"/>
      <c r="S111" s="32"/>
      <c r="T111" s="32"/>
      <c r="U111" s="250"/>
      <c r="V111" s="32"/>
      <c r="W111" s="33"/>
      <c r="X111" s="32"/>
      <c r="Y111" s="42"/>
      <c r="Z111" s="31"/>
      <c r="AA111" s="42"/>
      <c r="AB111" s="42"/>
      <c r="AC111" s="250"/>
      <c r="AD111" s="32"/>
      <c r="AE111" s="282"/>
      <c r="AF111" s="261"/>
      <c r="AG111" s="31"/>
      <c r="AH111" s="32"/>
      <c r="AI111" s="42"/>
      <c r="AJ111" s="42"/>
    </row>
    <row r="112" spans="1:36" x14ac:dyDescent="0.25">
      <c r="A112" s="272"/>
      <c r="B112" s="273"/>
      <c r="C112" s="274"/>
      <c r="D112" s="272"/>
      <c r="E112" s="272"/>
      <c r="F112" s="272"/>
      <c r="G112" s="272"/>
      <c r="H112" s="272"/>
      <c r="I112" s="272"/>
      <c r="J112" s="272"/>
      <c r="K112" s="33"/>
      <c r="L112" s="33"/>
      <c r="M112" s="32"/>
      <c r="N112" s="32"/>
      <c r="O112" s="32"/>
      <c r="P112" s="33"/>
      <c r="Q112" s="32"/>
      <c r="R112" s="240"/>
      <c r="S112" s="32"/>
      <c r="T112" s="32"/>
      <c r="U112" s="250"/>
      <c r="V112" s="32"/>
      <c r="W112" s="33"/>
      <c r="X112" s="32"/>
      <c r="Y112" s="42"/>
      <c r="Z112" s="31"/>
      <c r="AA112" s="42"/>
      <c r="AB112" s="42"/>
      <c r="AC112" s="250"/>
      <c r="AD112" s="32"/>
      <c r="AE112" s="282"/>
      <c r="AF112" s="261"/>
      <c r="AG112" s="31"/>
      <c r="AH112" s="32"/>
      <c r="AI112" s="42"/>
      <c r="AJ112" s="42"/>
    </row>
    <row r="113" spans="1:36" x14ac:dyDescent="0.25">
      <c r="A113" s="272"/>
      <c r="B113" s="273"/>
      <c r="C113" s="274"/>
      <c r="D113" s="272"/>
      <c r="E113" s="272"/>
      <c r="F113" s="272"/>
      <c r="G113" s="272"/>
      <c r="H113" s="272"/>
      <c r="I113" s="272"/>
      <c r="J113" s="272"/>
      <c r="K113" s="33"/>
      <c r="L113" s="33"/>
      <c r="M113" s="32"/>
      <c r="N113" s="32"/>
      <c r="O113" s="32"/>
      <c r="P113" s="33"/>
      <c r="Q113" s="32"/>
      <c r="R113" s="240"/>
      <c r="S113" s="32"/>
      <c r="T113" s="32"/>
      <c r="U113" s="250"/>
      <c r="V113" s="32"/>
      <c r="W113" s="33"/>
      <c r="X113" s="32"/>
      <c r="Y113" s="42"/>
      <c r="Z113" s="31"/>
      <c r="AA113" s="42"/>
      <c r="AB113" s="42"/>
      <c r="AC113" s="250"/>
      <c r="AD113" s="32"/>
      <c r="AE113" s="282"/>
      <c r="AF113" s="261"/>
      <c r="AG113" s="31"/>
      <c r="AH113" s="32"/>
      <c r="AI113" s="42"/>
      <c r="AJ113" s="42"/>
    </row>
    <row r="114" spans="1:36" x14ac:dyDescent="0.25">
      <c r="A114" s="272"/>
      <c r="B114" s="273"/>
      <c r="C114" s="274"/>
      <c r="D114" s="272"/>
      <c r="E114" s="272"/>
      <c r="F114" s="272"/>
      <c r="G114" s="272"/>
      <c r="H114" s="272"/>
      <c r="I114" s="272"/>
      <c r="J114" s="272"/>
      <c r="K114" s="33"/>
      <c r="L114" s="33"/>
      <c r="M114" s="32"/>
      <c r="N114" s="32"/>
      <c r="O114" s="32"/>
      <c r="P114" s="33"/>
      <c r="Q114" s="32"/>
      <c r="R114" s="240"/>
      <c r="S114" s="32"/>
      <c r="T114" s="32"/>
      <c r="U114" s="250"/>
      <c r="V114" s="32"/>
      <c r="W114" s="33"/>
      <c r="X114" s="32"/>
      <c r="Y114" s="42"/>
      <c r="Z114" s="31"/>
      <c r="AA114" s="42"/>
      <c r="AB114" s="42"/>
      <c r="AC114" s="250"/>
      <c r="AD114" s="32"/>
      <c r="AE114" s="282"/>
      <c r="AF114" s="261"/>
      <c r="AG114" s="31"/>
      <c r="AH114" s="32"/>
      <c r="AI114" s="42"/>
      <c r="AJ114" s="42"/>
    </row>
    <row r="115" spans="1:36" x14ac:dyDescent="0.25">
      <c r="A115" s="272"/>
      <c r="B115" s="273"/>
      <c r="C115" s="274"/>
      <c r="D115" s="272"/>
      <c r="E115" s="272"/>
      <c r="F115" s="272"/>
      <c r="G115" s="272"/>
      <c r="H115" s="272"/>
      <c r="I115" s="272"/>
      <c r="J115" s="272"/>
      <c r="K115" s="33"/>
      <c r="L115" s="33"/>
      <c r="M115" s="32"/>
      <c r="N115" s="32"/>
      <c r="O115" s="32"/>
      <c r="P115" s="33"/>
      <c r="Q115" s="32"/>
      <c r="R115" s="240"/>
      <c r="S115" s="32"/>
      <c r="T115" s="32"/>
      <c r="U115" s="250"/>
      <c r="V115" s="32"/>
      <c r="W115" s="33"/>
      <c r="X115" s="32"/>
      <c r="Y115" s="42"/>
      <c r="Z115" s="31"/>
      <c r="AA115" s="42"/>
      <c r="AB115" s="42"/>
      <c r="AC115" s="250"/>
      <c r="AD115" s="32"/>
      <c r="AE115" s="282"/>
      <c r="AF115" s="261"/>
      <c r="AG115" s="31"/>
      <c r="AH115" s="32"/>
      <c r="AI115" s="42"/>
      <c r="AJ115" s="42"/>
    </row>
    <row r="116" spans="1:36" x14ac:dyDescent="0.25">
      <c r="A116" s="272"/>
      <c r="B116" s="273"/>
      <c r="C116" s="274"/>
      <c r="D116" s="272"/>
      <c r="E116" s="272"/>
      <c r="F116" s="272"/>
      <c r="G116" s="272"/>
      <c r="H116" s="272"/>
      <c r="I116" s="272"/>
      <c r="J116" s="272"/>
      <c r="K116" s="33"/>
      <c r="L116" s="33"/>
      <c r="M116" s="32"/>
      <c r="N116" s="32"/>
      <c r="O116" s="32"/>
      <c r="P116" s="33"/>
      <c r="Q116" s="32"/>
      <c r="R116" s="240"/>
      <c r="S116" s="32"/>
      <c r="T116" s="32"/>
      <c r="U116" s="250"/>
      <c r="V116" s="32"/>
      <c r="W116" s="33"/>
      <c r="X116" s="32"/>
      <c r="Y116" s="42"/>
      <c r="Z116" s="31"/>
      <c r="AA116" s="42"/>
      <c r="AB116" s="42"/>
      <c r="AC116" s="250"/>
      <c r="AD116" s="32"/>
      <c r="AE116" s="282"/>
      <c r="AF116" s="261"/>
      <c r="AG116" s="31"/>
      <c r="AH116" s="32"/>
      <c r="AI116" s="42"/>
      <c r="AJ116" s="42"/>
    </row>
    <row r="117" spans="1:36" x14ac:dyDescent="0.25">
      <c r="A117" s="272"/>
      <c r="B117" s="273"/>
      <c r="C117" s="274"/>
      <c r="D117" s="272"/>
      <c r="E117" s="272"/>
      <c r="F117" s="272"/>
      <c r="G117" s="272"/>
      <c r="H117" s="272"/>
      <c r="I117" s="272"/>
      <c r="J117" s="272"/>
      <c r="K117" s="33"/>
      <c r="L117" s="33"/>
      <c r="M117" s="32"/>
      <c r="N117" s="32"/>
      <c r="O117" s="32"/>
      <c r="P117" s="33"/>
      <c r="Q117" s="32"/>
      <c r="R117" s="240"/>
      <c r="S117" s="32"/>
      <c r="T117" s="32"/>
      <c r="U117" s="250"/>
      <c r="V117" s="32"/>
      <c r="W117" s="33"/>
      <c r="X117" s="32"/>
      <c r="Y117" s="42"/>
      <c r="Z117" s="31"/>
      <c r="AA117" s="42"/>
      <c r="AB117" s="42"/>
      <c r="AC117" s="250"/>
      <c r="AD117" s="32"/>
      <c r="AE117" s="282"/>
      <c r="AF117" s="261"/>
      <c r="AG117" s="31"/>
      <c r="AH117" s="32"/>
      <c r="AI117" s="42"/>
      <c r="AJ117" s="42"/>
    </row>
    <row r="118" spans="1:36" x14ac:dyDescent="0.25">
      <c r="A118" s="272"/>
      <c r="B118" s="273"/>
      <c r="C118" s="274"/>
      <c r="D118" s="272"/>
      <c r="E118" s="272"/>
      <c r="F118" s="272"/>
      <c r="G118" s="272"/>
      <c r="H118" s="272"/>
      <c r="I118" s="272"/>
      <c r="J118" s="272"/>
      <c r="K118" s="33"/>
      <c r="L118" s="33"/>
      <c r="M118" s="32"/>
      <c r="N118" s="32"/>
      <c r="O118" s="32"/>
      <c r="P118" s="33"/>
      <c r="Q118" s="32"/>
      <c r="R118" s="240"/>
      <c r="S118" s="32"/>
      <c r="T118" s="32"/>
      <c r="U118" s="250"/>
      <c r="V118" s="32"/>
      <c r="W118" s="33"/>
      <c r="X118" s="32"/>
      <c r="Y118" s="42"/>
      <c r="Z118" s="31"/>
      <c r="AA118" s="42"/>
      <c r="AB118" s="42"/>
      <c r="AC118" s="250"/>
      <c r="AD118" s="32"/>
      <c r="AE118" s="282"/>
      <c r="AF118" s="261"/>
      <c r="AG118" s="31"/>
      <c r="AH118" s="32"/>
      <c r="AI118" s="42"/>
      <c r="AJ118" s="42"/>
    </row>
    <row r="119" spans="1:36" x14ac:dyDescent="0.25">
      <c r="A119" s="272"/>
      <c r="B119" s="273"/>
      <c r="C119" s="274"/>
      <c r="D119" s="272"/>
      <c r="E119" s="272"/>
      <c r="F119" s="272"/>
      <c r="G119" s="272"/>
      <c r="H119" s="272"/>
      <c r="I119" s="272"/>
      <c r="J119" s="272"/>
      <c r="K119" s="33"/>
      <c r="L119" s="33"/>
      <c r="M119" s="32"/>
      <c r="N119" s="32"/>
      <c r="O119" s="32"/>
      <c r="P119" s="33"/>
      <c r="Q119" s="32"/>
      <c r="R119" s="240"/>
      <c r="S119" s="32"/>
      <c r="T119" s="32"/>
      <c r="U119" s="250"/>
      <c r="V119" s="32"/>
      <c r="W119" s="33"/>
      <c r="X119" s="32"/>
      <c r="Y119" s="42"/>
      <c r="Z119" s="31"/>
      <c r="AA119" s="42"/>
      <c r="AB119" s="42"/>
      <c r="AC119" s="250"/>
      <c r="AD119" s="32"/>
      <c r="AE119" s="282"/>
      <c r="AF119" s="261"/>
      <c r="AG119" s="31"/>
      <c r="AH119" s="32"/>
      <c r="AI119" s="42"/>
      <c r="AJ119" s="42"/>
    </row>
    <row r="120" spans="1:36" x14ac:dyDescent="0.25">
      <c r="A120" s="272"/>
      <c r="B120" s="273"/>
      <c r="C120" s="274"/>
      <c r="D120" s="272"/>
      <c r="E120" s="272"/>
      <c r="F120" s="272"/>
      <c r="G120" s="272"/>
      <c r="H120" s="272"/>
      <c r="I120" s="272"/>
      <c r="J120" s="272"/>
      <c r="K120" s="33"/>
      <c r="L120" s="33"/>
      <c r="M120" s="32"/>
      <c r="N120" s="32"/>
      <c r="O120" s="32"/>
      <c r="P120" s="33"/>
      <c r="Q120" s="32"/>
      <c r="R120" s="240"/>
      <c r="S120" s="32"/>
      <c r="T120" s="32"/>
      <c r="U120" s="250"/>
      <c r="V120" s="32"/>
      <c r="W120" s="33"/>
      <c r="X120" s="32"/>
      <c r="Y120" s="42"/>
      <c r="Z120" s="31"/>
      <c r="AA120" s="42"/>
      <c r="AB120" s="42"/>
      <c r="AC120" s="250"/>
      <c r="AD120" s="32"/>
      <c r="AE120" s="282"/>
      <c r="AF120" s="261"/>
      <c r="AG120" s="31"/>
      <c r="AH120" s="32"/>
      <c r="AI120" s="42"/>
      <c r="AJ120" s="42"/>
    </row>
    <row r="121" spans="1:36" x14ac:dyDescent="0.25">
      <c r="A121" s="272"/>
      <c r="B121" s="273"/>
      <c r="C121" s="274"/>
      <c r="D121" s="272"/>
      <c r="E121" s="272"/>
      <c r="F121" s="272"/>
      <c r="G121" s="272"/>
      <c r="H121" s="272"/>
      <c r="I121" s="272"/>
      <c r="J121" s="272"/>
      <c r="K121" s="33"/>
      <c r="L121" s="33"/>
      <c r="M121" s="32"/>
      <c r="N121" s="32"/>
      <c r="O121" s="32"/>
      <c r="P121" s="33"/>
      <c r="Q121" s="32"/>
      <c r="R121" s="240"/>
      <c r="S121" s="32"/>
      <c r="T121" s="32"/>
      <c r="U121" s="250"/>
      <c r="V121" s="32"/>
      <c r="W121" s="33"/>
      <c r="X121" s="32"/>
      <c r="Y121" s="42"/>
      <c r="Z121" s="31"/>
      <c r="AA121" s="42"/>
      <c r="AB121" s="42"/>
      <c r="AC121" s="250"/>
      <c r="AD121" s="32"/>
      <c r="AE121" s="282"/>
      <c r="AF121" s="261"/>
      <c r="AG121" s="31"/>
      <c r="AH121" s="32"/>
      <c r="AI121" s="42"/>
      <c r="AJ121" s="42"/>
    </row>
    <row r="122" spans="1:36" x14ac:dyDescent="0.25">
      <c r="A122" s="272"/>
      <c r="B122" s="273"/>
      <c r="C122" s="274"/>
      <c r="D122" s="272"/>
      <c r="E122" s="272"/>
      <c r="F122" s="272"/>
      <c r="G122" s="272"/>
      <c r="H122" s="272"/>
      <c r="I122" s="272"/>
      <c r="J122" s="272"/>
      <c r="K122" s="33"/>
      <c r="L122" s="33"/>
      <c r="M122" s="32"/>
      <c r="N122" s="32"/>
      <c r="O122" s="32"/>
      <c r="P122" s="33"/>
      <c r="Q122" s="32"/>
      <c r="R122" s="240"/>
      <c r="S122" s="32"/>
      <c r="T122" s="32"/>
      <c r="U122" s="250"/>
      <c r="V122" s="32"/>
      <c r="W122" s="33"/>
      <c r="X122" s="32"/>
      <c r="Y122" s="42"/>
      <c r="Z122" s="31"/>
      <c r="AA122" s="42"/>
      <c r="AB122" s="42"/>
      <c r="AC122" s="250"/>
      <c r="AD122" s="32"/>
      <c r="AE122" s="282"/>
      <c r="AF122" s="261"/>
      <c r="AG122" s="31"/>
      <c r="AH122" s="32"/>
      <c r="AI122" s="42"/>
      <c r="AJ122" s="42"/>
    </row>
    <row r="123" spans="1:36" x14ac:dyDescent="0.25">
      <c r="A123" s="272"/>
      <c r="B123" s="273"/>
      <c r="C123" s="274"/>
      <c r="D123" s="272"/>
      <c r="E123" s="272"/>
      <c r="F123" s="272"/>
      <c r="G123" s="272"/>
      <c r="H123" s="272"/>
      <c r="I123" s="272"/>
      <c r="J123" s="272"/>
      <c r="K123" s="33"/>
      <c r="L123" s="33"/>
      <c r="M123" s="32"/>
      <c r="N123" s="32"/>
      <c r="O123" s="32"/>
      <c r="P123" s="33"/>
      <c r="Q123" s="32"/>
      <c r="R123" s="240"/>
      <c r="S123" s="32"/>
      <c r="T123" s="32"/>
      <c r="U123" s="250"/>
      <c r="V123" s="32"/>
      <c r="W123" s="33"/>
      <c r="X123" s="32"/>
      <c r="Y123" s="42"/>
      <c r="Z123" s="31"/>
      <c r="AA123" s="42"/>
      <c r="AB123" s="42"/>
      <c r="AC123" s="250"/>
      <c r="AD123" s="32"/>
      <c r="AE123" s="282"/>
      <c r="AF123" s="261"/>
      <c r="AG123" s="31"/>
      <c r="AH123" s="32"/>
      <c r="AI123" s="42"/>
      <c r="AJ123" s="42"/>
    </row>
    <row r="124" spans="1:36" x14ac:dyDescent="0.25">
      <c r="A124" s="272"/>
      <c r="B124" s="273"/>
      <c r="C124" s="274"/>
      <c r="D124" s="272"/>
      <c r="E124" s="272"/>
      <c r="F124" s="272"/>
      <c r="G124" s="272"/>
      <c r="H124" s="272"/>
      <c r="I124" s="272"/>
      <c r="J124" s="272"/>
      <c r="K124" s="33"/>
      <c r="L124" s="33"/>
      <c r="M124" s="32"/>
      <c r="N124" s="32"/>
      <c r="O124" s="32"/>
      <c r="P124" s="33"/>
      <c r="Q124" s="32"/>
      <c r="R124" s="240"/>
      <c r="S124" s="32"/>
      <c r="T124" s="32"/>
      <c r="U124" s="250"/>
      <c r="V124" s="32"/>
      <c r="W124" s="33"/>
      <c r="X124" s="32"/>
      <c r="Y124" s="42"/>
      <c r="Z124" s="31"/>
      <c r="AA124" s="42"/>
      <c r="AB124" s="42"/>
      <c r="AC124" s="250"/>
      <c r="AD124" s="32"/>
      <c r="AE124" s="282"/>
      <c r="AF124" s="261"/>
      <c r="AG124" s="31"/>
      <c r="AH124" s="32"/>
      <c r="AI124" s="42"/>
      <c r="AJ124" s="42"/>
    </row>
    <row r="125" spans="1:36" x14ac:dyDescent="0.25">
      <c r="A125" s="272"/>
      <c r="B125" s="273"/>
      <c r="C125" s="274"/>
      <c r="D125" s="272"/>
      <c r="E125" s="272"/>
      <c r="F125" s="272"/>
      <c r="G125" s="272"/>
      <c r="H125" s="272"/>
      <c r="I125" s="272"/>
      <c r="J125" s="272"/>
      <c r="K125" s="33"/>
      <c r="L125" s="33"/>
      <c r="M125" s="32"/>
      <c r="N125" s="32"/>
      <c r="O125" s="32"/>
      <c r="P125" s="33"/>
      <c r="Q125" s="32"/>
      <c r="R125" s="240"/>
      <c r="S125" s="32"/>
      <c r="T125" s="32"/>
      <c r="U125" s="250"/>
      <c r="V125" s="32"/>
      <c r="W125" s="33"/>
      <c r="X125" s="32"/>
      <c r="Y125" s="42"/>
      <c r="Z125" s="31"/>
      <c r="AA125" s="42"/>
      <c r="AB125" s="42"/>
      <c r="AC125" s="250"/>
      <c r="AD125" s="32"/>
      <c r="AE125" s="282"/>
      <c r="AF125" s="261"/>
      <c r="AG125" s="31"/>
      <c r="AH125" s="32"/>
      <c r="AI125" s="42"/>
      <c r="AJ125" s="42"/>
    </row>
    <row r="126" spans="1:36" x14ac:dyDescent="0.25">
      <c r="A126" s="272"/>
      <c r="B126" s="273"/>
      <c r="C126" s="274"/>
      <c r="D126" s="272"/>
      <c r="E126" s="272"/>
      <c r="F126" s="272"/>
      <c r="G126" s="272"/>
      <c r="H126" s="272"/>
      <c r="I126" s="272"/>
      <c r="J126" s="272"/>
      <c r="K126" s="33"/>
      <c r="L126" s="33"/>
      <c r="M126" s="32"/>
      <c r="N126" s="32"/>
      <c r="O126" s="32"/>
      <c r="P126" s="33"/>
      <c r="Q126" s="32"/>
      <c r="R126" s="240"/>
      <c r="S126" s="32"/>
      <c r="T126" s="32"/>
      <c r="U126" s="250"/>
      <c r="V126" s="32"/>
      <c r="W126" s="33"/>
      <c r="X126" s="32"/>
      <c r="Y126" s="42"/>
      <c r="Z126" s="31"/>
      <c r="AA126" s="42"/>
      <c r="AB126" s="42"/>
      <c r="AC126" s="250"/>
      <c r="AD126" s="32"/>
      <c r="AE126" s="282"/>
      <c r="AF126" s="261"/>
      <c r="AG126" s="31"/>
      <c r="AH126" s="32"/>
      <c r="AI126" s="42"/>
      <c r="AJ126" s="42"/>
    </row>
    <row r="127" spans="1:36" x14ac:dyDescent="0.25">
      <c r="A127" s="272"/>
      <c r="B127" s="273"/>
      <c r="C127" s="274"/>
      <c r="D127" s="272"/>
      <c r="E127" s="272"/>
      <c r="F127" s="272"/>
      <c r="G127" s="272"/>
      <c r="H127" s="272"/>
      <c r="I127" s="272"/>
      <c r="J127" s="272"/>
      <c r="K127" s="33"/>
      <c r="L127" s="33"/>
      <c r="M127" s="32"/>
      <c r="N127" s="32"/>
      <c r="O127" s="32"/>
      <c r="P127" s="33"/>
      <c r="Q127" s="32"/>
      <c r="R127" s="240"/>
      <c r="S127" s="32"/>
      <c r="T127" s="32"/>
      <c r="U127" s="250"/>
      <c r="V127" s="32"/>
      <c r="W127" s="33"/>
      <c r="X127" s="32"/>
      <c r="Y127" s="42"/>
      <c r="Z127" s="31"/>
      <c r="AA127" s="42"/>
      <c r="AB127" s="42"/>
      <c r="AC127" s="250"/>
      <c r="AD127" s="32"/>
      <c r="AE127" s="282"/>
      <c r="AF127" s="261"/>
      <c r="AG127" s="31"/>
      <c r="AH127" s="32"/>
      <c r="AI127" s="42"/>
      <c r="AJ127" s="42"/>
    </row>
    <row r="128" spans="1:36" x14ac:dyDescent="0.25">
      <c r="A128" s="272"/>
      <c r="B128" s="273"/>
      <c r="C128" s="274"/>
      <c r="D128" s="272"/>
      <c r="E128" s="272"/>
      <c r="F128" s="272"/>
      <c r="G128" s="272"/>
      <c r="H128" s="272"/>
      <c r="I128" s="272"/>
      <c r="J128" s="272"/>
      <c r="K128" s="33"/>
      <c r="L128" s="33"/>
      <c r="M128" s="32"/>
      <c r="N128" s="32"/>
      <c r="O128" s="32"/>
      <c r="P128" s="33"/>
      <c r="Q128" s="32"/>
      <c r="R128" s="240"/>
      <c r="S128" s="32"/>
      <c r="T128" s="32"/>
      <c r="U128" s="250"/>
      <c r="V128" s="32"/>
      <c r="W128" s="33"/>
      <c r="X128" s="32"/>
      <c r="Y128" s="42"/>
      <c r="Z128" s="31"/>
      <c r="AA128" s="42"/>
      <c r="AB128" s="42"/>
      <c r="AC128" s="250"/>
      <c r="AD128" s="32"/>
      <c r="AE128" s="282"/>
      <c r="AF128" s="261"/>
      <c r="AG128" s="31"/>
      <c r="AH128" s="32"/>
      <c r="AI128" s="42"/>
      <c r="AJ128" s="42"/>
    </row>
    <row r="129" spans="1:36" x14ac:dyDescent="0.25">
      <c r="A129" s="272"/>
      <c r="B129" s="273"/>
      <c r="C129" s="274"/>
      <c r="D129" s="272"/>
      <c r="E129" s="272"/>
      <c r="F129" s="272"/>
      <c r="G129" s="272"/>
      <c r="H129" s="272"/>
      <c r="I129" s="272"/>
      <c r="J129" s="272"/>
      <c r="K129" s="33"/>
      <c r="L129" s="33"/>
      <c r="M129" s="32"/>
      <c r="N129" s="32"/>
      <c r="O129" s="32"/>
      <c r="P129" s="33"/>
      <c r="Q129" s="32"/>
      <c r="R129" s="240"/>
      <c r="S129" s="32"/>
      <c r="T129" s="32"/>
      <c r="U129" s="250"/>
      <c r="V129" s="32"/>
      <c r="W129" s="33"/>
      <c r="X129" s="32"/>
      <c r="Y129" s="42"/>
      <c r="Z129" s="31"/>
      <c r="AA129" s="42"/>
      <c r="AB129" s="42"/>
      <c r="AC129" s="250"/>
      <c r="AD129" s="32"/>
      <c r="AE129" s="282"/>
      <c r="AF129" s="261"/>
      <c r="AG129" s="31"/>
      <c r="AH129" s="32"/>
      <c r="AI129" s="42"/>
      <c r="AJ129" s="42"/>
    </row>
    <row r="130" spans="1:36" x14ac:dyDescent="0.25">
      <c r="A130" s="272"/>
      <c r="B130" s="273"/>
      <c r="C130" s="274"/>
      <c r="D130" s="272"/>
      <c r="E130" s="272"/>
      <c r="F130" s="272"/>
      <c r="G130" s="272"/>
      <c r="H130" s="272"/>
      <c r="I130" s="272"/>
      <c r="J130" s="272"/>
      <c r="K130" s="33"/>
      <c r="L130" s="33"/>
      <c r="M130" s="32"/>
      <c r="N130" s="32"/>
      <c r="O130" s="32"/>
      <c r="P130" s="33"/>
      <c r="Q130" s="32"/>
      <c r="R130" s="240"/>
      <c r="S130" s="32"/>
      <c r="T130" s="32"/>
      <c r="U130" s="250"/>
      <c r="V130" s="32"/>
      <c r="W130" s="33"/>
      <c r="X130" s="32"/>
      <c r="Y130" s="42"/>
      <c r="Z130" s="31"/>
      <c r="AA130" s="42"/>
      <c r="AB130" s="42"/>
      <c r="AC130" s="250"/>
      <c r="AD130" s="32"/>
      <c r="AE130" s="282"/>
      <c r="AF130" s="261"/>
      <c r="AG130" s="31"/>
      <c r="AH130" s="32"/>
      <c r="AI130" s="42"/>
      <c r="AJ130" s="42"/>
    </row>
    <row r="131" spans="1:36" x14ac:dyDescent="0.25">
      <c r="A131" s="272"/>
      <c r="B131" s="273"/>
      <c r="C131" s="274"/>
      <c r="D131" s="272"/>
      <c r="E131" s="272"/>
      <c r="F131" s="272"/>
      <c r="G131" s="272"/>
      <c r="H131" s="272"/>
      <c r="I131" s="272"/>
      <c r="J131" s="272"/>
      <c r="K131" s="33"/>
      <c r="L131" s="33"/>
      <c r="M131" s="32"/>
      <c r="N131" s="32"/>
      <c r="O131" s="32"/>
      <c r="P131" s="33"/>
      <c r="Q131" s="32"/>
      <c r="R131" s="240"/>
      <c r="S131" s="32"/>
      <c r="T131" s="32"/>
      <c r="U131" s="250"/>
      <c r="V131" s="32"/>
      <c r="W131" s="33"/>
      <c r="X131" s="32"/>
      <c r="Y131" s="42"/>
      <c r="Z131" s="31"/>
      <c r="AA131" s="42"/>
      <c r="AB131" s="42"/>
      <c r="AC131" s="250"/>
      <c r="AD131" s="32"/>
      <c r="AE131" s="282"/>
      <c r="AF131" s="261"/>
      <c r="AG131" s="31"/>
      <c r="AH131" s="32"/>
      <c r="AI131" s="42"/>
      <c r="AJ131" s="42"/>
    </row>
    <row r="132" spans="1:36" x14ac:dyDescent="0.25">
      <c r="A132" s="272"/>
      <c r="B132" s="273"/>
      <c r="C132" s="274"/>
      <c r="D132" s="272"/>
      <c r="E132" s="272"/>
      <c r="F132" s="272"/>
      <c r="G132" s="272"/>
      <c r="H132" s="272"/>
      <c r="I132" s="272"/>
      <c r="J132" s="272"/>
      <c r="K132" s="33"/>
      <c r="L132" s="33"/>
      <c r="M132" s="32"/>
      <c r="N132" s="32"/>
      <c r="O132" s="32"/>
      <c r="P132" s="33"/>
      <c r="Q132" s="32"/>
      <c r="R132" s="240"/>
      <c r="S132" s="32"/>
      <c r="T132" s="32"/>
      <c r="U132" s="250"/>
      <c r="V132" s="32"/>
      <c r="W132" s="33"/>
      <c r="X132" s="32"/>
      <c r="Y132" s="42"/>
      <c r="Z132" s="31"/>
      <c r="AA132" s="42"/>
      <c r="AB132" s="42"/>
      <c r="AC132" s="250"/>
      <c r="AD132" s="32"/>
      <c r="AE132" s="282"/>
      <c r="AF132" s="261"/>
      <c r="AG132" s="31"/>
      <c r="AH132" s="32"/>
      <c r="AI132" s="42"/>
      <c r="AJ132" s="42"/>
    </row>
    <row r="133" spans="1:36" x14ac:dyDescent="0.25">
      <c r="A133" s="272"/>
      <c r="B133" s="273"/>
      <c r="C133" s="274"/>
      <c r="D133" s="272"/>
      <c r="E133" s="272"/>
      <c r="F133" s="272"/>
      <c r="G133" s="272"/>
      <c r="H133" s="272"/>
      <c r="I133" s="272"/>
      <c r="J133" s="272"/>
      <c r="K133" s="33"/>
      <c r="L133" s="33"/>
      <c r="M133" s="32"/>
      <c r="N133" s="32"/>
      <c r="O133" s="32"/>
      <c r="P133" s="33"/>
      <c r="Q133" s="32"/>
      <c r="R133" s="240"/>
      <c r="S133" s="32"/>
      <c r="T133" s="32"/>
      <c r="U133" s="250"/>
      <c r="V133" s="32"/>
      <c r="W133" s="33"/>
      <c r="X133" s="32"/>
      <c r="Y133" s="42"/>
      <c r="Z133" s="31"/>
      <c r="AA133" s="42"/>
      <c r="AB133" s="42"/>
      <c r="AC133" s="250"/>
      <c r="AD133" s="32"/>
      <c r="AE133" s="282"/>
      <c r="AF133" s="261"/>
      <c r="AG133" s="31"/>
      <c r="AH133" s="32"/>
      <c r="AI133" s="42"/>
      <c r="AJ133" s="42"/>
    </row>
    <row r="134" spans="1:36" x14ac:dyDescent="0.25">
      <c r="A134" s="272"/>
      <c r="B134" s="273"/>
      <c r="C134" s="274"/>
      <c r="D134" s="272"/>
      <c r="E134" s="272"/>
      <c r="F134" s="272"/>
      <c r="G134" s="272"/>
      <c r="H134" s="272"/>
      <c r="I134" s="272"/>
      <c r="J134" s="272"/>
      <c r="K134" s="33"/>
      <c r="L134" s="33"/>
      <c r="M134" s="32"/>
      <c r="N134" s="32"/>
      <c r="O134" s="32"/>
      <c r="P134" s="33"/>
      <c r="Q134" s="32"/>
      <c r="R134" s="240"/>
      <c r="S134" s="32"/>
      <c r="T134" s="32"/>
      <c r="U134" s="250"/>
      <c r="V134" s="32"/>
      <c r="W134" s="33"/>
      <c r="X134" s="32"/>
      <c r="Y134" s="42"/>
      <c r="Z134" s="31"/>
      <c r="AA134" s="42"/>
      <c r="AB134" s="42"/>
      <c r="AC134" s="250"/>
      <c r="AD134" s="32"/>
      <c r="AE134" s="282"/>
      <c r="AF134" s="261"/>
      <c r="AG134" s="31"/>
      <c r="AH134" s="32"/>
      <c r="AI134" s="42"/>
      <c r="AJ134" s="42"/>
    </row>
    <row r="135" spans="1:36" x14ac:dyDescent="0.25">
      <c r="A135" s="272"/>
      <c r="B135" s="273"/>
      <c r="C135" s="274"/>
      <c r="D135" s="272"/>
      <c r="E135" s="272"/>
      <c r="F135" s="272"/>
      <c r="G135" s="272"/>
      <c r="H135" s="272"/>
      <c r="I135" s="272"/>
      <c r="J135" s="272"/>
      <c r="K135" s="33"/>
      <c r="L135" s="33"/>
      <c r="M135" s="32"/>
      <c r="N135" s="32"/>
      <c r="O135" s="32"/>
      <c r="P135" s="33"/>
      <c r="Q135" s="32"/>
      <c r="R135" s="240"/>
      <c r="S135" s="32"/>
      <c r="T135" s="32"/>
      <c r="U135" s="250"/>
      <c r="V135" s="32"/>
      <c r="W135" s="33"/>
      <c r="X135" s="32"/>
      <c r="Y135" s="42"/>
      <c r="Z135" s="31"/>
      <c r="AA135" s="42"/>
      <c r="AB135" s="42"/>
      <c r="AC135" s="250"/>
      <c r="AD135" s="32"/>
      <c r="AE135" s="282"/>
      <c r="AF135" s="261"/>
      <c r="AG135" s="31"/>
      <c r="AH135" s="32"/>
      <c r="AI135" s="42"/>
      <c r="AJ135" s="42"/>
    </row>
    <row r="136" spans="1:36" x14ac:dyDescent="0.25">
      <c r="A136" s="272"/>
      <c r="B136" s="273"/>
      <c r="C136" s="274"/>
      <c r="D136" s="272"/>
      <c r="E136" s="272"/>
      <c r="F136" s="272"/>
      <c r="G136" s="272"/>
      <c r="H136" s="272"/>
      <c r="I136" s="272"/>
      <c r="J136" s="272"/>
      <c r="K136" s="33"/>
      <c r="L136" s="33"/>
      <c r="M136" s="32"/>
      <c r="N136" s="32"/>
      <c r="O136" s="32"/>
      <c r="P136" s="33"/>
      <c r="Q136" s="32"/>
      <c r="R136" s="240"/>
      <c r="S136" s="32"/>
      <c r="T136" s="32"/>
      <c r="U136" s="250"/>
      <c r="V136" s="32"/>
      <c r="W136" s="33"/>
      <c r="X136" s="32"/>
      <c r="Y136" s="42"/>
      <c r="Z136" s="31"/>
      <c r="AA136" s="42"/>
      <c r="AB136" s="42"/>
      <c r="AC136" s="250"/>
      <c r="AD136" s="32"/>
      <c r="AE136" s="282"/>
      <c r="AF136" s="261"/>
      <c r="AG136" s="31"/>
      <c r="AH136" s="32"/>
      <c r="AI136" s="42"/>
      <c r="AJ136" s="42"/>
    </row>
    <row r="137" spans="1:36" x14ac:dyDescent="0.25">
      <c r="A137" s="272"/>
      <c r="B137" s="273"/>
      <c r="C137" s="274"/>
      <c r="D137" s="272"/>
      <c r="E137" s="272"/>
      <c r="F137" s="272"/>
      <c r="G137" s="272"/>
      <c r="H137" s="272"/>
      <c r="I137" s="272"/>
      <c r="J137" s="272"/>
      <c r="K137" s="33"/>
      <c r="L137" s="33"/>
      <c r="M137" s="32"/>
      <c r="N137" s="32"/>
      <c r="O137" s="32"/>
      <c r="P137" s="33"/>
      <c r="Q137" s="32"/>
      <c r="R137" s="240"/>
      <c r="S137" s="32"/>
      <c r="T137" s="32"/>
      <c r="U137" s="250"/>
      <c r="V137" s="32"/>
      <c r="W137" s="33"/>
      <c r="X137" s="32"/>
      <c r="Y137" s="42"/>
      <c r="Z137" s="31"/>
      <c r="AA137" s="42"/>
      <c r="AB137" s="42"/>
      <c r="AC137" s="250"/>
      <c r="AD137" s="32"/>
      <c r="AE137" s="282"/>
      <c r="AF137" s="261"/>
      <c r="AG137" s="31"/>
      <c r="AH137" s="32"/>
      <c r="AI137" s="42"/>
      <c r="AJ137" s="42"/>
    </row>
    <row r="138" spans="1:36" x14ac:dyDescent="0.25">
      <c r="A138" s="272"/>
      <c r="B138" s="273"/>
      <c r="C138" s="274"/>
      <c r="D138" s="272"/>
      <c r="E138" s="272"/>
      <c r="F138" s="272"/>
      <c r="G138" s="272"/>
      <c r="H138" s="272"/>
      <c r="I138" s="272"/>
      <c r="J138" s="272"/>
      <c r="K138" s="33"/>
      <c r="L138" s="33"/>
      <c r="M138" s="32"/>
      <c r="N138" s="32"/>
      <c r="O138" s="32"/>
      <c r="P138" s="33"/>
      <c r="Q138" s="32"/>
      <c r="R138" s="240"/>
      <c r="S138" s="32"/>
      <c r="T138" s="32"/>
      <c r="U138" s="250"/>
      <c r="V138" s="32"/>
      <c r="W138" s="33"/>
      <c r="X138" s="32"/>
      <c r="Y138" s="42"/>
      <c r="Z138" s="31"/>
      <c r="AA138" s="42"/>
      <c r="AB138" s="42"/>
      <c r="AC138" s="250"/>
      <c r="AD138" s="32"/>
      <c r="AE138" s="282"/>
      <c r="AF138" s="261"/>
      <c r="AG138" s="31"/>
      <c r="AH138" s="32"/>
      <c r="AI138" s="42"/>
      <c r="AJ138" s="42"/>
    </row>
    <row r="139" spans="1:36" x14ac:dyDescent="0.25">
      <c r="A139" s="272"/>
      <c r="B139" s="273"/>
      <c r="C139" s="274"/>
      <c r="D139" s="272"/>
      <c r="E139" s="272"/>
      <c r="F139" s="272"/>
      <c r="G139" s="272"/>
      <c r="H139" s="272"/>
      <c r="I139" s="272"/>
      <c r="J139" s="272"/>
      <c r="K139" s="33"/>
      <c r="L139" s="33"/>
      <c r="M139" s="32"/>
      <c r="N139" s="32"/>
      <c r="O139" s="32"/>
      <c r="P139" s="33"/>
      <c r="Q139" s="32"/>
      <c r="R139" s="240"/>
      <c r="S139" s="32"/>
      <c r="T139" s="32"/>
      <c r="U139" s="250"/>
      <c r="V139" s="32"/>
      <c r="W139" s="33"/>
      <c r="X139" s="32"/>
      <c r="Y139" s="42"/>
      <c r="Z139" s="31"/>
      <c r="AA139" s="42"/>
      <c r="AB139" s="42"/>
      <c r="AC139" s="250"/>
      <c r="AD139" s="32"/>
      <c r="AE139" s="282"/>
      <c r="AF139" s="261"/>
      <c r="AG139" s="31"/>
      <c r="AH139" s="32"/>
      <c r="AI139" s="42"/>
      <c r="AJ139" s="42"/>
    </row>
    <row r="140" spans="1:36" x14ac:dyDescent="0.25">
      <c r="A140" s="272"/>
      <c r="B140" s="273"/>
      <c r="C140" s="274"/>
      <c r="D140" s="272"/>
      <c r="E140" s="272"/>
      <c r="F140" s="272"/>
      <c r="G140" s="272"/>
      <c r="H140" s="272"/>
      <c r="I140" s="272"/>
      <c r="J140" s="272"/>
      <c r="K140" s="33"/>
      <c r="L140" s="33"/>
      <c r="M140" s="32"/>
      <c r="N140" s="32"/>
      <c r="O140" s="32"/>
      <c r="P140" s="33"/>
      <c r="Q140" s="32"/>
      <c r="R140" s="240"/>
      <c r="S140" s="32"/>
      <c r="T140" s="32"/>
      <c r="U140" s="250"/>
      <c r="V140" s="32"/>
      <c r="W140" s="33"/>
      <c r="X140" s="32"/>
      <c r="Y140" s="42"/>
      <c r="Z140" s="31"/>
      <c r="AA140" s="42"/>
      <c r="AB140" s="42"/>
      <c r="AC140" s="250"/>
      <c r="AD140" s="32"/>
      <c r="AE140" s="282"/>
      <c r="AF140" s="261"/>
      <c r="AG140" s="31"/>
      <c r="AH140" s="32"/>
      <c r="AI140" s="42"/>
      <c r="AJ140" s="42"/>
    </row>
    <row r="141" spans="1:36" x14ac:dyDescent="0.25">
      <c r="A141" s="272"/>
      <c r="B141" s="273"/>
      <c r="C141" s="274"/>
      <c r="D141" s="272"/>
      <c r="E141" s="272"/>
      <c r="F141" s="272"/>
      <c r="G141" s="272"/>
      <c r="H141" s="272"/>
      <c r="I141" s="272"/>
      <c r="J141" s="272"/>
      <c r="K141" s="33"/>
      <c r="L141" s="33"/>
      <c r="M141" s="32"/>
      <c r="N141" s="32"/>
      <c r="O141" s="32"/>
      <c r="P141" s="33"/>
      <c r="Q141" s="32"/>
      <c r="R141" s="240"/>
      <c r="S141" s="32"/>
      <c r="T141" s="32"/>
      <c r="U141" s="250"/>
      <c r="V141" s="32"/>
      <c r="W141" s="33"/>
      <c r="X141" s="32"/>
      <c r="Y141" s="42"/>
      <c r="Z141" s="31"/>
      <c r="AA141" s="42"/>
      <c r="AB141" s="42"/>
      <c r="AC141" s="250"/>
      <c r="AD141" s="32"/>
      <c r="AE141" s="282"/>
      <c r="AF141" s="261"/>
      <c r="AG141" s="31"/>
      <c r="AH141" s="32"/>
      <c r="AI141" s="42"/>
      <c r="AJ141" s="42"/>
    </row>
    <row r="142" spans="1:36" x14ac:dyDescent="0.25">
      <c r="A142" s="272"/>
      <c r="B142" s="273"/>
      <c r="C142" s="274"/>
      <c r="D142" s="272"/>
      <c r="E142" s="272"/>
      <c r="F142" s="272"/>
      <c r="G142" s="272"/>
      <c r="H142" s="272"/>
      <c r="I142" s="272"/>
      <c r="J142" s="272"/>
      <c r="K142" s="33"/>
      <c r="L142" s="33"/>
      <c r="M142" s="32"/>
      <c r="N142" s="32"/>
      <c r="O142" s="32"/>
      <c r="P142" s="33"/>
      <c r="Q142" s="32"/>
      <c r="R142" s="240"/>
      <c r="S142" s="32"/>
      <c r="T142" s="32"/>
      <c r="U142" s="250"/>
      <c r="V142" s="32"/>
      <c r="W142" s="33"/>
      <c r="X142" s="32"/>
      <c r="Y142" s="42"/>
      <c r="Z142" s="31"/>
      <c r="AA142" s="42"/>
      <c r="AB142" s="42"/>
      <c r="AC142" s="250"/>
      <c r="AD142" s="32"/>
      <c r="AE142" s="282"/>
      <c r="AF142" s="261"/>
      <c r="AG142" s="31"/>
      <c r="AH142" s="32"/>
      <c r="AI142" s="42"/>
      <c r="AJ142" s="42"/>
    </row>
    <row r="143" spans="1:36" x14ac:dyDescent="0.25">
      <c r="A143" s="272"/>
      <c r="B143" s="273"/>
      <c r="C143" s="274"/>
      <c r="D143" s="272"/>
      <c r="E143" s="272"/>
      <c r="F143" s="272"/>
      <c r="G143" s="272"/>
      <c r="H143" s="272"/>
      <c r="I143" s="272"/>
      <c r="J143" s="272"/>
      <c r="K143" s="33"/>
      <c r="L143" s="33"/>
      <c r="M143" s="32"/>
      <c r="N143" s="32"/>
      <c r="O143" s="32"/>
      <c r="P143" s="33"/>
      <c r="Q143" s="32"/>
      <c r="R143" s="240"/>
      <c r="S143" s="32"/>
      <c r="T143" s="32"/>
      <c r="U143" s="250"/>
      <c r="V143" s="32"/>
      <c r="W143" s="33"/>
      <c r="X143" s="32"/>
      <c r="Y143" s="42"/>
      <c r="Z143" s="31"/>
      <c r="AA143" s="42"/>
      <c r="AB143" s="42"/>
      <c r="AC143" s="250"/>
      <c r="AD143" s="32"/>
      <c r="AE143" s="282"/>
      <c r="AF143" s="261"/>
      <c r="AG143" s="31"/>
      <c r="AH143" s="32"/>
      <c r="AI143" s="42"/>
      <c r="AJ143" s="42"/>
    </row>
    <row r="144" spans="1:36" x14ac:dyDescent="0.25">
      <c r="A144" s="272"/>
      <c r="B144" s="273"/>
      <c r="C144" s="274"/>
      <c r="D144" s="272"/>
      <c r="E144" s="272"/>
      <c r="F144" s="272"/>
      <c r="G144" s="272"/>
      <c r="H144" s="272"/>
      <c r="I144" s="272"/>
      <c r="J144" s="272"/>
      <c r="K144" s="33"/>
      <c r="L144" s="33"/>
      <c r="M144" s="32"/>
      <c r="N144" s="32"/>
      <c r="O144" s="32"/>
      <c r="P144" s="33"/>
      <c r="Q144" s="32"/>
      <c r="R144" s="240"/>
      <c r="S144" s="32"/>
      <c r="T144" s="32"/>
      <c r="U144" s="250"/>
      <c r="V144" s="32"/>
      <c r="W144" s="33"/>
      <c r="X144" s="32"/>
      <c r="Y144" s="42"/>
      <c r="Z144" s="31"/>
      <c r="AA144" s="42"/>
      <c r="AB144" s="42"/>
      <c r="AC144" s="250"/>
      <c r="AD144" s="32"/>
      <c r="AE144" s="282"/>
      <c r="AF144" s="261"/>
      <c r="AG144" s="31"/>
      <c r="AH144" s="32"/>
      <c r="AI144" s="42"/>
      <c r="AJ144" s="42"/>
    </row>
    <row r="145" spans="1:36" x14ac:dyDescent="0.25">
      <c r="A145" s="272"/>
      <c r="B145" s="273"/>
      <c r="C145" s="274"/>
      <c r="D145" s="272"/>
      <c r="E145" s="272"/>
      <c r="F145" s="272"/>
      <c r="G145" s="272"/>
      <c r="H145" s="272"/>
      <c r="I145" s="272"/>
      <c r="J145" s="272"/>
      <c r="K145" s="33"/>
      <c r="L145" s="33"/>
      <c r="M145" s="32"/>
      <c r="N145" s="32"/>
      <c r="O145" s="32"/>
      <c r="P145" s="33"/>
      <c r="Q145" s="32"/>
      <c r="R145" s="240"/>
      <c r="S145" s="32"/>
      <c r="T145" s="32"/>
      <c r="U145" s="250"/>
      <c r="V145" s="32"/>
      <c r="W145" s="33"/>
      <c r="X145" s="32"/>
      <c r="Y145" s="42"/>
      <c r="Z145" s="31"/>
      <c r="AA145" s="42"/>
      <c r="AB145" s="42"/>
      <c r="AC145" s="250"/>
      <c r="AD145" s="32"/>
      <c r="AE145" s="282"/>
      <c r="AF145" s="261"/>
      <c r="AG145" s="31"/>
      <c r="AH145" s="32"/>
      <c r="AI145" s="42"/>
      <c r="AJ145" s="42"/>
    </row>
    <row r="146" spans="1:36" x14ac:dyDescent="0.25">
      <c r="A146" s="272"/>
      <c r="B146" s="273"/>
      <c r="C146" s="274"/>
      <c r="D146" s="272"/>
      <c r="E146" s="272"/>
      <c r="F146" s="272"/>
      <c r="G146" s="272"/>
      <c r="H146" s="272"/>
      <c r="I146" s="272"/>
      <c r="J146" s="272"/>
      <c r="K146" s="33"/>
      <c r="L146" s="33"/>
      <c r="M146" s="32"/>
      <c r="N146" s="32"/>
      <c r="O146" s="32"/>
      <c r="P146" s="33"/>
      <c r="Q146" s="32"/>
      <c r="R146" s="240"/>
      <c r="S146" s="32"/>
      <c r="T146" s="32"/>
      <c r="U146" s="250"/>
      <c r="V146" s="32"/>
      <c r="W146" s="33"/>
      <c r="X146" s="32"/>
      <c r="Y146" s="42"/>
      <c r="Z146" s="31"/>
      <c r="AA146" s="42"/>
      <c r="AB146" s="42"/>
      <c r="AC146" s="250"/>
      <c r="AD146" s="32"/>
      <c r="AE146" s="282"/>
      <c r="AF146" s="261"/>
      <c r="AG146" s="31"/>
      <c r="AH146" s="32"/>
      <c r="AI146" s="42"/>
      <c r="AJ146" s="42"/>
    </row>
    <row r="147" spans="1:36" x14ac:dyDescent="0.25">
      <c r="A147" s="272"/>
      <c r="B147" s="273"/>
      <c r="C147" s="274"/>
      <c r="D147" s="272"/>
      <c r="E147" s="272"/>
      <c r="F147" s="272"/>
      <c r="G147" s="272"/>
      <c r="H147" s="272"/>
      <c r="I147" s="272"/>
      <c r="J147" s="272"/>
      <c r="K147" s="33"/>
      <c r="L147" s="33"/>
      <c r="M147" s="32"/>
      <c r="N147" s="32"/>
      <c r="O147" s="32"/>
      <c r="P147" s="33"/>
      <c r="Q147" s="32"/>
      <c r="R147" s="240"/>
      <c r="S147" s="32"/>
      <c r="T147" s="32"/>
      <c r="U147" s="250"/>
      <c r="V147" s="32"/>
      <c r="W147" s="33"/>
      <c r="X147" s="32"/>
      <c r="Y147" s="42"/>
      <c r="Z147" s="31"/>
      <c r="AA147" s="42"/>
      <c r="AB147" s="42"/>
      <c r="AC147" s="250"/>
      <c r="AD147" s="32"/>
      <c r="AE147" s="282"/>
      <c r="AF147" s="261"/>
      <c r="AG147" s="31"/>
      <c r="AH147" s="32"/>
      <c r="AI147" s="42"/>
      <c r="AJ147" s="42"/>
    </row>
    <row r="148" spans="1:36" x14ac:dyDescent="0.25">
      <c r="A148" s="272"/>
      <c r="B148" s="273"/>
      <c r="C148" s="274"/>
      <c r="D148" s="272"/>
      <c r="E148" s="272"/>
      <c r="F148" s="272"/>
      <c r="G148" s="272"/>
      <c r="H148" s="272"/>
      <c r="I148" s="272"/>
      <c r="J148" s="272"/>
      <c r="K148" s="33"/>
      <c r="L148" s="33"/>
      <c r="M148" s="32"/>
      <c r="N148" s="32"/>
      <c r="O148" s="32"/>
      <c r="P148" s="33"/>
      <c r="Q148" s="32"/>
      <c r="R148" s="240"/>
      <c r="S148" s="32"/>
      <c r="T148" s="32"/>
      <c r="U148" s="250"/>
      <c r="V148" s="32"/>
      <c r="W148" s="33"/>
      <c r="X148" s="32"/>
      <c r="Y148" s="42"/>
      <c r="Z148" s="31"/>
      <c r="AA148" s="42"/>
      <c r="AB148" s="42"/>
      <c r="AC148" s="250"/>
      <c r="AD148" s="32"/>
      <c r="AE148" s="282"/>
      <c r="AF148" s="261"/>
      <c r="AG148" s="31"/>
      <c r="AH148" s="32"/>
      <c r="AI148" s="42"/>
      <c r="AJ148" s="42"/>
    </row>
    <row r="149" spans="1:36" x14ac:dyDescent="0.25">
      <c r="A149" s="272"/>
      <c r="B149" s="273"/>
      <c r="C149" s="274"/>
      <c r="D149" s="272"/>
      <c r="E149" s="272"/>
      <c r="F149" s="272"/>
      <c r="G149" s="272"/>
      <c r="H149" s="272"/>
      <c r="I149" s="272"/>
      <c r="J149" s="272"/>
      <c r="K149" s="33"/>
      <c r="L149" s="33"/>
      <c r="M149" s="32"/>
      <c r="N149" s="32"/>
      <c r="O149" s="32"/>
      <c r="P149" s="33"/>
      <c r="Q149" s="32"/>
      <c r="R149" s="240"/>
      <c r="S149" s="32"/>
      <c r="T149" s="32"/>
      <c r="U149" s="250"/>
      <c r="V149" s="32"/>
      <c r="W149" s="33"/>
      <c r="X149" s="32"/>
      <c r="Y149" s="42"/>
      <c r="Z149" s="31"/>
      <c r="AA149" s="42"/>
      <c r="AB149" s="42"/>
      <c r="AC149" s="250"/>
      <c r="AD149" s="32"/>
      <c r="AE149" s="282"/>
      <c r="AF149" s="261"/>
      <c r="AG149" s="31"/>
      <c r="AH149" s="32"/>
      <c r="AI149" s="42"/>
      <c r="AJ149" s="42"/>
    </row>
    <row r="150" spans="1:36" x14ac:dyDescent="0.25">
      <c r="A150" s="272"/>
      <c r="B150" s="273"/>
      <c r="C150" s="274"/>
      <c r="D150" s="272"/>
      <c r="E150" s="272"/>
      <c r="F150" s="272"/>
      <c r="G150" s="272"/>
      <c r="H150" s="272"/>
      <c r="I150" s="272"/>
      <c r="J150" s="272"/>
      <c r="K150" s="33"/>
      <c r="L150" s="33"/>
      <c r="M150" s="32"/>
      <c r="N150" s="32"/>
      <c r="O150" s="32"/>
      <c r="P150" s="33"/>
      <c r="Q150" s="32"/>
      <c r="R150" s="240"/>
      <c r="S150" s="32"/>
      <c r="T150" s="32"/>
      <c r="U150" s="250"/>
      <c r="V150" s="32"/>
      <c r="W150" s="33"/>
      <c r="X150" s="32"/>
      <c r="Y150" s="42"/>
      <c r="Z150" s="31"/>
      <c r="AA150" s="42"/>
      <c r="AB150" s="42"/>
      <c r="AC150" s="250"/>
      <c r="AD150" s="32"/>
      <c r="AE150" s="282"/>
      <c r="AF150" s="261"/>
      <c r="AG150" s="31"/>
      <c r="AH150" s="32"/>
      <c r="AI150" s="42"/>
      <c r="AJ150" s="42"/>
    </row>
    <row r="151" spans="1:36" x14ac:dyDescent="0.25">
      <c r="A151" s="272"/>
      <c r="B151" s="273"/>
      <c r="C151" s="274"/>
      <c r="D151" s="272"/>
      <c r="E151" s="272"/>
      <c r="F151" s="272"/>
      <c r="G151" s="272"/>
      <c r="H151" s="272"/>
      <c r="I151" s="272"/>
      <c r="J151" s="272"/>
      <c r="K151" s="33"/>
      <c r="L151" s="33"/>
      <c r="M151" s="32"/>
      <c r="N151" s="32"/>
      <c r="O151" s="32"/>
      <c r="P151" s="33"/>
      <c r="Q151" s="32"/>
      <c r="R151" s="240"/>
      <c r="S151" s="32"/>
      <c r="T151" s="32"/>
      <c r="U151" s="250"/>
      <c r="V151" s="32"/>
      <c r="W151" s="33"/>
      <c r="X151" s="32"/>
      <c r="Y151" s="42"/>
      <c r="Z151" s="31"/>
      <c r="AA151" s="42"/>
      <c r="AB151" s="42"/>
      <c r="AC151" s="250"/>
      <c r="AD151" s="32"/>
      <c r="AE151" s="282"/>
      <c r="AF151" s="261"/>
      <c r="AG151" s="31"/>
      <c r="AH151" s="32"/>
      <c r="AI151" s="42"/>
      <c r="AJ151" s="42"/>
    </row>
    <row r="152" spans="1:36" x14ac:dyDescent="0.25">
      <c r="A152" s="272"/>
      <c r="B152" s="273"/>
      <c r="C152" s="274"/>
      <c r="D152" s="272"/>
      <c r="E152" s="272"/>
      <c r="F152" s="272"/>
      <c r="G152" s="272"/>
      <c r="H152" s="272"/>
      <c r="I152" s="272"/>
      <c r="J152" s="272"/>
      <c r="K152" s="33"/>
      <c r="L152" s="33"/>
      <c r="M152" s="32"/>
      <c r="N152" s="32"/>
      <c r="O152" s="32"/>
      <c r="P152" s="33"/>
      <c r="Q152" s="32"/>
      <c r="R152" s="240"/>
      <c r="S152" s="32"/>
      <c r="T152" s="32"/>
      <c r="U152" s="250"/>
      <c r="V152" s="32"/>
      <c r="W152" s="33"/>
      <c r="X152" s="32"/>
      <c r="Y152" s="42"/>
      <c r="Z152" s="31"/>
      <c r="AA152" s="42"/>
      <c r="AB152" s="42"/>
      <c r="AC152" s="250"/>
      <c r="AD152" s="32"/>
      <c r="AE152" s="282"/>
      <c r="AF152" s="261"/>
      <c r="AG152" s="31"/>
      <c r="AH152" s="32"/>
      <c r="AI152" s="42"/>
      <c r="AJ152" s="42"/>
    </row>
    <row r="153" spans="1:36" x14ac:dyDescent="0.25">
      <c r="A153" s="272"/>
      <c r="B153" s="273"/>
      <c r="C153" s="274"/>
      <c r="D153" s="272"/>
      <c r="E153" s="272"/>
      <c r="F153" s="272"/>
      <c r="G153" s="272"/>
      <c r="H153" s="272"/>
      <c r="I153" s="272"/>
      <c r="J153" s="272"/>
      <c r="K153" s="33"/>
      <c r="L153" s="33"/>
      <c r="M153" s="32"/>
      <c r="N153" s="32"/>
      <c r="O153" s="32"/>
      <c r="P153" s="33"/>
      <c r="Q153" s="32"/>
      <c r="R153" s="240"/>
      <c r="S153" s="32"/>
      <c r="T153" s="32"/>
      <c r="U153" s="250"/>
      <c r="V153" s="32"/>
      <c r="W153" s="33"/>
      <c r="X153" s="32"/>
      <c r="Y153" s="42"/>
      <c r="Z153" s="31"/>
      <c r="AA153" s="42"/>
      <c r="AB153" s="42"/>
      <c r="AC153" s="250"/>
      <c r="AD153" s="32"/>
      <c r="AE153" s="282"/>
      <c r="AF153" s="261"/>
      <c r="AG153" s="31"/>
      <c r="AH153" s="32"/>
      <c r="AI153" s="42"/>
      <c r="AJ153" s="42"/>
    </row>
    <row r="154" spans="1:36" x14ac:dyDescent="0.25">
      <c r="A154" s="272"/>
      <c r="B154" s="273"/>
      <c r="C154" s="274"/>
      <c r="D154" s="272"/>
      <c r="E154" s="272"/>
      <c r="F154" s="272"/>
      <c r="G154" s="272"/>
      <c r="H154" s="272"/>
      <c r="I154" s="272"/>
      <c r="J154" s="272"/>
      <c r="K154" s="33"/>
      <c r="L154" s="33"/>
      <c r="M154" s="32"/>
      <c r="N154" s="32"/>
      <c r="O154" s="32"/>
      <c r="P154" s="33"/>
      <c r="Q154" s="32"/>
      <c r="R154" s="240"/>
      <c r="S154" s="32"/>
      <c r="T154" s="32"/>
      <c r="U154" s="250"/>
      <c r="V154" s="32"/>
      <c r="W154" s="33"/>
      <c r="X154" s="32"/>
      <c r="Y154" s="42"/>
      <c r="Z154" s="31"/>
      <c r="AA154" s="42"/>
      <c r="AB154" s="42"/>
      <c r="AC154" s="250"/>
      <c r="AD154" s="32"/>
      <c r="AE154" s="282"/>
      <c r="AF154" s="261"/>
      <c r="AG154" s="31"/>
      <c r="AH154" s="32"/>
      <c r="AI154" s="42"/>
      <c r="AJ154" s="42"/>
    </row>
    <row r="155" spans="1:36" x14ac:dyDescent="0.25">
      <c r="A155" s="272"/>
      <c r="B155" s="273"/>
      <c r="C155" s="274"/>
      <c r="D155" s="272"/>
      <c r="E155" s="272"/>
      <c r="F155" s="272"/>
      <c r="G155" s="272"/>
      <c r="H155" s="272"/>
      <c r="I155" s="272"/>
      <c r="J155" s="272"/>
      <c r="K155" s="33"/>
      <c r="L155" s="33"/>
      <c r="M155" s="32"/>
      <c r="N155" s="32"/>
      <c r="O155" s="32"/>
      <c r="P155" s="33"/>
      <c r="Q155" s="32"/>
      <c r="R155" s="240"/>
      <c r="S155" s="32"/>
      <c r="T155" s="32"/>
      <c r="U155" s="250"/>
      <c r="V155" s="32"/>
      <c r="W155" s="33"/>
      <c r="X155" s="32"/>
      <c r="Y155" s="42"/>
      <c r="Z155" s="31"/>
      <c r="AA155" s="42"/>
      <c r="AB155" s="42"/>
      <c r="AC155" s="250"/>
      <c r="AD155" s="32"/>
      <c r="AE155" s="282"/>
      <c r="AF155" s="261"/>
      <c r="AG155" s="31"/>
      <c r="AH155" s="32"/>
      <c r="AI155" s="42"/>
      <c r="AJ155" s="42"/>
    </row>
    <row r="156" spans="1:36" x14ac:dyDescent="0.25">
      <c r="A156" s="272"/>
      <c r="B156" s="273"/>
      <c r="C156" s="274"/>
      <c r="D156" s="272"/>
      <c r="E156" s="272"/>
      <c r="F156" s="272"/>
      <c r="G156" s="272"/>
      <c r="H156" s="272"/>
      <c r="I156" s="272"/>
      <c r="J156" s="272"/>
      <c r="K156" s="33"/>
      <c r="L156" s="33"/>
      <c r="M156" s="32"/>
      <c r="N156" s="32"/>
      <c r="O156" s="32"/>
      <c r="P156" s="33"/>
      <c r="Q156" s="32"/>
      <c r="R156" s="240"/>
      <c r="S156" s="32"/>
      <c r="T156" s="32"/>
      <c r="U156" s="250"/>
      <c r="V156" s="32"/>
      <c r="W156" s="33"/>
      <c r="X156" s="32"/>
      <c r="Y156" s="42"/>
      <c r="Z156" s="31"/>
      <c r="AA156" s="42"/>
      <c r="AB156" s="42"/>
      <c r="AC156" s="250"/>
      <c r="AD156" s="32"/>
      <c r="AE156" s="282"/>
      <c r="AF156" s="261"/>
      <c r="AG156" s="31"/>
      <c r="AH156" s="32"/>
      <c r="AI156" s="42"/>
      <c r="AJ156" s="42"/>
    </row>
    <row r="157" spans="1:36" x14ac:dyDescent="0.25">
      <c r="A157" s="272"/>
      <c r="B157" s="273"/>
      <c r="C157" s="274"/>
      <c r="D157" s="272"/>
      <c r="E157" s="272"/>
      <c r="F157" s="272"/>
      <c r="G157" s="272"/>
      <c r="H157" s="272"/>
      <c r="I157" s="272"/>
      <c r="J157" s="272"/>
      <c r="K157" s="33"/>
      <c r="L157" s="33"/>
      <c r="M157" s="32"/>
      <c r="N157" s="32"/>
      <c r="O157" s="32"/>
      <c r="P157" s="33"/>
      <c r="Q157" s="32"/>
      <c r="R157" s="240"/>
      <c r="S157" s="32"/>
      <c r="T157" s="32"/>
      <c r="U157" s="250"/>
      <c r="V157" s="32"/>
      <c r="W157" s="33"/>
      <c r="X157" s="32"/>
      <c r="Y157" s="42"/>
      <c r="Z157" s="31"/>
      <c r="AA157" s="42"/>
      <c r="AB157" s="42"/>
      <c r="AC157" s="250"/>
      <c r="AD157" s="32"/>
      <c r="AE157" s="282"/>
      <c r="AF157" s="261"/>
      <c r="AG157" s="31"/>
      <c r="AH157" s="32"/>
      <c r="AI157" s="42"/>
      <c r="AJ157" s="42"/>
    </row>
    <row r="158" spans="1:36" x14ac:dyDescent="0.25">
      <c r="A158" s="272"/>
      <c r="B158" s="273"/>
      <c r="C158" s="274"/>
      <c r="D158" s="272"/>
      <c r="E158" s="272"/>
      <c r="F158" s="272"/>
      <c r="G158" s="272"/>
      <c r="H158" s="272"/>
      <c r="I158" s="272"/>
      <c r="J158" s="272"/>
      <c r="K158" s="33"/>
      <c r="L158" s="33"/>
      <c r="M158" s="32"/>
      <c r="N158" s="32"/>
      <c r="O158" s="32"/>
      <c r="P158" s="33"/>
      <c r="Q158" s="32"/>
      <c r="R158" s="240"/>
      <c r="S158" s="32"/>
      <c r="T158" s="32"/>
      <c r="U158" s="250"/>
      <c r="V158" s="32"/>
      <c r="W158" s="33"/>
      <c r="X158" s="32"/>
      <c r="Y158" s="42"/>
      <c r="Z158" s="31"/>
      <c r="AA158" s="42"/>
      <c r="AB158" s="42"/>
      <c r="AC158" s="250"/>
      <c r="AD158" s="32"/>
      <c r="AE158" s="282"/>
      <c r="AF158" s="261"/>
      <c r="AG158" s="31"/>
      <c r="AH158" s="32"/>
      <c r="AI158" s="42"/>
      <c r="AJ158" s="42"/>
    </row>
    <row r="159" spans="1:36" x14ac:dyDescent="0.25">
      <c r="A159" s="272"/>
      <c r="B159" s="273"/>
      <c r="C159" s="274"/>
      <c r="D159" s="272"/>
      <c r="E159" s="272"/>
      <c r="F159" s="272"/>
      <c r="G159" s="272"/>
      <c r="H159" s="272"/>
      <c r="I159" s="272"/>
      <c r="J159" s="272"/>
      <c r="K159" s="33"/>
      <c r="L159" s="33"/>
      <c r="M159" s="32"/>
      <c r="N159" s="32"/>
      <c r="O159" s="32"/>
      <c r="P159" s="33"/>
      <c r="Q159" s="32"/>
      <c r="R159" s="240"/>
      <c r="S159" s="32"/>
      <c r="T159" s="32"/>
      <c r="U159" s="250"/>
      <c r="V159" s="32"/>
      <c r="W159" s="33"/>
      <c r="X159" s="32"/>
      <c r="Y159" s="42"/>
      <c r="Z159" s="31"/>
      <c r="AA159" s="42"/>
      <c r="AB159" s="42"/>
      <c r="AC159" s="250"/>
      <c r="AD159" s="32"/>
      <c r="AE159" s="282"/>
      <c r="AF159" s="261"/>
      <c r="AG159" s="31"/>
      <c r="AH159" s="32"/>
      <c r="AI159" s="42"/>
      <c r="AJ159" s="42"/>
    </row>
    <row r="160" spans="1:36" x14ac:dyDescent="0.25">
      <c r="A160" s="272"/>
      <c r="B160" s="273"/>
      <c r="C160" s="274"/>
      <c r="D160" s="272"/>
      <c r="E160" s="272"/>
      <c r="F160" s="272"/>
      <c r="G160" s="272"/>
      <c r="H160" s="272"/>
      <c r="I160" s="272"/>
      <c r="J160" s="272"/>
      <c r="K160" s="33"/>
      <c r="L160" s="33"/>
      <c r="M160" s="32"/>
      <c r="N160" s="32"/>
      <c r="O160" s="32"/>
      <c r="P160" s="33"/>
      <c r="Q160" s="32"/>
      <c r="R160" s="240"/>
      <c r="S160" s="32"/>
      <c r="T160" s="32"/>
      <c r="U160" s="250"/>
      <c r="V160" s="32"/>
      <c r="W160" s="33"/>
      <c r="X160" s="32"/>
      <c r="Y160" s="42"/>
      <c r="Z160" s="31"/>
      <c r="AA160" s="42"/>
      <c r="AB160" s="42"/>
      <c r="AC160" s="250"/>
      <c r="AD160" s="32"/>
      <c r="AE160" s="282"/>
      <c r="AF160" s="261"/>
      <c r="AG160" s="31"/>
      <c r="AH160" s="32"/>
      <c r="AI160" s="42"/>
      <c r="AJ160" s="42"/>
    </row>
    <row r="161" spans="1:36" x14ac:dyDescent="0.25">
      <c r="A161" s="272"/>
      <c r="B161" s="273"/>
      <c r="C161" s="274"/>
      <c r="D161" s="272"/>
      <c r="E161" s="272"/>
      <c r="F161" s="272"/>
      <c r="G161" s="272"/>
      <c r="H161" s="272"/>
      <c r="I161" s="272"/>
      <c r="J161" s="272"/>
      <c r="K161" s="33"/>
      <c r="L161" s="33"/>
      <c r="M161" s="32"/>
      <c r="N161" s="32"/>
      <c r="O161" s="32"/>
      <c r="P161" s="33"/>
      <c r="Q161" s="32"/>
      <c r="R161" s="240"/>
      <c r="S161" s="32"/>
      <c r="T161" s="32"/>
      <c r="U161" s="250"/>
      <c r="V161" s="32"/>
      <c r="W161" s="33"/>
      <c r="X161" s="32"/>
      <c r="Y161" s="42"/>
      <c r="Z161" s="31"/>
      <c r="AA161" s="42"/>
      <c r="AB161" s="42"/>
      <c r="AC161" s="250"/>
      <c r="AD161" s="32"/>
      <c r="AE161" s="282"/>
      <c r="AF161" s="261"/>
      <c r="AG161" s="31"/>
      <c r="AH161" s="32"/>
      <c r="AI161" s="42"/>
      <c r="AJ161" s="42"/>
    </row>
    <row r="162" spans="1:36" x14ac:dyDescent="0.25">
      <c r="A162" s="272"/>
      <c r="B162" s="273"/>
      <c r="C162" s="274"/>
      <c r="D162" s="272"/>
      <c r="E162" s="272"/>
      <c r="F162" s="272"/>
      <c r="G162" s="272"/>
      <c r="H162" s="272"/>
      <c r="I162" s="272"/>
      <c r="J162" s="272"/>
      <c r="K162" s="33"/>
      <c r="L162" s="33"/>
      <c r="M162" s="32"/>
      <c r="N162" s="32"/>
      <c r="O162" s="32"/>
      <c r="P162" s="33"/>
      <c r="Q162" s="32"/>
      <c r="R162" s="240"/>
      <c r="S162" s="32"/>
      <c r="T162" s="32"/>
      <c r="U162" s="250"/>
      <c r="V162" s="32"/>
      <c r="W162" s="33"/>
      <c r="X162" s="32"/>
      <c r="Y162" s="42"/>
      <c r="Z162" s="31"/>
      <c r="AA162" s="42"/>
      <c r="AB162" s="42"/>
      <c r="AC162" s="250"/>
      <c r="AD162" s="32"/>
      <c r="AE162" s="282"/>
      <c r="AF162" s="261"/>
      <c r="AG162" s="31"/>
      <c r="AH162" s="32"/>
      <c r="AI162" s="42"/>
      <c r="AJ162" s="42"/>
    </row>
    <row r="163" spans="1:36" x14ac:dyDescent="0.25">
      <c r="A163" s="272"/>
      <c r="B163" s="273"/>
      <c r="C163" s="274"/>
      <c r="D163" s="272"/>
      <c r="E163" s="272"/>
      <c r="F163" s="272"/>
      <c r="G163" s="272"/>
      <c r="H163" s="272"/>
      <c r="I163" s="272"/>
      <c r="J163" s="272"/>
      <c r="K163" s="33"/>
      <c r="L163" s="33"/>
      <c r="M163" s="32"/>
      <c r="N163" s="32"/>
      <c r="O163" s="32"/>
      <c r="P163" s="33"/>
      <c r="Q163" s="32"/>
      <c r="R163" s="240"/>
      <c r="S163" s="32"/>
      <c r="T163" s="32"/>
      <c r="U163" s="250"/>
      <c r="V163" s="32"/>
      <c r="W163" s="33"/>
      <c r="X163" s="32"/>
      <c r="Y163" s="42"/>
      <c r="Z163" s="31"/>
      <c r="AA163" s="42"/>
      <c r="AB163" s="42"/>
      <c r="AC163" s="250"/>
      <c r="AD163" s="32"/>
      <c r="AE163" s="282"/>
      <c r="AF163" s="261"/>
      <c r="AG163" s="31"/>
      <c r="AH163" s="32"/>
      <c r="AI163" s="42"/>
      <c r="AJ163" s="42"/>
    </row>
    <row r="164" spans="1:36" x14ac:dyDescent="0.25">
      <c r="A164" s="272"/>
      <c r="B164" s="273"/>
      <c r="C164" s="274"/>
      <c r="D164" s="272"/>
      <c r="E164" s="272"/>
      <c r="F164" s="272"/>
      <c r="G164" s="272"/>
      <c r="H164" s="272"/>
      <c r="I164" s="272"/>
      <c r="J164" s="272"/>
      <c r="K164" s="33"/>
      <c r="L164" s="33"/>
      <c r="M164" s="32"/>
      <c r="N164" s="32"/>
      <c r="O164" s="32"/>
      <c r="P164" s="33"/>
      <c r="Q164" s="32"/>
      <c r="R164" s="240"/>
      <c r="S164" s="32"/>
      <c r="T164" s="32"/>
      <c r="U164" s="250"/>
      <c r="V164" s="32"/>
      <c r="W164" s="33"/>
      <c r="X164" s="32"/>
      <c r="Y164" s="42"/>
      <c r="Z164" s="31"/>
      <c r="AA164" s="42"/>
      <c r="AB164" s="42"/>
      <c r="AC164" s="250"/>
      <c r="AD164" s="32"/>
      <c r="AE164" s="282"/>
      <c r="AF164" s="261"/>
      <c r="AG164" s="31"/>
      <c r="AH164" s="32"/>
      <c r="AI164" s="42"/>
      <c r="AJ164" s="42"/>
    </row>
    <row r="165" spans="1:36" x14ac:dyDescent="0.25">
      <c r="A165" s="272"/>
      <c r="B165" s="273"/>
      <c r="C165" s="274"/>
      <c r="D165" s="272"/>
      <c r="E165" s="272"/>
      <c r="F165" s="272"/>
      <c r="G165" s="272"/>
      <c r="H165" s="272"/>
      <c r="I165" s="272"/>
      <c r="J165" s="272"/>
      <c r="K165" s="33"/>
      <c r="L165" s="33"/>
      <c r="M165" s="32"/>
      <c r="N165" s="32"/>
      <c r="O165" s="32"/>
      <c r="P165" s="33"/>
      <c r="Q165" s="32"/>
      <c r="R165" s="240"/>
      <c r="S165" s="32"/>
      <c r="T165" s="32"/>
      <c r="U165" s="250"/>
      <c r="V165" s="32"/>
      <c r="W165" s="33"/>
      <c r="X165" s="32"/>
      <c r="Y165" s="42"/>
      <c r="Z165" s="31"/>
      <c r="AA165" s="42"/>
      <c r="AB165" s="42"/>
      <c r="AC165" s="250"/>
      <c r="AD165" s="32"/>
      <c r="AE165" s="282"/>
      <c r="AF165" s="261"/>
      <c r="AG165" s="31"/>
      <c r="AH165" s="32"/>
      <c r="AI165" s="42"/>
      <c r="AJ165" s="42"/>
    </row>
    <row r="166" spans="1:36" x14ac:dyDescent="0.25">
      <c r="A166" s="272"/>
      <c r="B166" s="273"/>
      <c r="C166" s="274"/>
      <c r="D166" s="272"/>
      <c r="E166" s="272"/>
      <c r="F166" s="272"/>
      <c r="G166" s="272"/>
      <c r="H166" s="272"/>
      <c r="I166" s="272"/>
      <c r="J166" s="272"/>
      <c r="K166" s="33"/>
      <c r="L166" s="33"/>
      <c r="M166" s="32"/>
      <c r="N166" s="32"/>
      <c r="O166" s="32"/>
      <c r="P166" s="33"/>
      <c r="Q166" s="32"/>
      <c r="R166" s="240"/>
      <c r="S166" s="32"/>
      <c r="T166" s="32"/>
      <c r="U166" s="250"/>
      <c r="V166" s="32"/>
      <c r="W166" s="33"/>
      <c r="X166" s="32"/>
      <c r="Y166" s="42"/>
      <c r="Z166" s="31"/>
      <c r="AA166" s="42"/>
      <c r="AB166" s="42"/>
      <c r="AC166" s="250"/>
      <c r="AD166" s="32"/>
      <c r="AE166" s="282"/>
      <c r="AF166" s="261"/>
      <c r="AG166" s="31"/>
      <c r="AH166" s="32"/>
      <c r="AI166" s="42"/>
      <c r="AJ166" s="42"/>
    </row>
    <row r="167" spans="1:36" x14ac:dyDescent="0.25">
      <c r="A167" s="272"/>
      <c r="B167" s="273"/>
      <c r="C167" s="274"/>
      <c r="D167" s="272"/>
      <c r="E167" s="272"/>
      <c r="F167" s="272"/>
      <c r="G167" s="272"/>
      <c r="H167" s="272"/>
      <c r="I167" s="272"/>
      <c r="J167" s="272"/>
      <c r="K167" s="33"/>
      <c r="L167" s="33"/>
      <c r="M167" s="32"/>
      <c r="N167" s="32"/>
      <c r="O167" s="32"/>
      <c r="P167" s="33"/>
      <c r="Q167" s="32"/>
      <c r="R167" s="240"/>
      <c r="S167" s="32"/>
      <c r="T167" s="32"/>
      <c r="U167" s="250"/>
      <c r="V167" s="32"/>
      <c r="W167" s="33"/>
      <c r="X167" s="32"/>
      <c r="Y167" s="42"/>
      <c r="Z167" s="31"/>
      <c r="AA167" s="42"/>
      <c r="AB167" s="42"/>
      <c r="AC167" s="250"/>
      <c r="AD167" s="32"/>
      <c r="AE167" s="282"/>
      <c r="AF167" s="261"/>
      <c r="AG167" s="31"/>
      <c r="AH167" s="32"/>
      <c r="AI167" s="42"/>
      <c r="AJ167" s="42"/>
    </row>
    <row r="168" spans="1:36" x14ac:dyDescent="0.25">
      <c r="A168" s="272"/>
      <c r="B168" s="273"/>
      <c r="C168" s="274"/>
      <c r="D168" s="272"/>
      <c r="E168" s="272"/>
      <c r="F168" s="272"/>
      <c r="G168" s="272"/>
      <c r="H168" s="272"/>
      <c r="I168" s="272"/>
      <c r="J168" s="272"/>
      <c r="K168" s="33"/>
      <c r="L168" s="33"/>
      <c r="M168" s="32"/>
      <c r="N168" s="32"/>
      <c r="O168" s="32"/>
      <c r="P168" s="33"/>
      <c r="Q168" s="32"/>
      <c r="R168" s="240"/>
      <c r="S168" s="32"/>
      <c r="T168" s="32"/>
      <c r="U168" s="250"/>
      <c r="V168" s="32"/>
      <c r="W168" s="33"/>
      <c r="X168" s="32"/>
      <c r="Y168" s="42"/>
      <c r="Z168" s="31"/>
      <c r="AA168" s="42"/>
      <c r="AB168" s="42"/>
      <c r="AC168" s="250"/>
      <c r="AD168" s="32"/>
      <c r="AE168" s="282"/>
      <c r="AF168" s="261"/>
      <c r="AG168" s="31"/>
      <c r="AH168" s="32"/>
      <c r="AI168" s="42"/>
      <c r="AJ168" s="42"/>
    </row>
    <row r="169" spans="1:36" x14ac:dyDescent="0.25">
      <c r="A169" s="272"/>
      <c r="B169" s="273"/>
      <c r="C169" s="274"/>
      <c r="D169" s="272"/>
      <c r="E169" s="272"/>
      <c r="F169" s="272"/>
      <c r="G169" s="272"/>
      <c r="H169" s="272"/>
      <c r="I169" s="272"/>
      <c r="J169" s="272"/>
      <c r="K169" s="33"/>
      <c r="L169" s="33"/>
      <c r="M169" s="32"/>
      <c r="N169" s="32"/>
      <c r="O169" s="32"/>
      <c r="P169" s="33"/>
      <c r="Q169" s="32"/>
      <c r="R169" s="240"/>
      <c r="S169" s="32"/>
      <c r="T169" s="32"/>
      <c r="U169" s="250"/>
      <c r="V169" s="32"/>
      <c r="W169" s="33"/>
      <c r="X169" s="32"/>
      <c r="Y169" s="42"/>
      <c r="Z169" s="31"/>
      <c r="AA169" s="42"/>
      <c r="AB169" s="42"/>
      <c r="AC169" s="250"/>
      <c r="AD169" s="32"/>
      <c r="AE169" s="282"/>
      <c r="AF169" s="261"/>
      <c r="AG169" s="31"/>
      <c r="AH169" s="32"/>
      <c r="AI169" s="42"/>
      <c r="AJ169" s="42"/>
    </row>
    <row r="170" spans="1:36" x14ac:dyDescent="0.25">
      <c r="A170" s="272"/>
      <c r="B170" s="273"/>
      <c r="C170" s="274"/>
      <c r="D170" s="272"/>
      <c r="E170" s="272"/>
      <c r="F170" s="272"/>
      <c r="G170" s="272"/>
      <c r="H170" s="272"/>
      <c r="I170" s="272"/>
      <c r="J170" s="272"/>
      <c r="K170" s="33"/>
      <c r="L170" s="33"/>
      <c r="M170" s="32"/>
      <c r="N170" s="32"/>
      <c r="O170" s="32"/>
      <c r="P170" s="33"/>
      <c r="Q170" s="32"/>
      <c r="R170" s="240"/>
      <c r="S170" s="32"/>
      <c r="T170" s="32"/>
      <c r="U170" s="250"/>
      <c r="V170" s="32"/>
      <c r="W170" s="33"/>
      <c r="X170" s="32"/>
      <c r="Y170" s="42"/>
      <c r="Z170" s="31"/>
      <c r="AA170" s="42"/>
      <c r="AB170" s="42"/>
      <c r="AC170" s="250"/>
      <c r="AD170" s="32"/>
      <c r="AE170" s="282"/>
      <c r="AF170" s="261"/>
      <c r="AG170" s="31"/>
      <c r="AH170" s="32"/>
      <c r="AI170" s="42"/>
      <c r="AJ170" s="42"/>
    </row>
    <row r="171" spans="1:36" x14ac:dyDescent="0.25">
      <c r="A171" s="272"/>
      <c r="B171" s="273"/>
      <c r="C171" s="274"/>
      <c r="D171" s="272"/>
      <c r="E171" s="272"/>
      <c r="F171" s="272"/>
      <c r="G171" s="272"/>
      <c r="H171" s="272"/>
      <c r="I171" s="272"/>
      <c r="J171" s="272"/>
      <c r="K171" s="33"/>
      <c r="L171" s="33"/>
      <c r="M171" s="32"/>
      <c r="N171" s="32"/>
      <c r="O171" s="32"/>
      <c r="P171" s="33"/>
      <c r="Q171" s="32"/>
      <c r="R171" s="240"/>
      <c r="S171" s="32"/>
      <c r="T171" s="32"/>
      <c r="U171" s="250"/>
      <c r="V171" s="32"/>
      <c r="W171" s="33"/>
      <c r="X171" s="32"/>
      <c r="Y171" s="42"/>
      <c r="Z171" s="31"/>
      <c r="AA171" s="42"/>
      <c r="AB171" s="42"/>
      <c r="AC171" s="250"/>
      <c r="AD171" s="32"/>
      <c r="AE171" s="282"/>
      <c r="AF171" s="261"/>
      <c r="AG171" s="31"/>
      <c r="AH171" s="32"/>
      <c r="AI171" s="42"/>
      <c r="AJ171" s="42"/>
    </row>
    <row r="172" spans="1:36" x14ac:dyDescent="0.25">
      <c r="A172" s="272"/>
      <c r="B172" s="273"/>
      <c r="C172" s="274"/>
      <c r="D172" s="272"/>
      <c r="E172" s="272"/>
      <c r="F172" s="272"/>
      <c r="G172" s="272"/>
      <c r="H172" s="272"/>
      <c r="I172" s="272"/>
      <c r="J172" s="272"/>
      <c r="K172" s="33"/>
      <c r="L172" s="33"/>
      <c r="M172" s="32"/>
      <c r="N172" s="32"/>
      <c r="O172" s="32"/>
      <c r="P172" s="33"/>
      <c r="Q172" s="32"/>
      <c r="R172" s="240"/>
      <c r="S172" s="32"/>
      <c r="T172" s="32"/>
      <c r="U172" s="250"/>
      <c r="V172" s="32"/>
      <c r="W172" s="33"/>
      <c r="X172" s="32"/>
      <c r="Y172" s="42"/>
      <c r="Z172" s="31"/>
      <c r="AA172" s="42"/>
      <c r="AB172" s="42"/>
      <c r="AC172" s="250"/>
      <c r="AD172" s="32"/>
      <c r="AE172" s="282"/>
      <c r="AF172" s="261"/>
      <c r="AG172" s="31"/>
      <c r="AH172" s="32"/>
      <c r="AI172" s="42"/>
      <c r="AJ172" s="42"/>
    </row>
    <row r="173" spans="1:36" x14ac:dyDescent="0.25">
      <c r="A173" s="272"/>
      <c r="B173" s="273"/>
      <c r="C173" s="274"/>
      <c r="D173" s="272"/>
      <c r="E173" s="272"/>
      <c r="F173" s="272"/>
      <c r="G173" s="272"/>
      <c r="H173" s="272"/>
      <c r="I173" s="272"/>
      <c r="J173" s="272"/>
      <c r="K173" s="33"/>
      <c r="L173" s="33"/>
      <c r="M173" s="32"/>
      <c r="N173" s="32"/>
      <c r="O173" s="32"/>
      <c r="P173" s="33"/>
      <c r="Q173" s="32"/>
      <c r="R173" s="240"/>
      <c r="S173" s="32"/>
      <c r="T173" s="32"/>
      <c r="U173" s="250"/>
      <c r="V173" s="32"/>
      <c r="W173" s="33"/>
      <c r="X173" s="32"/>
      <c r="Y173" s="42"/>
      <c r="Z173" s="31"/>
      <c r="AA173" s="42"/>
      <c r="AB173" s="42"/>
      <c r="AC173" s="250"/>
      <c r="AD173" s="32"/>
      <c r="AE173" s="282"/>
      <c r="AF173" s="261"/>
      <c r="AG173" s="31"/>
      <c r="AH173" s="32"/>
      <c r="AI173" s="42"/>
      <c r="AJ173" s="42"/>
    </row>
    <row r="174" spans="1:36" x14ac:dyDescent="0.25">
      <c r="A174" s="272"/>
      <c r="B174" s="273"/>
      <c r="C174" s="274"/>
      <c r="D174" s="272"/>
      <c r="E174" s="272"/>
      <c r="F174" s="272"/>
      <c r="G174" s="272"/>
      <c r="H174" s="272"/>
      <c r="I174" s="272"/>
      <c r="J174" s="272"/>
      <c r="K174" s="33"/>
      <c r="L174" s="33"/>
      <c r="M174" s="32"/>
      <c r="N174" s="32"/>
      <c r="O174" s="32"/>
      <c r="P174" s="33"/>
      <c r="Q174" s="32"/>
      <c r="R174" s="240"/>
      <c r="S174" s="32"/>
      <c r="T174" s="32"/>
      <c r="U174" s="250"/>
      <c r="V174" s="32"/>
      <c r="W174" s="33"/>
      <c r="X174" s="32"/>
      <c r="Y174" s="42"/>
      <c r="Z174" s="31"/>
      <c r="AA174" s="42"/>
      <c r="AB174" s="42"/>
      <c r="AC174" s="250"/>
      <c r="AD174" s="32"/>
      <c r="AE174" s="282"/>
      <c r="AF174" s="261"/>
      <c r="AG174" s="31"/>
      <c r="AH174" s="32"/>
      <c r="AI174" s="42"/>
      <c r="AJ174" s="42"/>
    </row>
    <row r="175" spans="1:36" x14ac:dyDescent="0.25">
      <c r="A175" s="272"/>
      <c r="B175" s="273"/>
      <c r="C175" s="274"/>
      <c r="D175" s="272"/>
      <c r="E175" s="272"/>
      <c r="F175" s="272"/>
      <c r="G175" s="272"/>
      <c r="H175" s="272"/>
      <c r="I175" s="272"/>
      <c r="J175" s="272"/>
      <c r="K175" s="33"/>
      <c r="L175" s="33"/>
      <c r="M175" s="32"/>
      <c r="N175" s="32"/>
      <c r="O175" s="32"/>
      <c r="P175" s="33"/>
      <c r="Q175" s="32"/>
      <c r="R175" s="240"/>
      <c r="S175" s="32"/>
      <c r="T175" s="32"/>
      <c r="U175" s="250"/>
      <c r="V175" s="32"/>
      <c r="W175" s="33"/>
      <c r="X175" s="32"/>
      <c r="Y175" s="42"/>
      <c r="Z175" s="31"/>
      <c r="AA175" s="42"/>
      <c r="AB175" s="42"/>
      <c r="AC175" s="250"/>
      <c r="AD175" s="32"/>
      <c r="AE175" s="282"/>
      <c r="AF175" s="261"/>
      <c r="AG175" s="31"/>
      <c r="AH175" s="32"/>
      <c r="AI175" s="42"/>
      <c r="AJ175" s="42"/>
    </row>
    <row r="176" spans="1:36" x14ac:dyDescent="0.25">
      <c r="A176" s="272"/>
      <c r="B176" s="273"/>
      <c r="C176" s="274"/>
      <c r="D176" s="272"/>
      <c r="E176" s="272"/>
      <c r="F176" s="272"/>
      <c r="G176" s="272"/>
      <c r="H176" s="272"/>
      <c r="I176" s="272"/>
      <c r="J176" s="272"/>
      <c r="K176" s="33"/>
      <c r="L176" s="33"/>
      <c r="M176" s="32"/>
      <c r="N176" s="32"/>
      <c r="O176" s="32"/>
      <c r="P176" s="33"/>
      <c r="Q176" s="32"/>
      <c r="R176" s="240"/>
      <c r="S176" s="32"/>
      <c r="T176" s="32"/>
      <c r="U176" s="250"/>
      <c r="V176" s="32"/>
      <c r="W176" s="33"/>
      <c r="X176" s="32"/>
      <c r="Y176" s="42"/>
      <c r="Z176" s="31"/>
      <c r="AA176" s="42"/>
      <c r="AB176" s="42"/>
      <c r="AC176" s="250"/>
      <c r="AD176" s="32"/>
      <c r="AE176" s="282"/>
      <c r="AF176" s="261"/>
      <c r="AG176" s="31"/>
      <c r="AH176" s="32"/>
      <c r="AI176" s="42"/>
      <c r="AJ176" s="42"/>
    </row>
    <row r="177" spans="1:36" x14ac:dyDescent="0.25">
      <c r="A177" s="272"/>
      <c r="B177" s="273"/>
      <c r="C177" s="274"/>
      <c r="D177" s="272"/>
      <c r="E177" s="272"/>
      <c r="F177" s="272"/>
      <c r="G177" s="272"/>
      <c r="H177" s="272"/>
      <c r="I177" s="272"/>
      <c r="J177" s="272"/>
      <c r="K177" s="33"/>
      <c r="L177" s="33"/>
      <c r="M177" s="32"/>
      <c r="N177" s="32"/>
      <c r="O177" s="32"/>
      <c r="P177" s="33"/>
      <c r="Q177" s="32"/>
      <c r="R177" s="240"/>
      <c r="S177" s="32"/>
      <c r="T177" s="32"/>
      <c r="U177" s="250"/>
      <c r="V177" s="32"/>
      <c r="W177" s="33"/>
      <c r="X177" s="32"/>
      <c r="Y177" s="42"/>
      <c r="Z177" s="31"/>
      <c r="AA177" s="42"/>
      <c r="AB177" s="42"/>
      <c r="AC177" s="250"/>
      <c r="AD177" s="32"/>
      <c r="AE177" s="282"/>
      <c r="AF177" s="261"/>
      <c r="AG177" s="31"/>
      <c r="AH177" s="32"/>
      <c r="AI177" s="42"/>
      <c r="AJ177" s="42"/>
    </row>
    <row r="178" spans="1:36" x14ac:dyDescent="0.25">
      <c r="A178" s="272"/>
      <c r="B178" s="273"/>
      <c r="C178" s="274"/>
      <c r="D178" s="272"/>
      <c r="E178" s="272"/>
      <c r="F178" s="272"/>
      <c r="G178" s="272"/>
      <c r="H178" s="272"/>
      <c r="I178" s="272"/>
      <c r="J178" s="272"/>
      <c r="K178" s="33"/>
      <c r="L178" s="33"/>
      <c r="M178" s="32"/>
      <c r="N178" s="32"/>
      <c r="O178" s="32"/>
      <c r="P178" s="33"/>
      <c r="Q178" s="32"/>
      <c r="R178" s="240"/>
      <c r="S178" s="32"/>
      <c r="T178" s="32"/>
      <c r="U178" s="250"/>
      <c r="V178" s="32"/>
      <c r="W178" s="33"/>
      <c r="X178" s="32"/>
      <c r="Y178" s="42"/>
      <c r="Z178" s="31"/>
      <c r="AA178" s="42"/>
      <c r="AB178" s="42"/>
      <c r="AC178" s="250"/>
      <c r="AD178" s="32"/>
      <c r="AE178" s="282"/>
      <c r="AF178" s="261"/>
      <c r="AG178" s="31"/>
      <c r="AH178" s="32"/>
      <c r="AI178" s="42"/>
      <c r="AJ178" s="42"/>
    </row>
    <row r="179" spans="1:36" x14ac:dyDescent="0.25">
      <c r="A179" s="272"/>
      <c r="B179" s="273"/>
      <c r="C179" s="274"/>
      <c r="D179" s="272"/>
      <c r="E179" s="272"/>
      <c r="F179" s="272"/>
      <c r="G179" s="272"/>
      <c r="H179" s="272"/>
      <c r="I179" s="272"/>
      <c r="J179" s="272"/>
      <c r="K179" s="33"/>
      <c r="L179" s="33"/>
      <c r="M179" s="32"/>
      <c r="N179" s="32"/>
      <c r="O179" s="32"/>
      <c r="P179" s="33"/>
      <c r="Q179" s="32"/>
      <c r="R179" s="240"/>
      <c r="S179" s="32"/>
      <c r="T179" s="32"/>
      <c r="U179" s="250"/>
      <c r="V179" s="32"/>
      <c r="W179" s="33"/>
      <c r="X179" s="32"/>
      <c r="Y179" s="42"/>
      <c r="Z179" s="31"/>
      <c r="AA179" s="42"/>
      <c r="AB179" s="42"/>
      <c r="AC179" s="250"/>
      <c r="AD179" s="32"/>
      <c r="AE179" s="282"/>
      <c r="AF179" s="261"/>
      <c r="AG179" s="31"/>
      <c r="AH179" s="32"/>
      <c r="AI179" s="42"/>
      <c r="AJ179" s="42"/>
    </row>
    <row r="180" spans="1:36" x14ac:dyDescent="0.25">
      <c r="A180" s="272"/>
      <c r="B180" s="273"/>
      <c r="C180" s="274"/>
      <c r="D180" s="272"/>
      <c r="E180" s="272"/>
      <c r="F180" s="272"/>
      <c r="G180" s="272"/>
      <c r="H180" s="272"/>
      <c r="I180" s="272"/>
      <c r="J180" s="272"/>
      <c r="K180" s="33"/>
      <c r="L180" s="33"/>
      <c r="M180" s="32"/>
      <c r="N180" s="32"/>
      <c r="O180" s="32"/>
      <c r="P180" s="33"/>
      <c r="Q180" s="32"/>
      <c r="R180" s="240"/>
      <c r="S180" s="32"/>
      <c r="T180" s="32"/>
      <c r="U180" s="250"/>
      <c r="V180" s="32"/>
      <c r="W180" s="33"/>
      <c r="X180" s="32"/>
      <c r="Y180" s="42"/>
      <c r="Z180" s="31"/>
      <c r="AA180" s="42"/>
      <c r="AB180" s="42"/>
      <c r="AC180" s="250"/>
      <c r="AD180" s="32"/>
      <c r="AE180" s="282"/>
      <c r="AF180" s="261"/>
      <c r="AG180" s="31"/>
      <c r="AH180" s="32"/>
      <c r="AI180" s="42"/>
      <c r="AJ180" s="42"/>
    </row>
    <row r="181" spans="1:36" x14ac:dyDescent="0.25">
      <c r="A181" s="272"/>
      <c r="B181" s="273"/>
      <c r="C181" s="274"/>
      <c r="D181" s="272"/>
      <c r="E181" s="272"/>
      <c r="F181" s="272"/>
      <c r="G181" s="272"/>
      <c r="H181" s="272"/>
      <c r="I181" s="272"/>
      <c r="J181" s="272"/>
      <c r="K181" s="33"/>
      <c r="L181" s="33"/>
      <c r="M181" s="32"/>
      <c r="N181" s="32"/>
      <c r="O181" s="32"/>
      <c r="P181" s="33"/>
      <c r="Q181" s="32"/>
      <c r="R181" s="240"/>
      <c r="S181" s="32"/>
      <c r="T181" s="32"/>
      <c r="U181" s="250"/>
      <c r="V181" s="32"/>
      <c r="W181" s="33"/>
      <c r="X181" s="32"/>
      <c r="Y181" s="42"/>
      <c r="Z181" s="31"/>
      <c r="AA181" s="42"/>
      <c r="AB181" s="42"/>
      <c r="AC181" s="250"/>
      <c r="AD181" s="32"/>
      <c r="AE181" s="282"/>
      <c r="AF181" s="261"/>
      <c r="AG181" s="31"/>
      <c r="AH181" s="32"/>
      <c r="AI181" s="42"/>
      <c r="AJ181" s="42"/>
    </row>
    <row r="182" spans="1:36" x14ac:dyDescent="0.25">
      <c r="A182" s="272"/>
      <c r="B182" s="273"/>
      <c r="C182" s="274"/>
      <c r="D182" s="272"/>
      <c r="E182" s="272"/>
      <c r="F182" s="272"/>
      <c r="G182" s="272"/>
      <c r="H182" s="272"/>
      <c r="I182" s="272"/>
      <c r="J182" s="272"/>
      <c r="K182" s="33"/>
      <c r="L182" s="33"/>
      <c r="M182" s="32"/>
      <c r="N182" s="32"/>
      <c r="O182" s="32"/>
      <c r="P182" s="33"/>
      <c r="Q182" s="32"/>
      <c r="R182" s="240"/>
      <c r="S182" s="32"/>
      <c r="T182" s="32"/>
      <c r="U182" s="250"/>
      <c r="V182" s="32"/>
      <c r="W182" s="33"/>
      <c r="X182" s="32"/>
      <c r="Y182" s="42"/>
      <c r="Z182" s="31"/>
      <c r="AA182" s="42"/>
      <c r="AB182" s="42"/>
      <c r="AC182" s="250"/>
      <c r="AD182" s="32"/>
      <c r="AE182" s="282"/>
      <c r="AF182" s="261"/>
      <c r="AG182" s="31"/>
      <c r="AH182" s="32"/>
      <c r="AI182" s="42"/>
      <c r="AJ182" s="42"/>
    </row>
    <row r="183" spans="1:36" x14ac:dyDescent="0.25">
      <c r="A183" s="272"/>
      <c r="B183" s="273"/>
      <c r="C183" s="274"/>
      <c r="D183" s="272"/>
      <c r="E183" s="272"/>
      <c r="F183" s="272"/>
      <c r="G183" s="272"/>
      <c r="H183" s="272"/>
      <c r="I183" s="272"/>
      <c r="J183" s="272"/>
      <c r="K183" s="33"/>
      <c r="L183" s="33"/>
      <c r="M183" s="32"/>
      <c r="N183" s="32"/>
      <c r="O183" s="32"/>
      <c r="P183" s="33"/>
      <c r="Q183" s="32"/>
      <c r="R183" s="240"/>
      <c r="S183" s="32"/>
      <c r="T183" s="32"/>
      <c r="U183" s="250"/>
      <c r="V183" s="32"/>
      <c r="W183" s="33"/>
      <c r="X183" s="32"/>
      <c r="Y183" s="42"/>
      <c r="Z183" s="31"/>
      <c r="AA183" s="42"/>
      <c r="AB183" s="42"/>
      <c r="AC183" s="250"/>
      <c r="AD183" s="32"/>
      <c r="AE183" s="282"/>
      <c r="AF183" s="261"/>
      <c r="AG183" s="31"/>
      <c r="AH183" s="32"/>
      <c r="AI183" s="42"/>
      <c r="AJ183" s="42"/>
    </row>
    <row r="184" spans="1:36" x14ac:dyDescent="0.25">
      <c r="A184" s="272"/>
      <c r="B184" s="273"/>
      <c r="C184" s="274"/>
      <c r="D184" s="272"/>
      <c r="E184" s="272"/>
      <c r="F184" s="272"/>
      <c r="G184" s="272"/>
      <c r="H184" s="272"/>
      <c r="I184" s="272"/>
      <c r="J184" s="272"/>
      <c r="K184" s="33"/>
      <c r="L184" s="33"/>
      <c r="M184" s="32"/>
      <c r="N184" s="32"/>
      <c r="O184" s="32"/>
      <c r="P184" s="33"/>
      <c r="Q184" s="32"/>
      <c r="R184" s="240"/>
      <c r="S184" s="32"/>
      <c r="T184" s="32"/>
      <c r="U184" s="250"/>
      <c r="V184" s="32"/>
      <c r="W184" s="33"/>
      <c r="X184" s="32"/>
      <c r="Y184" s="42"/>
      <c r="Z184" s="31"/>
      <c r="AA184" s="42"/>
      <c r="AB184" s="42"/>
      <c r="AC184" s="250"/>
      <c r="AD184" s="32"/>
      <c r="AE184" s="282"/>
      <c r="AF184" s="261"/>
      <c r="AG184" s="31"/>
      <c r="AH184" s="32"/>
      <c r="AI184" s="42"/>
      <c r="AJ184" s="42"/>
    </row>
    <row r="185" spans="1:36" x14ac:dyDescent="0.25">
      <c r="A185" s="272"/>
      <c r="B185" s="273"/>
      <c r="C185" s="274"/>
      <c r="D185" s="272"/>
      <c r="E185" s="272"/>
      <c r="F185" s="272"/>
      <c r="G185" s="272"/>
      <c r="H185" s="272"/>
      <c r="I185" s="272"/>
      <c r="J185" s="272"/>
      <c r="K185" s="33"/>
      <c r="L185" s="33"/>
      <c r="M185" s="32"/>
      <c r="N185" s="32"/>
      <c r="O185" s="32"/>
      <c r="P185" s="33"/>
      <c r="Q185" s="32"/>
      <c r="R185" s="240"/>
      <c r="S185" s="32"/>
      <c r="T185" s="32"/>
      <c r="U185" s="250"/>
      <c r="V185" s="32"/>
      <c r="W185" s="33"/>
      <c r="X185" s="32"/>
      <c r="Y185" s="42"/>
      <c r="Z185" s="31"/>
      <c r="AA185" s="42"/>
      <c r="AB185" s="42"/>
      <c r="AC185" s="250"/>
      <c r="AD185" s="32"/>
      <c r="AE185" s="282"/>
      <c r="AF185" s="261"/>
      <c r="AG185" s="31"/>
      <c r="AH185" s="32"/>
      <c r="AI185" s="42"/>
      <c r="AJ185" s="42"/>
    </row>
    <row r="186" spans="1:36" x14ac:dyDescent="0.25">
      <c r="A186" s="272"/>
      <c r="B186" s="273"/>
      <c r="C186" s="274"/>
      <c r="D186" s="272"/>
      <c r="E186" s="272"/>
      <c r="F186" s="272"/>
      <c r="G186" s="272"/>
      <c r="H186" s="272"/>
      <c r="I186" s="272"/>
      <c r="J186" s="272"/>
      <c r="K186" s="33"/>
      <c r="L186" s="33"/>
      <c r="M186" s="32"/>
      <c r="N186" s="32"/>
      <c r="O186" s="32"/>
      <c r="P186" s="33"/>
      <c r="Q186" s="32"/>
      <c r="R186" s="240"/>
      <c r="S186" s="32"/>
      <c r="T186" s="32"/>
      <c r="U186" s="250"/>
      <c r="V186" s="32"/>
      <c r="W186" s="33"/>
      <c r="X186" s="32"/>
      <c r="Y186" s="42"/>
      <c r="Z186" s="31"/>
      <c r="AA186" s="42"/>
      <c r="AB186" s="42"/>
      <c r="AC186" s="250"/>
      <c r="AD186" s="32"/>
      <c r="AE186" s="282"/>
      <c r="AF186" s="261"/>
      <c r="AG186" s="31"/>
      <c r="AH186" s="32"/>
      <c r="AI186" s="42"/>
      <c r="AJ186" s="42"/>
    </row>
    <row r="187" spans="1:36" x14ac:dyDescent="0.25">
      <c r="A187" s="272"/>
      <c r="B187" s="273"/>
      <c r="C187" s="274"/>
      <c r="D187" s="272"/>
      <c r="E187" s="272"/>
      <c r="F187" s="272"/>
      <c r="G187" s="272"/>
      <c r="H187" s="272"/>
      <c r="I187" s="272"/>
      <c r="J187" s="272"/>
      <c r="K187" s="33"/>
      <c r="L187" s="33"/>
      <c r="M187" s="32"/>
      <c r="N187" s="32"/>
      <c r="O187" s="32"/>
      <c r="P187" s="33"/>
      <c r="Q187" s="32"/>
      <c r="R187" s="240"/>
      <c r="S187" s="32"/>
      <c r="T187" s="32"/>
      <c r="U187" s="250"/>
      <c r="V187" s="32"/>
      <c r="W187" s="33"/>
      <c r="X187" s="32"/>
      <c r="Y187" s="42"/>
      <c r="Z187" s="31"/>
      <c r="AA187" s="42"/>
      <c r="AB187" s="42"/>
      <c r="AC187" s="250"/>
      <c r="AD187" s="32"/>
      <c r="AE187" s="282"/>
      <c r="AF187" s="261"/>
      <c r="AG187" s="31"/>
      <c r="AH187" s="32"/>
      <c r="AI187" s="42"/>
      <c r="AJ187" s="42"/>
    </row>
    <row r="188" spans="1:36" x14ac:dyDescent="0.25">
      <c r="A188" s="272"/>
      <c r="B188" s="273"/>
      <c r="C188" s="274"/>
      <c r="D188" s="272"/>
      <c r="E188" s="272"/>
      <c r="F188" s="272"/>
      <c r="G188" s="272"/>
      <c r="H188" s="272"/>
      <c r="I188" s="272"/>
      <c r="J188" s="272"/>
      <c r="K188" s="33"/>
      <c r="L188" s="33"/>
      <c r="M188" s="32"/>
      <c r="N188" s="32"/>
      <c r="O188" s="32"/>
      <c r="P188" s="33"/>
      <c r="Q188" s="32"/>
      <c r="R188" s="240"/>
      <c r="S188" s="32"/>
      <c r="T188" s="32"/>
      <c r="U188" s="250"/>
      <c r="V188" s="32"/>
      <c r="W188" s="33"/>
      <c r="X188" s="32"/>
      <c r="Y188" s="42"/>
      <c r="Z188" s="31"/>
      <c r="AA188" s="42"/>
      <c r="AB188" s="42"/>
      <c r="AC188" s="250"/>
      <c r="AD188" s="32"/>
      <c r="AE188" s="282"/>
      <c r="AF188" s="261"/>
      <c r="AG188" s="31"/>
      <c r="AH188" s="32"/>
      <c r="AI188" s="42"/>
      <c r="AJ188" s="42"/>
    </row>
    <row r="189" spans="1:36" x14ac:dyDescent="0.25">
      <c r="A189" s="272"/>
      <c r="B189" s="273"/>
      <c r="C189" s="274"/>
      <c r="D189" s="272"/>
      <c r="E189" s="272"/>
      <c r="F189" s="272"/>
      <c r="G189" s="272"/>
      <c r="H189" s="272"/>
      <c r="I189" s="272"/>
      <c r="J189" s="272"/>
      <c r="K189" s="33"/>
      <c r="L189" s="33"/>
      <c r="M189" s="32"/>
      <c r="N189" s="32"/>
      <c r="O189" s="32"/>
      <c r="P189" s="33"/>
      <c r="Q189" s="32"/>
      <c r="R189" s="240"/>
      <c r="S189" s="32"/>
      <c r="T189" s="32"/>
      <c r="U189" s="250"/>
      <c r="V189" s="32"/>
      <c r="W189" s="33"/>
      <c r="X189" s="32"/>
      <c r="Y189" s="42"/>
      <c r="Z189" s="31"/>
      <c r="AA189" s="42"/>
      <c r="AB189" s="42"/>
      <c r="AC189" s="250"/>
      <c r="AD189" s="32"/>
      <c r="AE189" s="282"/>
      <c r="AF189" s="261"/>
      <c r="AG189" s="31"/>
      <c r="AH189" s="32"/>
      <c r="AI189" s="42"/>
      <c r="AJ189" s="42"/>
    </row>
    <row r="190" spans="1:36" x14ac:dyDescent="0.25">
      <c r="A190" s="272"/>
      <c r="B190" s="273"/>
      <c r="C190" s="274"/>
      <c r="D190" s="272"/>
      <c r="E190" s="272"/>
      <c r="F190" s="272"/>
      <c r="G190" s="272"/>
      <c r="H190" s="272"/>
      <c r="I190" s="272"/>
      <c r="J190" s="272"/>
      <c r="K190" s="33"/>
      <c r="L190" s="33"/>
      <c r="M190" s="32"/>
      <c r="N190" s="32"/>
      <c r="O190" s="32"/>
      <c r="P190" s="33"/>
      <c r="Q190" s="32"/>
      <c r="R190" s="240"/>
      <c r="S190" s="32"/>
      <c r="T190" s="32"/>
      <c r="U190" s="250"/>
      <c r="V190" s="32"/>
      <c r="W190" s="33"/>
      <c r="X190" s="32"/>
      <c r="Y190" s="42"/>
      <c r="Z190" s="31"/>
      <c r="AA190" s="42"/>
      <c r="AB190" s="42"/>
      <c r="AC190" s="250"/>
      <c r="AD190" s="32"/>
      <c r="AE190" s="282"/>
      <c r="AF190" s="261"/>
      <c r="AG190" s="31"/>
      <c r="AH190" s="32"/>
      <c r="AI190" s="42"/>
      <c r="AJ190" s="42"/>
    </row>
    <row r="191" spans="1:36" x14ac:dyDescent="0.25">
      <c r="A191" s="272"/>
      <c r="B191" s="273"/>
      <c r="C191" s="274"/>
      <c r="D191" s="272"/>
      <c r="E191" s="272"/>
      <c r="F191" s="272"/>
      <c r="G191" s="272"/>
      <c r="H191" s="272"/>
      <c r="I191" s="272"/>
      <c r="J191" s="272"/>
      <c r="K191" s="33"/>
      <c r="L191" s="33"/>
      <c r="M191" s="32"/>
      <c r="N191" s="32"/>
      <c r="O191" s="32"/>
      <c r="P191" s="33"/>
      <c r="Q191" s="32"/>
      <c r="R191" s="240"/>
      <c r="S191" s="32"/>
      <c r="T191" s="32"/>
      <c r="U191" s="250"/>
      <c r="V191" s="32"/>
      <c r="W191" s="33"/>
      <c r="X191" s="32"/>
      <c r="Y191" s="42"/>
      <c r="Z191" s="31"/>
      <c r="AA191" s="42"/>
      <c r="AB191" s="42"/>
      <c r="AC191" s="250"/>
      <c r="AD191" s="32"/>
      <c r="AE191" s="282"/>
      <c r="AF191" s="261"/>
      <c r="AG191" s="31"/>
      <c r="AH191" s="32"/>
      <c r="AI191" s="42"/>
      <c r="AJ191" s="42"/>
    </row>
    <row r="192" spans="1:36" x14ac:dyDescent="0.25">
      <c r="A192" s="272"/>
      <c r="B192" s="273"/>
      <c r="C192" s="274"/>
      <c r="D192" s="272"/>
      <c r="E192" s="272"/>
      <c r="F192" s="272"/>
      <c r="G192" s="272"/>
      <c r="H192" s="272"/>
      <c r="I192" s="272"/>
      <c r="J192" s="272"/>
      <c r="K192" s="33"/>
      <c r="L192" s="33"/>
      <c r="M192" s="32"/>
      <c r="N192" s="32"/>
      <c r="O192" s="32"/>
      <c r="P192" s="33"/>
      <c r="Q192" s="32"/>
      <c r="R192" s="240"/>
      <c r="S192" s="32"/>
      <c r="T192" s="32"/>
      <c r="U192" s="250"/>
      <c r="V192" s="32"/>
      <c r="W192" s="33"/>
      <c r="X192" s="32"/>
      <c r="Y192" s="42"/>
      <c r="Z192" s="31"/>
      <c r="AA192" s="42"/>
      <c r="AB192" s="42"/>
      <c r="AC192" s="250"/>
      <c r="AD192" s="32"/>
      <c r="AE192" s="282"/>
      <c r="AF192" s="261"/>
      <c r="AG192" s="31"/>
      <c r="AH192" s="32"/>
      <c r="AI192" s="42"/>
      <c r="AJ192" s="42"/>
    </row>
    <row r="193" spans="1:36" x14ac:dyDescent="0.25">
      <c r="A193" s="272"/>
      <c r="B193" s="273"/>
      <c r="C193" s="274"/>
      <c r="D193" s="272"/>
      <c r="E193" s="272"/>
      <c r="F193" s="272"/>
      <c r="G193" s="272"/>
      <c r="H193" s="272"/>
      <c r="I193" s="272"/>
      <c r="J193" s="272"/>
      <c r="K193" s="33"/>
      <c r="L193" s="33"/>
      <c r="M193" s="32"/>
      <c r="N193" s="32"/>
      <c r="O193" s="32"/>
      <c r="P193" s="33"/>
      <c r="Q193" s="32"/>
      <c r="R193" s="240"/>
      <c r="S193" s="32"/>
      <c r="T193" s="32"/>
      <c r="U193" s="250"/>
      <c r="V193" s="32"/>
      <c r="W193" s="33"/>
      <c r="X193" s="32"/>
      <c r="Y193" s="42"/>
      <c r="Z193" s="31"/>
      <c r="AA193" s="42"/>
      <c r="AB193" s="42"/>
      <c r="AC193" s="250"/>
      <c r="AD193" s="32"/>
      <c r="AE193" s="282"/>
      <c r="AF193" s="261"/>
      <c r="AG193" s="31"/>
      <c r="AH193" s="32"/>
      <c r="AI193" s="42"/>
      <c r="AJ193" s="42"/>
    </row>
    <row r="194" spans="1:36" x14ac:dyDescent="0.25">
      <c r="A194" s="272"/>
      <c r="B194" s="273"/>
      <c r="C194" s="274"/>
      <c r="D194" s="272"/>
      <c r="E194" s="272"/>
      <c r="F194" s="272"/>
      <c r="G194" s="272"/>
      <c r="H194" s="272"/>
      <c r="I194" s="272"/>
      <c r="J194" s="272"/>
      <c r="K194" s="33"/>
      <c r="L194" s="33"/>
      <c r="M194" s="32"/>
      <c r="N194" s="32"/>
      <c r="O194" s="32"/>
      <c r="P194" s="33"/>
      <c r="Q194" s="32"/>
      <c r="R194" s="240"/>
      <c r="S194" s="32"/>
      <c r="T194" s="32"/>
      <c r="U194" s="250"/>
      <c r="V194" s="32"/>
      <c r="W194" s="33"/>
      <c r="X194" s="32"/>
      <c r="Y194" s="42"/>
      <c r="Z194" s="31"/>
      <c r="AA194" s="42"/>
      <c r="AB194" s="42"/>
      <c r="AC194" s="250"/>
      <c r="AD194" s="32"/>
      <c r="AE194" s="282"/>
      <c r="AF194" s="261"/>
      <c r="AG194" s="31"/>
      <c r="AH194" s="32"/>
      <c r="AI194" s="42"/>
      <c r="AJ194" s="42"/>
    </row>
    <row r="195" spans="1:36" x14ac:dyDescent="0.25">
      <c r="A195" s="272"/>
      <c r="B195" s="273"/>
      <c r="C195" s="274"/>
      <c r="D195" s="272"/>
      <c r="E195" s="272"/>
      <c r="F195" s="272"/>
      <c r="G195" s="272"/>
      <c r="H195" s="272"/>
      <c r="I195" s="272"/>
      <c r="J195" s="272"/>
      <c r="K195" s="33"/>
      <c r="L195" s="33"/>
      <c r="M195" s="32"/>
      <c r="N195" s="32"/>
      <c r="O195" s="32"/>
      <c r="P195" s="33"/>
      <c r="Q195" s="32"/>
      <c r="R195" s="240"/>
      <c r="S195" s="32"/>
      <c r="T195" s="32"/>
      <c r="U195" s="250"/>
      <c r="V195" s="32"/>
      <c r="W195" s="33"/>
      <c r="X195" s="32"/>
      <c r="Y195" s="42"/>
      <c r="Z195" s="31"/>
      <c r="AA195" s="42"/>
      <c r="AB195" s="42"/>
      <c r="AC195" s="250"/>
      <c r="AD195" s="32"/>
      <c r="AE195" s="282"/>
      <c r="AF195" s="261"/>
      <c r="AG195" s="31"/>
      <c r="AH195" s="32"/>
      <c r="AI195" s="42"/>
      <c r="AJ195" s="42"/>
    </row>
    <row r="196" spans="1:36" x14ac:dyDescent="0.25">
      <c r="A196" s="272"/>
      <c r="B196" s="273"/>
      <c r="C196" s="274"/>
      <c r="D196" s="272"/>
      <c r="E196" s="272"/>
      <c r="F196" s="272"/>
      <c r="G196" s="272"/>
      <c r="H196" s="272"/>
      <c r="I196" s="272"/>
      <c r="J196" s="272"/>
      <c r="K196" s="33"/>
      <c r="L196" s="33"/>
      <c r="M196" s="32"/>
      <c r="N196" s="32"/>
      <c r="O196" s="32"/>
      <c r="P196" s="33"/>
      <c r="Q196" s="32"/>
      <c r="R196" s="240"/>
      <c r="S196" s="32"/>
      <c r="T196" s="32"/>
      <c r="U196" s="250"/>
      <c r="V196" s="32"/>
      <c r="W196" s="33"/>
      <c r="X196" s="32"/>
      <c r="Y196" s="42"/>
      <c r="Z196" s="31"/>
      <c r="AA196" s="42"/>
      <c r="AB196" s="42"/>
      <c r="AC196" s="250"/>
      <c r="AD196" s="32"/>
      <c r="AE196" s="282"/>
      <c r="AF196" s="261"/>
      <c r="AG196" s="31"/>
      <c r="AH196" s="32"/>
      <c r="AI196" s="42"/>
      <c r="AJ196" s="42"/>
    </row>
    <row r="197" spans="1:36" x14ac:dyDescent="0.25">
      <c r="A197" s="272"/>
      <c r="B197" s="273"/>
      <c r="C197" s="274"/>
      <c r="D197" s="272"/>
      <c r="E197" s="272"/>
      <c r="F197" s="272"/>
      <c r="G197" s="272"/>
      <c r="H197" s="272"/>
      <c r="I197" s="272"/>
      <c r="J197" s="272"/>
      <c r="K197" s="33"/>
      <c r="L197" s="33"/>
      <c r="M197" s="32"/>
      <c r="N197" s="32"/>
      <c r="O197" s="32"/>
      <c r="P197" s="33"/>
      <c r="Q197" s="32"/>
      <c r="R197" s="240"/>
      <c r="S197" s="32"/>
      <c r="T197" s="32"/>
      <c r="U197" s="250"/>
      <c r="V197" s="32"/>
      <c r="W197" s="33"/>
      <c r="X197" s="32"/>
      <c r="Y197" s="42"/>
      <c r="Z197" s="31"/>
      <c r="AA197" s="42"/>
      <c r="AB197" s="42"/>
      <c r="AC197" s="250"/>
      <c r="AD197" s="32"/>
      <c r="AE197" s="282"/>
      <c r="AF197" s="261"/>
      <c r="AG197" s="31"/>
      <c r="AH197" s="32"/>
      <c r="AI197" s="42"/>
      <c r="AJ197" s="42"/>
    </row>
    <row r="198" spans="1:36" x14ac:dyDescent="0.25">
      <c r="A198" s="272"/>
      <c r="B198" s="273"/>
      <c r="C198" s="274"/>
      <c r="D198" s="272"/>
      <c r="E198" s="272"/>
      <c r="F198" s="272"/>
      <c r="G198" s="272"/>
      <c r="H198" s="272"/>
      <c r="I198" s="272"/>
      <c r="J198" s="272"/>
      <c r="K198" s="33"/>
      <c r="L198" s="33"/>
      <c r="M198" s="32"/>
      <c r="N198" s="32"/>
      <c r="O198" s="32"/>
      <c r="P198" s="33"/>
      <c r="Q198" s="32"/>
      <c r="R198" s="240"/>
      <c r="S198" s="32"/>
      <c r="T198" s="32"/>
      <c r="U198" s="250"/>
      <c r="V198" s="32"/>
      <c r="W198" s="33"/>
      <c r="X198" s="32"/>
      <c r="Y198" s="42"/>
      <c r="Z198" s="31"/>
      <c r="AA198" s="42"/>
      <c r="AB198" s="42"/>
      <c r="AC198" s="250"/>
      <c r="AD198" s="32"/>
      <c r="AE198" s="282"/>
      <c r="AF198" s="261"/>
      <c r="AG198" s="31"/>
      <c r="AH198" s="32"/>
      <c r="AI198" s="42"/>
      <c r="AJ198" s="42"/>
    </row>
    <row r="199" spans="1:36" x14ac:dyDescent="0.25">
      <c r="A199" s="272"/>
      <c r="B199" s="273"/>
      <c r="C199" s="274"/>
      <c r="D199" s="272"/>
      <c r="E199" s="272"/>
      <c r="F199" s="272"/>
      <c r="G199" s="272"/>
      <c r="H199" s="272"/>
      <c r="I199" s="272"/>
      <c r="J199" s="272"/>
      <c r="K199" s="33"/>
      <c r="L199" s="33"/>
      <c r="M199" s="32"/>
      <c r="N199" s="32"/>
      <c r="O199" s="32"/>
      <c r="P199" s="33"/>
      <c r="Q199" s="32"/>
      <c r="R199" s="240"/>
      <c r="S199" s="32"/>
      <c r="T199" s="32"/>
      <c r="U199" s="250"/>
      <c r="V199" s="32"/>
      <c r="W199" s="33"/>
      <c r="X199" s="32"/>
      <c r="Y199" s="42"/>
      <c r="Z199" s="31"/>
      <c r="AA199" s="42"/>
      <c r="AB199" s="42"/>
      <c r="AC199" s="250"/>
      <c r="AD199" s="32"/>
      <c r="AE199" s="282"/>
      <c r="AF199" s="261"/>
      <c r="AG199" s="31"/>
      <c r="AH199" s="32"/>
      <c r="AI199" s="42"/>
      <c r="AJ199" s="42"/>
    </row>
    <row r="200" spans="1:36" x14ac:dyDescent="0.25">
      <c r="A200" s="272"/>
      <c r="B200" s="273"/>
      <c r="C200" s="274"/>
      <c r="D200" s="272"/>
      <c r="E200" s="272"/>
      <c r="F200" s="272"/>
      <c r="G200" s="272"/>
      <c r="H200" s="272"/>
      <c r="I200" s="272"/>
      <c r="J200" s="272"/>
      <c r="K200" s="33"/>
      <c r="L200" s="33"/>
      <c r="M200" s="32"/>
      <c r="N200" s="32"/>
      <c r="O200" s="32"/>
      <c r="P200" s="33"/>
      <c r="Q200" s="32"/>
      <c r="R200" s="240"/>
      <c r="S200" s="32"/>
      <c r="T200" s="32"/>
      <c r="U200" s="250"/>
      <c r="V200" s="32"/>
      <c r="W200" s="33"/>
      <c r="X200" s="32"/>
      <c r="Y200" s="42"/>
      <c r="Z200" s="31"/>
      <c r="AA200" s="42"/>
      <c r="AB200" s="42"/>
      <c r="AC200" s="250"/>
      <c r="AD200" s="32"/>
      <c r="AE200" s="282"/>
      <c r="AF200" s="261"/>
      <c r="AG200" s="31"/>
      <c r="AH200" s="32"/>
      <c r="AI200" s="42"/>
      <c r="AJ200" s="42"/>
    </row>
    <row r="201" spans="1:36" x14ac:dyDescent="0.25">
      <c r="A201" s="272"/>
      <c r="B201" s="273"/>
      <c r="C201" s="274"/>
      <c r="D201" s="272"/>
      <c r="E201" s="272"/>
      <c r="F201" s="272"/>
      <c r="G201" s="272"/>
      <c r="H201" s="272"/>
      <c r="I201" s="272"/>
      <c r="J201" s="272"/>
      <c r="K201" s="33"/>
      <c r="L201" s="33"/>
      <c r="M201" s="32"/>
      <c r="N201" s="32"/>
      <c r="O201" s="32"/>
      <c r="P201" s="33"/>
      <c r="Q201" s="32"/>
      <c r="R201" s="240"/>
      <c r="S201" s="32"/>
      <c r="T201" s="32"/>
      <c r="U201" s="250"/>
      <c r="V201" s="32"/>
      <c r="W201" s="33"/>
      <c r="X201" s="32"/>
      <c r="Y201" s="42"/>
      <c r="Z201" s="31"/>
      <c r="AA201" s="42"/>
      <c r="AB201" s="42"/>
      <c r="AC201" s="250"/>
      <c r="AD201" s="32"/>
      <c r="AE201" s="282"/>
      <c r="AF201" s="261"/>
      <c r="AG201" s="31"/>
      <c r="AH201" s="32"/>
      <c r="AI201" s="42"/>
      <c r="AJ201" s="42"/>
    </row>
    <row r="202" spans="1:36" x14ac:dyDescent="0.25">
      <c r="A202" s="272"/>
      <c r="B202" s="273"/>
      <c r="C202" s="274"/>
      <c r="D202" s="272"/>
      <c r="E202" s="272"/>
      <c r="F202" s="272"/>
      <c r="G202" s="272"/>
      <c r="H202" s="272"/>
      <c r="I202" s="272"/>
      <c r="J202" s="272"/>
      <c r="K202" s="33"/>
      <c r="L202" s="33"/>
      <c r="M202" s="32"/>
      <c r="N202" s="32"/>
      <c r="O202" s="32"/>
      <c r="P202" s="33"/>
      <c r="Q202" s="32"/>
      <c r="R202" s="240"/>
      <c r="S202" s="32"/>
      <c r="T202" s="32"/>
      <c r="U202" s="250"/>
      <c r="V202" s="32"/>
      <c r="W202" s="33"/>
      <c r="X202" s="32"/>
      <c r="Y202" s="42"/>
      <c r="Z202" s="31"/>
      <c r="AA202" s="42"/>
      <c r="AB202" s="42"/>
      <c r="AC202" s="250"/>
      <c r="AD202" s="32"/>
      <c r="AE202" s="282"/>
      <c r="AF202" s="261"/>
      <c r="AG202" s="31"/>
      <c r="AH202" s="32"/>
      <c r="AI202" s="42"/>
      <c r="AJ202" s="42"/>
    </row>
    <row r="203" spans="1:36" x14ac:dyDescent="0.25">
      <c r="A203" s="272"/>
      <c r="B203" s="273"/>
      <c r="C203" s="274"/>
      <c r="D203" s="272"/>
      <c r="E203" s="272"/>
      <c r="F203" s="272"/>
      <c r="G203" s="272"/>
      <c r="H203" s="272"/>
      <c r="I203" s="272"/>
      <c r="J203" s="272"/>
      <c r="K203" s="33"/>
      <c r="L203" s="33"/>
      <c r="M203" s="32"/>
      <c r="N203" s="32"/>
      <c r="O203" s="32"/>
      <c r="P203" s="33"/>
      <c r="Q203" s="32"/>
      <c r="R203" s="240"/>
      <c r="S203" s="32"/>
      <c r="T203" s="32"/>
      <c r="U203" s="250"/>
      <c r="V203" s="32"/>
      <c r="W203" s="33"/>
      <c r="X203" s="32"/>
      <c r="Y203" s="42"/>
      <c r="Z203" s="31"/>
      <c r="AA203" s="42"/>
      <c r="AB203" s="42"/>
      <c r="AC203" s="250"/>
      <c r="AD203" s="32"/>
      <c r="AE203" s="282"/>
      <c r="AF203" s="261"/>
      <c r="AG203" s="31"/>
      <c r="AH203" s="32"/>
      <c r="AI203" s="42"/>
      <c r="AJ203" s="42"/>
    </row>
    <row r="204" spans="1:36" x14ac:dyDescent="0.25">
      <c r="A204" s="272"/>
      <c r="B204" s="273"/>
      <c r="C204" s="274"/>
      <c r="D204" s="272"/>
      <c r="E204" s="272"/>
      <c r="F204" s="272"/>
      <c r="G204" s="272"/>
      <c r="H204" s="272"/>
      <c r="I204" s="272"/>
      <c r="J204" s="272"/>
      <c r="K204" s="33"/>
      <c r="L204" s="33"/>
      <c r="M204" s="32"/>
      <c r="N204" s="32"/>
      <c r="O204" s="32"/>
      <c r="P204" s="33"/>
      <c r="Q204" s="32"/>
      <c r="R204" s="240"/>
      <c r="S204" s="32"/>
      <c r="T204" s="32"/>
      <c r="U204" s="250"/>
      <c r="V204" s="32"/>
      <c r="W204" s="33"/>
      <c r="X204" s="32"/>
      <c r="Y204" s="42"/>
      <c r="Z204" s="31"/>
      <c r="AA204" s="42"/>
      <c r="AB204" s="42"/>
      <c r="AC204" s="250"/>
      <c r="AD204" s="32"/>
      <c r="AE204" s="282"/>
      <c r="AF204" s="261"/>
      <c r="AG204" s="31"/>
      <c r="AH204" s="32"/>
      <c r="AI204" s="42"/>
      <c r="AJ204" s="42"/>
    </row>
    <row r="205" spans="1:36" x14ac:dyDescent="0.25">
      <c r="A205" s="272"/>
      <c r="B205" s="273"/>
      <c r="C205" s="274"/>
      <c r="D205" s="272"/>
      <c r="E205" s="272"/>
      <c r="F205" s="272"/>
      <c r="G205" s="272"/>
      <c r="H205" s="272"/>
      <c r="I205" s="272"/>
      <c r="J205" s="272"/>
      <c r="K205" s="33"/>
      <c r="L205" s="33"/>
      <c r="M205" s="32"/>
      <c r="N205" s="32"/>
      <c r="O205" s="32"/>
      <c r="P205" s="33"/>
      <c r="Q205" s="32"/>
      <c r="R205" s="240"/>
      <c r="S205" s="32"/>
      <c r="T205" s="32"/>
      <c r="U205" s="250"/>
      <c r="V205" s="32"/>
      <c r="W205" s="33"/>
      <c r="X205" s="32"/>
      <c r="Y205" s="42"/>
      <c r="Z205" s="31"/>
      <c r="AA205" s="42"/>
      <c r="AB205" s="42"/>
      <c r="AC205" s="250"/>
      <c r="AD205" s="32"/>
      <c r="AE205" s="282"/>
      <c r="AF205" s="261"/>
      <c r="AG205" s="31"/>
      <c r="AH205" s="32"/>
      <c r="AI205" s="42"/>
      <c r="AJ205" s="42"/>
    </row>
    <row r="206" spans="1:36" x14ac:dyDescent="0.25">
      <c r="A206" s="272"/>
      <c r="B206" s="273"/>
      <c r="C206" s="274"/>
      <c r="D206" s="272"/>
      <c r="E206" s="272"/>
      <c r="F206" s="272"/>
      <c r="G206" s="272"/>
      <c r="H206" s="272"/>
      <c r="I206" s="272"/>
      <c r="J206" s="272"/>
      <c r="K206" s="33"/>
      <c r="L206" s="33"/>
      <c r="M206" s="32"/>
      <c r="N206" s="32"/>
      <c r="O206" s="32"/>
      <c r="P206" s="33"/>
      <c r="Q206" s="32"/>
      <c r="R206" s="240"/>
      <c r="S206" s="32"/>
      <c r="T206" s="32"/>
      <c r="U206" s="250"/>
      <c r="V206" s="32"/>
      <c r="W206" s="33"/>
      <c r="X206" s="32"/>
      <c r="Y206" s="42"/>
      <c r="Z206" s="31"/>
      <c r="AA206" s="42"/>
      <c r="AB206" s="42"/>
      <c r="AC206" s="250"/>
      <c r="AD206" s="32"/>
      <c r="AE206" s="282"/>
      <c r="AF206" s="261"/>
      <c r="AG206" s="31"/>
      <c r="AH206" s="32"/>
      <c r="AI206" s="42"/>
      <c r="AJ206" s="42"/>
    </row>
    <row r="207" spans="1:36" x14ac:dyDescent="0.25">
      <c r="A207" s="272"/>
      <c r="B207" s="273"/>
      <c r="C207" s="274"/>
      <c r="D207" s="272"/>
      <c r="E207" s="272"/>
      <c r="F207" s="272"/>
      <c r="G207" s="272"/>
      <c r="H207" s="272"/>
      <c r="I207" s="272"/>
      <c r="J207" s="272"/>
      <c r="K207" s="33"/>
      <c r="L207" s="33"/>
      <c r="M207" s="32"/>
      <c r="N207" s="32"/>
      <c r="O207" s="32"/>
      <c r="P207" s="33"/>
      <c r="Q207" s="32"/>
      <c r="R207" s="240"/>
      <c r="S207" s="32"/>
      <c r="T207" s="32"/>
      <c r="U207" s="250"/>
      <c r="V207" s="32"/>
      <c r="W207" s="33"/>
      <c r="X207" s="32"/>
      <c r="Y207" s="42"/>
      <c r="Z207" s="31"/>
      <c r="AA207" s="42"/>
      <c r="AB207" s="42"/>
      <c r="AC207" s="250"/>
      <c r="AD207" s="32"/>
      <c r="AE207" s="282"/>
      <c r="AF207" s="261"/>
      <c r="AG207" s="31"/>
      <c r="AH207" s="32"/>
      <c r="AI207" s="42"/>
      <c r="AJ207" s="42"/>
    </row>
    <row r="208" spans="1:36" x14ac:dyDescent="0.25">
      <c r="A208" s="272"/>
      <c r="B208" s="273"/>
      <c r="C208" s="274"/>
      <c r="D208" s="272"/>
      <c r="E208" s="272"/>
      <c r="F208" s="272"/>
      <c r="G208" s="272"/>
      <c r="H208" s="272"/>
      <c r="I208" s="272"/>
      <c r="J208" s="272"/>
      <c r="K208" s="33"/>
      <c r="L208" s="33"/>
      <c r="M208" s="32"/>
      <c r="N208" s="32"/>
      <c r="O208" s="32"/>
      <c r="P208" s="33"/>
      <c r="Q208" s="32"/>
      <c r="R208" s="240"/>
      <c r="S208" s="32"/>
      <c r="T208" s="32"/>
      <c r="U208" s="250"/>
      <c r="V208" s="32"/>
      <c r="W208" s="33"/>
      <c r="X208" s="32"/>
      <c r="Y208" s="42"/>
      <c r="Z208" s="31"/>
      <c r="AA208" s="42"/>
      <c r="AB208" s="42"/>
      <c r="AC208" s="250"/>
      <c r="AD208" s="32"/>
      <c r="AE208" s="282"/>
      <c r="AF208" s="261"/>
      <c r="AG208" s="31"/>
      <c r="AH208" s="32"/>
      <c r="AI208" s="42"/>
      <c r="AJ208" s="42"/>
    </row>
    <row r="209" spans="1:36" x14ac:dyDescent="0.25">
      <c r="A209" s="272"/>
      <c r="B209" s="273"/>
      <c r="C209" s="274"/>
      <c r="D209" s="272"/>
      <c r="E209" s="272"/>
      <c r="F209" s="272"/>
      <c r="G209" s="272"/>
      <c r="H209" s="272"/>
      <c r="I209" s="272"/>
      <c r="J209" s="272"/>
      <c r="K209" s="33"/>
      <c r="L209" s="33"/>
      <c r="M209" s="32"/>
      <c r="N209" s="32"/>
      <c r="O209" s="32"/>
      <c r="P209" s="33"/>
      <c r="Q209" s="32"/>
      <c r="R209" s="240"/>
      <c r="S209" s="32"/>
      <c r="T209" s="32"/>
      <c r="U209" s="250"/>
      <c r="V209" s="32"/>
      <c r="W209" s="33"/>
      <c r="X209" s="32"/>
      <c r="Y209" s="42"/>
      <c r="Z209" s="31"/>
      <c r="AA209" s="42"/>
      <c r="AB209" s="42"/>
      <c r="AC209" s="250"/>
      <c r="AD209" s="32"/>
      <c r="AE209" s="282"/>
      <c r="AF209" s="261"/>
      <c r="AG209" s="31"/>
      <c r="AH209" s="32"/>
      <c r="AI209" s="42"/>
      <c r="AJ209" s="42"/>
    </row>
    <row r="210" spans="1:36" x14ac:dyDescent="0.25">
      <c r="A210" s="272"/>
      <c r="B210" s="273"/>
      <c r="C210" s="274"/>
      <c r="D210" s="272"/>
      <c r="E210" s="272"/>
      <c r="F210" s="272"/>
      <c r="G210" s="272"/>
      <c r="H210" s="272"/>
      <c r="I210" s="272"/>
      <c r="J210" s="272"/>
      <c r="K210" s="33"/>
      <c r="L210" s="33"/>
      <c r="M210" s="32"/>
      <c r="N210" s="32"/>
      <c r="O210" s="32"/>
      <c r="P210" s="33"/>
      <c r="Q210" s="32"/>
      <c r="R210" s="240"/>
      <c r="S210" s="32"/>
      <c r="T210" s="32"/>
      <c r="U210" s="250"/>
      <c r="V210" s="32"/>
      <c r="W210" s="33"/>
      <c r="X210" s="32"/>
      <c r="Y210" s="42"/>
      <c r="Z210" s="31"/>
      <c r="AA210" s="42"/>
      <c r="AB210" s="42"/>
      <c r="AC210" s="250"/>
      <c r="AD210" s="32"/>
      <c r="AE210" s="282"/>
      <c r="AF210" s="261"/>
      <c r="AG210" s="31"/>
      <c r="AH210" s="32"/>
      <c r="AI210" s="42"/>
      <c r="AJ210" s="42"/>
    </row>
    <row r="211" spans="1:36" x14ac:dyDescent="0.25">
      <c r="A211" s="272"/>
      <c r="B211" s="273"/>
      <c r="C211" s="274"/>
      <c r="D211" s="272"/>
      <c r="E211" s="272"/>
      <c r="F211" s="272"/>
      <c r="G211" s="272"/>
      <c r="H211" s="272"/>
      <c r="I211" s="272"/>
      <c r="J211" s="272"/>
      <c r="K211" s="33"/>
      <c r="L211" s="33"/>
      <c r="M211" s="32"/>
      <c r="N211" s="32"/>
      <c r="O211" s="32"/>
      <c r="P211" s="33"/>
      <c r="Q211" s="32"/>
      <c r="R211" s="240"/>
      <c r="S211" s="32"/>
      <c r="T211" s="32"/>
      <c r="U211" s="250"/>
      <c r="V211" s="32"/>
      <c r="W211" s="33"/>
      <c r="X211" s="32"/>
      <c r="Y211" s="42"/>
      <c r="Z211" s="31"/>
      <c r="AA211" s="42"/>
      <c r="AB211" s="42"/>
      <c r="AC211" s="250"/>
      <c r="AD211" s="32"/>
      <c r="AE211" s="282"/>
      <c r="AF211" s="261"/>
      <c r="AG211" s="31"/>
      <c r="AH211" s="32"/>
      <c r="AI211" s="42"/>
      <c r="AJ211" s="42"/>
    </row>
    <row r="212" spans="1:36" x14ac:dyDescent="0.25">
      <c r="A212" s="272"/>
      <c r="B212" s="273"/>
      <c r="C212" s="274"/>
      <c r="D212" s="272"/>
      <c r="E212" s="272"/>
      <c r="F212" s="272"/>
      <c r="G212" s="272"/>
      <c r="H212" s="272"/>
      <c r="I212" s="272"/>
      <c r="J212" s="272"/>
      <c r="K212" s="33"/>
      <c r="L212" s="33"/>
      <c r="M212" s="32"/>
      <c r="N212" s="32"/>
      <c r="O212" s="32"/>
      <c r="P212" s="33"/>
      <c r="Q212" s="32"/>
      <c r="R212" s="240"/>
      <c r="S212" s="32"/>
      <c r="T212" s="32"/>
      <c r="U212" s="250"/>
      <c r="V212" s="32"/>
      <c r="W212" s="33"/>
      <c r="X212" s="32"/>
      <c r="Y212" s="42"/>
      <c r="Z212" s="31"/>
      <c r="AA212" s="42"/>
      <c r="AB212" s="42"/>
      <c r="AC212" s="250"/>
      <c r="AD212" s="32"/>
      <c r="AE212" s="282"/>
      <c r="AF212" s="261"/>
      <c r="AG212" s="31"/>
      <c r="AH212" s="32"/>
      <c r="AI212" s="42"/>
      <c r="AJ212" s="42"/>
    </row>
    <row r="213" spans="1:36" x14ac:dyDescent="0.25">
      <c r="A213" s="272"/>
      <c r="B213" s="273"/>
      <c r="C213" s="274"/>
      <c r="D213" s="272"/>
      <c r="E213" s="272"/>
      <c r="F213" s="272"/>
      <c r="G213" s="272"/>
      <c r="H213" s="272"/>
      <c r="I213" s="272"/>
      <c r="J213" s="272"/>
      <c r="K213" s="33"/>
      <c r="L213" s="33"/>
      <c r="M213" s="32"/>
      <c r="N213" s="32"/>
      <c r="O213" s="32"/>
      <c r="P213" s="33"/>
      <c r="Q213" s="32"/>
      <c r="R213" s="240"/>
      <c r="S213" s="32"/>
      <c r="T213" s="32"/>
      <c r="U213" s="250"/>
      <c r="V213" s="32"/>
      <c r="W213" s="33"/>
      <c r="X213" s="32"/>
      <c r="Y213" s="42"/>
      <c r="Z213" s="31"/>
      <c r="AA213" s="42"/>
      <c r="AB213" s="42"/>
      <c r="AC213" s="250"/>
      <c r="AD213" s="32"/>
      <c r="AE213" s="282"/>
      <c r="AF213" s="261"/>
      <c r="AG213" s="31"/>
      <c r="AH213" s="32"/>
      <c r="AI213" s="42"/>
      <c r="AJ213" s="42"/>
    </row>
    <row r="214" spans="1:36" x14ac:dyDescent="0.25">
      <c r="A214" s="272"/>
      <c r="B214" s="273"/>
      <c r="C214" s="274"/>
      <c r="D214" s="272"/>
      <c r="E214" s="272"/>
      <c r="F214" s="272"/>
      <c r="G214" s="272"/>
      <c r="H214" s="272"/>
      <c r="I214" s="272"/>
      <c r="J214" s="272"/>
      <c r="K214" s="33"/>
      <c r="L214" s="33"/>
      <c r="M214" s="32"/>
      <c r="N214" s="32"/>
      <c r="O214" s="32"/>
      <c r="P214" s="33"/>
      <c r="Q214" s="32"/>
      <c r="R214" s="240"/>
      <c r="S214" s="32"/>
      <c r="T214" s="32"/>
      <c r="U214" s="250"/>
      <c r="V214" s="32"/>
      <c r="W214" s="33"/>
      <c r="X214" s="32"/>
      <c r="Y214" s="42"/>
      <c r="Z214" s="31"/>
      <c r="AA214" s="42"/>
      <c r="AB214" s="42"/>
      <c r="AC214" s="250"/>
      <c r="AD214" s="32"/>
      <c r="AE214" s="282"/>
      <c r="AF214" s="261"/>
      <c r="AG214" s="31"/>
      <c r="AH214" s="32"/>
      <c r="AI214" s="42"/>
      <c r="AJ214" s="42"/>
    </row>
    <row r="215" spans="1:36" x14ac:dyDescent="0.25">
      <c r="A215" s="272"/>
      <c r="B215" s="273"/>
      <c r="C215" s="274"/>
      <c r="D215" s="272"/>
      <c r="E215" s="272"/>
      <c r="F215" s="272"/>
      <c r="G215" s="272"/>
      <c r="H215" s="272"/>
      <c r="I215" s="272"/>
      <c r="J215" s="272"/>
      <c r="K215" s="33"/>
      <c r="L215" s="33"/>
      <c r="M215" s="32"/>
      <c r="N215" s="32"/>
      <c r="O215" s="32"/>
      <c r="P215" s="33"/>
      <c r="Q215" s="32"/>
      <c r="R215" s="240"/>
      <c r="S215" s="32"/>
      <c r="T215" s="32"/>
      <c r="U215" s="250"/>
      <c r="V215" s="32"/>
      <c r="W215" s="33"/>
      <c r="X215" s="32"/>
      <c r="Y215" s="42"/>
      <c r="Z215" s="31"/>
      <c r="AA215" s="42"/>
      <c r="AB215" s="42"/>
      <c r="AC215" s="250"/>
      <c r="AD215" s="32"/>
      <c r="AE215" s="282"/>
      <c r="AF215" s="261"/>
      <c r="AG215" s="31"/>
      <c r="AH215" s="32"/>
      <c r="AI215" s="42"/>
      <c r="AJ215" s="42"/>
    </row>
    <row r="216" spans="1:36" x14ac:dyDescent="0.25">
      <c r="A216" s="272"/>
      <c r="B216" s="273"/>
      <c r="C216" s="274"/>
      <c r="D216" s="272"/>
      <c r="E216" s="272"/>
      <c r="F216" s="272"/>
      <c r="G216" s="272"/>
      <c r="H216" s="272"/>
      <c r="I216" s="272"/>
      <c r="J216" s="272"/>
      <c r="K216" s="33"/>
      <c r="L216" s="33"/>
      <c r="M216" s="32"/>
      <c r="N216" s="32"/>
      <c r="O216" s="32"/>
      <c r="P216" s="33"/>
      <c r="Q216" s="32"/>
      <c r="R216" s="240"/>
      <c r="S216" s="32"/>
      <c r="T216" s="32"/>
      <c r="U216" s="250"/>
      <c r="V216" s="32"/>
      <c r="W216" s="33"/>
      <c r="X216" s="32"/>
      <c r="Y216" s="42"/>
      <c r="Z216" s="31"/>
      <c r="AA216" s="42"/>
      <c r="AB216" s="42"/>
      <c r="AC216" s="250"/>
      <c r="AD216" s="32"/>
      <c r="AE216" s="282"/>
      <c r="AF216" s="261"/>
      <c r="AG216" s="31"/>
      <c r="AH216" s="32"/>
      <c r="AI216" s="42"/>
      <c r="AJ216" s="42"/>
    </row>
    <row r="217" spans="1:36" x14ac:dyDescent="0.25">
      <c r="A217" s="272"/>
      <c r="B217" s="273"/>
      <c r="C217" s="274"/>
      <c r="D217" s="272"/>
      <c r="E217" s="272"/>
      <c r="F217" s="272"/>
      <c r="G217" s="272"/>
      <c r="H217" s="272"/>
      <c r="I217" s="272"/>
      <c r="J217" s="272"/>
      <c r="K217" s="33"/>
      <c r="L217" s="33"/>
      <c r="M217" s="32"/>
      <c r="N217" s="32"/>
      <c r="O217" s="32"/>
      <c r="P217" s="33"/>
      <c r="Q217" s="32"/>
      <c r="R217" s="240"/>
      <c r="S217" s="32"/>
      <c r="T217" s="32"/>
      <c r="U217" s="250"/>
      <c r="V217" s="32"/>
      <c r="W217" s="33"/>
      <c r="X217" s="32"/>
      <c r="Y217" s="42"/>
      <c r="Z217" s="31"/>
      <c r="AA217" s="42"/>
      <c r="AB217" s="42"/>
      <c r="AC217" s="250"/>
      <c r="AD217" s="32"/>
      <c r="AE217" s="282"/>
      <c r="AF217" s="261"/>
      <c r="AG217" s="31"/>
      <c r="AH217" s="32"/>
      <c r="AI217" s="42"/>
      <c r="AJ217" s="42"/>
    </row>
    <row r="218" spans="1:36" x14ac:dyDescent="0.25">
      <c r="A218" s="272"/>
      <c r="B218" s="273"/>
      <c r="C218" s="274"/>
      <c r="D218" s="272"/>
      <c r="E218" s="272"/>
      <c r="F218" s="272"/>
      <c r="G218" s="272"/>
      <c r="H218" s="272"/>
      <c r="I218" s="272"/>
      <c r="J218" s="272"/>
      <c r="K218" s="33"/>
      <c r="L218" s="33"/>
      <c r="M218" s="32"/>
      <c r="N218" s="32"/>
      <c r="O218" s="32"/>
      <c r="P218" s="33"/>
      <c r="Q218" s="32"/>
      <c r="R218" s="240"/>
      <c r="S218" s="32"/>
      <c r="T218" s="32"/>
      <c r="U218" s="250"/>
      <c r="V218" s="32"/>
      <c r="W218" s="33"/>
      <c r="X218" s="32"/>
      <c r="Y218" s="42"/>
      <c r="Z218" s="31"/>
      <c r="AA218" s="42"/>
      <c r="AB218" s="42"/>
      <c r="AC218" s="250"/>
      <c r="AD218" s="32"/>
      <c r="AE218" s="282"/>
      <c r="AF218" s="261"/>
      <c r="AG218" s="31"/>
      <c r="AH218" s="32"/>
      <c r="AI218" s="42"/>
      <c r="AJ218" s="42"/>
    </row>
    <row r="219" spans="1:36" x14ac:dyDescent="0.25">
      <c r="A219" s="272"/>
      <c r="B219" s="273"/>
      <c r="C219" s="274"/>
      <c r="D219" s="272"/>
      <c r="E219" s="272"/>
      <c r="F219" s="272"/>
      <c r="G219" s="272"/>
      <c r="H219" s="272"/>
      <c r="I219" s="272"/>
      <c r="J219" s="272"/>
      <c r="K219" s="33"/>
      <c r="L219" s="33"/>
      <c r="M219" s="32"/>
      <c r="N219" s="32"/>
      <c r="O219" s="32"/>
      <c r="P219" s="33"/>
      <c r="Q219" s="32"/>
      <c r="R219" s="240"/>
      <c r="S219" s="32"/>
      <c r="T219" s="32"/>
      <c r="U219" s="250"/>
      <c r="V219" s="32"/>
      <c r="W219" s="33"/>
      <c r="X219" s="32"/>
      <c r="Y219" s="42"/>
      <c r="Z219" s="31"/>
      <c r="AA219" s="42"/>
      <c r="AB219" s="42"/>
      <c r="AC219" s="250"/>
      <c r="AD219" s="32"/>
      <c r="AE219" s="282"/>
      <c r="AF219" s="261"/>
      <c r="AG219" s="31"/>
      <c r="AH219" s="32"/>
      <c r="AI219" s="42"/>
      <c r="AJ219" s="42"/>
    </row>
    <row r="220" spans="1:36" x14ac:dyDescent="0.25">
      <c r="A220" s="272"/>
      <c r="B220" s="273"/>
      <c r="C220" s="274"/>
      <c r="D220" s="272"/>
      <c r="E220" s="272"/>
      <c r="F220" s="272"/>
      <c r="G220" s="272"/>
      <c r="H220" s="272"/>
      <c r="I220" s="272"/>
      <c r="J220" s="272"/>
      <c r="K220" s="33"/>
      <c r="L220" s="33"/>
      <c r="M220" s="32"/>
      <c r="N220" s="32"/>
      <c r="O220" s="32"/>
      <c r="P220" s="33"/>
      <c r="Q220" s="32"/>
      <c r="R220" s="240"/>
      <c r="S220" s="32"/>
      <c r="T220" s="32"/>
      <c r="U220" s="250"/>
      <c r="V220" s="32"/>
      <c r="W220" s="33"/>
      <c r="X220" s="32"/>
      <c r="Y220" s="42"/>
      <c r="Z220" s="31"/>
      <c r="AA220" s="42"/>
      <c r="AB220" s="42"/>
      <c r="AC220" s="250"/>
      <c r="AD220" s="32"/>
      <c r="AE220" s="282"/>
      <c r="AF220" s="261"/>
      <c r="AG220" s="31"/>
      <c r="AH220" s="32"/>
      <c r="AI220" s="42"/>
      <c r="AJ220" s="42"/>
    </row>
    <row r="221" spans="1:36" x14ac:dyDescent="0.25">
      <c r="A221" s="272"/>
      <c r="B221" s="273"/>
      <c r="C221" s="274"/>
      <c r="D221" s="272"/>
      <c r="E221" s="272"/>
      <c r="F221" s="272"/>
      <c r="G221" s="272"/>
      <c r="H221" s="272"/>
      <c r="I221" s="272"/>
      <c r="J221" s="272"/>
      <c r="K221" s="33"/>
      <c r="L221" s="33"/>
      <c r="M221" s="32"/>
      <c r="N221" s="32"/>
      <c r="O221" s="32"/>
      <c r="P221" s="33"/>
      <c r="Q221" s="32"/>
      <c r="R221" s="240"/>
      <c r="S221" s="32"/>
      <c r="T221" s="32"/>
      <c r="U221" s="250"/>
      <c r="V221" s="32"/>
      <c r="W221" s="33"/>
      <c r="X221" s="32"/>
      <c r="Y221" s="42"/>
      <c r="Z221" s="31"/>
      <c r="AA221" s="42"/>
      <c r="AB221" s="42"/>
      <c r="AC221" s="250"/>
      <c r="AD221" s="32"/>
      <c r="AE221" s="282"/>
      <c r="AF221" s="261"/>
      <c r="AG221" s="31"/>
      <c r="AH221" s="32"/>
      <c r="AI221" s="42"/>
      <c r="AJ221" s="42"/>
    </row>
    <row r="222" spans="1:36" x14ac:dyDescent="0.25">
      <c r="A222" s="272"/>
      <c r="B222" s="273"/>
      <c r="C222" s="274"/>
      <c r="D222" s="272"/>
      <c r="E222" s="272"/>
      <c r="F222" s="272"/>
      <c r="G222" s="272"/>
      <c r="H222" s="272"/>
      <c r="I222" s="272"/>
      <c r="J222" s="272"/>
      <c r="K222" s="33"/>
      <c r="L222" s="33"/>
      <c r="M222" s="32"/>
      <c r="N222" s="32"/>
      <c r="O222" s="32"/>
      <c r="P222" s="33"/>
      <c r="Q222" s="32"/>
      <c r="R222" s="240"/>
      <c r="S222" s="32"/>
      <c r="T222" s="32"/>
      <c r="U222" s="250"/>
      <c r="V222" s="32"/>
      <c r="W222" s="33"/>
      <c r="X222" s="32"/>
      <c r="Y222" s="42"/>
      <c r="Z222" s="31"/>
      <c r="AA222" s="42"/>
      <c r="AB222" s="42"/>
      <c r="AC222" s="250"/>
      <c r="AD222" s="32"/>
      <c r="AE222" s="282"/>
      <c r="AF222" s="261"/>
      <c r="AG222" s="31"/>
      <c r="AH222" s="32"/>
      <c r="AI222" s="42"/>
      <c r="AJ222" s="42"/>
    </row>
    <row r="223" spans="1:36" x14ac:dyDescent="0.25">
      <c r="A223" s="272"/>
      <c r="B223" s="273"/>
      <c r="C223" s="274"/>
      <c r="D223" s="272"/>
      <c r="E223" s="272"/>
      <c r="F223" s="272"/>
      <c r="G223" s="272"/>
      <c r="H223" s="272"/>
      <c r="I223" s="272"/>
      <c r="J223" s="272"/>
      <c r="K223" s="33"/>
      <c r="L223" s="33"/>
      <c r="M223" s="32"/>
      <c r="N223" s="32"/>
      <c r="O223" s="32"/>
      <c r="P223" s="33"/>
      <c r="Q223" s="32"/>
      <c r="R223" s="240"/>
      <c r="S223" s="32"/>
      <c r="T223" s="32"/>
      <c r="U223" s="250"/>
      <c r="V223" s="32"/>
      <c r="W223" s="33"/>
      <c r="X223" s="32"/>
      <c r="Y223" s="42"/>
      <c r="Z223" s="31"/>
      <c r="AA223" s="42"/>
      <c r="AB223" s="42"/>
      <c r="AC223" s="250"/>
      <c r="AD223" s="32"/>
      <c r="AE223" s="282"/>
      <c r="AF223" s="261"/>
      <c r="AG223" s="31"/>
      <c r="AH223" s="32"/>
      <c r="AI223" s="42"/>
      <c r="AJ223" s="42"/>
    </row>
    <row r="224" spans="1:36" x14ac:dyDescent="0.25">
      <c r="A224" s="272"/>
      <c r="B224" s="273"/>
      <c r="C224" s="274"/>
      <c r="D224" s="272"/>
      <c r="E224" s="272"/>
      <c r="F224" s="272"/>
      <c r="G224" s="272"/>
      <c r="H224" s="272"/>
      <c r="I224" s="272"/>
      <c r="J224" s="272"/>
      <c r="K224" s="33"/>
      <c r="L224" s="33"/>
      <c r="M224" s="32"/>
      <c r="N224" s="32"/>
      <c r="O224" s="32"/>
      <c r="P224" s="33"/>
      <c r="Q224" s="32"/>
      <c r="R224" s="240"/>
      <c r="S224" s="32"/>
      <c r="T224" s="32"/>
      <c r="U224" s="250"/>
      <c r="V224" s="32"/>
      <c r="W224" s="33"/>
      <c r="X224" s="32"/>
      <c r="Y224" s="42"/>
      <c r="Z224" s="31"/>
      <c r="AA224" s="42"/>
      <c r="AB224" s="42"/>
      <c r="AC224" s="250"/>
      <c r="AD224" s="32"/>
      <c r="AE224" s="282"/>
      <c r="AF224" s="261"/>
      <c r="AG224" s="31"/>
      <c r="AH224" s="32"/>
      <c r="AI224" s="42"/>
      <c r="AJ224" s="42"/>
    </row>
    <row r="225" spans="1:36" x14ac:dyDescent="0.25">
      <c r="A225" s="272"/>
      <c r="B225" s="273"/>
      <c r="C225" s="274"/>
      <c r="D225" s="272"/>
      <c r="E225" s="272"/>
      <c r="F225" s="272"/>
      <c r="G225" s="272"/>
      <c r="H225" s="272"/>
      <c r="I225" s="272"/>
      <c r="J225" s="272"/>
      <c r="K225" s="33"/>
      <c r="L225" s="33"/>
      <c r="M225" s="32"/>
      <c r="N225" s="32"/>
      <c r="O225" s="32"/>
      <c r="P225" s="33"/>
      <c r="Q225" s="32"/>
      <c r="R225" s="240"/>
      <c r="S225" s="32"/>
      <c r="T225" s="32"/>
      <c r="U225" s="250"/>
      <c r="V225" s="32"/>
      <c r="W225" s="33"/>
      <c r="X225" s="32"/>
      <c r="Y225" s="42"/>
      <c r="Z225" s="31"/>
      <c r="AA225" s="42"/>
      <c r="AB225" s="42"/>
      <c r="AC225" s="250"/>
      <c r="AD225" s="32"/>
      <c r="AE225" s="282"/>
      <c r="AF225" s="261"/>
      <c r="AG225" s="31"/>
      <c r="AH225" s="32"/>
      <c r="AI225" s="42"/>
      <c r="AJ225" s="42"/>
    </row>
    <row r="226" spans="1:36" x14ac:dyDescent="0.25">
      <c r="A226" s="272"/>
      <c r="B226" s="273"/>
      <c r="C226" s="274"/>
      <c r="D226" s="272"/>
      <c r="E226" s="272"/>
      <c r="F226" s="272"/>
      <c r="G226" s="272"/>
      <c r="H226" s="272"/>
      <c r="I226" s="272"/>
      <c r="J226" s="272"/>
      <c r="K226" s="33"/>
      <c r="L226" s="33"/>
      <c r="M226" s="32"/>
      <c r="N226" s="32"/>
      <c r="O226" s="32"/>
      <c r="P226" s="33"/>
      <c r="Q226" s="32"/>
      <c r="R226" s="240"/>
      <c r="S226" s="32"/>
      <c r="T226" s="32"/>
      <c r="U226" s="250"/>
      <c r="V226" s="32"/>
      <c r="W226" s="33"/>
      <c r="X226" s="32"/>
      <c r="Y226" s="42"/>
      <c r="Z226" s="31"/>
      <c r="AA226" s="42"/>
      <c r="AB226" s="42"/>
      <c r="AC226" s="250"/>
      <c r="AD226" s="32"/>
      <c r="AE226" s="282"/>
      <c r="AF226" s="261"/>
      <c r="AG226" s="31"/>
      <c r="AH226" s="32"/>
      <c r="AI226" s="42"/>
      <c r="AJ226" s="42"/>
    </row>
    <row r="227" spans="1:36" x14ac:dyDescent="0.25">
      <c r="A227" s="272"/>
      <c r="B227" s="273"/>
      <c r="C227" s="274"/>
      <c r="D227" s="272"/>
      <c r="E227" s="272"/>
      <c r="F227" s="272"/>
      <c r="G227" s="272"/>
      <c r="H227" s="272"/>
      <c r="I227" s="272"/>
      <c r="J227" s="272"/>
      <c r="K227" s="33"/>
      <c r="L227" s="33"/>
      <c r="M227" s="32"/>
      <c r="N227" s="32"/>
      <c r="O227" s="32"/>
      <c r="P227" s="33"/>
      <c r="Q227" s="32"/>
      <c r="R227" s="240"/>
      <c r="S227" s="32"/>
      <c r="T227" s="32"/>
      <c r="U227" s="250"/>
      <c r="V227" s="32"/>
      <c r="W227" s="33"/>
      <c r="X227" s="32"/>
      <c r="Y227" s="42"/>
      <c r="Z227" s="31"/>
      <c r="AA227" s="42"/>
      <c r="AB227" s="42"/>
      <c r="AC227" s="250"/>
      <c r="AD227" s="32"/>
      <c r="AE227" s="282"/>
      <c r="AF227" s="261"/>
      <c r="AG227" s="31"/>
      <c r="AH227" s="32"/>
      <c r="AI227" s="42"/>
      <c r="AJ227" s="42"/>
    </row>
    <row r="228" spans="1:36" x14ac:dyDescent="0.25">
      <c r="A228" s="272"/>
      <c r="B228" s="273"/>
      <c r="C228" s="274"/>
      <c r="D228" s="272"/>
      <c r="E228" s="272"/>
      <c r="F228" s="272"/>
      <c r="G228" s="272"/>
      <c r="H228" s="272"/>
      <c r="I228" s="272"/>
      <c r="J228" s="272"/>
      <c r="K228" s="33"/>
      <c r="L228" s="33"/>
      <c r="M228" s="32"/>
      <c r="N228" s="32"/>
      <c r="O228" s="32"/>
      <c r="P228" s="33"/>
      <c r="Q228" s="32"/>
      <c r="R228" s="240"/>
      <c r="S228" s="32"/>
      <c r="T228" s="32"/>
      <c r="U228" s="250"/>
      <c r="V228" s="32"/>
      <c r="W228" s="33"/>
      <c r="X228" s="32"/>
      <c r="Y228" s="42"/>
      <c r="Z228" s="31"/>
      <c r="AA228" s="42"/>
      <c r="AB228" s="42"/>
      <c r="AC228" s="250"/>
      <c r="AD228" s="32"/>
      <c r="AE228" s="282"/>
      <c r="AF228" s="261"/>
      <c r="AG228" s="31"/>
      <c r="AH228" s="32"/>
      <c r="AI228" s="42"/>
      <c r="AJ228" s="42"/>
    </row>
    <row r="229" spans="1:36" x14ac:dyDescent="0.25">
      <c r="A229" s="272"/>
      <c r="B229" s="273"/>
      <c r="C229" s="274"/>
      <c r="D229" s="272"/>
      <c r="E229" s="272"/>
      <c r="F229" s="272"/>
      <c r="G229" s="272"/>
      <c r="H229" s="272"/>
      <c r="I229" s="272"/>
      <c r="J229" s="272"/>
      <c r="K229" s="33"/>
      <c r="L229" s="33"/>
      <c r="M229" s="32"/>
      <c r="N229" s="32"/>
      <c r="O229" s="32"/>
      <c r="P229" s="33"/>
      <c r="Q229" s="32"/>
      <c r="R229" s="240"/>
      <c r="S229" s="32"/>
      <c r="T229" s="32"/>
      <c r="U229" s="250"/>
      <c r="V229" s="32"/>
      <c r="W229" s="33"/>
      <c r="X229" s="32"/>
      <c r="Y229" s="42"/>
      <c r="Z229" s="31"/>
      <c r="AA229" s="42"/>
      <c r="AB229" s="42"/>
      <c r="AC229" s="250"/>
      <c r="AD229" s="32"/>
      <c r="AE229" s="282"/>
      <c r="AF229" s="261"/>
      <c r="AG229" s="31"/>
      <c r="AH229" s="32"/>
      <c r="AI229" s="42"/>
      <c r="AJ229" s="42"/>
    </row>
    <row r="230" spans="1:36" x14ac:dyDescent="0.25">
      <c r="A230" s="272"/>
      <c r="B230" s="273"/>
      <c r="C230" s="274"/>
      <c r="D230" s="272"/>
      <c r="E230" s="272"/>
      <c r="F230" s="272"/>
      <c r="G230" s="272"/>
      <c r="H230" s="272"/>
      <c r="I230" s="272"/>
      <c r="J230" s="272"/>
      <c r="K230" s="33"/>
      <c r="L230" s="33"/>
      <c r="M230" s="32"/>
      <c r="N230" s="32"/>
      <c r="O230" s="32"/>
      <c r="P230" s="33"/>
      <c r="Q230" s="32"/>
      <c r="R230" s="240"/>
      <c r="S230" s="32"/>
      <c r="T230" s="32"/>
      <c r="U230" s="250"/>
      <c r="V230" s="32"/>
      <c r="W230" s="33"/>
      <c r="X230" s="32"/>
      <c r="Y230" s="42"/>
      <c r="Z230" s="31"/>
      <c r="AA230" s="42"/>
      <c r="AB230" s="42"/>
      <c r="AC230" s="250"/>
      <c r="AD230" s="32"/>
      <c r="AE230" s="282"/>
      <c r="AF230" s="261"/>
      <c r="AG230" s="31"/>
      <c r="AH230" s="32"/>
      <c r="AI230" s="42"/>
      <c r="AJ230" s="42"/>
    </row>
    <row r="231" spans="1:36" x14ac:dyDescent="0.25">
      <c r="A231" s="272"/>
      <c r="B231" s="273"/>
      <c r="C231" s="274"/>
      <c r="D231" s="272"/>
      <c r="E231" s="272"/>
      <c r="F231" s="272"/>
      <c r="G231" s="272"/>
      <c r="H231" s="272"/>
      <c r="I231" s="272"/>
      <c r="J231" s="272"/>
      <c r="K231" s="33"/>
      <c r="L231" s="33"/>
      <c r="M231" s="32"/>
      <c r="N231" s="32"/>
      <c r="O231" s="32"/>
      <c r="P231" s="33"/>
      <c r="Q231" s="32"/>
      <c r="R231" s="240"/>
      <c r="S231" s="32"/>
      <c r="T231" s="32"/>
      <c r="U231" s="250"/>
      <c r="V231" s="32"/>
      <c r="W231" s="33"/>
      <c r="X231" s="32"/>
      <c r="Y231" s="42"/>
      <c r="Z231" s="31"/>
      <c r="AA231" s="42"/>
      <c r="AB231" s="42"/>
      <c r="AC231" s="250"/>
      <c r="AD231" s="32"/>
      <c r="AE231" s="282"/>
      <c r="AF231" s="261"/>
      <c r="AG231" s="31"/>
      <c r="AH231" s="32"/>
      <c r="AI231" s="42"/>
      <c r="AJ231" s="42"/>
    </row>
    <row r="232" spans="1:36" x14ac:dyDescent="0.25">
      <c r="A232" s="272"/>
      <c r="B232" s="273"/>
      <c r="C232" s="274"/>
      <c r="D232" s="272"/>
      <c r="E232" s="272"/>
      <c r="F232" s="272"/>
      <c r="G232" s="272"/>
      <c r="H232" s="272"/>
      <c r="I232" s="272"/>
      <c r="J232" s="272"/>
      <c r="K232" s="33"/>
      <c r="L232" s="33"/>
      <c r="M232" s="32"/>
      <c r="N232" s="32"/>
      <c r="O232" s="32"/>
      <c r="P232" s="33"/>
      <c r="Q232" s="32"/>
      <c r="R232" s="240"/>
      <c r="S232" s="32"/>
      <c r="T232" s="32"/>
      <c r="U232" s="250"/>
      <c r="V232" s="32"/>
      <c r="W232" s="33"/>
      <c r="X232" s="32"/>
      <c r="Y232" s="42"/>
      <c r="Z232" s="31"/>
      <c r="AA232" s="42"/>
      <c r="AB232" s="42"/>
      <c r="AC232" s="250"/>
      <c r="AD232" s="32"/>
      <c r="AE232" s="282"/>
      <c r="AF232" s="261"/>
      <c r="AG232" s="31"/>
      <c r="AH232" s="32"/>
      <c r="AI232" s="42"/>
      <c r="AJ232" s="42"/>
    </row>
    <row r="233" spans="1:36" x14ac:dyDescent="0.25">
      <c r="A233" s="272"/>
      <c r="B233" s="273"/>
      <c r="C233" s="274"/>
      <c r="D233" s="272"/>
      <c r="E233" s="272"/>
      <c r="F233" s="272"/>
      <c r="G233" s="272"/>
      <c r="H233" s="272"/>
      <c r="I233" s="272"/>
      <c r="J233" s="272"/>
      <c r="K233" s="33"/>
      <c r="L233" s="33"/>
      <c r="M233" s="32"/>
      <c r="N233" s="32"/>
      <c r="O233" s="32"/>
      <c r="P233" s="33"/>
      <c r="Q233" s="32"/>
      <c r="R233" s="240"/>
      <c r="S233" s="32"/>
      <c r="T233" s="32"/>
      <c r="U233" s="250"/>
      <c r="V233" s="32"/>
      <c r="W233" s="33"/>
      <c r="X233" s="32"/>
      <c r="Y233" s="42"/>
      <c r="Z233" s="31"/>
      <c r="AA233" s="42"/>
      <c r="AB233" s="42"/>
      <c r="AC233" s="250"/>
      <c r="AD233" s="32"/>
      <c r="AE233" s="282"/>
      <c r="AF233" s="261"/>
      <c r="AG233" s="31"/>
      <c r="AH233" s="32"/>
      <c r="AI233" s="42"/>
      <c r="AJ233" s="42"/>
    </row>
    <row r="234" spans="1:36" x14ac:dyDescent="0.25">
      <c r="A234" s="272"/>
      <c r="B234" s="273"/>
      <c r="C234" s="274"/>
      <c r="D234" s="272"/>
      <c r="E234" s="272"/>
      <c r="F234" s="272"/>
      <c r="G234" s="272"/>
      <c r="H234" s="272"/>
      <c r="I234" s="272"/>
      <c r="J234" s="272"/>
      <c r="K234" s="33"/>
      <c r="L234" s="33"/>
      <c r="M234" s="32"/>
      <c r="N234" s="32"/>
      <c r="O234" s="32"/>
      <c r="P234" s="33"/>
      <c r="Q234" s="32"/>
      <c r="R234" s="240"/>
      <c r="S234" s="32"/>
      <c r="T234" s="32"/>
      <c r="U234" s="250"/>
      <c r="V234" s="32"/>
      <c r="W234" s="33"/>
      <c r="X234" s="32"/>
      <c r="Y234" s="42"/>
      <c r="Z234" s="31"/>
      <c r="AA234" s="42"/>
      <c r="AB234" s="42"/>
      <c r="AC234" s="250"/>
      <c r="AD234" s="32"/>
      <c r="AE234" s="282"/>
      <c r="AF234" s="261"/>
      <c r="AG234" s="31"/>
      <c r="AH234" s="32"/>
      <c r="AI234" s="42"/>
      <c r="AJ234" s="42"/>
    </row>
    <row r="235" spans="1:36" x14ac:dyDescent="0.25">
      <c r="A235" s="272"/>
      <c r="B235" s="273"/>
      <c r="C235" s="274"/>
      <c r="D235" s="272"/>
      <c r="E235" s="272"/>
      <c r="F235" s="272"/>
      <c r="G235" s="272"/>
      <c r="H235" s="272"/>
      <c r="I235" s="272"/>
      <c r="J235" s="272"/>
      <c r="K235" s="33"/>
      <c r="L235" s="33"/>
      <c r="M235" s="32"/>
      <c r="N235" s="32"/>
      <c r="O235" s="32"/>
      <c r="P235" s="33"/>
      <c r="Q235" s="32"/>
      <c r="R235" s="240"/>
      <c r="S235" s="32"/>
      <c r="T235" s="32"/>
      <c r="U235" s="250"/>
      <c r="V235" s="32"/>
      <c r="W235" s="33"/>
      <c r="X235" s="32"/>
      <c r="Y235" s="42"/>
      <c r="Z235" s="31"/>
      <c r="AA235" s="42"/>
      <c r="AB235" s="42"/>
      <c r="AC235" s="250"/>
      <c r="AD235" s="32"/>
      <c r="AE235" s="282"/>
      <c r="AF235" s="261"/>
      <c r="AG235" s="31"/>
      <c r="AH235" s="32"/>
      <c r="AI235" s="42"/>
      <c r="AJ235" s="42"/>
    </row>
    <row r="236" spans="1:36" x14ac:dyDescent="0.25">
      <c r="A236" s="272"/>
      <c r="B236" s="273"/>
      <c r="C236" s="274"/>
      <c r="D236" s="272"/>
      <c r="E236" s="272"/>
      <c r="F236" s="272"/>
      <c r="G236" s="272"/>
      <c r="H236" s="272"/>
      <c r="I236" s="272"/>
      <c r="J236" s="272"/>
      <c r="K236" s="33"/>
      <c r="L236" s="33"/>
      <c r="M236" s="32"/>
      <c r="N236" s="32"/>
      <c r="O236" s="32"/>
      <c r="P236" s="33"/>
      <c r="Q236" s="32"/>
      <c r="R236" s="240"/>
      <c r="S236" s="32"/>
      <c r="T236" s="32"/>
      <c r="U236" s="250"/>
      <c r="V236" s="32"/>
      <c r="W236" s="33"/>
      <c r="X236" s="32"/>
      <c r="Y236" s="42"/>
      <c r="Z236" s="31"/>
      <c r="AA236" s="42"/>
      <c r="AB236" s="42"/>
      <c r="AC236" s="250"/>
      <c r="AD236" s="32"/>
      <c r="AE236" s="282"/>
      <c r="AF236" s="261"/>
      <c r="AG236" s="31"/>
      <c r="AH236" s="32"/>
      <c r="AI236" s="42"/>
      <c r="AJ236" s="42"/>
    </row>
    <row r="237" spans="1:36" x14ac:dyDescent="0.25">
      <c r="A237" s="272"/>
      <c r="B237" s="273"/>
      <c r="C237" s="274"/>
      <c r="D237" s="272"/>
      <c r="E237" s="272"/>
      <c r="F237" s="272"/>
      <c r="G237" s="272"/>
      <c r="H237" s="272"/>
      <c r="I237" s="272"/>
      <c r="J237" s="272"/>
      <c r="K237" s="33"/>
      <c r="L237" s="33"/>
      <c r="M237" s="32"/>
      <c r="N237" s="32"/>
      <c r="O237" s="32"/>
      <c r="P237" s="33"/>
      <c r="Q237" s="32"/>
      <c r="R237" s="240"/>
      <c r="S237" s="32"/>
      <c r="T237" s="32"/>
      <c r="U237" s="250"/>
      <c r="V237" s="32"/>
      <c r="W237" s="33"/>
      <c r="X237" s="32"/>
      <c r="Y237" s="42"/>
      <c r="Z237" s="31"/>
      <c r="AA237" s="42"/>
      <c r="AB237" s="42"/>
      <c r="AC237" s="250"/>
      <c r="AD237" s="32"/>
      <c r="AE237" s="282"/>
      <c r="AF237" s="261"/>
      <c r="AG237" s="31"/>
      <c r="AH237" s="32"/>
      <c r="AI237" s="42"/>
      <c r="AJ237" s="42"/>
    </row>
    <row r="238" spans="1:36" x14ac:dyDescent="0.25">
      <c r="A238" s="272"/>
      <c r="B238" s="273"/>
      <c r="C238" s="274"/>
      <c r="D238" s="272"/>
      <c r="E238" s="272"/>
      <c r="F238" s="272"/>
      <c r="G238" s="272"/>
      <c r="H238" s="272"/>
      <c r="I238" s="272"/>
      <c r="J238" s="272"/>
      <c r="K238" s="33"/>
      <c r="L238" s="33"/>
      <c r="M238" s="32"/>
      <c r="N238" s="32"/>
      <c r="O238" s="32"/>
      <c r="P238" s="33"/>
      <c r="Q238" s="32"/>
      <c r="R238" s="240"/>
      <c r="S238" s="32"/>
      <c r="T238" s="32"/>
      <c r="U238" s="250"/>
      <c r="V238" s="32"/>
      <c r="W238" s="33"/>
      <c r="X238" s="32"/>
      <c r="Y238" s="42"/>
      <c r="Z238" s="31"/>
      <c r="AA238" s="42"/>
      <c r="AB238" s="42"/>
      <c r="AC238" s="250"/>
      <c r="AD238" s="32"/>
      <c r="AE238" s="282"/>
      <c r="AF238" s="261"/>
      <c r="AG238" s="31"/>
      <c r="AH238" s="32"/>
      <c r="AI238" s="42"/>
      <c r="AJ238" s="42"/>
    </row>
    <row r="239" spans="1:36" x14ac:dyDescent="0.25">
      <c r="A239" s="272"/>
      <c r="B239" s="273"/>
      <c r="C239" s="274"/>
      <c r="D239" s="272"/>
      <c r="E239" s="272"/>
      <c r="F239" s="272"/>
      <c r="G239" s="272"/>
      <c r="H239" s="272"/>
      <c r="I239" s="272"/>
      <c r="J239" s="272"/>
      <c r="K239" s="33"/>
      <c r="L239" s="33"/>
      <c r="M239" s="32"/>
      <c r="N239" s="32"/>
      <c r="O239" s="32"/>
      <c r="P239" s="33"/>
      <c r="Q239" s="32"/>
      <c r="R239" s="240"/>
      <c r="S239" s="32"/>
      <c r="T239" s="32"/>
      <c r="U239" s="250"/>
      <c r="V239" s="32"/>
      <c r="W239" s="33"/>
      <c r="X239" s="32"/>
      <c r="Y239" s="42"/>
      <c r="Z239" s="31"/>
      <c r="AA239" s="42"/>
      <c r="AB239" s="42"/>
      <c r="AC239" s="250"/>
      <c r="AD239" s="32"/>
      <c r="AE239" s="282"/>
      <c r="AF239" s="261"/>
      <c r="AG239" s="31"/>
      <c r="AH239" s="32"/>
      <c r="AI239" s="42"/>
      <c r="AJ239" s="42"/>
    </row>
    <row r="240" spans="1:36" x14ac:dyDescent="0.25">
      <c r="A240" s="272"/>
      <c r="B240" s="273"/>
      <c r="C240" s="274"/>
      <c r="D240" s="272"/>
      <c r="E240" s="272"/>
      <c r="F240" s="272"/>
      <c r="G240" s="272"/>
      <c r="H240" s="272"/>
      <c r="I240" s="272"/>
      <c r="J240" s="272"/>
      <c r="K240" s="33"/>
      <c r="L240" s="33"/>
      <c r="M240" s="32"/>
      <c r="N240" s="32"/>
      <c r="O240" s="32"/>
      <c r="P240" s="33"/>
      <c r="Q240" s="32"/>
      <c r="R240" s="240"/>
      <c r="S240" s="32"/>
      <c r="T240" s="32"/>
      <c r="U240" s="250"/>
      <c r="V240" s="32"/>
      <c r="W240" s="33"/>
      <c r="X240" s="32"/>
      <c r="Y240" s="42"/>
      <c r="Z240" s="31"/>
      <c r="AA240" s="42"/>
      <c r="AB240" s="42"/>
      <c r="AC240" s="250"/>
      <c r="AD240" s="32"/>
      <c r="AE240" s="282"/>
      <c r="AF240" s="261"/>
      <c r="AG240" s="31"/>
      <c r="AH240" s="32"/>
      <c r="AI240" s="42"/>
      <c r="AJ240" s="42"/>
    </row>
    <row r="241" spans="1:36" x14ac:dyDescent="0.25">
      <c r="A241" s="272"/>
      <c r="B241" s="273"/>
      <c r="C241" s="274"/>
      <c r="D241" s="272"/>
      <c r="E241" s="272"/>
      <c r="F241" s="272"/>
      <c r="G241" s="272"/>
      <c r="H241" s="272"/>
      <c r="I241" s="272"/>
      <c r="J241" s="272"/>
      <c r="K241" s="33"/>
      <c r="L241" s="33"/>
      <c r="M241" s="32"/>
      <c r="N241" s="32"/>
      <c r="O241" s="32"/>
      <c r="P241" s="33"/>
      <c r="Q241" s="32"/>
      <c r="R241" s="240"/>
      <c r="S241" s="32"/>
      <c r="T241" s="32"/>
      <c r="U241" s="250"/>
      <c r="V241" s="32"/>
      <c r="W241" s="33"/>
      <c r="X241" s="32"/>
      <c r="Y241" s="42"/>
      <c r="Z241" s="31"/>
      <c r="AA241" s="42"/>
      <c r="AB241" s="42"/>
      <c r="AC241" s="250"/>
      <c r="AD241" s="32"/>
      <c r="AE241" s="282"/>
      <c r="AF241" s="261"/>
      <c r="AG241" s="31"/>
      <c r="AH241" s="32"/>
      <c r="AI241" s="42"/>
      <c r="AJ241" s="42"/>
    </row>
    <row r="242" spans="1:36" x14ac:dyDescent="0.25">
      <c r="A242" s="272"/>
      <c r="B242" s="273"/>
      <c r="C242" s="274"/>
      <c r="D242" s="272"/>
      <c r="E242" s="272"/>
      <c r="F242" s="272"/>
      <c r="G242" s="272"/>
      <c r="H242" s="272"/>
      <c r="I242" s="272"/>
      <c r="J242" s="272"/>
      <c r="K242" s="33"/>
      <c r="L242" s="33"/>
      <c r="M242" s="32"/>
      <c r="N242" s="32"/>
      <c r="O242" s="32"/>
      <c r="P242" s="33"/>
      <c r="Q242" s="32"/>
      <c r="R242" s="240"/>
      <c r="S242" s="32"/>
      <c r="T242" s="32"/>
      <c r="U242" s="250"/>
      <c r="V242" s="32"/>
      <c r="W242" s="33"/>
      <c r="X242" s="32"/>
      <c r="Y242" s="42"/>
      <c r="Z242" s="31"/>
      <c r="AA242" s="42"/>
      <c r="AB242" s="42"/>
      <c r="AC242" s="250"/>
      <c r="AD242" s="32"/>
      <c r="AE242" s="282"/>
      <c r="AF242" s="261"/>
      <c r="AG242" s="31"/>
      <c r="AH242" s="32"/>
      <c r="AI242" s="42"/>
      <c r="AJ242" s="42"/>
    </row>
    <row r="243" spans="1:36" x14ac:dyDescent="0.25">
      <c r="A243" s="272"/>
      <c r="B243" s="273"/>
      <c r="C243" s="274"/>
      <c r="D243" s="272"/>
      <c r="E243" s="272"/>
      <c r="F243" s="272"/>
      <c r="G243" s="272"/>
      <c r="H243" s="272"/>
      <c r="I243" s="272"/>
      <c r="J243" s="272"/>
      <c r="K243" s="33"/>
      <c r="L243" s="33"/>
      <c r="M243" s="32"/>
      <c r="N243" s="32"/>
      <c r="O243" s="32"/>
      <c r="P243" s="33"/>
      <c r="Q243" s="32"/>
      <c r="R243" s="240"/>
      <c r="S243" s="32"/>
      <c r="T243" s="32"/>
      <c r="U243" s="250"/>
      <c r="V243" s="32"/>
      <c r="W243" s="33"/>
      <c r="X243" s="32"/>
      <c r="Y243" s="42"/>
      <c r="Z243" s="31"/>
      <c r="AA243" s="42"/>
      <c r="AB243" s="42"/>
      <c r="AC243" s="250"/>
      <c r="AD243" s="32"/>
      <c r="AE243" s="282"/>
      <c r="AF243" s="261"/>
      <c r="AG243" s="31"/>
      <c r="AH243" s="32"/>
      <c r="AI243" s="42"/>
      <c r="AJ243" s="42"/>
    </row>
    <row r="244" spans="1:36" x14ac:dyDescent="0.25">
      <c r="A244" s="272"/>
      <c r="B244" s="273"/>
      <c r="C244" s="274"/>
      <c r="D244" s="272"/>
      <c r="E244" s="272"/>
      <c r="F244" s="272"/>
      <c r="G244" s="272"/>
      <c r="H244" s="272"/>
      <c r="I244" s="272"/>
      <c r="J244" s="272"/>
      <c r="K244" s="33"/>
      <c r="L244" s="33"/>
      <c r="M244" s="32"/>
      <c r="N244" s="32"/>
      <c r="O244" s="32"/>
      <c r="P244" s="33"/>
      <c r="Q244" s="32"/>
      <c r="R244" s="240"/>
      <c r="S244" s="32"/>
      <c r="T244" s="32"/>
      <c r="U244" s="250"/>
      <c r="V244" s="32"/>
      <c r="W244" s="33"/>
      <c r="X244" s="32"/>
      <c r="Y244" s="42"/>
      <c r="Z244" s="31"/>
      <c r="AA244" s="42"/>
      <c r="AB244" s="42"/>
      <c r="AC244" s="250"/>
      <c r="AD244" s="32"/>
      <c r="AE244" s="282"/>
      <c r="AF244" s="261"/>
      <c r="AG244" s="31"/>
      <c r="AH244" s="32"/>
      <c r="AI244" s="42"/>
      <c r="AJ244" s="42"/>
    </row>
    <row r="245" spans="1:36" x14ac:dyDescent="0.25">
      <c r="A245" s="272"/>
      <c r="B245" s="273"/>
      <c r="C245" s="274"/>
      <c r="D245" s="272"/>
      <c r="E245" s="272"/>
      <c r="F245" s="272"/>
      <c r="G245" s="272"/>
      <c r="H245" s="272"/>
      <c r="I245" s="272"/>
      <c r="J245" s="272"/>
      <c r="K245" s="33"/>
      <c r="L245" s="33"/>
      <c r="M245" s="32"/>
      <c r="N245" s="32"/>
      <c r="O245" s="32"/>
      <c r="P245" s="33"/>
      <c r="Q245" s="32"/>
      <c r="R245" s="240"/>
      <c r="S245" s="32"/>
      <c r="T245" s="32"/>
      <c r="U245" s="250"/>
      <c r="V245" s="32"/>
      <c r="W245" s="33"/>
      <c r="X245" s="32"/>
      <c r="Y245" s="42"/>
      <c r="Z245" s="31"/>
      <c r="AA245" s="42"/>
      <c r="AB245" s="42"/>
      <c r="AC245" s="250"/>
      <c r="AD245" s="32"/>
      <c r="AE245" s="282"/>
      <c r="AF245" s="261"/>
      <c r="AG245" s="31"/>
      <c r="AH245" s="32"/>
      <c r="AI245" s="42"/>
      <c r="AJ245" s="42"/>
    </row>
    <row r="246" spans="1:36" x14ac:dyDescent="0.25">
      <c r="A246" s="272"/>
      <c r="B246" s="273"/>
      <c r="C246" s="274"/>
      <c r="D246" s="272"/>
      <c r="E246" s="272"/>
      <c r="F246" s="272"/>
      <c r="G246" s="272"/>
      <c r="H246" s="272"/>
      <c r="I246" s="272"/>
      <c r="J246" s="272"/>
      <c r="K246" s="33"/>
      <c r="L246" s="33"/>
      <c r="M246" s="32"/>
      <c r="N246" s="32"/>
      <c r="O246" s="32"/>
      <c r="P246" s="33"/>
      <c r="Q246" s="32"/>
      <c r="R246" s="240"/>
      <c r="S246" s="32"/>
      <c r="T246" s="32"/>
      <c r="U246" s="250"/>
      <c r="V246" s="32"/>
      <c r="W246" s="33"/>
      <c r="X246" s="32"/>
      <c r="Y246" s="42"/>
      <c r="Z246" s="31"/>
      <c r="AA246" s="42"/>
      <c r="AB246" s="42"/>
      <c r="AC246" s="250"/>
      <c r="AD246" s="32"/>
      <c r="AE246" s="282"/>
      <c r="AF246" s="261"/>
      <c r="AG246" s="31"/>
      <c r="AH246" s="32"/>
      <c r="AI246" s="42"/>
      <c r="AJ246" s="42"/>
    </row>
    <row r="247" spans="1:36" x14ac:dyDescent="0.25">
      <c r="A247" s="272"/>
      <c r="B247" s="273"/>
      <c r="C247" s="274"/>
      <c r="D247" s="272"/>
      <c r="E247" s="272"/>
      <c r="F247" s="272"/>
      <c r="G247" s="272"/>
      <c r="H247" s="272"/>
      <c r="I247" s="272"/>
      <c r="J247" s="272"/>
      <c r="K247" s="33"/>
      <c r="L247" s="33"/>
      <c r="M247" s="32"/>
      <c r="N247" s="32"/>
      <c r="O247" s="32"/>
      <c r="P247" s="33"/>
      <c r="Q247" s="32"/>
      <c r="R247" s="240"/>
      <c r="S247" s="32"/>
      <c r="T247" s="32"/>
      <c r="U247" s="250"/>
      <c r="V247" s="32"/>
      <c r="W247" s="33"/>
      <c r="X247" s="32"/>
      <c r="Y247" s="42"/>
      <c r="Z247" s="31"/>
      <c r="AA247" s="42"/>
      <c r="AB247" s="42"/>
      <c r="AC247" s="250"/>
      <c r="AD247" s="32"/>
      <c r="AE247" s="282"/>
      <c r="AF247" s="261"/>
      <c r="AG247" s="31"/>
      <c r="AH247" s="32"/>
      <c r="AI247" s="42"/>
      <c r="AJ247" s="42"/>
    </row>
    <row r="248" spans="1:36" x14ac:dyDescent="0.25">
      <c r="A248" s="272"/>
      <c r="B248" s="273"/>
      <c r="C248" s="274"/>
      <c r="D248" s="272"/>
      <c r="E248" s="272"/>
      <c r="F248" s="272"/>
      <c r="G248" s="272"/>
      <c r="H248" s="272"/>
      <c r="I248" s="272"/>
      <c r="J248" s="272"/>
      <c r="K248" s="33"/>
      <c r="L248" s="33"/>
      <c r="M248" s="32"/>
      <c r="N248" s="32"/>
      <c r="O248" s="32"/>
      <c r="P248" s="33"/>
      <c r="Q248" s="32"/>
      <c r="R248" s="240"/>
      <c r="S248" s="32"/>
      <c r="T248" s="32"/>
      <c r="U248" s="250"/>
      <c r="V248" s="32"/>
      <c r="W248" s="33"/>
      <c r="X248" s="32"/>
      <c r="Y248" s="42"/>
      <c r="Z248" s="31"/>
      <c r="AA248" s="42"/>
      <c r="AB248" s="42"/>
      <c r="AC248" s="250"/>
      <c r="AD248" s="32"/>
      <c r="AE248" s="282"/>
      <c r="AF248" s="261"/>
      <c r="AG248" s="31"/>
      <c r="AH248" s="32"/>
      <c r="AI248" s="42"/>
      <c r="AJ248" s="42"/>
    </row>
    <row r="249" spans="1:36" x14ac:dyDescent="0.25">
      <c r="A249" s="272"/>
      <c r="B249" s="273"/>
      <c r="C249" s="274"/>
      <c r="D249" s="272"/>
      <c r="E249" s="272"/>
      <c r="F249" s="272"/>
      <c r="G249" s="272"/>
      <c r="H249" s="272"/>
      <c r="I249" s="272"/>
      <c r="J249" s="272"/>
      <c r="K249" s="33"/>
      <c r="L249" s="33"/>
      <c r="M249" s="32"/>
      <c r="N249" s="32"/>
      <c r="O249" s="32"/>
      <c r="P249" s="33"/>
      <c r="Q249" s="32"/>
      <c r="R249" s="240"/>
      <c r="S249" s="32"/>
      <c r="T249" s="32"/>
      <c r="U249" s="250"/>
      <c r="V249" s="32"/>
      <c r="W249" s="33"/>
      <c r="X249" s="32"/>
      <c r="Y249" s="42"/>
      <c r="Z249" s="31"/>
      <c r="AA249" s="42"/>
      <c r="AB249" s="42"/>
      <c r="AC249" s="250"/>
      <c r="AD249" s="32"/>
      <c r="AE249" s="282"/>
      <c r="AF249" s="261"/>
      <c r="AG249" s="31"/>
      <c r="AH249" s="32"/>
      <c r="AI249" s="42"/>
      <c r="AJ249" s="42"/>
    </row>
    <row r="250" spans="1:36" x14ac:dyDescent="0.25">
      <c r="A250" s="272"/>
      <c r="B250" s="273"/>
      <c r="C250" s="274"/>
      <c r="D250" s="272"/>
      <c r="E250" s="272"/>
      <c r="F250" s="272"/>
      <c r="G250" s="272"/>
      <c r="H250" s="272"/>
      <c r="I250" s="272"/>
      <c r="J250" s="272"/>
      <c r="K250" s="33"/>
      <c r="L250" s="33"/>
      <c r="M250" s="32"/>
      <c r="N250" s="32"/>
      <c r="O250" s="32"/>
      <c r="P250" s="33"/>
      <c r="Q250" s="32"/>
      <c r="R250" s="240"/>
      <c r="S250" s="32"/>
      <c r="T250" s="32"/>
      <c r="U250" s="250"/>
      <c r="V250" s="32"/>
      <c r="W250" s="33"/>
      <c r="X250" s="32"/>
      <c r="Y250" s="42"/>
      <c r="Z250" s="31"/>
      <c r="AA250" s="42"/>
      <c r="AB250" s="42"/>
      <c r="AC250" s="250"/>
      <c r="AD250" s="32"/>
      <c r="AE250" s="282"/>
      <c r="AF250" s="261"/>
      <c r="AG250" s="31"/>
      <c r="AH250" s="32"/>
      <c r="AI250" s="42"/>
      <c r="AJ250" s="42"/>
    </row>
    <row r="251" spans="1:36" x14ac:dyDescent="0.25">
      <c r="A251" s="272"/>
      <c r="B251" s="273"/>
      <c r="C251" s="274"/>
      <c r="D251" s="272"/>
      <c r="E251" s="272"/>
      <c r="F251" s="272"/>
      <c r="G251" s="272"/>
      <c r="H251" s="272"/>
      <c r="I251" s="272"/>
      <c r="J251" s="272"/>
      <c r="K251" s="33"/>
      <c r="L251" s="33"/>
      <c r="M251" s="32"/>
      <c r="N251" s="32"/>
      <c r="O251" s="32"/>
      <c r="P251" s="33"/>
      <c r="Q251" s="32"/>
      <c r="R251" s="240"/>
      <c r="S251" s="32"/>
      <c r="T251" s="32"/>
      <c r="U251" s="250"/>
      <c r="V251" s="32"/>
      <c r="W251" s="33"/>
      <c r="X251" s="32"/>
      <c r="Y251" s="42"/>
      <c r="Z251" s="31"/>
      <c r="AA251" s="42"/>
      <c r="AB251" s="42"/>
      <c r="AC251" s="250"/>
      <c r="AD251" s="32"/>
      <c r="AE251" s="282"/>
      <c r="AF251" s="261"/>
      <c r="AG251" s="31"/>
      <c r="AH251" s="32"/>
      <c r="AI251" s="42"/>
      <c r="AJ251" s="42"/>
    </row>
    <row r="252" spans="1:36" x14ac:dyDescent="0.25">
      <c r="A252" s="272"/>
      <c r="B252" s="273"/>
      <c r="C252" s="274"/>
      <c r="D252" s="272"/>
      <c r="E252" s="272"/>
      <c r="F252" s="272"/>
      <c r="G252" s="272"/>
      <c r="H252" s="272"/>
      <c r="I252" s="272"/>
      <c r="J252" s="272"/>
      <c r="K252" s="33"/>
      <c r="L252" s="33"/>
      <c r="M252" s="32"/>
      <c r="N252" s="32"/>
      <c r="O252" s="32"/>
      <c r="P252" s="33"/>
      <c r="Q252" s="32"/>
      <c r="R252" s="240"/>
      <c r="S252" s="32"/>
      <c r="T252" s="32"/>
      <c r="U252" s="250"/>
      <c r="V252" s="32"/>
      <c r="W252" s="33"/>
      <c r="X252" s="32"/>
      <c r="Y252" s="42"/>
      <c r="Z252" s="31"/>
      <c r="AA252" s="42"/>
      <c r="AB252" s="42"/>
      <c r="AC252" s="250"/>
      <c r="AD252" s="32"/>
      <c r="AE252" s="282"/>
      <c r="AF252" s="261"/>
      <c r="AG252" s="31"/>
      <c r="AH252" s="32"/>
      <c r="AI252" s="42"/>
      <c r="AJ252" s="42"/>
    </row>
    <row r="253" spans="1:36" x14ac:dyDescent="0.25">
      <c r="A253" s="272"/>
      <c r="B253" s="273"/>
      <c r="C253" s="274"/>
      <c r="D253" s="272"/>
      <c r="E253" s="272"/>
      <c r="F253" s="272"/>
      <c r="G253" s="272"/>
      <c r="H253" s="272"/>
      <c r="I253" s="272"/>
      <c r="J253" s="272"/>
      <c r="K253" s="33"/>
      <c r="L253" s="33"/>
      <c r="M253" s="32"/>
      <c r="N253" s="32"/>
      <c r="O253" s="32"/>
      <c r="P253" s="33"/>
      <c r="Q253" s="32"/>
      <c r="R253" s="240"/>
      <c r="S253" s="32"/>
      <c r="T253" s="32"/>
      <c r="U253" s="250"/>
      <c r="V253" s="32"/>
      <c r="W253" s="33"/>
      <c r="X253" s="32"/>
      <c r="Y253" s="42"/>
      <c r="Z253" s="31"/>
      <c r="AA253" s="42"/>
      <c r="AB253" s="42"/>
      <c r="AC253" s="250"/>
      <c r="AD253" s="32"/>
      <c r="AE253" s="282"/>
      <c r="AF253" s="261"/>
      <c r="AG253" s="31"/>
      <c r="AH253" s="32"/>
      <c r="AI253" s="42"/>
      <c r="AJ253" s="42"/>
    </row>
    <row r="254" spans="1:36" x14ac:dyDescent="0.25">
      <c r="A254" s="272"/>
      <c r="B254" s="273"/>
      <c r="C254" s="274"/>
      <c r="D254" s="272"/>
      <c r="E254" s="272"/>
      <c r="F254" s="272"/>
      <c r="G254" s="272"/>
      <c r="H254" s="272"/>
      <c r="I254" s="272"/>
      <c r="J254" s="272"/>
      <c r="K254" s="33"/>
      <c r="L254" s="33"/>
      <c r="M254" s="32"/>
      <c r="N254" s="32"/>
      <c r="O254" s="32"/>
      <c r="P254" s="33"/>
      <c r="Q254" s="32"/>
      <c r="R254" s="240"/>
      <c r="S254" s="32"/>
      <c r="T254" s="32"/>
      <c r="U254" s="250"/>
      <c r="V254" s="32"/>
      <c r="W254" s="33"/>
      <c r="X254" s="32"/>
      <c r="Y254" s="42"/>
      <c r="Z254" s="31"/>
      <c r="AA254" s="42"/>
      <c r="AB254" s="42"/>
      <c r="AC254" s="250"/>
      <c r="AD254" s="32"/>
      <c r="AE254" s="282"/>
      <c r="AF254" s="261"/>
      <c r="AG254" s="31"/>
      <c r="AH254" s="32"/>
      <c r="AI254" s="42"/>
      <c r="AJ254" s="42"/>
    </row>
    <row r="255" spans="1:36" x14ac:dyDescent="0.25">
      <c r="A255" s="272"/>
      <c r="B255" s="273"/>
      <c r="C255" s="274"/>
      <c r="D255" s="272"/>
      <c r="E255" s="272"/>
      <c r="F255" s="272"/>
      <c r="G255" s="272"/>
      <c r="H255" s="272"/>
      <c r="I255" s="272"/>
      <c r="J255" s="272"/>
      <c r="K255" s="33"/>
      <c r="L255" s="33"/>
      <c r="M255" s="32"/>
      <c r="N255" s="32"/>
      <c r="O255" s="32"/>
      <c r="P255" s="33"/>
      <c r="Q255" s="32"/>
      <c r="R255" s="240"/>
      <c r="S255" s="32"/>
      <c r="T255" s="32"/>
      <c r="U255" s="250"/>
      <c r="V255" s="32"/>
      <c r="W255" s="33"/>
      <c r="X255" s="32"/>
      <c r="Y255" s="42"/>
      <c r="Z255" s="31"/>
      <c r="AA255" s="42"/>
      <c r="AB255" s="42"/>
      <c r="AC255" s="250"/>
      <c r="AD255" s="32"/>
      <c r="AE255" s="282"/>
      <c r="AF255" s="261"/>
      <c r="AG255" s="31"/>
      <c r="AH255" s="32"/>
      <c r="AI255" s="42"/>
      <c r="AJ255" s="42"/>
    </row>
    <row r="256" spans="1:36" x14ac:dyDescent="0.25">
      <c r="A256" s="272"/>
      <c r="B256" s="273"/>
      <c r="C256" s="274"/>
      <c r="D256" s="272"/>
      <c r="E256" s="272"/>
      <c r="F256" s="272"/>
      <c r="G256" s="272"/>
      <c r="H256" s="272"/>
      <c r="I256" s="272"/>
      <c r="J256" s="272"/>
      <c r="K256" s="33"/>
      <c r="L256" s="33"/>
      <c r="M256" s="32"/>
      <c r="N256" s="32"/>
      <c r="O256" s="32"/>
      <c r="P256" s="33"/>
      <c r="Q256" s="32"/>
      <c r="R256" s="240"/>
      <c r="S256" s="32"/>
      <c r="T256" s="32"/>
      <c r="U256" s="250"/>
      <c r="V256" s="32"/>
      <c r="W256" s="33"/>
      <c r="X256" s="32"/>
      <c r="Y256" s="42"/>
      <c r="Z256" s="31"/>
      <c r="AA256" s="42"/>
      <c r="AB256" s="42"/>
      <c r="AC256" s="250"/>
      <c r="AD256" s="32"/>
      <c r="AE256" s="282"/>
      <c r="AF256" s="261"/>
      <c r="AG256" s="31"/>
      <c r="AH256" s="32"/>
      <c r="AI256" s="42"/>
      <c r="AJ256" s="42"/>
    </row>
    <row r="257" spans="1:36" x14ac:dyDescent="0.25">
      <c r="A257" s="272"/>
      <c r="B257" s="273"/>
      <c r="C257" s="274"/>
      <c r="D257" s="272"/>
      <c r="E257" s="272"/>
      <c r="F257" s="272"/>
      <c r="G257" s="272"/>
      <c r="H257" s="272"/>
      <c r="I257" s="272"/>
      <c r="J257" s="272"/>
      <c r="K257" s="33"/>
      <c r="L257" s="33"/>
      <c r="M257" s="32"/>
      <c r="N257" s="32"/>
      <c r="O257" s="32"/>
      <c r="P257" s="33"/>
      <c r="Q257" s="32"/>
      <c r="R257" s="240"/>
      <c r="S257" s="32"/>
      <c r="T257" s="32"/>
      <c r="U257" s="250"/>
      <c r="V257" s="32"/>
      <c r="W257" s="33"/>
      <c r="X257" s="32"/>
      <c r="Y257" s="42"/>
      <c r="Z257" s="31"/>
      <c r="AA257" s="42"/>
      <c r="AB257" s="42"/>
      <c r="AC257" s="250"/>
      <c r="AD257" s="32"/>
      <c r="AE257" s="282"/>
      <c r="AF257" s="261"/>
      <c r="AG257" s="31"/>
      <c r="AH257" s="32"/>
      <c r="AI257" s="42"/>
      <c r="AJ257" s="42"/>
    </row>
    <row r="258" spans="1:36" x14ac:dyDescent="0.25">
      <c r="A258" s="272"/>
      <c r="B258" s="273"/>
      <c r="C258" s="274"/>
      <c r="D258" s="272"/>
      <c r="E258" s="272"/>
      <c r="F258" s="272"/>
      <c r="G258" s="272"/>
      <c r="H258" s="272"/>
      <c r="I258" s="272"/>
      <c r="J258" s="272"/>
      <c r="K258" s="33"/>
      <c r="L258" s="33"/>
      <c r="M258" s="32"/>
      <c r="N258" s="32"/>
      <c r="O258" s="32"/>
      <c r="P258" s="33"/>
      <c r="Q258" s="32"/>
      <c r="R258" s="240"/>
      <c r="S258" s="32"/>
      <c r="T258" s="32"/>
      <c r="U258" s="250"/>
      <c r="V258" s="32"/>
      <c r="W258" s="33"/>
      <c r="X258" s="32"/>
      <c r="Y258" s="42"/>
      <c r="Z258" s="31"/>
      <c r="AA258" s="42"/>
      <c r="AB258" s="42"/>
      <c r="AC258" s="250"/>
      <c r="AD258" s="32"/>
      <c r="AE258" s="282"/>
      <c r="AF258" s="261"/>
      <c r="AG258" s="31"/>
      <c r="AH258" s="32"/>
      <c r="AI258" s="42"/>
      <c r="AJ258" s="42"/>
    </row>
    <row r="259" spans="1:36" x14ac:dyDescent="0.25">
      <c r="A259" s="272"/>
      <c r="B259" s="273"/>
      <c r="C259" s="274"/>
      <c r="D259" s="272"/>
      <c r="E259" s="272"/>
      <c r="F259" s="272"/>
      <c r="G259" s="272"/>
      <c r="H259" s="272"/>
      <c r="I259" s="272"/>
      <c r="J259" s="272"/>
      <c r="K259" s="33"/>
      <c r="L259" s="33"/>
      <c r="M259" s="32"/>
      <c r="N259" s="32"/>
      <c r="O259" s="32"/>
      <c r="P259" s="33"/>
      <c r="Q259" s="32"/>
      <c r="R259" s="240"/>
      <c r="S259" s="32"/>
      <c r="T259" s="32"/>
      <c r="U259" s="250"/>
      <c r="V259" s="32"/>
      <c r="W259" s="33"/>
      <c r="X259" s="32"/>
      <c r="Y259" s="42"/>
      <c r="Z259" s="31"/>
      <c r="AA259" s="42"/>
      <c r="AB259" s="42"/>
      <c r="AC259" s="250"/>
      <c r="AD259" s="32"/>
      <c r="AE259" s="282"/>
      <c r="AF259" s="261"/>
      <c r="AG259" s="31"/>
      <c r="AH259" s="32"/>
      <c r="AI259" s="42"/>
      <c r="AJ259" s="42"/>
    </row>
    <row r="260" spans="1:36" x14ac:dyDescent="0.25">
      <c r="A260" s="272"/>
      <c r="B260" s="273"/>
      <c r="C260" s="274"/>
      <c r="D260" s="272"/>
      <c r="E260" s="272"/>
      <c r="F260" s="272"/>
      <c r="G260" s="272"/>
      <c r="H260" s="272"/>
      <c r="I260" s="272"/>
      <c r="J260" s="272"/>
      <c r="K260" s="33"/>
      <c r="L260" s="33"/>
      <c r="M260" s="32"/>
      <c r="N260" s="32"/>
      <c r="O260" s="32"/>
      <c r="P260" s="33"/>
      <c r="Q260" s="32"/>
      <c r="R260" s="240"/>
      <c r="S260" s="32"/>
      <c r="T260" s="32"/>
      <c r="U260" s="250"/>
      <c r="V260" s="32"/>
      <c r="W260" s="33"/>
      <c r="X260" s="32"/>
      <c r="Y260" s="42"/>
      <c r="Z260" s="31"/>
      <c r="AA260" s="42"/>
      <c r="AB260" s="42"/>
      <c r="AC260" s="250"/>
      <c r="AD260" s="32"/>
      <c r="AE260" s="282"/>
      <c r="AF260" s="261"/>
      <c r="AG260" s="31"/>
      <c r="AH260" s="32"/>
      <c r="AI260" s="42"/>
      <c r="AJ260" s="42"/>
    </row>
    <row r="261" spans="1:36" x14ac:dyDescent="0.25">
      <c r="A261" s="272"/>
      <c r="B261" s="273"/>
      <c r="C261" s="274"/>
      <c r="D261" s="272"/>
      <c r="E261" s="272"/>
      <c r="F261" s="272"/>
      <c r="G261" s="272"/>
      <c r="H261" s="272"/>
      <c r="I261" s="272"/>
      <c r="J261" s="272"/>
      <c r="K261" s="33"/>
      <c r="L261" s="33"/>
      <c r="M261" s="32"/>
      <c r="N261" s="32"/>
      <c r="O261" s="32"/>
      <c r="P261" s="33"/>
      <c r="Q261" s="32"/>
      <c r="R261" s="240"/>
      <c r="S261" s="32"/>
      <c r="T261" s="32"/>
      <c r="U261" s="250"/>
      <c r="V261" s="32"/>
      <c r="W261" s="33"/>
      <c r="X261" s="32"/>
      <c r="Y261" s="42"/>
      <c r="Z261" s="31"/>
      <c r="AA261" s="42"/>
      <c r="AB261" s="42"/>
      <c r="AC261" s="250"/>
      <c r="AD261" s="32"/>
      <c r="AE261" s="282"/>
      <c r="AF261" s="261"/>
      <c r="AG261" s="31"/>
      <c r="AH261" s="32"/>
      <c r="AI261" s="42"/>
      <c r="AJ261" s="42"/>
    </row>
    <row r="262" spans="1:36" x14ac:dyDescent="0.25">
      <c r="A262" s="272"/>
      <c r="B262" s="273"/>
      <c r="C262" s="274"/>
      <c r="D262" s="272"/>
      <c r="E262" s="272"/>
      <c r="F262" s="272"/>
      <c r="G262" s="272"/>
      <c r="H262" s="272"/>
      <c r="I262" s="272"/>
      <c r="J262" s="272"/>
      <c r="K262" s="33"/>
      <c r="L262" s="33"/>
      <c r="M262" s="32"/>
      <c r="N262" s="32"/>
      <c r="O262" s="32"/>
      <c r="P262" s="33"/>
      <c r="Q262" s="32"/>
      <c r="R262" s="240"/>
      <c r="S262" s="32"/>
      <c r="T262" s="32"/>
      <c r="U262" s="250"/>
      <c r="V262" s="32"/>
      <c r="W262" s="33"/>
      <c r="X262" s="32"/>
      <c r="Y262" s="42"/>
      <c r="Z262" s="31"/>
      <c r="AA262" s="42"/>
      <c r="AB262" s="42"/>
      <c r="AC262" s="250"/>
      <c r="AD262" s="32"/>
      <c r="AE262" s="282"/>
      <c r="AF262" s="261"/>
      <c r="AG262" s="31"/>
      <c r="AH262" s="32"/>
      <c r="AI262" s="42"/>
      <c r="AJ262" s="42"/>
    </row>
    <row r="263" spans="1:36" x14ac:dyDescent="0.25">
      <c r="A263" s="272"/>
      <c r="B263" s="273"/>
      <c r="C263" s="274"/>
      <c r="D263" s="272"/>
      <c r="E263" s="272"/>
      <c r="F263" s="272"/>
      <c r="G263" s="272"/>
      <c r="H263" s="272"/>
      <c r="I263" s="272"/>
      <c r="J263" s="272"/>
      <c r="K263" s="33"/>
      <c r="L263" s="33"/>
      <c r="M263" s="32"/>
      <c r="N263" s="32"/>
      <c r="O263" s="32"/>
      <c r="P263" s="33"/>
      <c r="Q263" s="32"/>
      <c r="R263" s="240"/>
      <c r="S263" s="32"/>
      <c r="T263" s="32"/>
      <c r="U263" s="250"/>
      <c r="V263" s="32"/>
      <c r="W263" s="33"/>
      <c r="X263" s="32"/>
      <c r="Y263" s="42"/>
      <c r="Z263" s="31"/>
      <c r="AA263" s="42"/>
      <c r="AB263" s="42"/>
      <c r="AC263" s="250"/>
      <c r="AD263" s="32"/>
      <c r="AE263" s="282"/>
      <c r="AF263" s="261"/>
      <c r="AG263" s="31"/>
      <c r="AH263" s="32"/>
      <c r="AI263" s="42"/>
      <c r="AJ263" s="42"/>
    </row>
    <row r="264" spans="1:36" x14ac:dyDescent="0.25">
      <c r="A264" s="272"/>
      <c r="B264" s="273"/>
      <c r="C264" s="274"/>
      <c r="D264" s="272"/>
      <c r="E264" s="272"/>
      <c r="F264" s="272"/>
      <c r="G264" s="272"/>
      <c r="H264" s="272"/>
      <c r="I264" s="272"/>
      <c r="J264" s="272"/>
      <c r="K264" s="33"/>
      <c r="L264" s="33"/>
      <c r="M264" s="32"/>
      <c r="N264" s="32"/>
      <c r="O264" s="32"/>
      <c r="P264" s="33"/>
      <c r="Q264" s="32"/>
      <c r="R264" s="240"/>
      <c r="S264" s="32"/>
      <c r="T264" s="32"/>
      <c r="U264" s="250"/>
      <c r="V264" s="32"/>
      <c r="W264" s="33"/>
      <c r="X264" s="32"/>
      <c r="Y264" s="42"/>
      <c r="Z264" s="31"/>
      <c r="AA264" s="42"/>
      <c r="AB264" s="42"/>
      <c r="AC264" s="250"/>
      <c r="AD264" s="32"/>
      <c r="AE264" s="282"/>
      <c r="AF264" s="261"/>
      <c r="AG264" s="31"/>
      <c r="AH264" s="32"/>
      <c r="AI264" s="42"/>
      <c r="AJ264" s="42"/>
    </row>
    <row r="265" spans="1:36" x14ac:dyDescent="0.25">
      <c r="A265" s="272"/>
      <c r="B265" s="273"/>
      <c r="C265" s="274"/>
      <c r="D265" s="272"/>
      <c r="E265" s="272"/>
      <c r="F265" s="272"/>
      <c r="G265" s="272"/>
      <c r="H265" s="272"/>
      <c r="I265" s="272"/>
      <c r="J265" s="272"/>
      <c r="K265" s="33"/>
      <c r="L265" s="33"/>
      <c r="M265" s="32"/>
      <c r="N265" s="32"/>
      <c r="O265" s="32"/>
      <c r="P265" s="33"/>
      <c r="Q265" s="32"/>
      <c r="R265" s="240"/>
      <c r="S265" s="32"/>
      <c r="T265" s="32"/>
      <c r="U265" s="250"/>
      <c r="V265" s="32"/>
      <c r="W265" s="33"/>
      <c r="X265" s="32"/>
      <c r="Y265" s="42"/>
      <c r="Z265" s="31"/>
      <c r="AA265" s="42"/>
      <c r="AB265" s="42"/>
      <c r="AC265" s="250"/>
      <c r="AD265" s="32"/>
      <c r="AE265" s="282"/>
      <c r="AF265" s="261"/>
      <c r="AG265" s="31"/>
      <c r="AH265" s="32"/>
      <c r="AI265" s="42"/>
      <c r="AJ265" s="42"/>
    </row>
    <row r="266" spans="1:36" x14ac:dyDescent="0.25">
      <c r="A266" s="272"/>
      <c r="B266" s="273"/>
      <c r="C266" s="274"/>
      <c r="D266" s="272"/>
      <c r="E266" s="272"/>
      <c r="F266" s="272"/>
      <c r="G266" s="272"/>
      <c r="H266" s="272"/>
      <c r="I266" s="272"/>
      <c r="J266" s="272"/>
      <c r="K266" s="33"/>
      <c r="L266" s="33"/>
      <c r="M266" s="32"/>
      <c r="N266" s="32"/>
      <c r="O266" s="32"/>
      <c r="P266" s="33"/>
      <c r="Q266" s="32"/>
      <c r="R266" s="240"/>
      <c r="S266" s="32"/>
      <c r="T266" s="32"/>
      <c r="U266" s="250"/>
      <c r="V266" s="32"/>
      <c r="W266" s="33"/>
      <c r="X266" s="32"/>
      <c r="Y266" s="42"/>
      <c r="Z266" s="31"/>
      <c r="AA266" s="42"/>
      <c r="AB266" s="42"/>
      <c r="AC266" s="250"/>
      <c r="AD266" s="32"/>
      <c r="AE266" s="282"/>
      <c r="AF266" s="261"/>
      <c r="AG266" s="31"/>
      <c r="AH266" s="32"/>
      <c r="AI266" s="42"/>
      <c r="AJ266" s="42"/>
    </row>
    <row r="267" spans="1:36" x14ac:dyDescent="0.25">
      <c r="A267" s="272"/>
      <c r="B267" s="273"/>
      <c r="C267" s="274"/>
      <c r="D267" s="272"/>
      <c r="E267" s="272"/>
      <c r="F267" s="272"/>
      <c r="G267" s="272"/>
      <c r="H267" s="272"/>
      <c r="I267" s="272"/>
      <c r="J267" s="272"/>
      <c r="K267" s="33"/>
      <c r="L267" s="33"/>
      <c r="M267" s="32"/>
      <c r="N267" s="32"/>
      <c r="O267" s="32"/>
      <c r="P267" s="33"/>
      <c r="Q267" s="32"/>
      <c r="R267" s="240"/>
      <c r="S267" s="32"/>
      <c r="T267" s="32"/>
      <c r="U267" s="250"/>
      <c r="V267" s="32"/>
      <c r="W267" s="33"/>
      <c r="X267" s="32"/>
      <c r="Y267" s="42"/>
      <c r="Z267" s="31"/>
      <c r="AA267" s="42"/>
      <c r="AB267" s="42"/>
      <c r="AC267" s="250"/>
      <c r="AD267" s="32"/>
      <c r="AE267" s="282"/>
      <c r="AF267" s="261"/>
      <c r="AG267" s="31"/>
      <c r="AH267" s="32"/>
      <c r="AI267" s="42"/>
      <c r="AJ267" s="42"/>
    </row>
    <row r="268" spans="1:36" x14ac:dyDescent="0.25">
      <c r="A268" s="272"/>
      <c r="B268" s="273"/>
      <c r="C268" s="274"/>
      <c r="D268" s="272"/>
      <c r="E268" s="272"/>
      <c r="F268" s="272"/>
      <c r="G268" s="272"/>
      <c r="H268" s="272"/>
      <c r="I268" s="272"/>
      <c r="J268" s="272"/>
      <c r="K268" s="33"/>
      <c r="L268" s="33"/>
      <c r="M268" s="32"/>
      <c r="N268" s="32"/>
      <c r="O268" s="32"/>
      <c r="P268" s="33"/>
      <c r="Q268" s="32"/>
      <c r="R268" s="240"/>
      <c r="S268" s="32"/>
      <c r="T268" s="32"/>
      <c r="U268" s="250"/>
      <c r="V268" s="32"/>
      <c r="W268" s="33"/>
      <c r="X268" s="32"/>
      <c r="Y268" s="42"/>
      <c r="Z268" s="31"/>
      <c r="AA268" s="42"/>
      <c r="AB268" s="42"/>
      <c r="AC268" s="250"/>
      <c r="AD268" s="32"/>
      <c r="AE268" s="282"/>
      <c r="AF268" s="261"/>
      <c r="AG268" s="31"/>
      <c r="AH268" s="32"/>
      <c r="AI268" s="42"/>
      <c r="AJ268" s="42"/>
    </row>
    <row r="269" spans="1:36" x14ac:dyDescent="0.25">
      <c r="A269" s="272"/>
      <c r="B269" s="273"/>
      <c r="C269" s="274"/>
      <c r="D269" s="272"/>
      <c r="E269" s="272"/>
      <c r="F269" s="272"/>
      <c r="G269" s="272"/>
      <c r="H269" s="272"/>
      <c r="I269" s="272"/>
      <c r="J269" s="272"/>
      <c r="K269" s="33"/>
      <c r="L269" s="33"/>
      <c r="M269" s="32"/>
      <c r="N269" s="32"/>
      <c r="O269" s="32"/>
      <c r="P269" s="33"/>
      <c r="Q269" s="32"/>
      <c r="R269" s="240"/>
      <c r="S269" s="32"/>
      <c r="T269" s="32"/>
      <c r="U269" s="250"/>
      <c r="V269" s="32"/>
      <c r="W269" s="33"/>
      <c r="X269" s="32"/>
      <c r="Y269" s="42"/>
      <c r="Z269" s="31"/>
      <c r="AA269" s="42"/>
      <c r="AB269" s="42"/>
      <c r="AC269" s="250"/>
      <c r="AD269" s="32"/>
      <c r="AE269" s="282"/>
      <c r="AF269" s="261"/>
      <c r="AG269" s="31"/>
      <c r="AH269" s="32"/>
      <c r="AI269" s="42"/>
      <c r="AJ269" s="42"/>
    </row>
    <row r="270" spans="1:36" x14ac:dyDescent="0.25">
      <c r="A270" s="272"/>
      <c r="B270" s="273"/>
      <c r="C270" s="274"/>
      <c r="D270" s="272"/>
      <c r="E270" s="272"/>
      <c r="F270" s="272"/>
      <c r="G270" s="272"/>
      <c r="H270" s="272"/>
      <c r="I270" s="272"/>
      <c r="J270" s="272"/>
      <c r="K270" s="33"/>
      <c r="L270" s="33"/>
      <c r="M270" s="32"/>
      <c r="N270" s="32"/>
      <c r="O270" s="32"/>
      <c r="P270" s="33"/>
      <c r="Q270" s="32"/>
      <c r="R270" s="240"/>
      <c r="S270" s="32"/>
      <c r="T270" s="32"/>
      <c r="U270" s="250"/>
      <c r="V270" s="32"/>
      <c r="W270" s="33"/>
      <c r="X270" s="32"/>
      <c r="Y270" s="42"/>
      <c r="Z270" s="31"/>
      <c r="AA270" s="42"/>
      <c r="AB270" s="42"/>
      <c r="AC270" s="250"/>
      <c r="AD270" s="32"/>
      <c r="AE270" s="282"/>
      <c r="AF270" s="261"/>
      <c r="AG270" s="31"/>
      <c r="AH270" s="32"/>
      <c r="AI270" s="42"/>
      <c r="AJ270" s="42"/>
    </row>
    <row r="271" spans="1:36" x14ac:dyDescent="0.25">
      <c r="A271" s="272"/>
      <c r="B271" s="273"/>
      <c r="C271" s="274"/>
      <c r="D271" s="272"/>
      <c r="E271" s="272"/>
      <c r="F271" s="272"/>
      <c r="G271" s="272"/>
      <c r="H271" s="272"/>
      <c r="I271" s="272"/>
      <c r="J271" s="272"/>
      <c r="K271" s="33"/>
      <c r="L271" s="33"/>
      <c r="M271" s="32"/>
      <c r="N271" s="32"/>
      <c r="O271" s="32"/>
      <c r="P271" s="33"/>
      <c r="Q271" s="32"/>
      <c r="R271" s="240"/>
      <c r="S271" s="32"/>
      <c r="T271" s="32"/>
      <c r="U271" s="250"/>
      <c r="V271" s="32"/>
      <c r="W271" s="33"/>
      <c r="X271" s="32"/>
      <c r="Y271" s="42"/>
      <c r="Z271" s="31"/>
      <c r="AA271" s="42"/>
      <c r="AB271" s="42"/>
      <c r="AC271" s="250"/>
      <c r="AD271" s="32"/>
      <c r="AE271" s="282"/>
      <c r="AF271" s="261"/>
      <c r="AG271" s="31"/>
      <c r="AH271" s="32"/>
      <c r="AI271" s="42"/>
      <c r="AJ271" s="42"/>
    </row>
    <row r="272" spans="1:36" x14ac:dyDescent="0.25">
      <c r="A272" s="272"/>
      <c r="B272" s="273"/>
      <c r="C272" s="274"/>
      <c r="D272" s="272"/>
      <c r="E272" s="272"/>
      <c r="F272" s="272"/>
      <c r="G272" s="272"/>
      <c r="H272" s="272"/>
      <c r="I272" s="272"/>
      <c r="J272" s="272"/>
      <c r="K272" s="33"/>
      <c r="L272" s="33"/>
      <c r="M272" s="32"/>
      <c r="N272" s="32"/>
      <c r="O272" s="32"/>
      <c r="P272" s="33"/>
      <c r="Q272" s="32"/>
      <c r="R272" s="240"/>
      <c r="S272" s="32"/>
      <c r="T272" s="32"/>
      <c r="U272" s="250"/>
      <c r="V272" s="32"/>
      <c r="W272" s="33"/>
      <c r="X272" s="32"/>
      <c r="Y272" s="42"/>
      <c r="Z272" s="31"/>
      <c r="AA272" s="42"/>
      <c r="AB272" s="42"/>
      <c r="AC272" s="250"/>
      <c r="AD272" s="32"/>
      <c r="AE272" s="282"/>
      <c r="AF272" s="261"/>
      <c r="AG272" s="31"/>
      <c r="AH272" s="32"/>
      <c r="AI272" s="42"/>
      <c r="AJ272" s="42"/>
    </row>
    <row r="273" spans="1:36" x14ac:dyDescent="0.25">
      <c r="A273" s="272"/>
      <c r="B273" s="273"/>
      <c r="C273" s="274"/>
      <c r="D273" s="272"/>
      <c r="E273" s="272"/>
      <c r="F273" s="272"/>
      <c r="G273" s="272"/>
      <c r="H273" s="272"/>
      <c r="I273" s="272"/>
      <c r="J273" s="272"/>
      <c r="K273" s="33"/>
      <c r="L273" s="33"/>
      <c r="M273" s="32"/>
      <c r="N273" s="32"/>
      <c r="O273" s="32"/>
      <c r="P273" s="33"/>
      <c r="Q273" s="32"/>
      <c r="R273" s="240"/>
      <c r="S273" s="32"/>
      <c r="T273" s="32"/>
      <c r="U273" s="250"/>
      <c r="V273" s="32"/>
      <c r="W273" s="33"/>
      <c r="X273" s="32"/>
      <c r="Y273" s="42"/>
      <c r="Z273" s="31"/>
      <c r="AA273" s="42"/>
      <c r="AB273" s="42"/>
      <c r="AC273" s="250"/>
      <c r="AD273" s="32"/>
      <c r="AE273" s="282"/>
      <c r="AF273" s="261"/>
      <c r="AG273" s="31"/>
      <c r="AH273" s="32"/>
      <c r="AI273" s="42"/>
      <c r="AJ273" s="42"/>
    </row>
    <row r="274" spans="1:36" x14ac:dyDescent="0.25">
      <c r="A274" s="272"/>
      <c r="B274" s="273"/>
      <c r="C274" s="274"/>
      <c r="D274" s="272"/>
      <c r="E274" s="272"/>
      <c r="F274" s="272"/>
      <c r="G274" s="272"/>
      <c r="H274" s="272"/>
      <c r="I274" s="272"/>
      <c r="J274" s="272"/>
      <c r="K274" s="33"/>
      <c r="L274" s="33"/>
      <c r="M274" s="32"/>
      <c r="N274" s="32"/>
      <c r="O274" s="32"/>
      <c r="P274" s="33"/>
      <c r="Q274" s="32"/>
      <c r="R274" s="240"/>
      <c r="S274" s="32"/>
      <c r="T274" s="32"/>
      <c r="U274" s="250"/>
      <c r="V274" s="32"/>
      <c r="W274" s="33"/>
      <c r="X274" s="32"/>
      <c r="Y274" s="42"/>
      <c r="Z274" s="31"/>
      <c r="AA274" s="42"/>
      <c r="AB274" s="42"/>
      <c r="AC274" s="250"/>
      <c r="AD274" s="32"/>
      <c r="AE274" s="282"/>
      <c r="AF274" s="261"/>
      <c r="AG274" s="31"/>
      <c r="AH274" s="32"/>
      <c r="AI274" s="42"/>
      <c r="AJ274" s="42"/>
    </row>
    <row r="275" spans="1:36" x14ac:dyDescent="0.25">
      <c r="A275" s="272"/>
      <c r="B275" s="273"/>
      <c r="C275" s="274"/>
      <c r="D275" s="272"/>
      <c r="E275" s="272"/>
      <c r="F275" s="272"/>
      <c r="G275" s="272"/>
      <c r="H275" s="272"/>
      <c r="I275" s="272"/>
      <c r="J275" s="272"/>
      <c r="K275" s="33"/>
      <c r="L275" s="33"/>
      <c r="M275" s="32"/>
      <c r="N275" s="32"/>
      <c r="O275" s="32"/>
      <c r="P275" s="33"/>
      <c r="Q275" s="32"/>
      <c r="R275" s="240"/>
      <c r="S275" s="32"/>
      <c r="T275" s="32"/>
      <c r="U275" s="250"/>
      <c r="V275" s="32"/>
      <c r="W275" s="33"/>
      <c r="X275" s="32"/>
      <c r="Y275" s="42"/>
      <c r="Z275" s="31"/>
      <c r="AA275" s="42"/>
      <c r="AB275" s="42"/>
      <c r="AC275" s="250"/>
      <c r="AD275" s="32"/>
      <c r="AE275" s="282"/>
      <c r="AF275" s="261"/>
      <c r="AG275" s="31"/>
      <c r="AH275" s="32"/>
      <c r="AI275" s="42"/>
      <c r="AJ275" s="42"/>
    </row>
    <row r="276" spans="1:36" x14ac:dyDescent="0.25">
      <c r="A276" s="272"/>
      <c r="B276" s="273"/>
      <c r="C276" s="274"/>
      <c r="D276" s="272"/>
      <c r="E276" s="272"/>
      <c r="F276" s="272"/>
      <c r="G276" s="272"/>
      <c r="H276" s="272"/>
      <c r="I276" s="272"/>
      <c r="J276" s="272"/>
      <c r="K276" s="33"/>
      <c r="L276" s="33"/>
      <c r="M276" s="32"/>
      <c r="N276" s="32"/>
      <c r="O276" s="32"/>
      <c r="P276" s="33"/>
      <c r="Q276" s="32"/>
      <c r="R276" s="240"/>
      <c r="S276" s="32"/>
      <c r="T276" s="32"/>
      <c r="U276" s="250"/>
      <c r="V276" s="32"/>
      <c r="W276" s="33"/>
      <c r="X276" s="32"/>
      <c r="Y276" s="42"/>
      <c r="Z276" s="31"/>
      <c r="AA276" s="42"/>
      <c r="AB276" s="42"/>
      <c r="AC276" s="250"/>
      <c r="AD276" s="32"/>
      <c r="AE276" s="282"/>
      <c r="AF276" s="261"/>
      <c r="AG276" s="31"/>
      <c r="AH276" s="32"/>
      <c r="AI276" s="42"/>
      <c r="AJ276" s="42"/>
    </row>
    <row r="277" spans="1:36" x14ac:dyDescent="0.25">
      <c r="A277" s="272"/>
      <c r="B277" s="273"/>
      <c r="C277" s="274"/>
      <c r="D277" s="272"/>
      <c r="E277" s="272"/>
      <c r="F277" s="272"/>
      <c r="G277" s="272"/>
      <c r="H277" s="272"/>
      <c r="I277" s="272"/>
      <c r="J277" s="272"/>
      <c r="K277" s="33"/>
      <c r="L277" s="33"/>
      <c r="M277" s="32"/>
      <c r="N277" s="32"/>
      <c r="O277" s="32"/>
      <c r="P277" s="33"/>
      <c r="Q277" s="32"/>
      <c r="R277" s="240"/>
      <c r="S277" s="32"/>
      <c r="T277" s="32"/>
      <c r="U277" s="250"/>
      <c r="V277" s="32"/>
      <c r="W277" s="33"/>
      <c r="X277" s="32"/>
      <c r="Y277" s="42"/>
      <c r="Z277" s="31"/>
      <c r="AA277" s="42"/>
      <c r="AB277" s="42"/>
      <c r="AC277" s="250"/>
      <c r="AD277" s="32"/>
      <c r="AE277" s="282"/>
      <c r="AF277" s="261"/>
      <c r="AG277" s="31"/>
      <c r="AH277" s="32"/>
      <c r="AI277" s="42"/>
      <c r="AJ277" s="42"/>
    </row>
    <row r="278" spans="1:36" x14ac:dyDescent="0.25">
      <c r="A278" s="272"/>
      <c r="B278" s="273"/>
      <c r="C278" s="274"/>
      <c r="D278" s="272"/>
      <c r="E278" s="272"/>
      <c r="F278" s="272"/>
      <c r="G278" s="272"/>
      <c r="H278" s="272"/>
      <c r="I278" s="272"/>
      <c r="J278" s="272"/>
      <c r="K278" s="33"/>
      <c r="L278" s="33"/>
      <c r="M278" s="32"/>
      <c r="N278" s="32"/>
      <c r="O278" s="32"/>
      <c r="P278" s="33"/>
      <c r="Q278" s="32"/>
      <c r="R278" s="240"/>
      <c r="S278" s="32"/>
      <c r="T278" s="32"/>
      <c r="U278" s="250"/>
      <c r="V278" s="32"/>
      <c r="W278" s="33"/>
      <c r="X278" s="32"/>
      <c r="Y278" s="42"/>
      <c r="Z278" s="31"/>
      <c r="AA278" s="42"/>
      <c r="AB278" s="42"/>
      <c r="AC278" s="250"/>
      <c r="AD278" s="32"/>
      <c r="AE278" s="282"/>
      <c r="AF278" s="261"/>
      <c r="AG278" s="31"/>
      <c r="AH278" s="32"/>
      <c r="AI278" s="42"/>
      <c r="AJ278" s="42"/>
    </row>
    <row r="279" spans="1:36" x14ac:dyDescent="0.25">
      <c r="A279" s="272"/>
      <c r="B279" s="273"/>
      <c r="C279" s="274"/>
      <c r="D279" s="272"/>
      <c r="E279" s="272"/>
      <c r="F279" s="272"/>
      <c r="G279" s="272"/>
      <c r="H279" s="272"/>
      <c r="I279" s="272"/>
      <c r="J279" s="272"/>
      <c r="K279" s="33"/>
      <c r="L279" s="33"/>
      <c r="M279" s="32"/>
      <c r="N279" s="32"/>
      <c r="O279" s="32"/>
      <c r="P279" s="33"/>
      <c r="Q279" s="32"/>
      <c r="R279" s="240"/>
      <c r="S279" s="32"/>
      <c r="T279" s="32"/>
      <c r="U279" s="250"/>
      <c r="V279" s="32"/>
      <c r="W279" s="33"/>
      <c r="X279" s="32"/>
      <c r="Y279" s="42"/>
      <c r="Z279" s="31"/>
      <c r="AA279" s="42"/>
      <c r="AB279" s="42"/>
      <c r="AC279" s="250"/>
      <c r="AD279" s="32"/>
      <c r="AE279" s="282"/>
      <c r="AF279" s="261"/>
      <c r="AG279" s="31"/>
      <c r="AH279" s="32"/>
      <c r="AI279" s="42"/>
      <c r="AJ279" s="42"/>
    </row>
    <row r="280" spans="1:36" x14ac:dyDescent="0.25">
      <c r="A280" s="272"/>
      <c r="B280" s="273"/>
      <c r="C280" s="274"/>
      <c r="D280" s="272"/>
      <c r="E280" s="272"/>
      <c r="F280" s="272"/>
      <c r="G280" s="272"/>
      <c r="H280" s="272"/>
      <c r="I280" s="272"/>
      <c r="J280" s="272"/>
      <c r="K280" s="33"/>
      <c r="L280" s="33"/>
      <c r="M280" s="32"/>
      <c r="N280" s="32"/>
      <c r="O280" s="32"/>
      <c r="P280" s="33"/>
      <c r="Q280" s="32"/>
      <c r="R280" s="240"/>
      <c r="S280" s="32"/>
      <c r="T280" s="32"/>
      <c r="U280" s="250"/>
      <c r="V280" s="32"/>
      <c r="W280" s="33"/>
      <c r="X280" s="32"/>
      <c r="Y280" s="42"/>
      <c r="Z280" s="31"/>
      <c r="AA280" s="42"/>
      <c r="AB280" s="42"/>
      <c r="AC280" s="250"/>
      <c r="AD280" s="32"/>
      <c r="AE280" s="282"/>
      <c r="AF280" s="261"/>
      <c r="AG280" s="31"/>
      <c r="AH280" s="32"/>
      <c r="AI280" s="42"/>
      <c r="AJ280" s="42"/>
    </row>
    <row r="281" spans="1:36" x14ac:dyDescent="0.25">
      <c r="A281" s="272"/>
      <c r="B281" s="273"/>
      <c r="C281" s="274"/>
      <c r="D281" s="272"/>
      <c r="E281" s="272"/>
      <c r="F281" s="272"/>
      <c r="G281" s="272"/>
      <c r="H281" s="272"/>
      <c r="I281" s="272"/>
      <c r="J281" s="272"/>
      <c r="K281" s="33"/>
      <c r="L281" s="33"/>
      <c r="M281" s="32"/>
      <c r="N281" s="32"/>
      <c r="O281" s="32"/>
      <c r="P281" s="33"/>
      <c r="Q281" s="32"/>
      <c r="R281" s="240"/>
      <c r="S281" s="32"/>
      <c r="T281" s="32"/>
      <c r="U281" s="250"/>
      <c r="V281" s="32"/>
      <c r="W281" s="33"/>
      <c r="X281" s="32"/>
      <c r="Y281" s="42"/>
      <c r="Z281" s="31"/>
      <c r="AA281" s="42"/>
      <c r="AB281" s="42"/>
      <c r="AC281" s="250"/>
      <c r="AD281" s="32"/>
      <c r="AE281" s="282"/>
      <c r="AF281" s="261"/>
      <c r="AG281" s="31"/>
      <c r="AH281" s="32"/>
      <c r="AI281" s="42"/>
      <c r="AJ281" s="42"/>
    </row>
    <row r="282" spans="1:36" x14ac:dyDescent="0.25">
      <c r="A282" s="272"/>
      <c r="B282" s="273"/>
      <c r="C282" s="274"/>
      <c r="D282" s="272"/>
      <c r="E282" s="272"/>
      <c r="F282" s="272"/>
      <c r="G282" s="272"/>
      <c r="H282" s="272"/>
      <c r="I282" s="272"/>
      <c r="J282" s="272"/>
      <c r="K282" s="33"/>
      <c r="L282" s="33"/>
      <c r="M282" s="32"/>
      <c r="N282" s="32"/>
      <c r="O282" s="32"/>
      <c r="P282" s="33"/>
      <c r="Q282" s="32"/>
      <c r="R282" s="240"/>
      <c r="S282" s="32"/>
      <c r="T282" s="32"/>
      <c r="U282" s="250"/>
      <c r="V282" s="32"/>
      <c r="W282" s="33"/>
      <c r="X282" s="32"/>
      <c r="Y282" s="42"/>
      <c r="Z282" s="31"/>
      <c r="AA282" s="42"/>
      <c r="AB282" s="42"/>
      <c r="AC282" s="250"/>
      <c r="AD282" s="32"/>
      <c r="AE282" s="282"/>
      <c r="AF282" s="261"/>
      <c r="AG282" s="31"/>
      <c r="AH282" s="32"/>
      <c r="AI282" s="42"/>
      <c r="AJ282" s="42"/>
    </row>
    <row r="283" spans="1:36" x14ac:dyDescent="0.25">
      <c r="A283" s="272"/>
      <c r="B283" s="273"/>
      <c r="C283" s="274"/>
      <c r="D283" s="272"/>
      <c r="E283" s="272"/>
      <c r="F283" s="272"/>
      <c r="G283" s="272"/>
      <c r="H283" s="272"/>
      <c r="I283" s="272"/>
      <c r="J283" s="272"/>
      <c r="K283" s="33"/>
      <c r="L283" s="33"/>
      <c r="M283" s="32"/>
      <c r="N283" s="32"/>
      <c r="O283" s="32"/>
      <c r="P283" s="33"/>
      <c r="Q283" s="32"/>
      <c r="R283" s="240"/>
      <c r="S283" s="32"/>
      <c r="T283" s="32"/>
      <c r="U283" s="250"/>
      <c r="V283" s="32"/>
      <c r="W283" s="33"/>
      <c r="X283" s="32"/>
      <c r="Y283" s="42"/>
      <c r="Z283" s="31"/>
      <c r="AA283" s="42"/>
      <c r="AB283" s="42"/>
      <c r="AC283" s="250"/>
      <c r="AD283" s="32"/>
      <c r="AE283" s="282"/>
      <c r="AF283" s="261"/>
      <c r="AG283" s="31"/>
      <c r="AH283" s="32"/>
      <c r="AI283" s="42"/>
      <c r="AJ283" s="42"/>
    </row>
    <row r="284" spans="1:36" x14ac:dyDescent="0.25">
      <c r="A284" s="272"/>
      <c r="B284" s="273"/>
      <c r="C284" s="274"/>
      <c r="D284" s="272"/>
      <c r="E284" s="272"/>
      <c r="F284" s="272"/>
      <c r="G284" s="272"/>
      <c r="H284" s="272"/>
      <c r="I284" s="272"/>
      <c r="J284" s="272"/>
      <c r="K284" s="33"/>
      <c r="L284" s="33"/>
      <c r="M284" s="32"/>
      <c r="N284" s="32"/>
      <c r="O284" s="32"/>
      <c r="P284" s="33"/>
      <c r="Q284" s="32"/>
      <c r="R284" s="240"/>
      <c r="S284" s="32"/>
      <c r="T284" s="32"/>
      <c r="U284" s="250"/>
      <c r="V284" s="32"/>
      <c r="W284" s="33"/>
      <c r="X284" s="32"/>
      <c r="Y284" s="42"/>
      <c r="Z284" s="31"/>
      <c r="AA284" s="42"/>
      <c r="AB284" s="42"/>
      <c r="AC284" s="250"/>
      <c r="AD284" s="32"/>
      <c r="AE284" s="282"/>
      <c r="AF284" s="261"/>
      <c r="AG284" s="31"/>
      <c r="AH284" s="32"/>
      <c r="AI284" s="42"/>
      <c r="AJ284" s="42"/>
    </row>
    <row r="285" spans="1:36" x14ac:dyDescent="0.25">
      <c r="A285" s="272"/>
      <c r="B285" s="273"/>
      <c r="C285" s="274"/>
      <c r="D285" s="272"/>
      <c r="E285" s="272"/>
      <c r="F285" s="272"/>
      <c r="G285" s="272"/>
      <c r="H285" s="272"/>
      <c r="I285" s="272"/>
      <c r="J285" s="272"/>
      <c r="K285" s="33"/>
      <c r="L285" s="33"/>
      <c r="M285" s="32"/>
      <c r="N285" s="32"/>
      <c r="O285" s="32"/>
      <c r="P285" s="33"/>
      <c r="Q285" s="32"/>
      <c r="R285" s="240"/>
      <c r="S285" s="32"/>
      <c r="T285" s="32"/>
      <c r="U285" s="250"/>
      <c r="V285" s="32"/>
      <c r="W285" s="33"/>
      <c r="X285" s="32"/>
      <c r="Y285" s="42"/>
      <c r="Z285" s="31"/>
      <c r="AA285" s="42"/>
      <c r="AB285" s="42"/>
      <c r="AC285" s="250"/>
      <c r="AD285" s="32"/>
      <c r="AE285" s="282"/>
      <c r="AF285" s="261"/>
      <c r="AG285" s="31"/>
      <c r="AH285" s="32"/>
      <c r="AI285" s="42"/>
      <c r="AJ285" s="42"/>
    </row>
    <row r="286" spans="1:36" x14ac:dyDescent="0.25">
      <c r="A286" s="272"/>
      <c r="B286" s="273"/>
      <c r="C286" s="274"/>
      <c r="D286" s="272"/>
      <c r="E286" s="272"/>
      <c r="F286" s="272"/>
      <c r="G286" s="272"/>
      <c r="H286" s="272"/>
      <c r="I286" s="272"/>
      <c r="J286" s="272"/>
      <c r="K286" s="33"/>
      <c r="L286" s="33"/>
      <c r="M286" s="32"/>
      <c r="N286" s="32"/>
      <c r="O286" s="32"/>
      <c r="P286" s="33"/>
      <c r="Q286" s="32"/>
      <c r="R286" s="240"/>
      <c r="S286" s="32"/>
      <c r="T286" s="32"/>
      <c r="U286" s="250"/>
      <c r="V286" s="32"/>
      <c r="W286" s="33"/>
      <c r="X286" s="32"/>
      <c r="Y286" s="42"/>
      <c r="Z286" s="31"/>
      <c r="AA286" s="42"/>
      <c r="AB286" s="42"/>
      <c r="AC286" s="250"/>
      <c r="AD286" s="32"/>
      <c r="AE286" s="282"/>
      <c r="AF286" s="261"/>
      <c r="AG286" s="31"/>
      <c r="AH286" s="32"/>
      <c r="AI286" s="42"/>
      <c r="AJ286" s="42"/>
    </row>
    <row r="287" spans="1:36" x14ac:dyDescent="0.25">
      <c r="A287" s="272"/>
      <c r="B287" s="273"/>
      <c r="C287" s="274"/>
      <c r="D287" s="272"/>
      <c r="E287" s="272"/>
      <c r="F287" s="272"/>
      <c r="G287" s="272"/>
      <c r="H287" s="272"/>
      <c r="I287" s="272"/>
      <c r="J287" s="272"/>
      <c r="K287" s="33"/>
      <c r="L287" s="33"/>
      <c r="M287" s="32"/>
      <c r="N287" s="32"/>
      <c r="O287" s="32"/>
      <c r="P287" s="33"/>
      <c r="Q287" s="32"/>
      <c r="R287" s="240"/>
      <c r="S287" s="32"/>
      <c r="T287" s="32"/>
      <c r="U287" s="250"/>
      <c r="V287" s="32"/>
      <c r="W287" s="33"/>
      <c r="X287" s="32"/>
      <c r="Y287" s="42"/>
      <c r="Z287" s="31"/>
      <c r="AA287" s="42"/>
      <c r="AB287" s="42"/>
      <c r="AC287" s="250"/>
      <c r="AD287" s="32"/>
      <c r="AE287" s="282"/>
      <c r="AF287" s="261"/>
      <c r="AG287" s="31"/>
      <c r="AH287" s="32"/>
      <c r="AI287" s="42"/>
      <c r="AJ287" s="42"/>
    </row>
    <row r="288" spans="1:36" x14ac:dyDescent="0.25">
      <c r="A288" s="272"/>
      <c r="B288" s="273"/>
      <c r="C288" s="274"/>
      <c r="D288" s="272"/>
      <c r="E288" s="272"/>
      <c r="F288" s="272"/>
      <c r="G288" s="272"/>
      <c r="H288" s="272"/>
      <c r="I288" s="272"/>
      <c r="J288" s="272"/>
      <c r="K288" s="33"/>
      <c r="L288" s="33"/>
      <c r="M288" s="32"/>
      <c r="N288" s="32"/>
      <c r="O288" s="32"/>
      <c r="P288" s="33"/>
      <c r="Q288" s="32"/>
      <c r="R288" s="240"/>
      <c r="S288" s="32"/>
      <c r="T288" s="32"/>
      <c r="U288" s="250"/>
      <c r="V288" s="32"/>
      <c r="W288" s="33"/>
      <c r="X288" s="32"/>
      <c r="Y288" s="42"/>
      <c r="Z288" s="31"/>
      <c r="AA288" s="42"/>
      <c r="AB288" s="42"/>
      <c r="AC288" s="250"/>
      <c r="AD288" s="32"/>
      <c r="AE288" s="282"/>
      <c r="AF288" s="261"/>
      <c r="AG288" s="31"/>
      <c r="AH288" s="32"/>
      <c r="AI288" s="42"/>
      <c r="AJ288" s="42"/>
    </row>
    <row r="289" spans="1:36" x14ac:dyDescent="0.25">
      <c r="A289" s="272"/>
      <c r="B289" s="273"/>
      <c r="C289" s="274"/>
      <c r="D289" s="272"/>
      <c r="E289" s="272"/>
      <c r="F289" s="272"/>
      <c r="G289" s="272"/>
      <c r="H289" s="272"/>
      <c r="I289" s="272"/>
      <c r="J289" s="272"/>
      <c r="K289" s="33"/>
      <c r="L289" s="33"/>
      <c r="M289" s="32"/>
      <c r="N289" s="32"/>
      <c r="O289" s="32"/>
      <c r="P289" s="33"/>
      <c r="Q289" s="32"/>
      <c r="R289" s="240"/>
      <c r="S289" s="32"/>
      <c r="T289" s="32"/>
      <c r="U289" s="250"/>
      <c r="V289" s="32"/>
      <c r="W289" s="33"/>
      <c r="X289" s="32"/>
      <c r="Y289" s="42"/>
      <c r="Z289" s="31"/>
      <c r="AA289" s="42"/>
      <c r="AB289" s="42"/>
      <c r="AC289" s="250"/>
      <c r="AD289" s="32"/>
      <c r="AE289" s="282"/>
      <c r="AF289" s="261"/>
      <c r="AG289" s="31"/>
      <c r="AH289" s="32"/>
      <c r="AI289" s="42"/>
      <c r="AJ289" s="42"/>
    </row>
    <row r="290" spans="1:36" x14ac:dyDescent="0.25">
      <c r="A290" s="272"/>
      <c r="B290" s="273"/>
      <c r="C290" s="274"/>
      <c r="D290" s="272"/>
      <c r="E290" s="272"/>
      <c r="F290" s="272"/>
      <c r="G290" s="272"/>
      <c r="H290" s="272"/>
      <c r="I290" s="272"/>
      <c r="J290" s="272"/>
      <c r="K290" s="33"/>
      <c r="L290" s="33"/>
      <c r="M290" s="32"/>
      <c r="N290" s="32"/>
      <c r="O290" s="32"/>
      <c r="P290" s="33"/>
      <c r="Q290" s="32"/>
      <c r="R290" s="240"/>
      <c r="S290" s="32"/>
      <c r="T290" s="32"/>
      <c r="U290" s="250"/>
      <c r="V290" s="32"/>
      <c r="W290" s="33"/>
      <c r="X290" s="32"/>
      <c r="Y290" s="42"/>
      <c r="Z290" s="31"/>
      <c r="AA290" s="42"/>
      <c r="AB290" s="42"/>
      <c r="AC290" s="250"/>
      <c r="AD290" s="32"/>
      <c r="AE290" s="282"/>
      <c r="AF290" s="261"/>
      <c r="AG290" s="31"/>
      <c r="AH290" s="32"/>
      <c r="AI290" s="42"/>
      <c r="AJ290" s="42"/>
    </row>
    <row r="291" spans="1:36" x14ac:dyDescent="0.25">
      <c r="A291" s="272"/>
      <c r="B291" s="273"/>
      <c r="C291" s="274"/>
      <c r="D291" s="272"/>
      <c r="E291" s="272"/>
      <c r="F291" s="272"/>
      <c r="G291" s="272"/>
      <c r="H291" s="272"/>
      <c r="I291" s="272"/>
      <c r="J291" s="272"/>
      <c r="K291" s="33"/>
      <c r="L291" s="33"/>
      <c r="M291" s="32"/>
      <c r="N291" s="32"/>
      <c r="O291" s="32"/>
      <c r="P291" s="33"/>
      <c r="Q291" s="32"/>
      <c r="R291" s="240"/>
      <c r="S291" s="32"/>
      <c r="T291" s="32"/>
      <c r="U291" s="250"/>
      <c r="V291" s="32"/>
      <c r="W291" s="33"/>
      <c r="X291" s="32"/>
      <c r="Y291" s="42"/>
      <c r="Z291" s="31"/>
      <c r="AA291" s="42"/>
      <c r="AB291" s="42"/>
      <c r="AC291" s="250"/>
      <c r="AD291" s="32"/>
      <c r="AE291" s="282"/>
      <c r="AF291" s="261"/>
      <c r="AG291" s="31"/>
      <c r="AH291" s="32"/>
      <c r="AI291" s="42"/>
      <c r="AJ291" s="42"/>
    </row>
    <row r="292" spans="1:36" x14ac:dyDescent="0.25">
      <c r="A292" s="272"/>
      <c r="B292" s="273"/>
      <c r="C292" s="274"/>
      <c r="D292" s="272"/>
      <c r="E292" s="272"/>
      <c r="F292" s="272"/>
      <c r="G292" s="272"/>
      <c r="H292" s="272"/>
      <c r="I292" s="272"/>
      <c r="J292" s="272"/>
      <c r="K292" s="33"/>
      <c r="L292" s="33"/>
      <c r="M292" s="32"/>
      <c r="N292" s="32"/>
      <c r="O292" s="32"/>
      <c r="P292" s="33"/>
      <c r="Q292" s="32"/>
      <c r="R292" s="240"/>
      <c r="S292" s="32"/>
      <c r="T292" s="32"/>
      <c r="U292" s="250"/>
      <c r="V292" s="32"/>
      <c r="W292" s="33"/>
      <c r="X292" s="32"/>
      <c r="Y292" s="42"/>
      <c r="Z292" s="31"/>
      <c r="AA292" s="42"/>
      <c r="AB292" s="42"/>
      <c r="AC292" s="250"/>
      <c r="AD292" s="32"/>
      <c r="AE292" s="282"/>
      <c r="AF292" s="261"/>
      <c r="AG292" s="31"/>
      <c r="AH292" s="32"/>
      <c r="AI292" s="42"/>
      <c r="AJ292" s="42"/>
    </row>
    <row r="293" spans="1:36" x14ac:dyDescent="0.25">
      <c r="A293" s="272"/>
      <c r="B293" s="273"/>
      <c r="C293" s="274"/>
      <c r="D293" s="272"/>
      <c r="E293" s="272"/>
      <c r="F293" s="272"/>
      <c r="G293" s="272"/>
      <c r="H293" s="272"/>
      <c r="I293" s="272"/>
      <c r="J293" s="272"/>
      <c r="K293" s="33"/>
      <c r="L293" s="33"/>
      <c r="M293" s="32"/>
      <c r="N293" s="32"/>
      <c r="O293" s="32"/>
      <c r="P293" s="33"/>
      <c r="Q293" s="32"/>
      <c r="R293" s="240"/>
      <c r="S293" s="32"/>
      <c r="T293" s="32"/>
      <c r="U293" s="250"/>
      <c r="V293" s="32"/>
      <c r="W293" s="33"/>
      <c r="X293" s="32"/>
      <c r="Y293" s="42"/>
      <c r="Z293" s="31"/>
      <c r="AA293" s="42"/>
      <c r="AB293" s="42"/>
      <c r="AC293" s="250"/>
      <c r="AD293" s="32"/>
      <c r="AE293" s="282"/>
      <c r="AF293" s="261"/>
      <c r="AG293" s="31"/>
      <c r="AH293" s="32"/>
      <c r="AI293" s="42"/>
      <c r="AJ293" s="42"/>
    </row>
    <row r="294" spans="1:36" x14ac:dyDescent="0.25">
      <c r="A294" s="272"/>
      <c r="B294" s="273"/>
      <c r="C294" s="274"/>
      <c r="D294" s="272"/>
      <c r="E294" s="272"/>
      <c r="F294" s="272"/>
      <c r="G294" s="272"/>
      <c r="H294" s="272"/>
      <c r="I294" s="272"/>
      <c r="J294" s="272"/>
      <c r="K294" s="33"/>
      <c r="L294" s="33"/>
      <c r="M294" s="32"/>
      <c r="N294" s="32"/>
      <c r="O294" s="32"/>
      <c r="P294" s="33"/>
      <c r="Q294" s="32"/>
      <c r="R294" s="240"/>
      <c r="S294" s="32"/>
      <c r="T294" s="32"/>
      <c r="U294" s="250"/>
      <c r="V294" s="32"/>
      <c r="W294" s="33"/>
      <c r="X294" s="32"/>
      <c r="Y294" s="42"/>
      <c r="Z294" s="31"/>
      <c r="AA294" s="42"/>
      <c r="AB294" s="42"/>
      <c r="AC294" s="250"/>
      <c r="AD294" s="32"/>
      <c r="AE294" s="282"/>
      <c r="AF294" s="261"/>
      <c r="AG294" s="31"/>
      <c r="AH294" s="32"/>
      <c r="AI294" s="42"/>
      <c r="AJ294" s="42"/>
    </row>
    <row r="295" spans="1:36" x14ac:dyDescent="0.25">
      <c r="A295" s="272"/>
      <c r="B295" s="273"/>
      <c r="C295" s="274"/>
      <c r="D295" s="272"/>
      <c r="E295" s="272"/>
      <c r="F295" s="272"/>
      <c r="G295" s="272"/>
      <c r="H295" s="272"/>
      <c r="I295" s="272"/>
      <c r="J295" s="272"/>
      <c r="K295" s="33"/>
      <c r="L295" s="33"/>
      <c r="M295" s="32"/>
      <c r="N295" s="32"/>
      <c r="O295" s="32"/>
      <c r="P295" s="33"/>
      <c r="Q295" s="32"/>
      <c r="R295" s="240"/>
      <c r="S295" s="32"/>
      <c r="T295" s="32"/>
      <c r="U295" s="250"/>
      <c r="V295" s="32"/>
      <c r="W295" s="33"/>
      <c r="X295" s="32"/>
      <c r="Y295" s="42"/>
      <c r="Z295" s="31"/>
      <c r="AA295" s="42"/>
      <c r="AB295" s="42"/>
      <c r="AC295" s="250"/>
      <c r="AD295" s="32"/>
      <c r="AE295" s="282"/>
      <c r="AF295" s="261"/>
      <c r="AG295" s="31"/>
      <c r="AH295" s="32"/>
      <c r="AI295" s="42"/>
      <c r="AJ295" s="42"/>
    </row>
    <row r="296" spans="1:36" x14ac:dyDescent="0.25">
      <c r="A296" s="272"/>
      <c r="B296" s="273"/>
      <c r="C296" s="274"/>
      <c r="D296" s="272"/>
      <c r="E296" s="272"/>
      <c r="F296" s="272"/>
      <c r="G296" s="272"/>
      <c r="H296" s="272"/>
      <c r="I296" s="272"/>
      <c r="J296" s="272"/>
      <c r="K296" s="33"/>
      <c r="L296" s="33"/>
      <c r="M296" s="32"/>
      <c r="N296" s="32"/>
      <c r="O296" s="32"/>
      <c r="P296" s="33"/>
      <c r="Q296" s="32"/>
      <c r="R296" s="240"/>
      <c r="S296" s="32"/>
      <c r="T296" s="32"/>
      <c r="U296" s="250"/>
      <c r="V296" s="32"/>
      <c r="W296" s="33"/>
      <c r="X296" s="32"/>
      <c r="Y296" s="42"/>
      <c r="Z296" s="31"/>
      <c r="AA296" s="42"/>
      <c r="AB296" s="42"/>
      <c r="AC296" s="250"/>
      <c r="AD296" s="32"/>
      <c r="AE296" s="282"/>
      <c r="AF296" s="261"/>
      <c r="AG296" s="31"/>
      <c r="AH296" s="32"/>
      <c r="AI296" s="42"/>
      <c r="AJ296" s="42"/>
    </row>
    <row r="297" spans="1:36" x14ac:dyDescent="0.25">
      <c r="A297" s="272"/>
      <c r="B297" s="273"/>
      <c r="C297" s="274"/>
      <c r="D297" s="272"/>
      <c r="E297" s="272"/>
      <c r="F297" s="272"/>
      <c r="G297" s="272"/>
      <c r="H297" s="272"/>
      <c r="I297" s="272"/>
      <c r="J297" s="272"/>
      <c r="K297" s="33"/>
      <c r="L297" s="33"/>
      <c r="M297" s="32"/>
      <c r="N297" s="32"/>
      <c r="O297" s="32"/>
      <c r="P297" s="33"/>
      <c r="Q297" s="32"/>
      <c r="R297" s="240"/>
      <c r="S297" s="32"/>
      <c r="T297" s="32"/>
      <c r="U297" s="250"/>
      <c r="V297" s="32"/>
      <c r="W297" s="33"/>
      <c r="X297" s="32"/>
      <c r="Y297" s="42"/>
      <c r="Z297" s="31"/>
      <c r="AA297" s="42"/>
      <c r="AB297" s="42"/>
      <c r="AC297" s="250"/>
      <c r="AD297" s="32"/>
      <c r="AE297" s="282"/>
      <c r="AF297" s="261"/>
      <c r="AG297" s="31"/>
      <c r="AH297" s="32"/>
      <c r="AI297" s="42"/>
      <c r="AJ297" s="42"/>
    </row>
    <row r="298" spans="1:36" x14ac:dyDescent="0.25">
      <c r="A298" s="272"/>
      <c r="B298" s="273"/>
      <c r="C298" s="274"/>
      <c r="D298" s="272"/>
      <c r="E298" s="272"/>
      <c r="F298" s="272"/>
      <c r="G298" s="272"/>
      <c r="H298" s="272"/>
      <c r="I298" s="272"/>
      <c r="J298" s="272"/>
      <c r="K298" s="33"/>
      <c r="L298" s="33"/>
      <c r="M298" s="32"/>
      <c r="N298" s="32"/>
      <c r="O298" s="32"/>
      <c r="P298" s="33"/>
      <c r="Q298" s="32"/>
      <c r="R298" s="240"/>
      <c r="S298" s="32"/>
      <c r="T298" s="32"/>
      <c r="U298" s="250"/>
      <c r="V298" s="32"/>
      <c r="W298" s="33"/>
      <c r="X298" s="32"/>
      <c r="Y298" s="42"/>
      <c r="Z298" s="31"/>
      <c r="AA298" s="42"/>
      <c r="AB298" s="42"/>
      <c r="AC298" s="250"/>
      <c r="AD298" s="32"/>
      <c r="AE298" s="282"/>
      <c r="AF298" s="261"/>
      <c r="AG298" s="31"/>
      <c r="AH298" s="32"/>
      <c r="AI298" s="42"/>
      <c r="AJ298" s="42"/>
    </row>
    <row r="299" spans="1:36" x14ac:dyDescent="0.25">
      <c r="A299" s="272"/>
      <c r="B299" s="273"/>
      <c r="C299" s="274"/>
      <c r="D299" s="272"/>
      <c r="E299" s="272"/>
      <c r="F299" s="272"/>
      <c r="G299" s="272"/>
      <c r="H299" s="272"/>
      <c r="I299" s="272"/>
      <c r="J299" s="272"/>
      <c r="K299" s="33"/>
      <c r="L299" s="33"/>
      <c r="M299" s="32"/>
      <c r="N299" s="32"/>
      <c r="O299" s="32"/>
      <c r="P299" s="33"/>
      <c r="Q299" s="32"/>
      <c r="R299" s="240"/>
      <c r="S299" s="32"/>
      <c r="T299" s="32"/>
      <c r="U299" s="250"/>
      <c r="V299" s="32"/>
      <c r="W299" s="33"/>
      <c r="X299" s="32"/>
      <c r="Y299" s="42"/>
      <c r="Z299" s="31"/>
      <c r="AA299" s="42"/>
      <c r="AB299" s="42"/>
      <c r="AC299" s="250"/>
      <c r="AD299" s="32"/>
      <c r="AE299" s="282"/>
      <c r="AF299" s="261"/>
      <c r="AG299" s="31"/>
      <c r="AH299" s="32"/>
      <c r="AI299" s="42"/>
      <c r="AJ299" s="42"/>
    </row>
    <row r="300" spans="1:36" x14ac:dyDescent="0.25">
      <c r="A300" s="272"/>
      <c r="B300" s="273"/>
      <c r="C300" s="274"/>
      <c r="D300" s="272"/>
      <c r="E300" s="272"/>
      <c r="F300" s="272"/>
      <c r="G300" s="272"/>
      <c r="H300" s="272"/>
      <c r="I300" s="272"/>
      <c r="J300" s="272"/>
      <c r="K300" s="33"/>
      <c r="L300" s="33"/>
      <c r="M300" s="32"/>
      <c r="N300" s="32"/>
      <c r="O300" s="32"/>
      <c r="P300" s="33"/>
      <c r="Q300" s="32"/>
      <c r="R300" s="240"/>
      <c r="S300" s="32"/>
      <c r="T300" s="32"/>
      <c r="U300" s="250"/>
      <c r="V300" s="32"/>
      <c r="W300" s="33"/>
      <c r="X300" s="32"/>
      <c r="Y300" s="42"/>
      <c r="Z300" s="31"/>
      <c r="AA300" s="42"/>
      <c r="AB300" s="42"/>
      <c r="AC300" s="250"/>
      <c r="AD300" s="32"/>
      <c r="AE300" s="282"/>
      <c r="AF300" s="261"/>
      <c r="AG300" s="31"/>
      <c r="AH300" s="32"/>
      <c r="AI300" s="42"/>
      <c r="AJ300" s="42"/>
    </row>
    <row r="301" spans="1:36" x14ac:dyDescent="0.25">
      <c r="A301" s="272"/>
      <c r="B301" s="273"/>
      <c r="C301" s="274"/>
      <c r="D301" s="272"/>
      <c r="E301" s="272"/>
      <c r="F301" s="272"/>
      <c r="G301" s="272"/>
      <c r="H301" s="272"/>
      <c r="I301" s="272"/>
      <c r="J301" s="272"/>
      <c r="K301" s="33"/>
      <c r="L301" s="33"/>
      <c r="M301" s="32"/>
      <c r="N301" s="32"/>
      <c r="O301" s="32"/>
      <c r="P301" s="33"/>
      <c r="Q301" s="32"/>
      <c r="R301" s="240"/>
      <c r="S301" s="32"/>
      <c r="T301" s="32"/>
      <c r="U301" s="250"/>
      <c r="V301" s="32"/>
      <c r="W301" s="33"/>
      <c r="X301" s="32"/>
      <c r="Y301" s="42"/>
      <c r="Z301" s="31"/>
      <c r="AA301" s="42"/>
      <c r="AB301" s="42"/>
      <c r="AC301" s="250"/>
      <c r="AD301" s="32"/>
      <c r="AE301" s="282"/>
      <c r="AF301" s="261"/>
      <c r="AG301" s="31"/>
      <c r="AH301" s="32"/>
      <c r="AI301" s="42"/>
      <c r="AJ301" s="42"/>
    </row>
    <row r="302" spans="1:36" x14ac:dyDescent="0.25">
      <c r="A302" s="272"/>
      <c r="B302" s="273"/>
      <c r="C302" s="274"/>
      <c r="D302" s="272"/>
      <c r="E302" s="272"/>
      <c r="F302" s="272"/>
      <c r="G302" s="272"/>
      <c r="H302" s="272"/>
      <c r="I302" s="272"/>
      <c r="J302" s="272"/>
      <c r="K302" s="33"/>
      <c r="L302" s="33"/>
      <c r="M302" s="32"/>
      <c r="N302" s="32"/>
      <c r="O302" s="32"/>
      <c r="P302" s="33"/>
      <c r="Q302" s="32"/>
      <c r="R302" s="240"/>
      <c r="S302" s="32"/>
      <c r="T302" s="32"/>
      <c r="U302" s="250"/>
      <c r="V302" s="32"/>
      <c r="W302" s="33"/>
      <c r="X302" s="32"/>
      <c r="Y302" s="42"/>
      <c r="Z302" s="31"/>
      <c r="AA302" s="42"/>
      <c r="AB302" s="42"/>
      <c r="AC302" s="250"/>
      <c r="AD302" s="32"/>
      <c r="AE302" s="282"/>
      <c r="AF302" s="261"/>
      <c r="AG302" s="31"/>
      <c r="AH302" s="32"/>
      <c r="AI302" s="42"/>
      <c r="AJ302" s="42"/>
    </row>
    <row r="303" spans="1:36" x14ac:dyDescent="0.25">
      <c r="A303" s="272"/>
      <c r="B303" s="273"/>
      <c r="C303" s="274"/>
      <c r="D303" s="272"/>
      <c r="E303" s="272"/>
      <c r="F303" s="272"/>
      <c r="G303" s="272"/>
      <c r="H303" s="272"/>
      <c r="I303" s="272"/>
      <c r="J303" s="272"/>
      <c r="K303" s="33"/>
      <c r="L303" s="33"/>
      <c r="M303" s="32"/>
      <c r="N303" s="32"/>
      <c r="O303" s="32"/>
      <c r="P303" s="33"/>
      <c r="Q303" s="32"/>
      <c r="R303" s="240"/>
      <c r="S303" s="32"/>
      <c r="T303" s="32"/>
      <c r="U303" s="250"/>
      <c r="V303" s="32"/>
      <c r="W303" s="33"/>
      <c r="X303" s="32"/>
      <c r="Y303" s="42"/>
      <c r="Z303" s="31"/>
      <c r="AA303" s="42"/>
      <c r="AB303" s="42"/>
      <c r="AC303" s="250"/>
      <c r="AD303" s="32"/>
      <c r="AE303" s="282"/>
      <c r="AF303" s="261"/>
      <c r="AG303" s="31"/>
      <c r="AH303" s="32"/>
      <c r="AI303" s="42"/>
      <c r="AJ303" s="42"/>
    </row>
    <row r="304" spans="1:36" x14ac:dyDescent="0.25">
      <c r="A304" s="272"/>
      <c r="B304" s="273"/>
      <c r="C304" s="274"/>
      <c r="D304" s="272"/>
      <c r="E304" s="272"/>
      <c r="F304" s="272"/>
      <c r="G304" s="272"/>
      <c r="H304" s="272"/>
      <c r="I304" s="272"/>
      <c r="J304" s="272"/>
      <c r="K304" s="33"/>
      <c r="L304" s="33"/>
      <c r="M304" s="32"/>
      <c r="N304" s="32"/>
      <c r="O304" s="32"/>
      <c r="P304" s="33"/>
      <c r="Q304" s="32"/>
      <c r="R304" s="240"/>
      <c r="S304" s="32"/>
      <c r="T304" s="32"/>
      <c r="U304" s="250"/>
      <c r="V304" s="32"/>
      <c r="W304" s="33"/>
      <c r="X304" s="32"/>
      <c r="Y304" s="42"/>
      <c r="Z304" s="31"/>
      <c r="AA304" s="42"/>
      <c r="AB304" s="42"/>
      <c r="AC304" s="250"/>
      <c r="AD304" s="32"/>
      <c r="AE304" s="282"/>
      <c r="AF304" s="261"/>
      <c r="AG304" s="31"/>
      <c r="AH304" s="32"/>
      <c r="AI304" s="42"/>
      <c r="AJ304" s="42"/>
    </row>
    <row r="305" spans="1:36" x14ac:dyDescent="0.25">
      <c r="A305" s="272"/>
      <c r="B305" s="273"/>
      <c r="C305" s="274"/>
      <c r="D305" s="272"/>
      <c r="E305" s="272"/>
      <c r="F305" s="272"/>
      <c r="G305" s="272"/>
      <c r="H305" s="272"/>
      <c r="I305" s="272"/>
      <c r="J305" s="272"/>
      <c r="K305" s="33"/>
      <c r="L305" s="33"/>
      <c r="M305" s="32"/>
      <c r="N305" s="32"/>
      <c r="O305" s="32"/>
      <c r="P305" s="33"/>
      <c r="Q305" s="32"/>
      <c r="R305" s="240"/>
      <c r="S305" s="32"/>
      <c r="T305" s="32"/>
      <c r="U305" s="250"/>
      <c r="V305" s="32"/>
      <c r="W305" s="33"/>
      <c r="X305" s="32"/>
      <c r="Y305" s="42"/>
      <c r="Z305" s="31"/>
      <c r="AA305" s="42"/>
      <c r="AB305" s="42"/>
      <c r="AC305" s="250"/>
      <c r="AD305" s="32"/>
      <c r="AE305" s="282"/>
      <c r="AF305" s="261"/>
      <c r="AG305" s="31"/>
      <c r="AH305" s="32"/>
      <c r="AI305" s="42"/>
      <c r="AJ305" s="42"/>
    </row>
    <row r="306" spans="1:36" x14ac:dyDescent="0.25">
      <c r="A306" s="272"/>
      <c r="B306" s="273"/>
      <c r="C306" s="274"/>
      <c r="D306" s="272"/>
      <c r="E306" s="272"/>
      <c r="F306" s="272"/>
      <c r="G306" s="272"/>
      <c r="H306" s="272"/>
      <c r="I306" s="272"/>
      <c r="J306" s="272"/>
      <c r="K306" s="33"/>
      <c r="L306" s="33"/>
      <c r="M306" s="32"/>
      <c r="N306" s="32"/>
      <c r="O306" s="32"/>
      <c r="P306" s="33"/>
      <c r="Q306" s="32"/>
      <c r="R306" s="240"/>
      <c r="S306" s="32"/>
      <c r="T306" s="32"/>
      <c r="U306" s="250"/>
      <c r="V306" s="32"/>
      <c r="W306" s="33"/>
      <c r="X306" s="32"/>
      <c r="Y306" s="42"/>
      <c r="Z306" s="31"/>
      <c r="AA306" s="42"/>
      <c r="AB306" s="42"/>
      <c r="AC306" s="250"/>
      <c r="AD306" s="32"/>
      <c r="AE306" s="282"/>
      <c r="AF306" s="261"/>
      <c r="AG306" s="31"/>
      <c r="AH306" s="32"/>
      <c r="AI306" s="42"/>
      <c r="AJ306" s="42"/>
    </row>
    <row r="307" spans="1:36" x14ac:dyDescent="0.25">
      <c r="A307" s="272"/>
      <c r="B307" s="273"/>
      <c r="C307" s="274"/>
      <c r="D307" s="272"/>
      <c r="E307" s="272"/>
      <c r="F307" s="272"/>
      <c r="G307" s="272"/>
      <c r="H307" s="272"/>
      <c r="I307" s="272"/>
      <c r="J307" s="272"/>
      <c r="K307" s="33"/>
      <c r="L307" s="33"/>
      <c r="M307" s="32"/>
      <c r="N307" s="32"/>
      <c r="O307" s="32"/>
      <c r="P307" s="33"/>
      <c r="Q307" s="32"/>
      <c r="R307" s="240"/>
      <c r="S307" s="32"/>
      <c r="T307" s="32"/>
      <c r="U307" s="250"/>
      <c r="V307" s="32"/>
      <c r="W307" s="33"/>
      <c r="X307" s="32"/>
      <c r="Y307" s="42"/>
      <c r="Z307" s="31"/>
      <c r="AA307" s="42"/>
      <c r="AB307" s="42"/>
      <c r="AC307" s="250"/>
      <c r="AD307" s="32"/>
      <c r="AE307" s="282"/>
      <c r="AF307" s="261"/>
      <c r="AG307" s="31"/>
      <c r="AH307" s="32"/>
      <c r="AI307" s="42"/>
      <c r="AJ307" s="42"/>
    </row>
    <row r="308" spans="1:36" x14ac:dyDescent="0.25">
      <c r="A308" s="272"/>
      <c r="B308" s="273"/>
      <c r="C308" s="274"/>
      <c r="D308" s="272"/>
      <c r="E308" s="272"/>
      <c r="F308" s="272"/>
      <c r="G308" s="272"/>
      <c r="H308" s="272"/>
      <c r="I308" s="272"/>
      <c r="J308" s="272"/>
      <c r="K308" s="33"/>
      <c r="L308" s="33"/>
      <c r="M308" s="32"/>
      <c r="N308" s="32"/>
      <c r="O308" s="32"/>
      <c r="P308" s="33"/>
      <c r="Q308" s="32"/>
      <c r="R308" s="240"/>
      <c r="S308" s="32"/>
      <c r="T308" s="32"/>
      <c r="U308" s="250"/>
      <c r="V308" s="32"/>
      <c r="W308" s="33"/>
      <c r="X308" s="32"/>
      <c r="Y308" s="42"/>
      <c r="Z308" s="31"/>
      <c r="AA308" s="42"/>
      <c r="AB308" s="42"/>
      <c r="AC308" s="250"/>
      <c r="AD308" s="32"/>
      <c r="AE308" s="282"/>
      <c r="AF308" s="261"/>
      <c r="AG308" s="31"/>
      <c r="AH308" s="32"/>
      <c r="AI308" s="42"/>
      <c r="AJ308" s="42"/>
    </row>
    <row r="309" spans="1:36" x14ac:dyDescent="0.25">
      <c r="A309" s="272"/>
      <c r="B309" s="273"/>
      <c r="C309" s="274"/>
      <c r="D309" s="272"/>
      <c r="E309" s="272"/>
      <c r="F309" s="272"/>
      <c r="G309" s="272"/>
      <c r="H309" s="272"/>
      <c r="I309" s="272"/>
      <c r="J309" s="272"/>
      <c r="K309" s="33"/>
      <c r="L309" s="33"/>
      <c r="M309" s="32"/>
      <c r="N309" s="32"/>
      <c r="O309" s="32"/>
      <c r="P309" s="33"/>
      <c r="Q309" s="32"/>
      <c r="R309" s="240"/>
      <c r="S309" s="32"/>
      <c r="T309" s="32"/>
      <c r="U309" s="250"/>
      <c r="V309" s="32"/>
      <c r="W309" s="33"/>
      <c r="X309" s="32"/>
      <c r="Y309" s="42"/>
      <c r="Z309" s="31"/>
      <c r="AA309" s="42"/>
      <c r="AB309" s="42"/>
      <c r="AC309" s="250"/>
      <c r="AD309" s="32"/>
      <c r="AE309" s="282"/>
      <c r="AF309" s="261"/>
      <c r="AG309" s="31"/>
      <c r="AH309" s="32"/>
      <c r="AI309" s="42"/>
      <c r="AJ309" s="42"/>
    </row>
    <row r="310" spans="1:36" x14ac:dyDescent="0.25">
      <c r="A310" s="272"/>
      <c r="B310" s="273"/>
      <c r="C310" s="274"/>
      <c r="D310" s="272"/>
      <c r="E310" s="272"/>
      <c r="F310" s="272"/>
      <c r="G310" s="272"/>
      <c r="H310" s="272"/>
      <c r="I310" s="272"/>
      <c r="J310" s="272"/>
      <c r="K310" s="33"/>
      <c r="L310" s="33"/>
      <c r="M310" s="32"/>
      <c r="N310" s="32"/>
      <c r="O310" s="32"/>
      <c r="P310" s="33"/>
      <c r="Q310" s="32"/>
      <c r="R310" s="240"/>
      <c r="S310" s="32"/>
      <c r="T310" s="32"/>
      <c r="U310" s="250"/>
      <c r="V310" s="32"/>
      <c r="W310" s="33"/>
      <c r="X310" s="32"/>
      <c r="Y310" s="42"/>
      <c r="Z310" s="31"/>
      <c r="AA310" s="42"/>
      <c r="AB310" s="42"/>
      <c r="AC310" s="250"/>
      <c r="AD310" s="32"/>
      <c r="AE310" s="282"/>
      <c r="AF310" s="261"/>
      <c r="AG310" s="31"/>
      <c r="AH310" s="32"/>
      <c r="AI310" s="42"/>
      <c r="AJ310" s="42"/>
    </row>
    <row r="311" spans="1:36" x14ac:dyDescent="0.25">
      <c r="A311" s="272"/>
      <c r="B311" s="273"/>
      <c r="C311" s="274"/>
      <c r="D311" s="272"/>
      <c r="E311" s="272"/>
      <c r="F311" s="272"/>
      <c r="G311" s="272"/>
      <c r="H311" s="272"/>
      <c r="I311" s="272"/>
      <c r="J311" s="272"/>
      <c r="K311" s="33"/>
      <c r="L311" s="33"/>
      <c r="M311" s="32"/>
      <c r="N311" s="32"/>
      <c r="O311" s="32"/>
      <c r="P311" s="33"/>
      <c r="Q311" s="32"/>
      <c r="R311" s="240"/>
      <c r="S311" s="32"/>
      <c r="T311" s="32"/>
      <c r="U311" s="250"/>
      <c r="V311" s="32"/>
      <c r="W311" s="33"/>
      <c r="X311" s="32"/>
      <c r="Y311" s="42"/>
      <c r="Z311" s="31"/>
      <c r="AA311" s="42"/>
      <c r="AB311" s="42"/>
      <c r="AC311" s="250"/>
      <c r="AD311" s="32"/>
      <c r="AE311" s="282"/>
      <c r="AF311" s="261"/>
      <c r="AG311" s="31"/>
      <c r="AH311" s="32"/>
      <c r="AI311" s="42"/>
      <c r="AJ311" s="42"/>
    </row>
    <row r="312" spans="1:36" x14ac:dyDescent="0.25">
      <c r="A312" s="272"/>
      <c r="B312" s="273"/>
      <c r="C312" s="274"/>
      <c r="D312" s="272"/>
      <c r="E312" s="272"/>
      <c r="F312" s="272"/>
      <c r="G312" s="272"/>
      <c r="H312" s="272"/>
      <c r="I312" s="272"/>
      <c r="J312" s="272"/>
      <c r="K312" s="33"/>
      <c r="L312" s="33"/>
      <c r="M312" s="32"/>
      <c r="N312" s="32"/>
      <c r="O312" s="32"/>
      <c r="P312" s="33"/>
      <c r="Q312" s="32"/>
      <c r="R312" s="240"/>
      <c r="S312" s="32"/>
      <c r="T312" s="32"/>
      <c r="U312" s="250"/>
      <c r="V312" s="32"/>
      <c r="W312" s="33"/>
      <c r="X312" s="32"/>
      <c r="Y312" s="42"/>
      <c r="Z312" s="31"/>
      <c r="AA312" s="42"/>
      <c r="AB312" s="42"/>
      <c r="AC312" s="250"/>
      <c r="AD312" s="32"/>
      <c r="AE312" s="282"/>
      <c r="AF312" s="261"/>
      <c r="AG312" s="31"/>
      <c r="AH312" s="32"/>
      <c r="AI312" s="42"/>
      <c r="AJ312" s="42"/>
    </row>
    <row r="313" spans="1:36" x14ac:dyDescent="0.25">
      <c r="A313" s="272"/>
      <c r="B313" s="273"/>
      <c r="C313" s="274"/>
      <c r="D313" s="272"/>
      <c r="E313" s="272"/>
      <c r="F313" s="272"/>
      <c r="G313" s="272"/>
      <c r="H313" s="272"/>
      <c r="I313" s="272"/>
      <c r="J313" s="272"/>
      <c r="K313" s="33"/>
      <c r="L313" s="33"/>
      <c r="M313" s="32"/>
      <c r="N313" s="32"/>
      <c r="O313" s="32"/>
      <c r="P313" s="33"/>
      <c r="Q313" s="32"/>
      <c r="R313" s="240"/>
      <c r="S313" s="32"/>
      <c r="T313" s="32"/>
      <c r="U313" s="250"/>
      <c r="V313" s="32"/>
      <c r="W313" s="33"/>
      <c r="X313" s="32"/>
      <c r="Y313" s="42"/>
      <c r="Z313" s="31"/>
      <c r="AA313" s="42"/>
      <c r="AB313" s="42"/>
      <c r="AC313" s="250"/>
      <c r="AD313" s="32"/>
      <c r="AE313" s="282"/>
      <c r="AF313" s="261"/>
      <c r="AG313" s="31"/>
      <c r="AH313" s="32"/>
      <c r="AI313" s="42"/>
      <c r="AJ313" s="42"/>
    </row>
    <row r="314" spans="1:36" x14ac:dyDescent="0.25">
      <c r="A314" s="272"/>
      <c r="B314" s="273"/>
      <c r="C314" s="274"/>
      <c r="D314" s="272"/>
      <c r="E314" s="272"/>
      <c r="F314" s="272"/>
      <c r="G314" s="272"/>
      <c r="H314" s="272"/>
      <c r="I314" s="272"/>
      <c r="J314" s="272"/>
      <c r="K314" s="33"/>
      <c r="L314" s="33"/>
      <c r="M314" s="32"/>
      <c r="N314" s="32"/>
      <c r="O314" s="32"/>
      <c r="P314" s="33"/>
      <c r="Q314" s="32"/>
      <c r="R314" s="240"/>
      <c r="S314" s="32"/>
      <c r="T314" s="32"/>
      <c r="U314" s="250"/>
      <c r="V314" s="32"/>
      <c r="W314" s="33"/>
      <c r="X314" s="32"/>
      <c r="Y314" s="42"/>
      <c r="Z314" s="31"/>
      <c r="AA314" s="42"/>
      <c r="AB314" s="42"/>
      <c r="AC314" s="250"/>
      <c r="AD314" s="32"/>
      <c r="AE314" s="282"/>
      <c r="AF314" s="261"/>
      <c r="AG314" s="31"/>
      <c r="AH314" s="32"/>
      <c r="AI314" s="42"/>
      <c r="AJ314" s="42"/>
    </row>
    <row r="315" spans="1:36" x14ac:dyDescent="0.25">
      <c r="A315" s="272"/>
      <c r="B315" s="273"/>
      <c r="C315" s="274"/>
      <c r="D315" s="272"/>
      <c r="E315" s="272"/>
      <c r="F315" s="272"/>
      <c r="G315" s="272"/>
      <c r="H315" s="272"/>
      <c r="I315" s="272"/>
      <c r="J315" s="272"/>
      <c r="K315" s="33"/>
      <c r="L315" s="33"/>
      <c r="M315" s="32"/>
      <c r="N315" s="32"/>
      <c r="O315" s="32"/>
      <c r="P315" s="33"/>
      <c r="Q315" s="32"/>
      <c r="R315" s="240"/>
      <c r="S315" s="32"/>
      <c r="T315" s="32"/>
      <c r="U315" s="250"/>
      <c r="V315" s="32"/>
      <c r="W315" s="33"/>
      <c r="X315" s="32"/>
      <c r="Y315" s="42"/>
      <c r="Z315" s="31"/>
      <c r="AA315" s="42"/>
      <c r="AB315" s="42"/>
      <c r="AC315" s="250"/>
      <c r="AD315" s="32"/>
      <c r="AE315" s="282"/>
      <c r="AF315" s="261"/>
      <c r="AG315" s="31"/>
      <c r="AH315" s="32"/>
      <c r="AI315" s="42"/>
      <c r="AJ315" s="42"/>
    </row>
    <row r="316" spans="1:36" x14ac:dyDescent="0.25">
      <c r="A316" s="272"/>
      <c r="B316" s="273"/>
      <c r="C316" s="274"/>
      <c r="D316" s="272"/>
      <c r="E316" s="272"/>
      <c r="F316" s="272"/>
      <c r="G316" s="272"/>
      <c r="H316" s="272"/>
      <c r="I316" s="272"/>
      <c r="J316" s="272"/>
      <c r="K316" s="33"/>
      <c r="L316" s="33"/>
      <c r="M316" s="32"/>
      <c r="N316" s="32"/>
      <c r="O316" s="32"/>
      <c r="P316" s="33"/>
      <c r="Q316" s="32"/>
      <c r="R316" s="240"/>
      <c r="S316" s="32"/>
      <c r="T316" s="32"/>
      <c r="U316" s="250"/>
      <c r="V316" s="32"/>
      <c r="W316" s="33"/>
      <c r="X316" s="32"/>
      <c r="Y316" s="42"/>
      <c r="Z316" s="31"/>
      <c r="AA316" s="42"/>
      <c r="AB316" s="42"/>
      <c r="AC316" s="250"/>
      <c r="AD316" s="32"/>
      <c r="AE316" s="282"/>
      <c r="AF316" s="261"/>
      <c r="AG316" s="31"/>
      <c r="AH316" s="32"/>
      <c r="AI316" s="42"/>
      <c r="AJ316" s="42"/>
    </row>
    <row r="317" spans="1:36" x14ac:dyDescent="0.25">
      <c r="A317" s="272"/>
      <c r="B317" s="273"/>
      <c r="C317" s="274"/>
      <c r="D317" s="272"/>
      <c r="E317" s="272"/>
      <c r="F317" s="272"/>
      <c r="G317" s="272"/>
      <c r="H317" s="272"/>
      <c r="I317" s="272"/>
      <c r="J317" s="272"/>
      <c r="K317" s="33"/>
      <c r="L317" s="33"/>
      <c r="M317" s="32"/>
      <c r="N317" s="32"/>
      <c r="O317" s="32"/>
      <c r="P317" s="33"/>
      <c r="Q317" s="32"/>
      <c r="R317" s="240"/>
      <c r="S317" s="32"/>
      <c r="T317" s="32"/>
      <c r="U317" s="250"/>
      <c r="V317" s="32"/>
      <c r="W317" s="33"/>
      <c r="X317" s="32"/>
      <c r="Y317" s="42"/>
      <c r="Z317" s="31"/>
      <c r="AA317" s="42"/>
      <c r="AB317" s="42"/>
      <c r="AC317" s="250"/>
      <c r="AD317" s="32"/>
      <c r="AE317" s="282"/>
      <c r="AF317" s="261"/>
      <c r="AG317" s="31"/>
      <c r="AH317" s="32"/>
      <c r="AI317" s="42"/>
      <c r="AJ317" s="42"/>
    </row>
    <row r="318" spans="1:36" x14ac:dyDescent="0.25">
      <c r="A318" s="272"/>
      <c r="B318" s="273"/>
      <c r="C318" s="274"/>
      <c r="D318" s="272"/>
      <c r="E318" s="272"/>
      <c r="F318" s="272"/>
      <c r="G318" s="272"/>
      <c r="H318" s="272"/>
      <c r="I318" s="272"/>
      <c r="J318" s="272"/>
      <c r="K318" s="33"/>
      <c r="L318" s="33"/>
      <c r="M318" s="32"/>
      <c r="N318" s="32"/>
      <c r="O318" s="32"/>
      <c r="P318" s="33"/>
      <c r="Q318" s="32"/>
      <c r="R318" s="240"/>
      <c r="S318" s="32"/>
      <c r="T318" s="32"/>
      <c r="U318" s="250"/>
      <c r="V318" s="32"/>
      <c r="W318" s="33"/>
      <c r="X318" s="32"/>
      <c r="Y318" s="42"/>
      <c r="Z318" s="31"/>
      <c r="AA318" s="42"/>
      <c r="AB318" s="42"/>
      <c r="AC318" s="250"/>
      <c r="AD318" s="32"/>
      <c r="AE318" s="282"/>
      <c r="AF318" s="261"/>
      <c r="AG318" s="31"/>
      <c r="AH318" s="32"/>
      <c r="AI318" s="42"/>
      <c r="AJ318" s="42"/>
    </row>
    <row r="319" spans="1:36" x14ac:dyDescent="0.25">
      <c r="A319" s="272"/>
      <c r="B319" s="273"/>
      <c r="C319" s="274"/>
      <c r="D319" s="272"/>
      <c r="E319" s="272"/>
      <c r="F319" s="272"/>
      <c r="G319" s="272"/>
      <c r="H319" s="272"/>
      <c r="I319" s="272"/>
      <c r="J319" s="272"/>
      <c r="K319" s="33"/>
      <c r="L319" s="33"/>
      <c r="M319" s="32"/>
      <c r="N319" s="32"/>
      <c r="O319" s="32"/>
      <c r="P319" s="33"/>
      <c r="Q319" s="32"/>
      <c r="R319" s="240"/>
      <c r="S319" s="32"/>
      <c r="T319" s="32"/>
      <c r="U319" s="250"/>
      <c r="V319" s="32"/>
      <c r="W319" s="33"/>
      <c r="X319" s="32"/>
      <c r="Y319" s="42"/>
      <c r="Z319" s="31"/>
      <c r="AA319" s="42"/>
      <c r="AB319" s="42"/>
      <c r="AC319" s="250"/>
      <c r="AD319" s="32"/>
      <c r="AE319" s="282"/>
      <c r="AF319" s="261"/>
      <c r="AG319" s="31"/>
      <c r="AH319" s="32"/>
      <c r="AI319" s="42"/>
      <c r="AJ319" s="42"/>
    </row>
    <row r="320" spans="1:36" x14ac:dyDescent="0.25">
      <c r="A320" s="272"/>
      <c r="B320" s="273"/>
      <c r="C320" s="274"/>
      <c r="D320" s="272"/>
      <c r="E320" s="272"/>
      <c r="F320" s="272"/>
      <c r="G320" s="272"/>
      <c r="H320" s="272"/>
      <c r="I320" s="272"/>
      <c r="J320" s="272"/>
      <c r="K320" s="33"/>
      <c r="L320" s="33"/>
      <c r="M320" s="32"/>
      <c r="N320" s="32"/>
      <c r="O320" s="32"/>
      <c r="P320" s="33"/>
      <c r="Q320" s="32"/>
      <c r="R320" s="240"/>
      <c r="S320" s="32"/>
      <c r="T320" s="32"/>
      <c r="U320" s="250"/>
      <c r="V320" s="32"/>
      <c r="W320" s="33"/>
      <c r="X320" s="32"/>
      <c r="Y320" s="42"/>
      <c r="Z320" s="31"/>
      <c r="AA320" s="42"/>
      <c r="AB320" s="42"/>
      <c r="AC320" s="250"/>
      <c r="AD320" s="32"/>
      <c r="AE320" s="282"/>
      <c r="AF320" s="261"/>
      <c r="AG320" s="31"/>
      <c r="AH320" s="32"/>
      <c r="AI320" s="42"/>
      <c r="AJ320" s="42"/>
    </row>
    <row r="321" spans="1:36" x14ac:dyDescent="0.25">
      <c r="A321" s="272"/>
      <c r="B321" s="273"/>
      <c r="C321" s="274"/>
      <c r="D321" s="272"/>
      <c r="E321" s="272"/>
      <c r="F321" s="272"/>
      <c r="G321" s="272"/>
      <c r="H321" s="272"/>
      <c r="I321" s="272"/>
      <c r="J321" s="272"/>
      <c r="K321" s="33"/>
      <c r="L321" s="33"/>
      <c r="M321" s="32"/>
      <c r="N321" s="32"/>
      <c r="O321" s="32"/>
      <c r="P321" s="33"/>
      <c r="Q321" s="32"/>
      <c r="R321" s="240"/>
      <c r="S321" s="32"/>
      <c r="T321" s="32"/>
      <c r="U321" s="250"/>
      <c r="V321" s="32"/>
      <c r="W321" s="33"/>
      <c r="X321" s="32"/>
      <c r="Y321" s="42"/>
      <c r="Z321" s="31"/>
      <c r="AA321" s="42"/>
      <c r="AB321" s="42"/>
      <c r="AC321" s="250"/>
      <c r="AD321" s="32"/>
      <c r="AE321" s="282"/>
      <c r="AF321" s="261"/>
      <c r="AG321" s="31"/>
      <c r="AH321" s="32"/>
      <c r="AI321" s="42"/>
      <c r="AJ321" s="42"/>
    </row>
    <row r="322" spans="1:36" x14ac:dyDescent="0.25">
      <c r="A322" s="272"/>
      <c r="B322" s="273"/>
      <c r="C322" s="274"/>
      <c r="D322" s="272"/>
      <c r="E322" s="272"/>
      <c r="F322" s="272"/>
      <c r="G322" s="272"/>
      <c r="H322" s="272"/>
      <c r="I322" s="272"/>
      <c r="J322" s="272"/>
      <c r="K322" s="33"/>
      <c r="L322" s="33"/>
      <c r="M322" s="32"/>
      <c r="N322" s="32"/>
      <c r="O322" s="32"/>
      <c r="P322" s="33"/>
      <c r="Q322" s="32"/>
      <c r="R322" s="240"/>
      <c r="S322" s="32"/>
      <c r="T322" s="32"/>
      <c r="U322" s="250"/>
      <c r="V322" s="32"/>
      <c r="W322" s="33"/>
      <c r="X322" s="32"/>
      <c r="Y322" s="42"/>
      <c r="Z322" s="31"/>
      <c r="AA322" s="42"/>
      <c r="AB322" s="42"/>
      <c r="AC322" s="250"/>
      <c r="AD322" s="32"/>
      <c r="AE322" s="282"/>
      <c r="AF322" s="261"/>
      <c r="AG322" s="31"/>
      <c r="AH322" s="32"/>
      <c r="AI322" s="42"/>
      <c r="AJ322" s="42"/>
    </row>
    <row r="323" spans="1:36" x14ac:dyDescent="0.25">
      <c r="A323" s="272"/>
      <c r="B323" s="273"/>
      <c r="C323" s="274"/>
      <c r="D323" s="272"/>
      <c r="E323" s="272"/>
      <c r="F323" s="272"/>
      <c r="G323" s="272"/>
      <c r="H323" s="272"/>
      <c r="I323" s="272"/>
      <c r="J323" s="272"/>
      <c r="K323" s="33"/>
      <c r="L323" s="33"/>
      <c r="M323" s="32"/>
      <c r="N323" s="32"/>
      <c r="O323" s="32"/>
      <c r="P323" s="33"/>
      <c r="Q323" s="32"/>
      <c r="R323" s="240"/>
      <c r="S323" s="32"/>
      <c r="T323" s="32"/>
      <c r="U323" s="250"/>
      <c r="V323" s="32"/>
      <c r="W323" s="33"/>
      <c r="X323" s="32"/>
      <c r="Y323" s="42"/>
      <c r="Z323" s="31"/>
      <c r="AA323" s="42"/>
      <c r="AB323" s="42"/>
      <c r="AC323" s="250"/>
      <c r="AD323" s="32"/>
      <c r="AE323" s="282"/>
      <c r="AF323" s="261"/>
      <c r="AG323" s="31"/>
      <c r="AH323" s="32"/>
      <c r="AI323" s="42"/>
      <c r="AJ323" s="42"/>
    </row>
    <row r="324" spans="1:36" x14ac:dyDescent="0.25">
      <c r="A324" s="272"/>
      <c r="B324" s="273"/>
      <c r="C324" s="274"/>
      <c r="D324" s="272"/>
      <c r="E324" s="272"/>
      <c r="F324" s="272"/>
      <c r="G324" s="272"/>
      <c r="H324" s="272"/>
      <c r="I324" s="272"/>
      <c r="J324" s="272"/>
      <c r="K324" s="33"/>
      <c r="L324" s="33"/>
      <c r="M324" s="32"/>
      <c r="N324" s="32"/>
      <c r="O324" s="32"/>
      <c r="P324" s="33"/>
      <c r="Q324" s="32"/>
      <c r="R324" s="240"/>
      <c r="S324" s="32"/>
      <c r="T324" s="32"/>
      <c r="U324" s="250"/>
      <c r="V324" s="32"/>
      <c r="W324" s="33"/>
      <c r="X324" s="32"/>
      <c r="Y324" s="42"/>
      <c r="Z324" s="31"/>
      <c r="AA324" s="42"/>
      <c r="AB324" s="42"/>
      <c r="AC324" s="250"/>
      <c r="AD324" s="32"/>
      <c r="AE324" s="282"/>
      <c r="AF324" s="261"/>
      <c r="AG324" s="31"/>
      <c r="AH324" s="32"/>
      <c r="AI324" s="42"/>
      <c r="AJ324" s="42"/>
    </row>
    <row r="325" spans="1:36" x14ac:dyDescent="0.25">
      <c r="A325" s="272"/>
      <c r="B325" s="273"/>
      <c r="C325" s="274"/>
      <c r="D325" s="272"/>
      <c r="E325" s="272"/>
      <c r="F325" s="272"/>
      <c r="G325" s="272"/>
      <c r="H325" s="272"/>
      <c r="I325" s="272"/>
      <c r="J325" s="272"/>
      <c r="K325" s="33"/>
      <c r="L325" s="33"/>
      <c r="M325" s="32"/>
      <c r="N325" s="32"/>
      <c r="O325" s="32"/>
      <c r="P325" s="33"/>
      <c r="Q325" s="32"/>
      <c r="R325" s="240"/>
      <c r="S325" s="32"/>
      <c r="T325" s="32"/>
      <c r="U325" s="250"/>
      <c r="V325" s="32"/>
      <c r="W325" s="33"/>
      <c r="X325" s="32"/>
      <c r="Y325" s="42"/>
      <c r="Z325" s="31"/>
      <c r="AA325" s="42"/>
      <c r="AB325" s="42"/>
      <c r="AC325" s="250"/>
      <c r="AD325" s="32"/>
      <c r="AE325" s="282"/>
      <c r="AF325" s="261"/>
      <c r="AG325" s="31"/>
      <c r="AH325" s="32"/>
      <c r="AI325" s="42"/>
      <c r="AJ325" s="42"/>
    </row>
    <row r="326" spans="1:36" x14ac:dyDescent="0.25">
      <c r="A326" s="272"/>
      <c r="B326" s="273"/>
      <c r="C326" s="274"/>
      <c r="D326" s="272"/>
      <c r="E326" s="272"/>
      <c r="F326" s="272"/>
      <c r="G326" s="272"/>
      <c r="H326" s="272"/>
      <c r="I326" s="272"/>
      <c r="J326" s="272"/>
      <c r="K326" s="33"/>
      <c r="L326" s="33"/>
      <c r="M326" s="32"/>
      <c r="N326" s="32"/>
      <c r="O326" s="32"/>
      <c r="P326" s="33"/>
      <c r="Q326" s="32"/>
      <c r="R326" s="240"/>
      <c r="S326" s="32"/>
      <c r="T326" s="32"/>
      <c r="U326" s="250"/>
      <c r="V326" s="32"/>
      <c r="W326" s="33"/>
      <c r="X326" s="32"/>
      <c r="Y326" s="42"/>
      <c r="Z326" s="31"/>
      <c r="AA326" s="42"/>
      <c r="AB326" s="42"/>
      <c r="AC326" s="250"/>
      <c r="AD326" s="32"/>
      <c r="AE326" s="282"/>
      <c r="AF326" s="261"/>
      <c r="AG326" s="31"/>
      <c r="AH326" s="32"/>
      <c r="AI326" s="42"/>
      <c r="AJ326" s="42"/>
    </row>
    <row r="327" spans="1:36" x14ac:dyDescent="0.25">
      <c r="A327" s="272"/>
      <c r="B327" s="273"/>
      <c r="C327" s="274"/>
      <c r="D327" s="272"/>
      <c r="E327" s="272"/>
      <c r="F327" s="272"/>
      <c r="G327" s="272"/>
      <c r="H327" s="272"/>
      <c r="I327" s="272"/>
      <c r="J327" s="272"/>
      <c r="K327" s="33"/>
      <c r="L327" s="33"/>
      <c r="M327" s="32"/>
      <c r="N327" s="32"/>
      <c r="O327" s="32"/>
      <c r="P327" s="33"/>
      <c r="Q327" s="32"/>
      <c r="R327" s="240"/>
      <c r="S327" s="32"/>
      <c r="T327" s="32"/>
      <c r="U327" s="250"/>
      <c r="V327" s="32"/>
      <c r="W327" s="33"/>
      <c r="X327" s="32"/>
      <c r="Y327" s="42"/>
      <c r="Z327" s="31"/>
      <c r="AA327" s="42"/>
      <c r="AB327" s="42"/>
      <c r="AC327" s="250"/>
      <c r="AD327" s="32"/>
      <c r="AE327" s="282"/>
      <c r="AF327" s="261"/>
      <c r="AG327" s="31"/>
      <c r="AH327" s="32"/>
      <c r="AI327" s="42"/>
      <c r="AJ327" s="42"/>
    </row>
    <row r="328" spans="1:36" x14ac:dyDescent="0.25">
      <c r="A328" s="272"/>
      <c r="B328" s="273"/>
      <c r="C328" s="274"/>
      <c r="D328" s="272"/>
      <c r="E328" s="272"/>
      <c r="F328" s="272"/>
      <c r="G328" s="272"/>
      <c r="H328" s="272"/>
      <c r="I328" s="272"/>
      <c r="J328" s="272"/>
      <c r="K328" s="33"/>
      <c r="L328" s="33"/>
      <c r="M328" s="32"/>
      <c r="N328" s="32"/>
      <c r="O328" s="32"/>
      <c r="P328" s="33"/>
      <c r="Q328" s="32"/>
      <c r="R328" s="240"/>
      <c r="S328" s="32"/>
      <c r="T328" s="32"/>
      <c r="U328" s="250"/>
      <c r="V328" s="32"/>
      <c r="W328" s="33"/>
      <c r="X328" s="32"/>
      <c r="Y328" s="42"/>
      <c r="Z328" s="31"/>
      <c r="AA328" s="42"/>
      <c r="AB328" s="42"/>
      <c r="AC328" s="250"/>
      <c r="AD328" s="32"/>
      <c r="AE328" s="282"/>
      <c r="AF328" s="261"/>
      <c r="AG328" s="31"/>
      <c r="AH328" s="32"/>
      <c r="AI328" s="42"/>
      <c r="AJ328" s="42"/>
    </row>
    <row r="329" spans="1:36" x14ac:dyDescent="0.25">
      <c r="A329" s="272"/>
      <c r="B329" s="273"/>
      <c r="C329" s="274"/>
      <c r="D329" s="272"/>
      <c r="E329" s="272"/>
      <c r="F329" s="272"/>
      <c r="G329" s="272"/>
      <c r="H329" s="272"/>
      <c r="I329" s="272"/>
      <c r="J329" s="272"/>
      <c r="K329" s="33"/>
      <c r="L329" s="33"/>
      <c r="M329" s="32"/>
      <c r="N329" s="32"/>
      <c r="O329" s="32"/>
      <c r="P329" s="33"/>
      <c r="Q329" s="32"/>
      <c r="R329" s="240"/>
      <c r="S329" s="32"/>
      <c r="T329" s="32"/>
      <c r="U329" s="250"/>
      <c r="V329" s="32"/>
      <c r="W329" s="33"/>
      <c r="X329" s="32"/>
      <c r="Y329" s="42"/>
      <c r="Z329" s="31"/>
      <c r="AA329" s="42"/>
      <c r="AB329" s="42"/>
      <c r="AC329" s="250"/>
      <c r="AD329" s="32"/>
      <c r="AE329" s="282"/>
      <c r="AF329" s="261"/>
      <c r="AG329" s="31"/>
      <c r="AH329" s="32"/>
      <c r="AI329" s="42"/>
      <c r="AJ329" s="42"/>
    </row>
    <row r="330" spans="1:36" x14ac:dyDescent="0.25">
      <c r="A330" s="272"/>
      <c r="B330" s="273"/>
      <c r="C330" s="274"/>
      <c r="D330" s="272"/>
      <c r="E330" s="272"/>
      <c r="F330" s="272"/>
      <c r="G330" s="272"/>
      <c r="H330" s="272"/>
      <c r="I330" s="272"/>
      <c r="J330" s="272"/>
      <c r="K330" s="33"/>
      <c r="L330" s="33"/>
      <c r="M330" s="32"/>
      <c r="N330" s="32"/>
      <c r="O330" s="32"/>
      <c r="P330" s="33"/>
      <c r="Q330" s="32"/>
      <c r="R330" s="240"/>
      <c r="S330" s="32"/>
      <c r="T330" s="32"/>
      <c r="U330" s="250"/>
      <c r="V330" s="32"/>
      <c r="W330" s="33"/>
      <c r="X330" s="32"/>
      <c r="Y330" s="42"/>
      <c r="Z330" s="31"/>
      <c r="AA330" s="42"/>
      <c r="AB330" s="42"/>
      <c r="AC330" s="250"/>
      <c r="AD330" s="32"/>
      <c r="AE330" s="282"/>
      <c r="AF330" s="261"/>
      <c r="AG330" s="31"/>
      <c r="AH330" s="32"/>
      <c r="AI330" s="42"/>
      <c r="AJ330" s="42"/>
    </row>
    <row r="331" spans="1:36" x14ac:dyDescent="0.25">
      <c r="A331" s="272"/>
      <c r="B331" s="273"/>
      <c r="C331" s="274"/>
      <c r="D331" s="272"/>
      <c r="E331" s="272"/>
      <c r="F331" s="272"/>
      <c r="G331" s="272"/>
      <c r="H331" s="272"/>
      <c r="I331" s="272"/>
      <c r="J331" s="272"/>
      <c r="K331" s="33"/>
      <c r="L331" s="33"/>
      <c r="M331" s="32"/>
      <c r="N331" s="32"/>
      <c r="O331" s="32"/>
      <c r="P331" s="33"/>
      <c r="Q331" s="32"/>
      <c r="R331" s="240"/>
      <c r="S331" s="32"/>
      <c r="T331" s="32"/>
      <c r="U331" s="250"/>
      <c r="V331" s="32"/>
      <c r="W331" s="33"/>
      <c r="X331" s="32"/>
      <c r="Y331" s="42"/>
      <c r="Z331" s="31"/>
      <c r="AA331" s="42"/>
      <c r="AB331" s="42"/>
      <c r="AC331" s="250"/>
      <c r="AD331" s="32"/>
      <c r="AE331" s="282"/>
      <c r="AF331" s="261"/>
      <c r="AG331" s="31"/>
      <c r="AH331" s="32"/>
      <c r="AI331" s="42"/>
      <c r="AJ331" s="42"/>
    </row>
    <row r="332" spans="1:36" x14ac:dyDescent="0.25">
      <c r="A332" s="272"/>
      <c r="B332" s="273"/>
      <c r="C332" s="274"/>
      <c r="D332" s="272"/>
      <c r="E332" s="272"/>
      <c r="F332" s="272"/>
      <c r="G332" s="272"/>
      <c r="H332" s="272"/>
      <c r="I332" s="272"/>
      <c r="J332" s="272"/>
      <c r="K332" s="33"/>
      <c r="L332" s="33"/>
      <c r="M332" s="32"/>
      <c r="N332" s="32"/>
      <c r="O332" s="32"/>
      <c r="P332" s="33"/>
      <c r="Q332" s="32"/>
      <c r="R332" s="240"/>
      <c r="S332" s="32"/>
      <c r="T332" s="32"/>
      <c r="U332" s="250"/>
      <c r="V332" s="32"/>
      <c r="W332" s="33"/>
      <c r="X332" s="32"/>
      <c r="Y332" s="42"/>
      <c r="Z332" s="31"/>
      <c r="AA332" s="42"/>
      <c r="AB332" s="42"/>
      <c r="AC332" s="250"/>
      <c r="AD332" s="32"/>
      <c r="AE332" s="282"/>
      <c r="AF332" s="261"/>
      <c r="AG332" s="31"/>
      <c r="AH332" s="32"/>
      <c r="AI332" s="42"/>
      <c r="AJ332" s="42"/>
    </row>
    <row r="333" spans="1:36" x14ac:dyDescent="0.25">
      <c r="A333" s="272"/>
      <c r="B333" s="273"/>
      <c r="C333" s="274"/>
      <c r="D333" s="272"/>
      <c r="E333" s="272"/>
      <c r="F333" s="272"/>
      <c r="G333" s="272"/>
      <c r="H333" s="272"/>
      <c r="I333" s="272"/>
      <c r="J333" s="272"/>
      <c r="K333" s="33"/>
      <c r="L333" s="33"/>
      <c r="M333" s="32"/>
      <c r="N333" s="32"/>
      <c r="O333" s="32"/>
      <c r="P333" s="33"/>
      <c r="Q333" s="32"/>
      <c r="R333" s="240"/>
      <c r="S333" s="32"/>
      <c r="T333" s="32"/>
      <c r="U333" s="250"/>
      <c r="V333" s="32"/>
      <c r="W333" s="33"/>
      <c r="X333" s="32"/>
      <c r="Y333" s="42"/>
      <c r="Z333" s="31"/>
      <c r="AA333" s="42"/>
      <c r="AB333" s="42"/>
      <c r="AC333" s="250"/>
      <c r="AD333" s="32"/>
      <c r="AE333" s="282"/>
      <c r="AF333" s="261"/>
      <c r="AG333" s="31"/>
      <c r="AH333" s="32"/>
      <c r="AI333" s="42"/>
      <c r="AJ333" s="42"/>
    </row>
    <row r="334" spans="1:36" x14ac:dyDescent="0.25">
      <c r="A334" s="272"/>
      <c r="B334" s="273"/>
      <c r="C334" s="274"/>
      <c r="D334" s="272"/>
      <c r="E334" s="272"/>
      <c r="F334" s="272"/>
      <c r="G334" s="272"/>
      <c r="H334" s="272"/>
      <c r="I334" s="272"/>
      <c r="J334" s="272"/>
      <c r="K334" s="33"/>
      <c r="L334" s="33"/>
      <c r="M334" s="32"/>
      <c r="N334" s="32"/>
      <c r="O334" s="32"/>
      <c r="P334" s="33"/>
      <c r="Q334" s="32"/>
      <c r="R334" s="240"/>
      <c r="S334" s="32"/>
      <c r="T334" s="32"/>
      <c r="U334" s="250"/>
      <c r="V334" s="32"/>
      <c r="W334" s="33"/>
      <c r="X334" s="32"/>
      <c r="Y334" s="42"/>
      <c r="Z334" s="31"/>
      <c r="AA334" s="42"/>
      <c r="AB334" s="42"/>
      <c r="AC334" s="250"/>
      <c r="AD334" s="32"/>
      <c r="AE334" s="282"/>
      <c r="AF334" s="261"/>
      <c r="AG334" s="31"/>
      <c r="AH334" s="32"/>
      <c r="AI334" s="42"/>
      <c r="AJ334" s="42"/>
    </row>
    <row r="335" spans="1:36" x14ac:dyDescent="0.25">
      <c r="A335" s="272"/>
      <c r="B335" s="273"/>
      <c r="C335" s="274"/>
      <c r="D335" s="272"/>
      <c r="E335" s="272"/>
      <c r="F335" s="272"/>
      <c r="G335" s="272"/>
      <c r="H335" s="272"/>
      <c r="I335" s="272"/>
      <c r="J335" s="272"/>
      <c r="K335" s="33"/>
      <c r="L335" s="33"/>
      <c r="M335" s="32"/>
      <c r="N335" s="32"/>
      <c r="O335" s="32"/>
      <c r="P335" s="33"/>
      <c r="Q335" s="32"/>
      <c r="R335" s="240"/>
      <c r="S335" s="32"/>
      <c r="T335" s="32"/>
      <c r="U335" s="250"/>
      <c r="V335" s="32"/>
      <c r="W335" s="33"/>
      <c r="X335" s="32"/>
      <c r="Y335" s="42"/>
      <c r="Z335" s="31"/>
      <c r="AA335" s="42"/>
      <c r="AB335" s="42"/>
      <c r="AC335" s="250"/>
      <c r="AD335" s="32"/>
      <c r="AE335" s="282"/>
      <c r="AF335" s="261"/>
      <c r="AG335" s="31"/>
      <c r="AH335" s="32"/>
      <c r="AI335" s="42"/>
      <c r="AJ335" s="42"/>
    </row>
    <row r="336" spans="1:36" x14ac:dyDescent="0.25">
      <c r="A336" s="272"/>
      <c r="B336" s="273"/>
      <c r="C336" s="274"/>
      <c r="D336" s="272"/>
      <c r="E336" s="272"/>
      <c r="F336" s="272"/>
      <c r="G336" s="272"/>
      <c r="H336" s="272"/>
      <c r="I336" s="272"/>
      <c r="J336" s="272"/>
      <c r="K336" s="33"/>
      <c r="L336" s="33"/>
      <c r="M336" s="32"/>
      <c r="N336" s="32"/>
      <c r="O336" s="32"/>
      <c r="P336" s="33"/>
      <c r="Q336" s="32"/>
      <c r="R336" s="240"/>
      <c r="S336" s="32"/>
      <c r="T336" s="32"/>
      <c r="U336" s="250"/>
      <c r="V336" s="32"/>
      <c r="W336" s="33"/>
      <c r="X336" s="32"/>
      <c r="Y336" s="42"/>
      <c r="Z336" s="31"/>
      <c r="AA336" s="42"/>
      <c r="AB336" s="42"/>
      <c r="AC336" s="250"/>
      <c r="AD336" s="32"/>
      <c r="AE336" s="282"/>
      <c r="AF336" s="261"/>
      <c r="AG336" s="31"/>
      <c r="AH336" s="32"/>
      <c r="AI336" s="42"/>
      <c r="AJ336" s="42"/>
    </row>
    <row r="337" spans="1:36" x14ac:dyDescent="0.25">
      <c r="A337" s="272"/>
      <c r="B337" s="273"/>
      <c r="C337" s="274"/>
      <c r="D337" s="272"/>
      <c r="E337" s="272"/>
      <c r="F337" s="272"/>
      <c r="G337" s="272"/>
      <c r="H337" s="272"/>
      <c r="I337" s="272"/>
      <c r="J337" s="272"/>
      <c r="K337" s="33"/>
      <c r="L337" s="33"/>
      <c r="M337" s="32"/>
      <c r="N337" s="32"/>
      <c r="O337" s="32"/>
      <c r="P337" s="33"/>
      <c r="Q337" s="32"/>
      <c r="R337" s="240"/>
      <c r="S337" s="32"/>
      <c r="T337" s="32"/>
      <c r="U337" s="250"/>
      <c r="V337" s="32"/>
      <c r="W337" s="33"/>
      <c r="X337" s="32"/>
      <c r="Y337" s="42"/>
      <c r="Z337" s="31"/>
      <c r="AA337" s="42"/>
      <c r="AB337" s="42"/>
      <c r="AC337" s="250"/>
      <c r="AD337" s="32"/>
      <c r="AE337" s="282"/>
      <c r="AF337" s="261"/>
      <c r="AG337" s="31"/>
      <c r="AH337" s="32"/>
      <c r="AI337" s="42"/>
      <c r="AJ337" s="42"/>
    </row>
    <row r="338" spans="1:36" x14ac:dyDescent="0.25">
      <c r="A338" s="272"/>
      <c r="B338" s="273"/>
      <c r="C338" s="274"/>
      <c r="D338" s="272"/>
      <c r="E338" s="272"/>
      <c r="F338" s="272"/>
      <c r="G338" s="272"/>
      <c r="H338" s="272"/>
      <c r="I338" s="272"/>
      <c r="J338" s="272"/>
      <c r="K338" s="33"/>
      <c r="L338" s="33"/>
      <c r="M338" s="32"/>
      <c r="N338" s="32"/>
      <c r="O338" s="32"/>
      <c r="P338" s="33"/>
      <c r="Q338" s="32"/>
      <c r="R338" s="240"/>
      <c r="S338" s="32"/>
      <c r="T338" s="32"/>
      <c r="U338" s="250"/>
      <c r="V338" s="32"/>
      <c r="W338" s="33"/>
      <c r="X338" s="32"/>
      <c r="Y338" s="42"/>
      <c r="Z338" s="31"/>
      <c r="AA338" s="42"/>
      <c r="AB338" s="42"/>
      <c r="AC338" s="250"/>
      <c r="AD338" s="32"/>
      <c r="AE338" s="282"/>
      <c r="AF338" s="261"/>
      <c r="AG338" s="31"/>
      <c r="AH338" s="32"/>
      <c r="AI338" s="42"/>
      <c r="AJ338" s="42"/>
    </row>
    <row r="339" spans="1:36" x14ac:dyDescent="0.25">
      <c r="A339" s="272"/>
      <c r="B339" s="273"/>
      <c r="C339" s="274"/>
      <c r="D339" s="272"/>
      <c r="E339" s="272"/>
      <c r="F339" s="272"/>
      <c r="G339" s="272"/>
      <c r="H339" s="272"/>
      <c r="I339" s="272"/>
      <c r="J339" s="272"/>
      <c r="K339" s="33"/>
      <c r="L339" s="33"/>
      <c r="M339" s="32"/>
      <c r="N339" s="32"/>
      <c r="O339" s="32"/>
      <c r="P339" s="33"/>
      <c r="Q339" s="32"/>
      <c r="R339" s="240"/>
      <c r="S339" s="32"/>
      <c r="T339" s="32"/>
      <c r="U339" s="250"/>
      <c r="V339" s="32"/>
      <c r="W339" s="33"/>
      <c r="X339" s="32"/>
      <c r="Y339" s="42"/>
      <c r="Z339" s="31"/>
      <c r="AA339" s="42"/>
      <c r="AB339" s="42"/>
      <c r="AC339" s="250"/>
      <c r="AD339" s="32"/>
      <c r="AE339" s="282"/>
      <c r="AF339" s="261"/>
      <c r="AG339" s="31"/>
      <c r="AH339" s="32"/>
      <c r="AI339" s="42"/>
      <c r="AJ339" s="42"/>
    </row>
    <row r="340" spans="1:36" x14ac:dyDescent="0.25">
      <c r="A340" s="272"/>
      <c r="B340" s="273"/>
      <c r="C340" s="274"/>
      <c r="D340" s="272"/>
      <c r="E340" s="272"/>
      <c r="F340" s="272"/>
      <c r="G340" s="272"/>
      <c r="H340" s="272"/>
      <c r="I340" s="272"/>
      <c r="J340" s="272"/>
      <c r="K340" s="33"/>
      <c r="L340" s="33"/>
      <c r="M340" s="32"/>
      <c r="N340" s="32"/>
      <c r="O340" s="32"/>
      <c r="P340" s="33"/>
      <c r="Q340" s="32"/>
      <c r="R340" s="240"/>
      <c r="S340" s="32"/>
      <c r="T340" s="32"/>
      <c r="U340" s="250"/>
      <c r="V340" s="32"/>
      <c r="W340" s="33"/>
      <c r="X340" s="32"/>
      <c r="Y340" s="42"/>
      <c r="Z340" s="31"/>
      <c r="AA340" s="42"/>
      <c r="AB340" s="42"/>
      <c r="AC340" s="250"/>
      <c r="AD340" s="32"/>
      <c r="AE340" s="282"/>
      <c r="AF340" s="261"/>
      <c r="AG340" s="31"/>
      <c r="AH340" s="32"/>
      <c r="AI340" s="42"/>
      <c r="AJ340" s="42"/>
    </row>
    <row r="341" spans="1:36" x14ac:dyDescent="0.25">
      <c r="A341" s="272"/>
      <c r="B341" s="273"/>
      <c r="C341" s="274"/>
      <c r="D341" s="272"/>
      <c r="E341" s="272"/>
      <c r="F341" s="272"/>
      <c r="G341" s="272"/>
      <c r="H341" s="272"/>
      <c r="I341" s="272"/>
      <c r="J341" s="272"/>
      <c r="K341" s="33"/>
      <c r="L341" s="33"/>
      <c r="M341" s="32"/>
      <c r="N341" s="32"/>
      <c r="O341" s="32"/>
      <c r="P341" s="33"/>
      <c r="Q341" s="32"/>
      <c r="R341" s="240"/>
      <c r="S341" s="32"/>
      <c r="T341" s="32"/>
      <c r="U341" s="250"/>
      <c r="V341" s="32"/>
      <c r="W341" s="33"/>
      <c r="X341" s="32"/>
      <c r="Y341" s="42"/>
      <c r="Z341" s="31"/>
      <c r="AA341" s="42"/>
      <c r="AB341" s="42"/>
      <c r="AC341" s="250"/>
      <c r="AD341" s="32"/>
      <c r="AE341" s="282"/>
      <c r="AF341" s="261"/>
      <c r="AG341" s="31"/>
      <c r="AH341" s="32"/>
      <c r="AI341" s="42"/>
      <c r="AJ341" s="42"/>
    </row>
    <row r="342" spans="1:36" x14ac:dyDescent="0.25">
      <c r="A342" s="272"/>
      <c r="B342" s="273"/>
      <c r="C342" s="274"/>
      <c r="D342" s="272"/>
      <c r="E342" s="272"/>
      <c r="F342" s="272"/>
      <c r="G342" s="272"/>
      <c r="H342" s="272"/>
      <c r="I342" s="272"/>
      <c r="J342" s="272"/>
      <c r="K342" s="33"/>
      <c r="L342" s="33"/>
      <c r="M342" s="32"/>
      <c r="N342" s="32"/>
      <c r="O342" s="32"/>
      <c r="P342" s="33"/>
      <c r="Q342" s="32"/>
      <c r="R342" s="240"/>
      <c r="S342" s="32"/>
      <c r="T342" s="32"/>
      <c r="U342" s="250"/>
      <c r="V342" s="32"/>
      <c r="W342" s="33"/>
      <c r="X342" s="32"/>
      <c r="Y342" s="42"/>
      <c r="Z342" s="31"/>
      <c r="AA342" s="42"/>
      <c r="AB342" s="42"/>
      <c r="AC342" s="250"/>
      <c r="AD342" s="32"/>
      <c r="AE342" s="282"/>
      <c r="AF342" s="261"/>
      <c r="AG342" s="31"/>
      <c r="AH342" s="32"/>
      <c r="AI342" s="42"/>
      <c r="AJ342" s="42"/>
    </row>
    <row r="343" spans="1:36" x14ac:dyDescent="0.25">
      <c r="A343" s="272"/>
      <c r="B343" s="273"/>
      <c r="C343" s="274"/>
      <c r="D343" s="272"/>
      <c r="E343" s="272"/>
      <c r="F343" s="272"/>
      <c r="G343" s="272"/>
      <c r="H343" s="272"/>
      <c r="I343" s="272"/>
      <c r="J343" s="272"/>
      <c r="K343" s="33"/>
      <c r="L343" s="33"/>
      <c r="M343" s="32"/>
      <c r="N343" s="32"/>
      <c r="O343" s="32"/>
      <c r="P343" s="33"/>
      <c r="Q343" s="32"/>
      <c r="R343" s="240"/>
      <c r="S343" s="32"/>
      <c r="T343" s="32"/>
      <c r="U343" s="250"/>
      <c r="V343" s="32"/>
      <c r="W343" s="33"/>
      <c r="X343" s="32"/>
      <c r="Y343" s="42"/>
      <c r="Z343" s="31"/>
      <c r="AA343" s="42"/>
      <c r="AB343" s="42"/>
      <c r="AC343" s="250"/>
      <c r="AD343" s="32"/>
      <c r="AE343" s="282"/>
      <c r="AF343" s="261"/>
      <c r="AG343" s="31"/>
      <c r="AH343" s="32"/>
      <c r="AI343" s="42"/>
      <c r="AJ343" s="42"/>
    </row>
    <row r="344" spans="1:36" x14ac:dyDescent="0.25">
      <c r="A344" s="272"/>
      <c r="B344" s="273"/>
      <c r="C344" s="274"/>
      <c r="D344" s="272"/>
      <c r="E344" s="272"/>
      <c r="F344" s="272"/>
      <c r="G344" s="272"/>
      <c r="H344" s="272"/>
      <c r="I344" s="272"/>
      <c r="J344" s="272"/>
      <c r="K344" s="33"/>
      <c r="L344" s="33"/>
      <c r="M344" s="32"/>
      <c r="N344" s="32"/>
      <c r="O344" s="32"/>
      <c r="P344" s="33"/>
      <c r="Q344" s="32"/>
      <c r="R344" s="240"/>
      <c r="S344" s="32"/>
      <c r="T344" s="32"/>
      <c r="U344" s="250"/>
      <c r="V344" s="32"/>
      <c r="W344" s="33"/>
      <c r="X344" s="32"/>
      <c r="Y344" s="42"/>
      <c r="Z344" s="31"/>
      <c r="AA344" s="42"/>
      <c r="AB344" s="42"/>
      <c r="AC344" s="250"/>
      <c r="AD344" s="32"/>
      <c r="AE344" s="282"/>
      <c r="AF344" s="261"/>
      <c r="AG344" s="31"/>
      <c r="AH344" s="32"/>
      <c r="AI344" s="42"/>
      <c r="AJ344" s="42"/>
    </row>
    <row r="345" spans="1:36" x14ac:dyDescent="0.25">
      <c r="A345" s="272"/>
      <c r="B345" s="273"/>
      <c r="C345" s="274"/>
      <c r="D345" s="272"/>
      <c r="E345" s="272"/>
      <c r="F345" s="272"/>
      <c r="G345" s="272"/>
      <c r="H345" s="272"/>
      <c r="I345" s="272"/>
      <c r="J345" s="272"/>
      <c r="K345" s="33"/>
      <c r="L345" s="33"/>
      <c r="M345" s="32"/>
      <c r="N345" s="32"/>
      <c r="O345" s="32"/>
      <c r="P345" s="33"/>
      <c r="Q345" s="32"/>
      <c r="R345" s="240"/>
      <c r="S345" s="32"/>
      <c r="T345" s="32"/>
      <c r="U345" s="250"/>
      <c r="V345" s="32"/>
      <c r="W345" s="33"/>
      <c r="X345" s="32"/>
      <c r="Y345" s="42"/>
      <c r="Z345" s="31"/>
      <c r="AA345" s="42"/>
      <c r="AB345" s="42"/>
      <c r="AC345" s="250"/>
      <c r="AD345" s="32"/>
      <c r="AE345" s="282"/>
      <c r="AF345" s="261"/>
      <c r="AG345" s="31"/>
      <c r="AH345" s="32"/>
      <c r="AI345" s="42"/>
      <c r="AJ345" s="42"/>
    </row>
    <row r="346" spans="1:36" x14ac:dyDescent="0.25">
      <c r="A346" s="272"/>
      <c r="B346" s="273"/>
      <c r="C346" s="274"/>
      <c r="D346" s="272"/>
      <c r="E346" s="272"/>
      <c r="F346" s="272"/>
      <c r="G346" s="272"/>
      <c r="H346" s="272"/>
      <c r="I346" s="272"/>
      <c r="J346" s="272"/>
      <c r="K346" s="33"/>
      <c r="L346" s="33"/>
      <c r="M346" s="32"/>
      <c r="N346" s="32"/>
      <c r="O346" s="32"/>
      <c r="P346" s="33"/>
      <c r="Q346" s="32"/>
      <c r="R346" s="240"/>
      <c r="S346" s="32"/>
      <c r="T346" s="32"/>
      <c r="U346" s="250"/>
      <c r="V346" s="32"/>
      <c r="W346" s="33"/>
      <c r="X346" s="32"/>
      <c r="Y346" s="42"/>
      <c r="Z346" s="31"/>
      <c r="AA346" s="42"/>
      <c r="AB346" s="42"/>
      <c r="AC346" s="250"/>
      <c r="AD346" s="32"/>
      <c r="AE346" s="282"/>
      <c r="AF346" s="261"/>
      <c r="AG346" s="31"/>
      <c r="AH346" s="32"/>
      <c r="AI346" s="42"/>
      <c r="AJ346" s="42"/>
    </row>
    <row r="347" spans="1:36" x14ac:dyDescent="0.25">
      <c r="A347" s="272"/>
      <c r="B347" s="273"/>
      <c r="C347" s="274"/>
      <c r="D347" s="272"/>
      <c r="E347" s="272"/>
      <c r="F347" s="272"/>
      <c r="G347" s="272"/>
      <c r="H347" s="272"/>
      <c r="I347" s="272"/>
      <c r="J347" s="272"/>
      <c r="K347" s="33"/>
      <c r="L347" s="33"/>
      <c r="M347" s="32"/>
      <c r="N347" s="32"/>
      <c r="O347" s="32"/>
      <c r="P347" s="33"/>
      <c r="Q347" s="32"/>
      <c r="R347" s="240"/>
      <c r="S347" s="32"/>
      <c r="T347" s="32"/>
      <c r="U347" s="250"/>
      <c r="V347" s="32"/>
      <c r="W347" s="33"/>
      <c r="X347" s="32"/>
      <c r="Y347" s="42"/>
      <c r="Z347" s="31"/>
      <c r="AA347" s="42"/>
      <c r="AB347" s="42"/>
      <c r="AC347" s="250"/>
      <c r="AD347" s="32"/>
      <c r="AE347" s="282"/>
      <c r="AF347" s="261"/>
      <c r="AG347" s="31"/>
      <c r="AH347" s="32"/>
      <c r="AI347" s="42"/>
      <c r="AJ347" s="42"/>
    </row>
    <row r="348" spans="1:36" x14ac:dyDescent="0.25">
      <c r="A348" s="272"/>
      <c r="B348" s="273"/>
      <c r="C348" s="274"/>
      <c r="D348" s="272"/>
      <c r="E348" s="272"/>
      <c r="F348" s="272"/>
      <c r="G348" s="272"/>
      <c r="H348" s="272"/>
      <c r="I348" s="272"/>
      <c r="J348" s="272"/>
      <c r="K348" s="33"/>
      <c r="L348" s="33"/>
      <c r="M348" s="32"/>
      <c r="N348" s="32"/>
      <c r="O348" s="32"/>
      <c r="P348" s="33"/>
      <c r="Q348" s="32"/>
      <c r="R348" s="240"/>
      <c r="S348" s="32"/>
      <c r="T348" s="32"/>
      <c r="U348" s="250"/>
      <c r="V348" s="32"/>
      <c r="W348" s="33"/>
      <c r="X348" s="32"/>
      <c r="Y348" s="42"/>
      <c r="Z348" s="31"/>
      <c r="AA348" s="42"/>
      <c r="AB348" s="42"/>
      <c r="AC348" s="250"/>
      <c r="AD348" s="32"/>
      <c r="AE348" s="282"/>
      <c r="AF348" s="261"/>
      <c r="AG348" s="31"/>
      <c r="AH348" s="32"/>
      <c r="AI348" s="42"/>
      <c r="AJ348" s="42"/>
    </row>
    <row r="349" spans="1:36" x14ac:dyDescent="0.25">
      <c r="A349" s="272"/>
      <c r="B349" s="273"/>
      <c r="C349" s="274"/>
      <c r="D349" s="272"/>
      <c r="E349" s="272"/>
      <c r="F349" s="272"/>
      <c r="G349" s="272"/>
      <c r="H349" s="272"/>
      <c r="I349" s="272"/>
      <c r="J349" s="272"/>
      <c r="K349" s="33"/>
      <c r="L349" s="33"/>
      <c r="M349" s="32"/>
      <c r="N349" s="32"/>
      <c r="O349" s="32"/>
      <c r="P349" s="33"/>
      <c r="Q349" s="32"/>
      <c r="R349" s="240"/>
      <c r="S349" s="32"/>
      <c r="T349" s="32"/>
      <c r="U349" s="250"/>
      <c r="V349" s="32"/>
      <c r="W349" s="33"/>
      <c r="X349" s="32"/>
      <c r="Y349" s="42"/>
      <c r="Z349" s="31"/>
      <c r="AA349" s="42"/>
      <c r="AB349" s="42"/>
      <c r="AC349" s="250"/>
      <c r="AD349" s="32"/>
      <c r="AE349" s="282"/>
      <c r="AF349" s="261"/>
      <c r="AG349" s="31"/>
      <c r="AH349" s="32"/>
      <c r="AI349" s="42"/>
      <c r="AJ349" s="42"/>
    </row>
    <row r="350" spans="1:36" x14ac:dyDescent="0.25">
      <c r="A350" s="272"/>
      <c r="B350" s="273"/>
      <c r="C350" s="274"/>
      <c r="D350" s="272"/>
      <c r="E350" s="272"/>
      <c r="F350" s="272"/>
      <c r="G350" s="272"/>
      <c r="H350" s="272"/>
      <c r="I350" s="272"/>
      <c r="J350" s="272"/>
      <c r="K350" s="33"/>
      <c r="L350" s="33"/>
      <c r="M350" s="32"/>
      <c r="N350" s="32"/>
      <c r="O350" s="32"/>
      <c r="P350" s="33"/>
      <c r="Q350" s="32"/>
      <c r="R350" s="240"/>
      <c r="S350" s="32"/>
      <c r="T350" s="32"/>
      <c r="U350" s="250"/>
      <c r="V350" s="32"/>
      <c r="W350" s="33"/>
      <c r="X350" s="32"/>
      <c r="Y350" s="42"/>
      <c r="Z350" s="31"/>
      <c r="AA350" s="42"/>
      <c r="AB350" s="42"/>
      <c r="AC350" s="250"/>
      <c r="AD350" s="32"/>
      <c r="AE350" s="282"/>
      <c r="AF350" s="261"/>
      <c r="AG350" s="31"/>
      <c r="AH350" s="32"/>
      <c r="AI350" s="42"/>
      <c r="AJ350" s="42"/>
    </row>
    <row r="351" spans="1:36" x14ac:dyDescent="0.25">
      <c r="A351" s="272"/>
      <c r="B351" s="273"/>
      <c r="C351" s="274"/>
      <c r="D351" s="272"/>
      <c r="E351" s="272"/>
      <c r="F351" s="272"/>
      <c r="G351" s="272"/>
      <c r="H351" s="272"/>
      <c r="I351" s="272"/>
      <c r="J351" s="272"/>
      <c r="K351" s="33"/>
      <c r="L351" s="33"/>
      <c r="M351" s="32"/>
      <c r="N351" s="32"/>
      <c r="O351" s="32"/>
      <c r="P351" s="33"/>
      <c r="Q351" s="32"/>
      <c r="R351" s="240"/>
      <c r="S351" s="32"/>
      <c r="T351" s="32"/>
      <c r="U351" s="250"/>
      <c r="V351" s="32"/>
      <c r="W351" s="33"/>
      <c r="X351" s="32"/>
      <c r="Y351" s="42"/>
      <c r="Z351" s="31"/>
      <c r="AA351" s="42"/>
      <c r="AB351" s="42"/>
      <c r="AC351" s="250"/>
      <c r="AD351" s="32"/>
      <c r="AE351" s="282"/>
      <c r="AF351" s="261"/>
      <c r="AG351" s="31"/>
      <c r="AH351" s="32"/>
      <c r="AI351" s="42"/>
      <c r="AJ351" s="42"/>
    </row>
    <row r="352" spans="1:36" x14ac:dyDescent="0.25">
      <c r="A352" s="272"/>
      <c r="B352" s="273"/>
      <c r="C352" s="274"/>
      <c r="D352" s="272"/>
      <c r="E352" s="272"/>
      <c r="F352" s="272"/>
      <c r="G352" s="272"/>
      <c r="H352" s="272"/>
      <c r="I352" s="272"/>
      <c r="J352" s="272"/>
      <c r="K352" s="33"/>
      <c r="L352" s="33"/>
      <c r="M352" s="32"/>
      <c r="N352" s="32"/>
      <c r="O352" s="32"/>
      <c r="P352" s="33"/>
      <c r="Q352" s="32"/>
      <c r="R352" s="240"/>
      <c r="S352" s="32"/>
      <c r="T352" s="32"/>
      <c r="U352" s="250"/>
      <c r="V352" s="32"/>
      <c r="W352" s="33"/>
      <c r="X352" s="32"/>
      <c r="Y352" s="42"/>
      <c r="Z352" s="31"/>
      <c r="AA352" s="42"/>
      <c r="AB352" s="42"/>
      <c r="AC352" s="250"/>
      <c r="AD352" s="32"/>
      <c r="AE352" s="282"/>
      <c r="AF352" s="261"/>
      <c r="AG352" s="31"/>
      <c r="AH352" s="32"/>
      <c r="AI352" s="42"/>
      <c r="AJ352" s="42"/>
    </row>
    <row r="353" spans="1:36" x14ac:dyDescent="0.25">
      <c r="A353" s="272"/>
      <c r="B353" s="273"/>
      <c r="C353" s="274"/>
      <c r="D353" s="272"/>
      <c r="E353" s="272"/>
      <c r="F353" s="272"/>
      <c r="G353" s="272"/>
      <c r="H353" s="272"/>
      <c r="I353" s="272"/>
      <c r="J353" s="272"/>
      <c r="K353" s="33"/>
      <c r="L353" s="33"/>
      <c r="M353" s="32"/>
      <c r="N353" s="32"/>
      <c r="O353" s="32"/>
      <c r="P353" s="33"/>
      <c r="Q353" s="32"/>
      <c r="R353" s="240"/>
      <c r="S353" s="32"/>
      <c r="T353" s="32"/>
      <c r="U353" s="250"/>
      <c r="V353" s="32"/>
      <c r="W353" s="33"/>
      <c r="X353" s="32"/>
      <c r="Y353" s="42"/>
      <c r="Z353" s="31"/>
      <c r="AA353" s="42"/>
      <c r="AB353" s="42"/>
      <c r="AC353" s="250"/>
      <c r="AD353" s="32"/>
      <c r="AE353" s="282"/>
      <c r="AF353" s="261"/>
      <c r="AG353" s="31"/>
      <c r="AH353" s="32"/>
      <c r="AI353" s="42"/>
      <c r="AJ353" s="42"/>
    </row>
    <row r="354" spans="1:36" x14ac:dyDescent="0.25">
      <c r="A354" s="272"/>
      <c r="B354" s="273"/>
      <c r="C354" s="274"/>
      <c r="D354" s="272"/>
      <c r="E354" s="272"/>
      <c r="F354" s="272"/>
      <c r="G354" s="272"/>
      <c r="H354" s="272"/>
      <c r="I354" s="272"/>
      <c r="J354" s="272"/>
      <c r="K354" s="33"/>
      <c r="L354" s="33"/>
      <c r="M354" s="32"/>
      <c r="N354" s="32"/>
      <c r="O354" s="32"/>
      <c r="P354" s="33"/>
      <c r="Q354" s="32"/>
      <c r="R354" s="240"/>
      <c r="S354" s="32"/>
      <c r="T354" s="32"/>
      <c r="U354" s="250"/>
      <c r="V354" s="32"/>
      <c r="W354" s="33"/>
      <c r="X354" s="32"/>
      <c r="Y354" s="42"/>
      <c r="Z354" s="31"/>
      <c r="AA354" s="42"/>
      <c r="AB354" s="42"/>
      <c r="AC354" s="250"/>
      <c r="AD354" s="32"/>
      <c r="AE354" s="282"/>
      <c r="AF354" s="261"/>
      <c r="AG354" s="31"/>
      <c r="AH354" s="32"/>
      <c r="AI354" s="42"/>
      <c r="AJ354" s="42"/>
    </row>
    <row r="355" spans="1:36" x14ac:dyDescent="0.25">
      <c r="A355" s="272"/>
      <c r="B355" s="273"/>
      <c r="C355" s="274"/>
      <c r="D355" s="272"/>
      <c r="E355" s="272"/>
      <c r="F355" s="272"/>
      <c r="G355" s="272"/>
      <c r="H355" s="272"/>
      <c r="I355" s="272"/>
      <c r="J355" s="272"/>
      <c r="K355" s="33"/>
      <c r="L355" s="33"/>
      <c r="M355" s="32"/>
      <c r="N355" s="32"/>
      <c r="O355" s="32"/>
      <c r="P355" s="33"/>
      <c r="Q355" s="32"/>
      <c r="R355" s="240"/>
      <c r="S355" s="32"/>
      <c r="T355" s="32"/>
      <c r="U355" s="250"/>
      <c r="V355" s="32"/>
      <c r="W355" s="33"/>
      <c r="X355" s="32"/>
      <c r="Y355" s="42"/>
      <c r="Z355" s="31"/>
      <c r="AA355" s="42"/>
      <c r="AB355" s="42"/>
      <c r="AC355" s="250"/>
      <c r="AD355" s="32"/>
      <c r="AE355" s="282"/>
      <c r="AF355" s="261"/>
      <c r="AG355" s="31"/>
      <c r="AH355" s="32"/>
      <c r="AI355" s="42"/>
      <c r="AJ355" s="42"/>
    </row>
    <row r="356" spans="1:36" x14ac:dyDescent="0.25">
      <c r="A356" s="272"/>
      <c r="B356" s="273"/>
      <c r="C356" s="274"/>
      <c r="D356" s="272"/>
      <c r="E356" s="272"/>
      <c r="F356" s="272"/>
      <c r="G356" s="272"/>
      <c r="H356" s="272"/>
      <c r="I356" s="272"/>
      <c r="J356" s="272"/>
      <c r="K356" s="33"/>
      <c r="L356" s="33"/>
      <c r="M356" s="32"/>
      <c r="N356" s="32"/>
      <c r="O356" s="32"/>
      <c r="P356" s="33"/>
      <c r="Q356" s="32"/>
      <c r="R356" s="240"/>
      <c r="S356" s="32"/>
      <c r="T356" s="32"/>
      <c r="U356" s="250"/>
      <c r="V356" s="32"/>
      <c r="W356" s="33"/>
      <c r="X356" s="32"/>
      <c r="Y356" s="42"/>
      <c r="Z356" s="31"/>
      <c r="AA356" s="42"/>
      <c r="AB356" s="42"/>
      <c r="AC356" s="250"/>
      <c r="AD356" s="32"/>
      <c r="AE356" s="282"/>
      <c r="AF356" s="261"/>
      <c r="AG356" s="31"/>
      <c r="AH356" s="32"/>
      <c r="AI356" s="42"/>
      <c r="AJ356" s="42"/>
    </row>
    <row r="357" spans="1:36" x14ac:dyDescent="0.25">
      <c r="A357" s="272"/>
      <c r="B357" s="273"/>
      <c r="C357" s="274"/>
      <c r="D357" s="272"/>
      <c r="E357" s="272"/>
      <c r="F357" s="272"/>
      <c r="G357" s="272"/>
      <c r="H357" s="272"/>
      <c r="I357" s="272"/>
      <c r="J357" s="272"/>
      <c r="K357" s="33"/>
      <c r="L357" s="33"/>
      <c r="M357" s="32"/>
      <c r="N357" s="32"/>
      <c r="O357" s="32"/>
      <c r="P357" s="33"/>
      <c r="Q357" s="32"/>
      <c r="R357" s="240"/>
      <c r="S357" s="32"/>
      <c r="T357" s="32"/>
      <c r="U357" s="250"/>
      <c r="V357" s="32"/>
      <c r="W357" s="33"/>
      <c r="X357" s="32"/>
      <c r="Y357" s="42"/>
      <c r="Z357" s="31"/>
      <c r="AA357" s="42"/>
      <c r="AB357" s="42"/>
      <c r="AC357" s="250"/>
      <c r="AD357" s="32"/>
      <c r="AE357" s="282"/>
      <c r="AF357" s="261"/>
      <c r="AG357" s="31"/>
      <c r="AH357" s="32"/>
      <c r="AI357" s="42"/>
      <c r="AJ357" s="42"/>
    </row>
    <row r="358" spans="1:36" x14ac:dyDescent="0.25">
      <c r="A358" s="272"/>
      <c r="B358" s="273"/>
      <c r="C358" s="274"/>
      <c r="D358" s="272"/>
      <c r="E358" s="272"/>
      <c r="F358" s="272"/>
      <c r="G358" s="272"/>
      <c r="H358" s="272"/>
      <c r="I358" s="272"/>
      <c r="J358" s="272"/>
      <c r="K358" s="33"/>
      <c r="L358" s="33"/>
      <c r="M358" s="32"/>
      <c r="N358" s="32"/>
      <c r="O358" s="32"/>
      <c r="P358" s="33"/>
      <c r="Q358" s="32"/>
      <c r="R358" s="240"/>
      <c r="S358" s="32"/>
      <c r="T358" s="32"/>
      <c r="U358" s="250"/>
      <c r="V358" s="32"/>
      <c r="W358" s="33"/>
      <c r="X358" s="32"/>
      <c r="Y358" s="42"/>
      <c r="Z358" s="31"/>
      <c r="AA358" s="42"/>
      <c r="AB358" s="42"/>
      <c r="AC358" s="250"/>
      <c r="AD358" s="32"/>
      <c r="AE358" s="282"/>
      <c r="AF358" s="261"/>
      <c r="AG358" s="31"/>
      <c r="AH358" s="32"/>
      <c r="AI358" s="42"/>
      <c r="AJ358" s="42"/>
    </row>
    <row r="359" spans="1:36" x14ac:dyDescent="0.25">
      <c r="A359" s="272"/>
      <c r="B359" s="273"/>
      <c r="C359" s="274"/>
      <c r="D359" s="272"/>
      <c r="E359" s="272"/>
      <c r="F359" s="272"/>
      <c r="G359" s="272"/>
      <c r="H359" s="272"/>
      <c r="I359" s="272"/>
      <c r="J359" s="272"/>
      <c r="K359" s="33"/>
      <c r="L359" s="33"/>
      <c r="M359" s="32"/>
      <c r="N359" s="32"/>
      <c r="O359" s="32"/>
      <c r="P359" s="33"/>
      <c r="Q359" s="32"/>
      <c r="R359" s="240"/>
      <c r="S359" s="32"/>
      <c r="T359" s="32"/>
      <c r="U359" s="250"/>
      <c r="V359" s="32"/>
      <c r="W359" s="33"/>
      <c r="X359" s="32"/>
      <c r="Y359" s="42"/>
      <c r="Z359" s="31"/>
      <c r="AA359" s="42"/>
      <c r="AB359" s="42"/>
      <c r="AC359" s="250"/>
      <c r="AD359" s="32"/>
      <c r="AE359" s="282"/>
      <c r="AF359" s="261"/>
      <c r="AG359" s="31"/>
      <c r="AH359" s="32"/>
      <c r="AI359" s="42"/>
      <c r="AJ359" s="42"/>
    </row>
    <row r="360" spans="1:36" x14ac:dyDescent="0.25">
      <c r="A360" s="272"/>
      <c r="B360" s="273"/>
      <c r="C360" s="274"/>
      <c r="D360" s="272"/>
      <c r="E360" s="272"/>
      <c r="F360" s="272"/>
      <c r="G360" s="272"/>
      <c r="H360" s="272"/>
      <c r="I360" s="272"/>
      <c r="J360" s="272"/>
      <c r="K360" s="33"/>
      <c r="L360" s="33"/>
      <c r="M360" s="32"/>
      <c r="N360" s="32"/>
      <c r="O360" s="32"/>
      <c r="P360" s="33"/>
      <c r="Q360" s="32"/>
      <c r="R360" s="240"/>
      <c r="S360" s="32"/>
      <c r="T360" s="32"/>
      <c r="U360" s="250"/>
      <c r="V360" s="32"/>
      <c r="W360" s="33"/>
      <c r="X360" s="32"/>
      <c r="Y360" s="42"/>
      <c r="Z360" s="31"/>
      <c r="AA360" s="42"/>
      <c r="AB360" s="42"/>
      <c r="AC360" s="250"/>
      <c r="AD360" s="32"/>
      <c r="AE360" s="282"/>
      <c r="AF360" s="261"/>
      <c r="AG360" s="31"/>
      <c r="AH360" s="32"/>
      <c r="AI360" s="42"/>
      <c r="AJ360" s="42"/>
    </row>
    <row r="361" spans="1:36" x14ac:dyDescent="0.25">
      <c r="A361" s="272"/>
      <c r="B361" s="273"/>
      <c r="C361" s="274"/>
      <c r="D361" s="272"/>
      <c r="E361" s="272"/>
      <c r="F361" s="272"/>
      <c r="G361" s="272"/>
      <c r="H361" s="272"/>
      <c r="I361" s="272"/>
      <c r="J361" s="272"/>
      <c r="K361" s="33"/>
      <c r="L361" s="33"/>
      <c r="M361" s="32"/>
      <c r="N361" s="32"/>
      <c r="O361" s="32"/>
      <c r="P361" s="33"/>
      <c r="Q361" s="32"/>
      <c r="R361" s="240"/>
      <c r="S361" s="32"/>
      <c r="T361" s="32"/>
      <c r="U361" s="250"/>
      <c r="V361" s="32"/>
      <c r="W361" s="33"/>
      <c r="X361" s="32"/>
      <c r="Y361" s="42"/>
      <c r="Z361" s="31"/>
      <c r="AA361" s="42"/>
      <c r="AB361" s="42"/>
      <c r="AC361" s="250"/>
      <c r="AD361" s="32"/>
      <c r="AE361" s="282"/>
      <c r="AF361" s="261"/>
      <c r="AG361" s="31"/>
      <c r="AH361" s="32"/>
      <c r="AI361" s="42"/>
      <c r="AJ361" s="42"/>
    </row>
    <row r="362" spans="1:36" x14ac:dyDescent="0.25">
      <c r="A362" s="272"/>
      <c r="B362" s="273"/>
      <c r="C362" s="274"/>
      <c r="D362" s="272"/>
      <c r="E362" s="272"/>
      <c r="F362" s="272"/>
      <c r="G362" s="272"/>
      <c r="H362" s="272"/>
      <c r="I362" s="272"/>
      <c r="J362" s="272"/>
      <c r="K362" s="33"/>
      <c r="L362" s="33"/>
      <c r="M362" s="32"/>
      <c r="N362" s="32"/>
      <c r="O362" s="32"/>
      <c r="P362" s="33"/>
      <c r="Q362" s="32"/>
      <c r="R362" s="240"/>
      <c r="S362" s="32"/>
      <c r="T362" s="32"/>
      <c r="U362" s="250"/>
      <c r="V362" s="32"/>
      <c r="W362" s="33"/>
      <c r="X362" s="32"/>
      <c r="Y362" s="42"/>
      <c r="Z362" s="31"/>
      <c r="AA362" s="42"/>
      <c r="AB362" s="42"/>
      <c r="AC362" s="250"/>
      <c r="AD362" s="32"/>
      <c r="AE362" s="282"/>
      <c r="AF362" s="261"/>
      <c r="AG362" s="31"/>
      <c r="AH362" s="32"/>
      <c r="AI362" s="42"/>
      <c r="AJ362" s="42"/>
    </row>
    <row r="363" spans="1:36" x14ac:dyDescent="0.25">
      <c r="A363" s="272"/>
      <c r="B363" s="273"/>
      <c r="C363" s="274"/>
      <c r="D363" s="272"/>
      <c r="E363" s="272"/>
      <c r="F363" s="272"/>
      <c r="G363" s="272"/>
      <c r="H363" s="272"/>
      <c r="I363" s="272"/>
      <c r="J363" s="272"/>
      <c r="K363" s="33"/>
      <c r="L363" s="33"/>
      <c r="M363" s="32"/>
      <c r="N363" s="32"/>
      <c r="O363" s="32"/>
      <c r="P363" s="33"/>
      <c r="Q363" s="32"/>
      <c r="R363" s="240"/>
      <c r="S363" s="32"/>
      <c r="T363" s="32"/>
      <c r="U363" s="250"/>
      <c r="V363" s="32"/>
      <c r="W363" s="33"/>
      <c r="X363" s="32"/>
      <c r="Y363" s="42"/>
      <c r="Z363" s="31"/>
      <c r="AA363" s="42"/>
      <c r="AB363" s="42"/>
      <c r="AC363" s="250"/>
      <c r="AD363" s="32"/>
      <c r="AE363" s="282"/>
      <c r="AF363" s="261"/>
      <c r="AG363" s="31"/>
      <c r="AH363" s="32"/>
      <c r="AI363" s="42"/>
      <c r="AJ363" s="42"/>
    </row>
    <row r="364" spans="1:36" x14ac:dyDescent="0.25">
      <c r="A364" s="272"/>
      <c r="B364" s="273"/>
      <c r="C364" s="274"/>
      <c r="D364" s="272"/>
      <c r="E364" s="272"/>
      <c r="F364" s="272"/>
      <c r="G364" s="272"/>
      <c r="H364" s="272"/>
      <c r="I364" s="272"/>
      <c r="J364" s="272"/>
      <c r="K364" s="33"/>
      <c r="L364" s="33"/>
      <c r="M364" s="32"/>
      <c r="N364" s="32"/>
      <c r="O364" s="32"/>
      <c r="P364" s="33"/>
      <c r="Q364" s="32"/>
      <c r="R364" s="240"/>
      <c r="S364" s="32"/>
      <c r="T364" s="32"/>
      <c r="U364" s="250"/>
      <c r="V364" s="32"/>
      <c r="W364" s="33"/>
      <c r="X364" s="32"/>
      <c r="Y364" s="42"/>
      <c r="Z364" s="31"/>
      <c r="AA364" s="42"/>
      <c r="AB364" s="42"/>
      <c r="AC364" s="250"/>
      <c r="AD364" s="32"/>
      <c r="AE364" s="282"/>
      <c r="AF364" s="261"/>
      <c r="AG364" s="31"/>
      <c r="AH364" s="32"/>
      <c r="AI364" s="42"/>
      <c r="AJ364" s="42"/>
    </row>
    <row r="365" spans="1:36" x14ac:dyDescent="0.25">
      <c r="A365" s="272"/>
      <c r="B365" s="273"/>
      <c r="C365" s="274"/>
      <c r="D365" s="272"/>
      <c r="E365" s="272"/>
      <c r="F365" s="272"/>
      <c r="G365" s="272"/>
      <c r="H365" s="272"/>
      <c r="I365" s="272"/>
      <c r="J365" s="272"/>
      <c r="K365" s="33"/>
      <c r="L365" s="33"/>
      <c r="M365" s="32"/>
      <c r="N365" s="32"/>
      <c r="O365" s="32"/>
      <c r="P365" s="33"/>
      <c r="Q365" s="32"/>
      <c r="R365" s="240"/>
      <c r="S365" s="32"/>
      <c r="T365" s="32"/>
      <c r="U365" s="250"/>
      <c r="V365" s="32"/>
      <c r="W365" s="33"/>
      <c r="X365" s="32"/>
      <c r="Y365" s="42"/>
      <c r="Z365" s="31"/>
      <c r="AA365" s="42"/>
      <c r="AB365" s="42"/>
      <c r="AC365" s="250"/>
      <c r="AD365" s="32"/>
      <c r="AE365" s="282"/>
      <c r="AF365" s="261"/>
      <c r="AG365" s="31"/>
      <c r="AH365" s="32"/>
      <c r="AI365" s="42"/>
      <c r="AJ365" s="42"/>
    </row>
    <row r="366" spans="1:36" x14ac:dyDescent="0.25">
      <c r="A366" s="272"/>
      <c r="B366" s="273"/>
      <c r="C366" s="274"/>
      <c r="D366" s="272"/>
      <c r="E366" s="272"/>
      <c r="F366" s="272"/>
      <c r="G366" s="272"/>
      <c r="H366" s="272"/>
      <c r="I366" s="272"/>
      <c r="J366" s="272"/>
      <c r="K366" s="33"/>
      <c r="L366" s="33"/>
      <c r="M366" s="32"/>
      <c r="N366" s="32"/>
      <c r="O366" s="32"/>
      <c r="P366" s="33"/>
      <c r="Q366" s="32"/>
      <c r="R366" s="240"/>
      <c r="S366" s="32"/>
      <c r="T366" s="32"/>
      <c r="U366" s="250"/>
      <c r="V366" s="32"/>
      <c r="W366" s="33"/>
      <c r="X366" s="32"/>
      <c r="Y366" s="42"/>
      <c r="Z366" s="31"/>
      <c r="AA366" s="42"/>
      <c r="AB366" s="42"/>
      <c r="AC366" s="250"/>
      <c r="AD366" s="32"/>
      <c r="AE366" s="282"/>
      <c r="AF366" s="261"/>
      <c r="AG366" s="31"/>
      <c r="AH366" s="32"/>
      <c r="AI366" s="42"/>
      <c r="AJ366" s="42"/>
    </row>
    <row r="367" spans="1:36" x14ac:dyDescent="0.25">
      <c r="A367" s="272"/>
      <c r="B367" s="273"/>
      <c r="C367" s="274"/>
      <c r="D367" s="272"/>
      <c r="E367" s="272"/>
      <c r="F367" s="272"/>
      <c r="G367" s="272"/>
      <c r="H367" s="272"/>
      <c r="I367" s="272"/>
      <c r="J367" s="272"/>
      <c r="K367" s="33"/>
      <c r="L367" s="33"/>
      <c r="M367" s="32"/>
      <c r="N367" s="32"/>
      <c r="O367" s="32"/>
      <c r="P367" s="33"/>
      <c r="Q367" s="32"/>
      <c r="R367" s="240"/>
      <c r="S367" s="32"/>
      <c r="T367" s="32"/>
      <c r="U367" s="250"/>
      <c r="V367" s="32"/>
      <c r="W367" s="33"/>
      <c r="X367" s="32"/>
      <c r="Y367" s="42"/>
      <c r="Z367" s="31"/>
      <c r="AA367" s="42"/>
      <c r="AB367" s="42"/>
      <c r="AC367" s="250"/>
      <c r="AD367" s="32"/>
      <c r="AE367" s="282"/>
      <c r="AF367" s="261"/>
      <c r="AG367" s="31"/>
      <c r="AH367" s="32"/>
      <c r="AI367" s="42"/>
      <c r="AJ367" s="42"/>
    </row>
    <row r="368" spans="1:36" x14ac:dyDescent="0.25">
      <c r="A368" s="272"/>
      <c r="B368" s="273"/>
      <c r="C368" s="274"/>
      <c r="D368" s="272"/>
      <c r="E368" s="272"/>
      <c r="F368" s="272"/>
      <c r="G368" s="272"/>
      <c r="H368" s="272"/>
      <c r="I368" s="272"/>
      <c r="J368" s="272"/>
      <c r="K368" s="33"/>
      <c r="L368" s="33"/>
      <c r="M368" s="32"/>
      <c r="N368" s="32"/>
      <c r="O368" s="32"/>
      <c r="P368" s="33"/>
      <c r="Q368" s="32"/>
      <c r="R368" s="240"/>
      <c r="S368" s="32"/>
      <c r="T368" s="32"/>
      <c r="U368" s="250"/>
      <c r="V368" s="32"/>
      <c r="W368" s="33"/>
      <c r="X368" s="32"/>
      <c r="Y368" s="42"/>
      <c r="Z368" s="31"/>
      <c r="AA368" s="42"/>
      <c r="AB368" s="42"/>
      <c r="AC368" s="250"/>
      <c r="AD368" s="32"/>
      <c r="AE368" s="282"/>
      <c r="AF368" s="261"/>
      <c r="AG368" s="31"/>
      <c r="AH368" s="32"/>
      <c r="AI368" s="42"/>
      <c r="AJ368" s="42"/>
    </row>
    <row r="369" spans="1:36" x14ac:dyDescent="0.25">
      <c r="A369" s="272"/>
      <c r="B369" s="273"/>
      <c r="C369" s="274"/>
      <c r="D369" s="272"/>
      <c r="E369" s="272"/>
      <c r="F369" s="272"/>
      <c r="G369" s="272"/>
      <c r="H369" s="272"/>
      <c r="I369" s="272"/>
      <c r="J369" s="272"/>
      <c r="K369" s="33"/>
      <c r="L369" s="33"/>
      <c r="M369" s="32"/>
      <c r="N369" s="32"/>
      <c r="O369" s="32"/>
      <c r="P369" s="33"/>
      <c r="Q369" s="32"/>
      <c r="R369" s="240"/>
      <c r="S369" s="32"/>
      <c r="T369" s="32"/>
      <c r="U369" s="250"/>
      <c r="V369" s="32"/>
      <c r="W369" s="33"/>
      <c r="X369" s="32"/>
      <c r="Y369" s="42"/>
      <c r="Z369" s="31"/>
      <c r="AA369" s="42"/>
      <c r="AB369" s="42"/>
      <c r="AC369" s="250"/>
      <c r="AD369" s="32"/>
      <c r="AE369" s="282"/>
      <c r="AF369" s="261"/>
      <c r="AG369" s="31"/>
      <c r="AH369" s="32"/>
      <c r="AI369" s="42"/>
      <c r="AJ369" s="42"/>
    </row>
    <row r="370" spans="1:36" x14ac:dyDescent="0.25">
      <c r="A370" s="272"/>
      <c r="B370" s="273"/>
      <c r="C370" s="274"/>
      <c r="D370" s="272"/>
      <c r="E370" s="272"/>
      <c r="F370" s="272"/>
      <c r="G370" s="272"/>
      <c r="H370" s="272"/>
      <c r="I370" s="272"/>
      <c r="J370" s="272"/>
      <c r="K370" s="33"/>
      <c r="L370" s="33"/>
      <c r="M370" s="32"/>
      <c r="N370" s="32"/>
      <c r="O370" s="32"/>
      <c r="P370" s="33"/>
      <c r="Q370" s="32"/>
      <c r="R370" s="240"/>
      <c r="S370" s="32"/>
      <c r="T370" s="32"/>
      <c r="U370" s="250"/>
      <c r="V370" s="32"/>
      <c r="W370" s="33"/>
      <c r="X370" s="32"/>
      <c r="Y370" s="42"/>
      <c r="Z370" s="31"/>
      <c r="AA370" s="42"/>
      <c r="AB370" s="42"/>
      <c r="AC370" s="250"/>
      <c r="AD370" s="32"/>
      <c r="AE370" s="282"/>
      <c r="AF370" s="261"/>
      <c r="AG370" s="31"/>
      <c r="AH370" s="32"/>
      <c r="AI370" s="42"/>
      <c r="AJ370" s="42"/>
    </row>
    <row r="371" spans="1:36" x14ac:dyDescent="0.25">
      <c r="A371" s="272"/>
      <c r="B371" s="273"/>
      <c r="C371" s="274"/>
      <c r="D371" s="272"/>
      <c r="E371" s="272"/>
      <c r="F371" s="272"/>
      <c r="G371" s="272"/>
      <c r="H371" s="272"/>
      <c r="I371" s="272"/>
      <c r="J371" s="272"/>
      <c r="K371" s="33"/>
      <c r="L371" s="33"/>
      <c r="M371" s="32"/>
      <c r="N371" s="32"/>
      <c r="O371" s="32"/>
      <c r="P371" s="33"/>
      <c r="Q371" s="32"/>
      <c r="R371" s="240"/>
      <c r="S371" s="32"/>
      <c r="T371" s="32"/>
      <c r="U371" s="250"/>
      <c r="V371" s="32"/>
      <c r="W371" s="33"/>
      <c r="X371" s="32"/>
      <c r="Y371" s="42"/>
      <c r="Z371" s="31"/>
      <c r="AA371" s="42"/>
      <c r="AB371" s="42"/>
      <c r="AC371" s="250"/>
      <c r="AD371" s="32"/>
      <c r="AE371" s="282"/>
      <c r="AF371" s="261"/>
      <c r="AG371" s="31"/>
      <c r="AH371" s="32"/>
      <c r="AI371" s="42"/>
      <c r="AJ371" s="42"/>
    </row>
    <row r="372" spans="1:36" x14ac:dyDescent="0.25">
      <c r="A372" s="272"/>
      <c r="B372" s="273"/>
      <c r="C372" s="274"/>
      <c r="D372" s="272"/>
      <c r="E372" s="272"/>
      <c r="F372" s="272"/>
      <c r="G372" s="272"/>
      <c r="H372" s="272"/>
      <c r="I372" s="272"/>
      <c r="J372" s="272"/>
      <c r="K372" s="33"/>
      <c r="L372" s="33"/>
      <c r="M372" s="32"/>
      <c r="N372" s="32"/>
      <c r="O372" s="32"/>
      <c r="P372" s="33"/>
      <c r="Q372" s="32"/>
      <c r="R372" s="240"/>
      <c r="S372" s="32"/>
      <c r="T372" s="32"/>
      <c r="U372" s="250"/>
      <c r="V372" s="32"/>
      <c r="W372" s="33"/>
      <c r="X372" s="32"/>
      <c r="Y372" s="42"/>
      <c r="Z372" s="31"/>
      <c r="AA372" s="42"/>
      <c r="AB372" s="42"/>
      <c r="AC372" s="250"/>
      <c r="AD372" s="32"/>
      <c r="AE372" s="282"/>
      <c r="AF372" s="261"/>
      <c r="AG372" s="31"/>
      <c r="AH372" s="32"/>
      <c r="AI372" s="42"/>
      <c r="AJ372" s="42"/>
    </row>
    <row r="373" spans="1:36" x14ac:dyDescent="0.25">
      <c r="A373" s="272"/>
      <c r="B373" s="273"/>
      <c r="C373" s="274"/>
      <c r="D373" s="272"/>
      <c r="E373" s="272"/>
      <c r="F373" s="272"/>
      <c r="G373" s="272"/>
      <c r="H373" s="272"/>
      <c r="I373" s="272"/>
      <c r="J373" s="272"/>
      <c r="K373" s="33"/>
      <c r="L373" s="33"/>
      <c r="M373" s="32"/>
      <c r="N373" s="32"/>
      <c r="O373" s="32"/>
      <c r="P373" s="33"/>
      <c r="Q373" s="32"/>
      <c r="R373" s="240"/>
      <c r="S373" s="32"/>
      <c r="T373" s="32"/>
      <c r="U373" s="250"/>
      <c r="V373" s="32"/>
      <c r="W373" s="33"/>
      <c r="X373" s="32"/>
      <c r="Y373" s="42"/>
      <c r="Z373" s="31"/>
      <c r="AA373" s="42"/>
      <c r="AB373" s="42"/>
      <c r="AC373" s="250"/>
      <c r="AD373" s="32"/>
      <c r="AE373" s="282"/>
      <c r="AF373" s="261"/>
      <c r="AG373" s="31"/>
      <c r="AH373" s="32"/>
      <c r="AI373" s="42"/>
      <c r="AJ373" s="42"/>
    </row>
    <row r="374" spans="1:36" x14ac:dyDescent="0.25">
      <c r="A374" s="272"/>
      <c r="B374" s="273"/>
      <c r="C374" s="274"/>
      <c r="D374" s="272"/>
      <c r="E374" s="272"/>
      <c r="F374" s="272"/>
      <c r="G374" s="272"/>
      <c r="H374" s="272"/>
      <c r="I374" s="272"/>
      <c r="J374" s="272"/>
      <c r="K374" s="33"/>
      <c r="L374" s="33"/>
      <c r="M374" s="32"/>
      <c r="N374" s="32"/>
      <c r="O374" s="32"/>
      <c r="P374" s="33"/>
      <c r="Q374" s="32"/>
      <c r="R374" s="240"/>
      <c r="S374" s="32"/>
      <c r="T374" s="32"/>
      <c r="U374" s="250"/>
      <c r="V374" s="32"/>
      <c r="W374" s="33"/>
      <c r="X374" s="32"/>
      <c r="Y374" s="42"/>
      <c r="Z374" s="31"/>
      <c r="AA374" s="42"/>
      <c r="AB374" s="42"/>
      <c r="AC374" s="250"/>
      <c r="AD374" s="32"/>
      <c r="AE374" s="282"/>
      <c r="AF374" s="261"/>
      <c r="AG374" s="31"/>
      <c r="AH374" s="32"/>
      <c r="AI374" s="42"/>
      <c r="AJ374" s="42"/>
    </row>
    <row r="375" spans="1:36" x14ac:dyDescent="0.25">
      <c r="A375" s="272"/>
      <c r="B375" s="273"/>
      <c r="C375" s="274"/>
      <c r="D375" s="272"/>
      <c r="E375" s="272"/>
      <c r="F375" s="272"/>
      <c r="G375" s="272"/>
      <c r="H375" s="272"/>
      <c r="I375" s="272"/>
      <c r="J375" s="272"/>
      <c r="K375" s="33"/>
      <c r="L375" s="33"/>
      <c r="M375" s="32"/>
      <c r="N375" s="32"/>
      <c r="O375" s="32"/>
      <c r="P375" s="33"/>
      <c r="Q375" s="32"/>
      <c r="R375" s="240"/>
      <c r="S375" s="32"/>
      <c r="T375" s="32"/>
      <c r="U375" s="250"/>
      <c r="V375" s="32"/>
      <c r="W375" s="33"/>
      <c r="X375" s="32"/>
      <c r="Y375" s="42"/>
      <c r="Z375" s="31"/>
      <c r="AA375" s="42"/>
      <c r="AB375" s="42"/>
      <c r="AC375" s="250"/>
      <c r="AD375" s="32"/>
      <c r="AE375" s="282"/>
      <c r="AF375" s="261"/>
      <c r="AG375" s="31"/>
      <c r="AH375" s="32"/>
      <c r="AI375" s="42"/>
      <c r="AJ375" s="42"/>
    </row>
    <row r="376" spans="1:36" x14ac:dyDescent="0.25">
      <c r="A376" s="272"/>
      <c r="B376" s="273"/>
      <c r="C376" s="274"/>
      <c r="D376" s="272"/>
      <c r="E376" s="272"/>
      <c r="F376" s="272"/>
      <c r="G376" s="272"/>
      <c r="H376" s="272"/>
      <c r="I376" s="272"/>
      <c r="J376" s="272"/>
      <c r="K376" s="33"/>
      <c r="L376" s="33"/>
      <c r="M376" s="32"/>
      <c r="N376" s="32"/>
      <c r="O376" s="32"/>
      <c r="P376" s="33"/>
      <c r="Q376" s="32"/>
      <c r="R376" s="240"/>
      <c r="S376" s="32"/>
      <c r="T376" s="32"/>
      <c r="U376" s="250"/>
      <c r="V376" s="32"/>
      <c r="W376" s="33"/>
      <c r="X376" s="32"/>
      <c r="Y376" s="42"/>
      <c r="Z376" s="31"/>
      <c r="AA376" s="42"/>
      <c r="AB376" s="42"/>
      <c r="AC376" s="250"/>
      <c r="AD376" s="32"/>
      <c r="AE376" s="282"/>
      <c r="AF376" s="261"/>
      <c r="AG376" s="31"/>
      <c r="AH376" s="32"/>
      <c r="AI376" s="42"/>
      <c r="AJ376" s="42"/>
    </row>
    <row r="377" spans="1:36" x14ac:dyDescent="0.25">
      <c r="A377" s="272"/>
      <c r="B377" s="273"/>
      <c r="C377" s="274"/>
      <c r="D377" s="272"/>
      <c r="E377" s="272"/>
      <c r="F377" s="272"/>
      <c r="G377" s="272"/>
      <c r="H377" s="272"/>
      <c r="I377" s="272"/>
      <c r="J377" s="272"/>
      <c r="K377" s="33"/>
      <c r="L377" s="33"/>
      <c r="M377" s="32"/>
      <c r="N377" s="32"/>
      <c r="O377" s="32"/>
      <c r="P377" s="33"/>
      <c r="Q377" s="32"/>
      <c r="R377" s="240"/>
      <c r="S377" s="32"/>
      <c r="T377" s="32"/>
      <c r="U377" s="250"/>
      <c r="V377" s="32"/>
      <c r="W377" s="33"/>
      <c r="X377" s="32"/>
      <c r="Y377" s="42"/>
      <c r="Z377" s="31"/>
      <c r="AA377" s="42"/>
      <c r="AB377" s="42"/>
      <c r="AC377" s="250"/>
      <c r="AD377" s="32"/>
      <c r="AE377" s="282"/>
      <c r="AF377" s="261"/>
      <c r="AG377" s="31"/>
      <c r="AH377" s="32"/>
      <c r="AI377" s="42"/>
      <c r="AJ377" s="42"/>
    </row>
    <row r="378" spans="1:36" x14ac:dyDescent="0.25">
      <c r="A378" s="272"/>
      <c r="B378" s="273"/>
      <c r="C378" s="274"/>
      <c r="D378" s="272"/>
      <c r="E378" s="272"/>
      <c r="F378" s="272"/>
      <c r="G378" s="272"/>
      <c r="H378" s="272"/>
      <c r="I378" s="272"/>
      <c r="J378" s="272"/>
      <c r="K378" s="33"/>
      <c r="L378" s="33"/>
      <c r="M378" s="32"/>
      <c r="N378" s="32"/>
      <c r="O378" s="32"/>
      <c r="P378" s="33"/>
      <c r="Q378" s="32"/>
      <c r="R378" s="240"/>
      <c r="S378" s="32"/>
      <c r="T378" s="32"/>
      <c r="U378" s="250"/>
      <c r="V378" s="32"/>
      <c r="W378" s="33"/>
      <c r="X378" s="32"/>
      <c r="Y378" s="42"/>
      <c r="Z378" s="31"/>
      <c r="AA378" s="42"/>
      <c r="AB378" s="42"/>
      <c r="AC378" s="250"/>
      <c r="AD378" s="32"/>
      <c r="AE378" s="282"/>
      <c r="AF378" s="261"/>
      <c r="AG378" s="31"/>
      <c r="AH378" s="32"/>
      <c r="AI378" s="42"/>
      <c r="AJ378" s="42"/>
    </row>
    <row r="379" spans="1:36" x14ac:dyDescent="0.25">
      <c r="A379" s="272"/>
      <c r="B379" s="273"/>
      <c r="C379" s="274"/>
      <c r="D379" s="272"/>
      <c r="E379" s="272"/>
      <c r="F379" s="272"/>
      <c r="G379" s="272"/>
      <c r="H379" s="272"/>
      <c r="I379" s="272"/>
      <c r="J379" s="272"/>
      <c r="K379" s="33"/>
      <c r="L379" s="33"/>
      <c r="M379" s="32"/>
      <c r="N379" s="32"/>
      <c r="O379" s="32"/>
      <c r="P379" s="33"/>
      <c r="Q379" s="32"/>
      <c r="R379" s="240"/>
      <c r="S379" s="32"/>
      <c r="T379" s="32"/>
      <c r="U379" s="250"/>
      <c r="V379" s="32"/>
      <c r="W379" s="33"/>
      <c r="X379" s="32"/>
      <c r="Y379" s="42"/>
      <c r="Z379" s="31"/>
      <c r="AA379" s="42"/>
      <c r="AB379" s="42"/>
      <c r="AC379" s="250"/>
      <c r="AD379" s="32"/>
      <c r="AE379" s="282"/>
      <c r="AF379" s="261"/>
      <c r="AG379" s="31"/>
      <c r="AH379" s="32"/>
      <c r="AI379" s="42"/>
      <c r="AJ379" s="42"/>
    </row>
    <row r="380" spans="1:36" x14ac:dyDescent="0.25">
      <c r="A380" s="272"/>
      <c r="B380" s="273"/>
      <c r="C380" s="274"/>
      <c r="D380" s="272"/>
      <c r="E380" s="272"/>
      <c r="F380" s="272"/>
      <c r="G380" s="272"/>
      <c r="H380" s="272"/>
      <c r="I380" s="272"/>
      <c r="J380" s="272"/>
      <c r="K380" s="33"/>
      <c r="L380" s="33"/>
      <c r="M380" s="32"/>
      <c r="N380" s="32"/>
      <c r="O380" s="32"/>
      <c r="P380" s="33"/>
      <c r="Q380" s="32"/>
      <c r="R380" s="240"/>
      <c r="S380" s="32"/>
      <c r="T380" s="32"/>
      <c r="U380" s="250"/>
      <c r="V380" s="32"/>
      <c r="W380" s="33"/>
      <c r="X380" s="32"/>
      <c r="Y380" s="42"/>
      <c r="Z380" s="31"/>
      <c r="AA380" s="42"/>
      <c r="AB380" s="42"/>
      <c r="AC380" s="250"/>
      <c r="AD380" s="32"/>
      <c r="AE380" s="282"/>
      <c r="AF380" s="261"/>
      <c r="AG380" s="31"/>
      <c r="AH380" s="32"/>
      <c r="AI380" s="42"/>
      <c r="AJ380" s="42"/>
    </row>
    <row r="381" spans="1:36" x14ac:dyDescent="0.25">
      <c r="A381" s="272"/>
      <c r="B381" s="273"/>
      <c r="C381" s="274"/>
      <c r="D381" s="272"/>
      <c r="E381" s="272"/>
      <c r="F381" s="272"/>
      <c r="G381" s="272"/>
      <c r="H381" s="272"/>
      <c r="I381" s="272"/>
      <c r="J381" s="272"/>
      <c r="K381" s="33"/>
      <c r="L381" s="33"/>
      <c r="M381" s="32"/>
      <c r="N381" s="32"/>
      <c r="O381" s="32"/>
      <c r="P381" s="33"/>
      <c r="Q381" s="32"/>
      <c r="R381" s="240"/>
      <c r="S381" s="32"/>
      <c r="T381" s="32"/>
      <c r="U381" s="250"/>
      <c r="V381" s="32"/>
      <c r="W381" s="33"/>
      <c r="X381" s="32"/>
      <c r="Y381" s="42"/>
      <c r="Z381" s="31"/>
      <c r="AA381" s="42"/>
      <c r="AB381" s="42"/>
      <c r="AC381" s="250"/>
      <c r="AD381" s="32"/>
      <c r="AE381" s="282"/>
      <c r="AF381" s="261"/>
      <c r="AG381" s="31"/>
      <c r="AH381" s="32"/>
      <c r="AI381" s="42"/>
      <c r="AJ381" s="42"/>
    </row>
    <row r="382" spans="1:36" x14ac:dyDescent="0.25">
      <c r="A382" s="272"/>
      <c r="B382" s="273"/>
      <c r="C382" s="274"/>
      <c r="D382" s="272"/>
      <c r="E382" s="272"/>
      <c r="F382" s="272"/>
      <c r="G382" s="272"/>
      <c r="H382" s="272"/>
      <c r="I382" s="272"/>
      <c r="J382" s="272"/>
      <c r="K382" s="33"/>
      <c r="L382" s="33"/>
      <c r="M382" s="32"/>
      <c r="N382" s="32"/>
      <c r="O382" s="32"/>
      <c r="P382" s="33"/>
      <c r="Q382" s="32"/>
      <c r="R382" s="240"/>
      <c r="S382" s="32"/>
      <c r="T382" s="32"/>
      <c r="U382" s="250"/>
      <c r="V382" s="32"/>
      <c r="W382" s="33"/>
      <c r="X382" s="32"/>
      <c r="Y382" s="42"/>
      <c r="Z382" s="31"/>
      <c r="AA382" s="42"/>
      <c r="AB382" s="42"/>
      <c r="AC382" s="250"/>
      <c r="AD382" s="32"/>
      <c r="AE382" s="282"/>
      <c r="AF382" s="261"/>
      <c r="AG382" s="31"/>
      <c r="AH382" s="32"/>
      <c r="AI382" s="42"/>
      <c r="AJ382" s="42"/>
    </row>
    <row r="383" spans="1:36" x14ac:dyDescent="0.25">
      <c r="A383" s="272"/>
      <c r="B383" s="273"/>
      <c r="C383" s="274"/>
      <c r="D383" s="272"/>
      <c r="E383" s="272"/>
      <c r="F383" s="272"/>
      <c r="G383" s="272"/>
      <c r="H383" s="272"/>
      <c r="I383" s="272"/>
      <c r="J383" s="272"/>
      <c r="K383" s="33"/>
      <c r="L383" s="33"/>
      <c r="M383" s="32"/>
      <c r="N383" s="32"/>
      <c r="O383" s="32"/>
      <c r="P383" s="33"/>
      <c r="Q383" s="32"/>
      <c r="R383" s="240"/>
      <c r="S383" s="32"/>
      <c r="T383" s="32"/>
      <c r="U383" s="250"/>
      <c r="V383" s="32"/>
      <c r="W383" s="33"/>
      <c r="X383" s="32"/>
      <c r="Y383" s="42"/>
      <c r="Z383" s="31"/>
      <c r="AA383" s="42"/>
      <c r="AB383" s="42"/>
      <c r="AC383" s="250"/>
      <c r="AD383" s="32"/>
      <c r="AE383" s="282"/>
      <c r="AF383" s="261"/>
      <c r="AG383" s="31"/>
      <c r="AH383" s="32"/>
      <c r="AI383" s="42"/>
      <c r="AJ383" s="42"/>
    </row>
    <row r="384" spans="1:36" x14ac:dyDescent="0.25">
      <c r="A384" s="272"/>
      <c r="B384" s="273"/>
      <c r="C384" s="274"/>
      <c r="D384" s="272"/>
      <c r="E384" s="272"/>
      <c r="F384" s="272"/>
      <c r="G384" s="272"/>
      <c r="H384" s="272"/>
      <c r="I384" s="272"/>
      <c r="J384" s="272"/>
      <c r="K384" s="33"/>
      <c r="L384" s="33"/>
      <c r="M384" s="32"/>
      <c r="N384" s="32"/>
      <c r="O384" s="32"/>
      <c r="P384" s="33"/>
      <c r="Q384" s="32"/>
      <c r="R384" s="240"/>
      <c r="S384" s="32"/>
      <c r="T384" s="32"/>
      <c r="U384" s="250"/>
      <c r="V384" s="32"/>
      <c r="W384" s="33"/>
      <c r="X384" s="32"/>
      <c r="Y384" s="42"/>
      <c r="Z384" s="31"/>
      <c r="AA384" s="42"/>
      <c r="AB384" s="42"/>
      <c r="AC384" s="250"/>
      <c r="AD384" s="32"/>
      <c r="AE384" s="282"/>
      <c r="AF384" s="261"/>
      <c r="AG384" s="31"/>
      <c r="AH384" s="32"/>
      <c r="AI384" s="42"/>
      <c r="AJ384" s="42"/>
    </row>
    <row r="385" spans="1:36" x14ac:dyDescent="0.25">
      <c r="A385" s="272"/>
      <c r="B385" s="273"/>
      <c r="C385" s="274"/>
      <c r="D385" s="272"/>
      <c r="E385" s="272"/>
      <c r="F385" s="272"/>
      <c r="G385" s="272"/>
      <c r="H385" s="272"/>
      <c r="I385" s="272"/>
      <c r="J385" s="272"/>
      <c r="K385" s="33"/>
      <c r="L385" s="33"/>
      <c r="M385" s="32"/>
      <c r="N385" s="32"/>
      <c r="O385" s="32"/>
      <c r="P385" s="33"/>
      <c r="Q385" s="32"/>
      <c r="R385" s="240"/>
      <c r="S385" s="32"/>
      <c r="T385" s="32"/>
      <c r="U385" s="250"/>
      <c r="V385" s="32"/>
      <c r="W385" s="33"/>
      <c r="X385" s="32"/>
      <c r="Y385" s="42"/>
      <c r="Z385" s="31"/>
      <c r="AA385" s="42"/>
      <c r="AB385" s="42"/>
      <c r="AC385" s="250"/>
      <c r="AD385" s="32"/>
      <c r="AE385" s="282"/>
      <c r="AF385" s="261"/>
      <c r="AG385" s="31"/>
      <c r="AH385" s="32"/>
      <c r="AI385" s="42"/>
      <c r="AJ385" s="42"/>
    </row>
    <row r="386" spans="1:36" x14ac:dyDescent="0.25">
      <c r="A386" s="272"/>
      <c r="B386" s="273"/>
      <c r="C386" s="274"/>
      <c r="D386" s="272"/>
      <c r="E386" s="272"/>
      <c r="F386" s="272"/>
      <c r="G386" s="272"/>
      <c r="H386" s="272"/>
      <c r="I386" s="272"/>
      <c r="J386" s="272"/>
      <c r="K386" s="33"/>
      <c r="L386" s="33"/>
      <c r="M386" s="32"/>
      <c r="N386" s="32"/>
      <c r="O386" s="32"/>
      <c r="P386" s="33"/>
      <c r="Q386" s="32"/>
      <c r="R386" s="240"/>
      <c r="S386" s="32"/>
      <c r="T386" s="32"/>
      <c r="U386" s="250"/>
      <c r="V386" s="32"/>
      <c r="W386" s="33"/>
      <c r="X386" s="32"/>
      <c r="Y386" s="42"/>
      <c r="Z386" s="31"/>
      <c r="AA386" s="42"/>
      <c r="AB386" s="42"/>
      <c r="AC386" s="250"/>
      <c r="AD386" s="32"/>
      <c r="AE386" s="282"/>
      <c r="AF386" s="261"/>
      <c r="AG386" s="31"/>
      <c r="AH386" s="32"/>
      <c r="AI386" s="42"/>
      <c r="AJ386" s="42"/>
    </row>
    <row r="387" spans="1:36" x14ac:dyDescent="0.25">
      <c r="A387" s="272"/>
      <c r="B387" s="273"/>
      <c r="C387" s="274"/>
      <c r="D387" s="272"/>
      <c r="E387" s="272"/>
      <c r="F387" s="272"/>
      <c r="G387" s="272"/>
      <c r="H387" s="272"/>
      <c r="I387" s="272"/>
      <c r="J387" s="272"/>
      <c r="K387" s="33"/>
      <c r="L387" s="33"/>
      <c r="M387" s="32"/>
      <c r="N387" s="32"/>
      <c r="O387" s="32"/>
      <c r="P387" s="33"/>
      <c r="Q387" s="32"/>
      <c r="R387" s="240"/>
      <c r="S387" s="32"/>
      <c r="T387" s="32"/>
      <c r="U387" s="250"/>
      <c r="V387" s="32"/>
      <c r="W387" s="33"/>
      <c r="X387" s="32"/>
      <c r="Y387" s="42"/>
      <c r="Z387" s="31"/>
      <c r="AA387" s="42"/>
      <c r="AB387" s="42"/>
      <c r="AC387" s="250"/>
      <c r="AD387" s="32"/>
      <c r="AE387" s="282"/>
      <c r="AF387" s="261"/>
      <c r="AG387" s="31"/>
      <c r="AH387" s="32"/>
      <c r="AI387" s="42"/>
      <c r="AJ387" s="42"/>
    </row>
    <row r="388" spans="1:36" x14ac:dyDescent="0.25">
      <c r="A388" s="272"/>
      <c r="B388" s="273"/>
      <c r="C388" s="274"/>
      <c r="D388" s="272"/>
      <c r="E388" s="272"/>
      <c r="F388" s="272"/>
      <c r="G388" s="272"/>
      <c r="H388" s="272"/>
      <c r="I388" s="272"/>
      <c r="J388" s="272"/>
      <c r="K388" s="33"/>
      <c r="L388" s="33"/>
      <c r="M388" s="32"/>
      <c r="N388" s="32"/>
      <c r="O388" s="32"/>
      <c r="P388" s="33"/>
      <c r="Q388" s="32"/>
      <c r="R388" s="240"/>
      <c r="S388" s="32"/>
      <c r="T388" s="32"/>
      <c r="U388" s="250"/>
      <c r="V388" s="32"/>
      <c r="W388" s="33"/>
      <c r="X388" s="32"/>
      <c r="Y388" s="42"/>
      <c r="Z388" s="31"/>
      <c r="AA388" s="42"/>
      <c r="AB388" s="42"/>
      <c r="AC388" s="250"/>
      <c r="AD388" s="32"/>
      <c r="AE388" s="282"/>
      <c r="AF388" s="261"/>
      <c r="AG388" s="31"/>
      <c r="AH388" s="32"/>
      <c r="AI388" s="42"/>
      <c r="AJ388" s="42"/>
    </row>
    <row r="389" spans="1:36" x14ac:dyDescent="0.25">
      <c r="A389" s="272"/>
      <c r="B389" s="273"/>
      <c r="C389" s="274"/>
      <c r="D389" s="272"/>
      <c r="E389" s="272"/>
      <c r="F389" s="272"/>
      <c r="G389" s="272"/>
      <c r="H389" s="272"/>
      <c r="I389" s="272"/>
      <c r="J389" s="272"/>
      <c r="K389" s="33"/>
      <c r="L389" s="33"/>
      <c r="M389" s="32"/>
      <c r="N389" s="32"/>
      <c r="O389" s="32"/>
      <c r="P389" s="33"/>
      <c r="Q389" s="32"/>
      <c r="R389" s="240"/>
      <c r="S389" s="32"/>
      <c r="T389" s="32"/>
      <c r="U389" s="250"/>
      <c r="V389" s="32"/>
      <c r="W389" s="33"/>
      <c r="X389" s="32"/>
      <c r="Y389" s="42"/>
      <c r="Z389" s="31"/>
      <c r="AA389" s="42"/>
      <c r="AB389" s="42"/>
      <c r="AC389" s="250"/>
      <c r="AD389" s="32"/>
      <c r="AE389" s="282"/>
      <c r="AF389" s="261"/>
      <c r="AG389" s="31"/>
      <c r="AH389" s="32"/>
      <c r="AI389" s="42"/>
      <c r="AJ389" s="42"/>
    </row>
    <row r="390" spans="1:36" x14ac:dyDescent="0.25">
      <c r="A390" s="272"/>
      <c r="B390" s="273"/>
      <c r="C390" s="274"/>
      <c r="D390" s="272"/>
      <c r="E390" s="272"/>
      <c r="F390" s="272"/>
      <c r="G390" s="272"/>
      <c r="H390" s="272"/>
      <c r="I390" s="272"/>
      <c r="J390" s="272"/>
      <c r="K390" s="33"/>
      <c r="L390" s="33"/>
      <c r="M390" s="32"/>
      <c r="N390" s="32"/>
      <c r="O390" s="32"/>
      <c r="P390" s="33"/>
      <c r="Q390" s="32"/>
      <c r="R390" s="240"/>
      <c r="S390" s="32"/>
      <c r="T390" s="32"/>
      <c r="U390" s="250"/>
      <c r="V390" s="32"/>
      <c r="W390" s="33"/>
      <c r="X390" s="32"/>
      <c r="Y390" s="42"/>
      <c r="Z390" s="31"/>
      <c r="AA390" s="42"/>
      <c r="AB390" s="42"/>
      <c r="AC390" s="250"/>
      <c r="AD390" s="32"/>
      <c r="AE390" s="282"/>
      <c r="AF390" s="261"/>
      <c r="AG390" s="31"/>
      <c r="AH390" s="32"/>
      <c r="AI390" s="42"/>
      <c r="AJ390" s="42"/>
    </row>
    <row r="391" spans="1:36" x14ac:dyDescent="0.25">
      <c r="A391" s="272"/>
      <c r="B391" s="273"/>
      <c r="C391" s="274"/>
      <c r="D391" s="272"/>
      <c r="E391" s="272"/>
      <c r="F391" s="272"/>
      <c r="G391" s="272"/>
      <c r="H391" s="272"/>
      <c r="I391" s="272"/>
      <c r="J391" s="272"/>
      <c r="K391" s="33"/>
      <c r="L391" s="33"/>
      <c r="M391" s="32"/>
      <c r="N391" s="32"/>
      <c r="O391" s="32"/>
      <c r="P391" s="33"/>
      <c r="Q391" s="32"/>
      <c r="R391" s="240"/>
      <c r="S391" s="32"/>
      <c r="T391" s="32"/>
      <c r="U391" s="250"/>
      <c r="V391" s="32"/>
      <c r="W391" s="33"/>
      <c r="X391" s="32"/>
      <c r="Y391" s="42"/>
      <c r="Z391" s="31"/>
      <c r="AA391" s="42"/>
      <c r="AB391" s="42"/>
      <c r="AC391" s="250"/>
      <c r="AD391" s="32"/>
      <c r="AE391" s="282"/>
      <c r="AF391" s="261"/>
      <c r="AG391" s="31"/>
      <c r="AH391" s="32"/>
      <c r="AI391" s="42"/>
      <c r="AJ391" s="42"/>
    </row>
    <row r="392" spans="1:36" x14ac:dyDescent="0.25">
      <c r="A392" s="272"/>
      <c r="B392" s="273"/>
      <c r="C392" s="274"/>
      <c r="D392" s="272"/>
      <c r="E392" s="272"/>
      <c r="F392" s="272"/>
      <c r="G392" s="272"/>
      <c r="H392" s="272"/>
      <c r="I392" s="272"/>
      <c r="J392" s="272"/>
      <c r="K392" s="33"/>
      <c r="L392" s="33"/>
      <c r="M392" s="32"/>
      <c r="N392" s="32"/>
      <c r="O392" s="32"/>
      <c r="P392" s="33"/>
      <c r="Q392" s="32"/>
      <c r="R392" s="240"/>
      <c r="S392" s="32"/>
      <c r="T392" s="32"/>
      <c r="U392" s="250"/>
      <c r="V392" s="32"/>
      <c r="W392" s="33"/>
      <c r="X392" s="32"/>
      <c r="Y392" s="42"/>
      <c r="Z392" s="31"/>
      <c r="AA392" s="42"/>
      <c r="AB392" s="42"/>
      <c r="AC392" s="250"/>
      <c r="AD392" s="32"/>
      <c r="AE392" s="282"/>
      <c r="AF392" s="261"/>
      <c r="AG392" s="31"/>
      <c r="AH392" s="32"/>
      <c r="AI392" s="42"/>
      <c r="AJ392" s="42"/>
    </row>
    <row r="393" spans="1:36" x14ac:dyDescent="0.25">
      <c r="A393" s="272"/>
      <c r="B393" s="273"/>
      <c r="C393" s="274"/>
      <c r="D393" s="272"/>
      <c r="E393" s="272"/>
      <c r="F393" s="272"/>
      <c r="G393" s="272"/>
      <c r="H393" s="272"/>
      <c r="I393" s="272"/>
      <c r="J393" s="272"/>
      <c r="K393" s="33"/>
      <c r="L393" s="33"/>
      <c r="M393" s="32"/>
      <c r="N393" s="32"/>
      <c r="O393" s="32"/>
      <c r="P393" s="33"/>
      <c r="Q393" s="32"/>
      <c r="R393" s="240"/>
      <c r="S393" s="32"/>
      <c r="T393" s="32"/>
      <c r="U393" s="250"/>
      <c r="V393" s="32"/>
      <c r="W393" s="33"/>
      <c r="X393" s="32"/>
      <c r="Y393" s="42"/>
      <c r="Z393" s="31"/>
      <c r="AA393" s="42"/>
      <c r="AB393" s="42"/>
      <c r="AC393" s="250"/>
      <c r="AD393" s="32"/>
      <c r="AE393" s="282"/>
      <c r="AF393" s="261"/>
      <c r="AG393" s="31"/>
      <c r="AH393" s="32"/>
      <c r="AI393" s="42"/>
      <c r="AJ393" s="42"/>
    </row>
    <row r="394" spans="1:36" x14ac:dyDescent="0.25">
      <c r="A394" s="272"/>
      <c r="B394" s="273"/>
      <c r="C394" s="274"/>
      <c r="D394" s="272"/>
      <c r="E394" s="272"/>
      <c r="F394" s="272"/>
      <c r="G394" s="272"/>
      <c r="H394" s="272"/>
      <c r="I394" s="272"/>
      <c r="J394" s="272"/>
      <c r="K394" s="33"/>
      <c r="L394" s="33"/>
      <c r="M394" s="32"/>
      <c r="N394" s="32"/>
      <c r="O394" s="32"/>
      <c r="P394" s="33"/>
      <c r="Q394" s="32"/>
      <c r="R394" s="240"/>
      <c r="S394" s="32"/>
      <c r="T394" s="32"/>
      <c r="U394" s="250"/>
      <c r="V394" s="32"/>
      <c r="W394" s="33"/>
      <c r="X394" s="32"/>
      <c r="Y394" s="42"/>
      <c r="Z394" s="31"/>
      <c r="AA394" s="42"/>
      <c r="AB394" s="42"/>
      <c r="AC394" s="250"/>
      <c r="AD394" s="32"/>
      <c r="AE394" s="282"/>
      <c r="AF394" s="261"/>
      <c r="AG394" s="31"/>
      <c r="AH394" s="32"/>
      <c r="AI394" s="42"/>
      <c r="AJ394" s="42"/>
    </row>
    <row r="395" spans="1:36" x14ac:dyDescent="0.25">
      <c r="A395" s="272"/>
      <c r="B395" s="273"/>
      <c r="C395" s="274"/>
      <c r="D395" s="272"/>
      <c r="E395" s="272"/>
      <c r="F395" s="272"/>
      <c r="G395" s="272"/>
      <c r="H395" s="272"/>
      <c r="I395" s="272"/>
      <c r="J395" s="272"/>
      <c r="K395" s="33"/>
      <c r="L395" s="33"/>
      <c r="M395" s="32"/>
      <c r="N395" s="32"/>
      <c r="O395" s="32"/>
      <c r="P395" s="33"/>
      <c r="Q395" s="32"/>
      <c r="R395" s="240"/>
      <c r="S395" s="32"/>
      <c r="T395" s="32"/>
      <c r="U395" s="250"/>
      <c r="V395" s="32"/>
      <c r="W395" s="33"/>
      <c r="X395" s="32"/>
      <c r="Y395" s="42"/>
      <c r="Z395" s="31"/>
      <c r="AA395" s="42"/>
      <c r="AB395" s="42"/>
      <c r="AC395" s="250"/>
      <c r="AD395" s="32"/>
      <c r="AE395" s="282"/>
      <c r="AF395" s="261"/>
      <c r="AG395" s="31"/>
      <c r="AH395" s="32"/>
      <c r="AI395" s="42"/>
      <c r="AJ395" s="42"/>
    </row>
    <row r="396" spans="1:36" x14ac:dyDescent="0.25">
      <c r="A396" s="272"/>
      <c r="B396" s="273"/>
      <c r="C396" s="274"/>
      <c r="D396" s="272"/>
      <c r="E396" s="272"/>
      <c r="F396" s="272"/>
      <c r="G396" s="272"/>
      <c r="H396" s="272"/>
      <c r="I396" s="272"/>
      <c r="J396" s="272"/>
      <c r="K396" s="33"/>
      <c r="L396" s="33"/>
      <c r="M396" s="32"/>
      <c r="N396" s="32"/>
      <c r="O396" s="32"/>
      <c r="P396" s="33"/>
      <c r="Q396" s="32"/>
      <c r="R396" s="240"/>
      <c r="S396" s="32"/>
      <c r="T396" s="32"/>
      <c r="U396" s="250"/>
      <c r="V396" s="32"/>
      <c r="W396" s="33"/>
      <c r="X396" s="32"/>
      <c r="Y396" s="42"/>
      <c r="Z396" s="31"/>
      <c r="AA396" s="42"/>
      <c r="AB396" s="42"/>
      <c r="AC396" s="250"/>
      <c r="AD396" s="32"/>
      <c r="AE396" s="282"/>
      <c r="AF396" s="261"/>
      <c r="AG396" s="31"/>
      <c r="AH396" s="32"/>
      <c r="AI396" s="42"/>
      <c r="AJ396" s="42"/>
    </row>
    <row r="397" spans="1:36" x14ac:dyDescent="0.25">
      <c r="A397" s="272"/>
      <c r="B397" s="273"/>
      <c r="C397" s="274"/>
      <c r="D397" s="272"/>
      <c r="E397" s="272"/>
      <c r="F397" s="272"/>
      <c r="G397" s="272"/>
      <c r="H397" s="272"/>
      <c r="I397" s="272"/>
      <c r="J397" s="272"/>
      <c r="K397" s="33"/>
      <c r="L397" s="33"/>
      <c r="M397" s="32"/>
      <c r="N397" s="32"/>
      <c r="O397" s="32"/>
      <c r="P397" s="33"/>
      <c r="Q397" s="32"/>
      <c r="R397" s="240"/>
      <c r="S397" s="32"/>
      <c r="T397" s="32"/>
      <c r="U397" s="250"/>
      <c r="V397" s="32"/>
      <c r="W397" s="33"/>
      <c r="X397" s="32"/>
      <c r="Y397" s="42"/>
      <c r="Z397" s="31"/>
      <c r="AA397" s="42"/>
      <c r="AB397" s="42"/>
      <c r="AC397" s="250"/>
      <c r="AD397" s="32"/>
      <c r="AE397" s="282"/>
      <c r="AF397" s="261"/>
      <c r="AG397" s="31"/>
      <c r="AH397" s="32"/>
      <c r="AI397" s="42"/>
      <c r="AJ397" s="42"/>
    </row>
    <row r="398" spans="1:36" x14ac:dyDescent="0.25">
      <c r="A398" s="272"/>
      <c r="B398" s="273"/>
      <c r="C398" s="274"/>
      <c r="D398" s="272"/>
      <c r="E398" s="272"/>
      <c r="F398" s="272"/>
      <c r="G398" s="272"/>
      <c r="H398" s="272"/>
      <c r="I398" s="272"/>
      <c r="J398" s="272"/>
      <c r="K398" s="33"/>
      <c r="L398" s="33"/>
      <c r="M398" s="32"/>
      <c r="N398" s="32"/>
      <c r="O398" s="32"/>
      <c r="P398" s="33"/>
      <c r="Q398" s="32"/>
      <c r="R398" s="240"/>
      <c r="S398" s="32"/>
      <c r="T398" s="32"/>
      <c r="U398" s="250"/>
      <c r="V398" s="32"/>
      <c r="W398" s="33"/>
      <c r="X398" s="32"/>
      <c r="Y398" s="42"/>
      <c r="Z398" s="31"/>
      <c r="AA398" s="42"/>
      <c r="AB398" s="42"/>
      <c r="AC398" s="250"/>
      <c r="AD398" s="32"/>
      <c r="AE398" s="282"/>
      <c r="AF398" s="261"/>
      <c r="AG398" s="31"/>
      <c r="AH398" s="32"/>
      <c r="AI398" s="42"/>
      <c r="AJ398" s="42"/>
    </row>
    <row r="399" spans="1:36" x14ac:dyDescent="0.25">
      <c r="A399" s="272"/>
      <c r="B399" s="273"/>
      <c r="C399" s="274"/>
      <c r="D399" s="272"/>
      <c r="E399" s="272"/>
      <c r="F399" s="272"/>
      <c r="G399" s="272"/>
      <c r="H399" s="272"/>
      <c r="I399" s="272"/>
      <c r="J399" s="272"/>
      <c r="K399" s="33"/>
      <c r="L399" s="33"/>
      <c r="M399" s="32"/>
      <c r="N399" s="32"/>
      <c r="O399" s="32"/>
      <c r="P399" s="33"/>
      <c r="Q399" s="32"/>
      <c r="R399" s="240"/>
      <c r="S399" s="32"/>
      <c r="T399" s="32"/>
      <c r="U399" s="250"/>
      <c r="V399" s="32"/>
      <c r="W399" s="33"/>
      <c r="X399" s="32"/>
      <c r="Y399" s="42"/>
      <c r="Z399" s="31"/>
      <c r="AA399" s="42"/>
      <c r="AB399" s="42"/>
      <c r="AC399" s="250"/>
      <c r="AD399" s="32"/>
      <c r="AE399" s="282"/>
      <c r="AF399" s="261"/>
      <c r="AG399" s="31"/>
      <c r="AH399" s="32"/>
      <c r="AI399" s="42"/>
      <c r="AJ399" s="42"/>
    </row>
    <row r="400" spans="1:36" x14ac:dyDescent="0.25">
      <c r="A400" s="272"/>
      <c r="B400" s="273"/>
      <c r="C400" s="274"/>
      <c r="D400" s="272"/>
      <c r="E400" s="272"/>
      <c r="F400" s="272"/>
      <c r="G400" s="272"/>
      <c r="H400" s="272"/>
      <c r="I400" s="272"/>
      <c r="J400" s="272"/>
      <c r="K400" s="33"/>
      <c r="L400" s="33"/>
      <c r="M400" s="32"/>
      <c r="N400" s="32"/>
      <c r="O400" s="32"/>
      <c r="P400" s="33"/>
      <c r="Q400" s="32"/>
      <c r="R400" s="240"/>
      <c r="S400" s="32"/>
      <c r="T400" s="32"/>
      <c r="U400" s="250"/>
      <c r="V400" s="32"/>
      <c r="W400" s="33"/>
      <c r="X400" s="32"/>
      <c r="Y400" s="42"/>
      <c r="Z400" s="31"/>
      <c r="AA400" s="42"/>
      <c r="AB400" s="42"/>
      <c r="AC400" s="250"/>
      <c r="AD400" s="32"/>
      <c r="AE400" s="282"/>
      <c r="AF400" s="261"/>
      <c r="AG400" s="31"/>
      <c r="AH400" s="32"/>
      <c r="AI400" s="42"/>
      <c r="AJ400" s="42"/>
    </row>
    <row r="401" spans="1:36" x14ac:dyDescent="0.25">
      <c r="A401" s="272"/>
      <c r="B401" s="273"/>
      <c r="C401" s="274"/>
      <c r="D401" s="272"/>
      <c r="E401" s="272"/>
      <c r="F401" s="272"/>
      <c r="G401" s="272"/>
      <c r="H401" s="272"/>
      <c r="I401" s="272"/>
      <c r="J401" s="272"/>
      <c r="K401" s="33"/>
      <c r="L401" s="33"/>
      <c r="M401" s="32"/>
      <c r="N401" s="32"/>
      <c r="O401" s="32"/>
      <c r="P401" s="33"/>
      <c r="Q401" s="32"/>
      <c r="R401" s="240"/>
      <c r="S401" s="32"/>
      <c r="T401" s="32"/>
      <c r="U401" s="250"/>
      <c r="V401" s="32"/>
      <c r="W401" s="33"/>
      <c r="X401" s="32"/>
      <c r="Y401" s="42"/>
      <c r="Z401" s="31"/>
      <c r="AA401" s="42"/>
      <c r="AB401" s="42"/>
      <c r="AC401" s="250"/>
      <c r="AD401" s="32"/>
      <c r="AE401" s="282"/>
      <c r="AF401" s="261"/>
      <c r="AG401" s="31"/>
      <c r="AH401" s="32"/>
      <c r="AI401" s="42"/>
      <c r="AJ401" s="42"/>
    </row>
    <row r="402" spans="1:36" x14ac:dyDescent="0.25">
      <c r="A402" s="272"/>
      <c r="B402" s="273"/>
      <c r="C402" s="274"/>
      <c r="D402" s="272"/>
      <c r="E402" s="272"/>
      <c r="F402" s="272"/>
      <c r="G402" s="272"/>
      <c r="H402" s="272"/>
      <c r="I402" s="272"/>
      <c r="J402" s="272"/>
      <c r="K402" s="33"/>
      <c r="L402" s="33"/>
      <c r="M402" s="32"/>
      <c r="N402" s="32"/>
      <c r="O402" s="32"/>
      <c r="P402" s="33"/>
      <c r="Q402" s="32"/>
      <c r="R402" s="240"/>
      <c r="S402" s="32"/>
      <c r="T402" s="32"/>
      <c r="U402" s="250"/>
      <c r="V402" s="32"/>
      <c r="W402" s="33"/>
      <c r="X402" s="32"/>
      <c r="Y402" s="42"/>
      <c r="Z402" s="31"/>
      <c r="AA402" s="42"/>
      <c r="AB402" s="42"/>
      <c r="AC402" s="250"/>
      <c r="AD402" s="32"/>
      <c r="AE402" s="282"/>
      <c r="AF402" s="261"/>
      <c r="AG402" s="31"/>
      <c r="AH402" s="32"/>
      <c r="AI402" s="42"/>
      <c r="AJ402" s="42"/>
    </row>
    <row r="403" spans="1:36" x14ac:dyDescent="0.25">
      <c r="A403" s="272"/>
      <c r="B403" s="273"/>
      <c r="C403" s="274"/>
      <c r="D403" s="272"/>
      <c r="E403" s="272"/>
      <c r="F403" s="272"/>
      <c r="G403" s="272"/>
      <c r="H403" s="272"/>
      <c r="I403" s="272"/>
      <c r="J403" s="272"/>
      <c r="K403" s="33"/>
      <c r="L403" s="33"/>
      <c r="M403" s="32"/>
      <c r="N403" s="32"/>
      <c r="O403" s="32"/>
      <c r="P403" s="33"/>
      <c r="Q403" s="32"/>
      <c r="R403" s="240"/>
      <c r="S403" s="32"/>
      <c r="T403" s="32"/>
      <c r="U403" s="250"/>
      <c r="V403" s="32"/>
      <c r="W403" s="33"/>
      <c r="X403" s="32"/>
      <c r="Y403" s="42"/>
      <c r="Z403" s="31"/>
      <c r="AA403" s="42"/>
      <c r="AB403" s="42"/>
      <c r="AC403" s="250"/>
      <c r="AD403" s="32"/>
      <c r="AE403" s="282"/>
      <c r="AF403" s="261"/>
      <c r="AG403" s="31"/>
      <c r="AH403" s="32"/>
      <c r="AI403" s="42"/>
      <c r="AJ403" s="42"/>
    </row>
    <row r="404" spans="1:36" x14ac:dyDescent="0.25">
      <c r="A404" s="272"/>
      <c r="B404" s="273"/>
      <c r="C404" s="274"/>
      <c r="D404" s="272"/>
      <c r="E404" s="272"/>
      <c r="F404" s="272"/>
      <c r="G404" s="272"/>
      <c r="H404" s="272"/>
      <c r="I404" s="272"/>
      <c r="J404" s="272"/>
      <c r="K404" s="33"/>
      <c r="L404" s="33"/>
      <c r="M404" s="32"/>
      <c r="N404" s="32"/>
      <c r="O404" s="32"/>
      <c r="P404" s="33"/>
      <c r="Q404" s="32"/>
      <c r="R404" s="240"/>
      <c r="S404" s="32"/>
      <c r="T404" s="32"/>
      <c r="U404" s="250"/>
      <c r="V404" s="32"/>
      <c r="W404" s="33"/>
      <c r="X404" s="32"/>
      <c r="Y404" s="42"/>
      <c r="Z404" s="31"/>
      <c r="AA404" s="42"/>
      <c r="AB404" s="42"/>
      <c r="AC404" s="250"/>
      <c r="AD404" s="32"/>
      <c r="AE404" s="282"/>
      <c r="AF404" s="261"/>
      <c r="AG404" s="31"/>
      <c r="AH404" s="32"/>
      <c r="AI404" s="42"/>
      <c r="AJ404" s="42"/>
    </row>
    <row r="405" spans="1:36" x14ac:dyDescent="0.25">
      <c r="A405" s="272"/>
      <c r="B405" s="273"/>
      <c r="C405" s="274"/>
      <c r="D405" s="272"/>
      <c r="E405" s="272"/>
      <c r="F405" s="272"/>
      <c r="G405" s="272"/>
      <c r="H405" s="272"/>
      <c r="I405" s="272"/>
      <c r="J405" s="272"/>
      <c r="K405" s="33"/>
      <c r="L405" s="33"/>
      <c r="M405" s="32"/>
      <c r="N405" s="32"/>
      <c r="O405" s="32"/>
      <c r="P405" s="33"/>
      <c r="Q405" s="32"/>
      <c r="R405" s="240"/>
      <c r="S405" s="32"/>
      <c r="T405" s="32"/>
      <c r="U405" s="250"/>
      <c r="V405" s="32"/>
      <c r="W405" s="33"/>
      <c r="X405" s="32"/>
      <c r="Y405" s="42"/>
      <c r="Z405" s="31"/>
      <c r="AA405" s="42"/>
      <c r="AB405" s="42"/>
      <c r="AC405" s="250"/>
      <c r="AD405" s="32"/>
      <c r="AE405" s="282"/>
      <c r="AF405" s="261"/>
      <c r="AG405" s="31"/>
      <c r="AH405" s="32"/>
      <c r="AI405" s="42"/>
      <c r="AJ405" s="42"/>
    </row>
    <row r="406" spans="1:36" x14ac:dyDescent="0.25">
      <c r="A406" s="272"/>
      <c r="B406" s="273"/>
      <c r="C406" s="274"/>
      <c r="D406" s="272"/>
      <c r="E406" s="272"/>
      <c r="F406" s="272"/>
      <c r="G406" s="272"/>
      <c r="H406" s="272"/>
      <c r="I406" s="272"/>
      <c r="J406" s="272"/>
      <c r="K406" s="33"/>
      <c r="L406" s="33"/>
      <c r="M406" s="32"/>
      <c r="N406" s="32"/>
      <c r="O406" s="32"/>
      <c r="P406" s="33"/>
      <c r="Q406" s="32"/>
      <c r="R406" s="240"/>
      <c r="S406" s="32"/>
      <c r="T406" s="32"/>
      <c r="U406" s="250"/>
      <c r="V406" s="32"/>
      <c r="W406" s="33"/>
      <c r="X406" s="32"/>
      <c r="Y406" s="42"/>
      <c r="Z406" s="31"/>
      <c r="AA406" s="42"/>
      <c r="AB406" s="42"/>
      <c r="AC406" s="250"/>
      <c r="AD406" s="32"/>
      <c r="AE406" s="282"/>
      <c r="AF406" s="261"/>
      <c r="AG406" s="31"/>
      <c r="AH406" s="32"/>
      <c r="AI406" s="42"/>
      <c r="AJ406" s="42"/>
    </row>
    <row r="407" spans="1:36" x14ac:dyDescent="0.25">
      <c r="A407" s="272"/>
      <c r="B407" s="273"/>
      <c r="C407" s="274"/>
      <c r="D407" s="272"/>
      <c r="E407" s="272"/>
      <c r="F407" s="272"/>
      <c r="G407" s="272"/>
      <c r="H407" s="272"/>
      <c r="I407" s="272"/>
      <c r="J407" s="272"/>
      <c r="K407" s="33"/>
      <c r="L407" s="33"/>
      <c r="M407" s="32"/>
      <c r="N407" s="32"/>
      <c r="O407" s="32"/>
      <c r="P407" s="33"/>
      <c r="Q407" s="32"/>
      <c r="R407" s="240"/>
      <c r="S407" s="32"/>
      <c r="T407" s="32"/>
      <c r="U407" s="250"/>
      <c r="V407" s="32"/>
      <c r="W407" s="33"/>
      <c r="X407" s="32"/>
      <c r="Y407" s="42"/>
      <c r="Z407" s="31"/>
      <c r="AA407" s="42"/>
      <c r="AB407" s="42"/>
      <c r="AC407" s="250"/>
      <c r="AD407" s="32"/>
      <c r="AE407" s="282"/>
      <c r="AF407" s="261"/>
      <c r="AG407" s="31"/>
      <c r="AH407" s="32"/>
      <c r="AI407" s="42"/>
      <c r="AJ407" s="42"/>
    </row>
    <row r="408" spans="1:36" x14ac:dyDescent="0.25">
      <c r="A408" s="272"/>
      <c r="B408" s="273"/>
      <c r="C408" s="274"/>
      <c r="D408" s="272"/>
      <c r="E408" s="272"/>
      <c r="F408" s="272"/>
      <c r="G408" s="272"/>
      <c r="H408" s="272"/>
      <c r="I408" s="272"/>
      <c r="J408" s="272"/>
      <c r="K408" s="33"/>
      <c r="L408" s="33"/>
      <c r="M408" s="32"/>
      <c r="N408" s="32"/>
      <c r="O408" s="32"/>
      <c r="P408" s="33"/>
      <c r="Q408" s="32"/>
      <c r="R408" s="240"/>
      <c r="S408" s="32"/>
      <c r="T408" s="32"/>
      <c r="U408" s="250"/>
      <c r="V408" s="32"/>
      <c r="W408" s="33"/>
      <c r="X408" s="32"/>
      <c r="Y408" s="42"/>
      <c r="Z408" s="31"/>
      <c r="AA408" s="42"/>
      <c r="AB408" s="42"/>
      <c r="AC408" s="250"/>
      <c r="AD408" s="32"/>
      <c r="AE408" s="282"/>
      <c r="AF408" s="261"/>
      <c r="AG408" s="31"/>
      <c r="AH408" s="32"/>
      <c r="AI408" s="42"/>
      <c r="AJ408" s="42"/>
    </row>
    <row r="409" spans="1:36" x14ac:dyDescent="0.25">
      <c r="A409" s="272"/>
      <c r="B409" s="273"/>
      <c r="C409" s="274"/>
      <c r="D409" s="272"/>
      <c r="E409" s="272"/>
      <c r="F409" s="272"/>
      <c r="G409" s="272"/>
      <c r="H409" s="272"/>
      <c r="I409" s="272"/>
      <c r="J409" s="272"/>
      <c r="K409" s="33"/>
      <c r="L409" s="33"/>
      <c r="M409" s="32"/>
      <c r="N409" s="32"/>
      <c r="O409" s="32"/>
      <c r="P409" s="33"/>
      <c r="Q409" s="32"/>
      <c r="R409" s="240"/>
      <c r="S409" s="32"/>
      <c r="T409" s="32"/>
      <c r="U409" s="250"/>
      <c r="V409" s="32"/>
      <c r="W409" s="33"/>
      <c r="X409" s="32"/>
      <c r="Y409" s="42"/>
      <c r="Z409" s="31"/>
      <c r="AA409" s="42"/>
      <c r="AB409" s="42"/>
      <c r="AC409" s="250"/>
      <c r="AD409" s="32"/>
      <c r="AE409" s="282"/>
      <c r="AF409" s="261"/>
      <c r="AG409" s="31"/>
      <c r="AH409" s="32"/>
      <c r="AI409" s="42"/>
      <c r="AJ409" s="42"/>
    </row>
    <row r="410" spans="1:36" x14ac:dyDescent="0.25">
      <c r="A410" s="272"/>
      <c r="B410" s="273"/>
      <c r="C410" s="274"/>
      <c r="D410" s="272"/>
      <c r="E410" s="272"/>
      <c r="F410" s="272"/>
      <c r="G410" s="272"/>
      <c r="H410" s="272"/>
      <c r="I410" s="272"/>
      <c r="J410" s="272"/>
      <c r="K410" s="33"/>
      <c r="L410" s="33"/>
      <c r="M410" s="32"/>
      <c r="N410" s="32"/>
      <c r="O410" s="32"/>
      <c r="P410" s="33"/>
      <c r="Q410" s="32"/>
      <c r="R410" s="240"/>
      <c r="S410" s="32"/>
      <c r="T410" s="32"/>
      <c r="U410" s="250"/>
      <c r="V410" s="32"/>
      <c r="W410" s="33"/>
      <c r="X410" s="32"/>
      <c r="Y410" s="42"/>
      <c r="Z410" s="31"/>
      <c r="AA410" s="42"/>
      <c r="AB410" s="42"/>
      <c r="AC410" s="250"/>
      <c r="AD410" s="32"/>
      <c r="AE410" s="282"/>
      <c r="AF410" s="261"/>
      <c r="AG410" s="31"/>
      <c r="AH410" s="32"/>
      <c r="AI410" s="42"/>
      <c r="AJ410" s="42"/>
    </row>
    <row r="411" spans="1:36" x14ac:dyDescent="0.25">
      <c r="A411" s="272"/>
      <c r="B411" s="273"/>
      <c r="C411" s="274"/>
      <c r="D411" s="272"/>
      <c r="E411" s="272"/>
      <c r="F411" s="272"/>
      <c r="G411" s="272"/>
      <c r="H411" s="272"/>
      <c r="I411" s="272"/>
      <c r="J411" s="272"/>
      <c r="K411" s="33"/>
      <c r="L411" s="33"/>
      <c r="M411" s="32"/>
      <c r="N411" s="32"/>
      <c r="O411" s="32"/>
      <c r="P411" s="33"/>
      <c r="Q411" s="32"/>
      <c r="R411" s="240"/>
      <c r="S411" s="32"/>
      <c r="T411" s="32"/>
      <c r="U411" s="250"/>
      <c r="V411" s="32"/>
      <c r="W411" s="33"/>
      <c r="X411" s="32"/>
      <c r="Y411" s="42"/>
      <c r="Z411" s="31"/>
      <c r="AA411" s="42"/>
      <c r="AB411" s="42"/>
      <c r="AC411" s="250"/>
      <c r="AD411" s="32"/>
      <c r="AE411" s="282"/>
      <c r="AF411" s="261"/>
      <c r="AG411" s="31"/>
      <c r="AH411" s="32"/>
      <c r="AI411" s="42"/>
      <c r="AJ411" s="42"/>
    </row>
    <row r="412" spans="1:36" x14ac:dyDescent="0.25">
      <c r="A412" s="272"/>
      <c r="B412" s="273"/>
      <c r="C412" s="274"/>
      <c r="D412" s="272"/>
      <c r="E412" s="272"/>
      <c r="F412" s="272"/>
      <c r="G412" s="272"/>
      <c r="H412" s="272"/>
      <c r="I412" s="272"/>
      <c r="J412" s="272"/>
      <c r="K412" s="33"/>
      <c r="L412" s="33"/>
      <c r="M412" s="32"/>
      <c r="N412" s="32"/>
      <c r="O412" s="32"/>
      <c r="P412" s="33"/>
      <c r="Q412" s="32"/>
      <c r="R412" s="240"/>
      <c r="S412" s="32"/>
      <c r="T412" s="32"/>
      <c r="U412" s="250"/>
      <c r="V412" s="32"/>
      <c r="W412" s="33"/>
      <c r="X412" s="32"/>
      <c r="Y412" s="42"/>
      <c r="Z412" s="31"/>
      <c r="AA412" s="42"/>
      <c r="AB412" s="42"/>
      <c r="AC412" s="250"/>
      <c r="AD412" s="32"/>
      <c r="AE412" s="282"/>
      <c r="AF412" s="261"/>
      <c r="AG412" s="31"/>
      <c r="AH412" s="32"/>
      <c r="AI412" s="42"/>
      <c r="AJ412" s="42"/>
    </row>
    <row r="413" spans="1:36" x14ac:dyDescent="0.25">
      <c r="A413" s="272"/>
      <c r="B413" s="273"/>
      <c r="C413" s="274"/>
      <c r="D413" s="272"/>
      <c r="E413" s="272"/>
      <c r="F413" s="272"/>
      <c r="G413" s="272"/>
      <c r="H413" s="272"/>
      <c r="I413" s="272"/>
      <c r="J413" s="272"/>
      <c r="K413" s="33"/>
      <c r="L413" s="33"/>
      <c r="M413" s="32"/>
      <c r="N413" s="32"/>
      <c r="O413" s="32"/>
      <c r="P413" s="33"/>
      <c r="Q413" s="32"/>
      <c r="R413" s="240"/>
      <c r="S413" s="32"/>
      <c r="T413" s="32"/>
      <c r="U413" s="250"/>
      <c r="V413" s="32"/>
      <c r="W413" s="33"/>
      <c r="X413" s="32"/>
      <c r="Y413" s="42"/>
      <c r="Z413" s="31"/>
      <c r="AA413" s="42"/>
      <c r="AB413" s="42"/>
      <c r="AC413" s="250"/>
      <c r="AD413" s="32"/>
      <c r="AE413" s="282"/>
      <c r="AF413" s="261"/>
      <c r="AG413" s="31"/>
      <c r="AH413" s="32"/>
      <c r="AI413" s="42"/>
      <c r="AJ413" s="42"/>
    </row>
    <row r="414" spans="1:36" x14ac:dyDescent="0.25">
      <c r="A414" s="272"/>
      <c r="B414" s="273"/>
      <c r="C414" s="274"/>
      <c r="D414" s="272"/>
      <c r="E414" s="272"/>
      <c r="F414" s="272"/>
      <c r="G414" s="272"/>
      <c r="H414" s="272"/>
      <c r="I414" s="272"/>
      <c r="J414" s="272"/>
      <c r="K414" s="33"/>
      <c r="L414" s="33"/>
      <c r="M414" s="32"/>
      <c r="N414" s="32"/>
      <c r="O414" s="32"/>
      <c r="P414" s="33"/>
      <c r="Q414" s="32"/>
      <c r="R414" s="240"/>
      <c r="S414" s="32"/>
      <c r="T414" s="32"/>
      <c r="U414" s="250"/>
      <c r="V414" s="32"/>
      <c r="W414" s="33"/>
      <c r="X414" s="32"/>
      <c r="Y414" s="42"/>
      <c r="Z414" s="31"/>
      <c r="AA414" s="42"/>
      <c r="AB414" s="42"/>
      <c r="AC414" s="250"/>
      <c r="AD414" s="32"/>
      <c r="AE414" s="282"/>
      <c r="AF414" s="261"/>
      <c r="AG414" s="31"/>
      <c r="AH414" s="32"/>
      <c r="AI414" s="42"/>
      <c r="AJ414" s="42"/>
    </row>
    <row r="415" spans="1:36" x14ac:dyDescent="0.25">
      <c r="A415" s="272"/>
      <c r="B415" s="273"/>
      <c r="C415" s="274"/>
      <c r="D415" s="272"/>
      <c r="E415" s="272"/>
      <c r="F415" s="272"/>
      <c r="G415" s="272"/>
      <c r="H415" s="272"/>
      <c r="I415" s="272"/>
      <c r="J415" s="272"/>
      <c r="K415" s="33"/>
      <c r="L415" s="33"/>
      <c r="M415" s="32"/>
      <c r="N415" s="32"/>
      <c r="O415" s="32"/>
      <c r="P415" s="33"/>
      <c r="Q415" s="32"/>
      <c r="R415" s="240"/>
      <c r="S415" s="32"/>
      <c r="T415" s="32"/>
      <c r="U415" s="250"/>
      <c r="V415" s="32"/>
      <c r="W415" s="33"/>
      <c r="X415" s="32"/>
      <c r="Y415" s="42"/>
      <c r="Z415" s="31"/>
      <c r="AA415" s="42"/>
      <c r="AB415" s="42"/>
      <c r="AC415" s="250"/>
      <c r="AD415" s="32"/>
      <c r="AE415" s="282"/>
      <c r="AF415" s="261"/>
      <c r="AG415" s="31"/>
      <c r="AH415" s="32"/>
      <c r="AI415" s="42"/>
      <c r="AJ415" s="42"/>
    </row>
    <row r="416" spans="1:36" x14ac:dyDescent="0.25">
      <c r="A416" s="272"/>
      <c r="B416" s="273"/>
      <c r="C416" s="274"/>
      <c r="D416" s="272"/>
      <c r="E416" s="272"/>
      <c r="F416" s="272"/>
      <c r="G416" s="272"/>
      <c r="H416" s="272"/>
      <c r="I416" s="272"/>
      <c r="J416" s="272"/>
      <c r="K416" s="33"/>
      <c r="L416" s="33"/>
      <c r="M416" s="32"/>
      <c r="N416" s="32"/>
      <c r="O416" s="32"/>
      <c r="P416" s="33"/>
      <c r="Q416" s="32"/>
      <c r="R416" s="240"/>
      <c r="S416" s="32"/>
      <c r="T416" s="32"/>
      <c r="U416" s="250"/>
      <c r="V416" s="32"/>
      <c r="W416" s="33"/>
      <c r="X416" s="32"/>
      <c r="Y416" s="42"/>
      <c r="Z416" s="31"/>
      <c r="AA416" s="42"/>
      <c r="AB416" s="42"/>
      <c r="AC416" s="250"/>
      <c r="AD416" s="32"/>
      <c r="AE416" s="282"/>
      <c r="AF416" s="261"/>
      <c r="AG416" s="31"/>
      <c r="AH416" s="32"/>
      <c r="AI416" s="42"/>
      <c r="AJ416" s="42"/>
    </row>
    <row r="417" spans="1:36" x14ac:dyDescent="0.25">
      <c r="A417" s="272"/>
      <c r="B417" s="273"/>
      <c r="C417" s="274"/>
      <c r="D417" s="272"/>
      <c r="E417" s="272"/>
      <c r="F417" s="272"/>
      <c r="G417" s="272"/>
      <c r="H417" s="272"/>
      <c r="I417" s="272"/>
      <c r="J417" s="272"/>
      <c r="K417" s="33"/>
      <c r="L417" s="33"/>
      <c r="M417" s="32"/>
      <c r="N417" s="32"/>
      <c r="O417" s="32"/>
      <c r="P417" s="33"/>
      <c r="Q417" s="32"/>
      <c r="R417" s="240"/>
      <c r="S417" s="32"/>
      <c r="T417" s="32"/>
      <c r="U417" s="250"/>
      <c r="V417" s="32"/>
      <c r="W417" s="33"/>
      <c r="X417" s="32"/>
      <c r="Y417" s="42"/>
      <c r="Z417" s="31"/>
      <c r="AA417" s="42"/>
      <c r="AB417" s="42"/>
      <c r="AC417" s="250"/>
      <c r="AD417" s="32"/>
      <c r="AE417" s="282"/>
      <c r="AF417" s="261"/>
      <c r="AG417" s="31"/>
      <c r="AH417" s="32"/>
      <c r="AI417" s="42"/>
      <c r="AJ417" s="42"/>
    </row>
    <row r="418" spans="1:36" x14ac:dyDescent="0.25">
      <c r="A418" s="272"/>
      <c r="B418" s="273"/>
      <c r="C418" s="274"/>
      <c r="D418" s="272"/>
      <c r="E418" s="272"/>
      <c r="F418" s="272"/>
      <c r="G418" s="272"/>
      <c r="H418" s="272"/>
      <c r="I418" s="272"/>
      <c r="J418" s="272"/>
      <c r="K418" s="33"/>
      <c r="L418" s="33"/>
      <c r="M418" s="32"/>
      <c r="N418" s="32"/>
      <c r="O418" s="32"/>
      <c r="P418" s="33"/>
      <c r="Q418" s="32"/>
      <c r="R418" s="240"/>
      <c r="S418" s="32"/>
      <c r="T418" s="32"/>
      <c r="U418" s="250"/>
      <c r="V418" s="32"/>
      <c r="W418" s="33"/>
      <c r="X418" s="32"/>
      <c r="Y418" s="42"/>
      <c r="Z418" s="31"/>
      <c r="AA418" s="42"/>
      <c r="AB418" s="42"/>
      <c r="AC418" s="250"/>
      <c r="AD418" s="32"/>
      <c r="AE418" s="282"/>
      <c r="AF418" s="261"/>
      <c r="AG418" s="31"/>
      <c r="AH418" s="32"/>
      <c r="AI418" s="42"/>
      <c r="AJ418" s="42"/>
    </row>
    <row r="419" spans="1:36" x14ac:dyDescent="0.25">
      <c r="A419" s="272"/>
      <c r="B419" s="273"/>
      <c r="C419" s="274"/>
      <c r="D419" s="272"/>
      <c r="E419" s="272"/>
      <c r="F419" s="272"/>
      <c r="G419" s="272"/>
      <c r="H419" s="272"/>
      <c r="I419" s="272"/>
      <c r="J419" s="272"/>
      <c r="K419" s="33"/>
      <c r="L419" s="33"/>
      <c r="M419" s="32"/>
      <c r="N419" s="32"/>
      <c r="O419" s="32"/>
      <c r="P419" s="33"/>
      <c r="Q419" s="32"/>
      <c r="R419" s="240"/>
      <c r="S419" s="32"/>
      <c r="T419" s="32"/>
      <c r="U419" s="250"/>
      <c r="V419" s="32"/>
      <c r="W419" s="33"/>
      <c r="X419" s="32"/>
      <c r="Y419" s="42"/>
      <c r="Z419" s="31"/>
      <c r="AA419" s="42"/>
      <c r="AB419" s="42"/>
      <c r="AC419" s="250"/>
      <c r="AD419" s="32"/>
      <c r="AE419" s="282"/>
      <c r="AF419" s="261"/>
      <c r="AG419" s="31"/>
      <c r="AH419" s="32"/>
      <c r="AI419" s="42"/>
      <c r="AJ419" s="42"/>
    </row>
    <row r="420" spans="1:36" x14ac:dyDescent="0.25">
      <c r="A420" s="272"/>
      <c r="B420" s="273"/>
      <c r="C420" s="274"/>
      <c r="D420" s="272"/>
      <c r="E420" s="272"/>
      <c r="F420" s="272"/>
      <c r="G420" s="272"/>
      <c r="H420" s="272"/>
      <c r="I420" s="272"/>
      <c r="J420" s="272"/>
      <c r="K420" s="33"/>
      <c r="L420" s="33"/>
      <c r="M420" s="32"/>
      <c r="N420" s="32"/>
      <c r="O420" s="32"/>
      <c r="P420" s="33"/>
      <c r="Q420" s="32"/>
      <c r="R420" s="240"/>
      <c r="S420" s="32"/>
      <c r="T420" s="32"/>
      <c r="U420" s="250"/>
      <c r="V420" s="32"/>
      <c r="W420" s="33"/>
      <c r="X420" s="32"/>
      <c r="Y420" s="42"/>
      <c r="Z420" s="31"/>
      <c r="AA420" s="42"/>
      <c r="AB420" s="42"/>
      <c r="AC420" s="250"/>
      <c r="AD420" s="32"/>
      <c r="AE420" s="282"/>
      <c r="AF420" s="261"/>
      <c r="AG420" s="31"/>
      <c r="AH420" s="32"/>
      <c r="AI420" s="42"/>
      <c r="AJ420" s="42"/>
    </row>
    <row r="421" spans="1:36" x14ac:dyDescent="0.25">
      <c r="A421" s="272"/>
      <c r="B421" s="273"/>
      <c r="C421" s="274"/>
      <c r="D421" s="272"/>
      <c r="E421" s="272"/>
      <c r="F421" s="272"/>
      <c r="G421" s="272"/>
      <c r="H421" s="272"/>
      <c r="I421" s="272"/>
      <c r="J421" s="272"/>
      <c r="K421" s="33"/>
      <c r="L421" s="33"/>
      <c r="M421" s="32"/>
      <c r="N421" s="32"/>
      <c r="O421" s="32"/>
      <c r="P421" s="33"/>
      <c r="Q421" s="32"/>
      <c r="R421" s="240"/>
      <c r="S421" s="32"/>
      <c r="T421" s="32"/>
      <c r="U421" s="250"/>
      <c r="V421" s="32"/>
      <c r="W421" s="33"/>
      <c r="X421" s="32"/>
      <c r="Y421" s="42"/>
      <c r="Z421" s="31"/>
      <c r="AA421" s="42"/>
      <c r="AB421" s="42"/>
      <c r="AC421" s="250"/>
      <c r="AD421" s="32"/>
      <c r="AE421" s="282"/>
      <c r="AF421" s="261"/>
      <c r="AG421" s="31"/>
      <c r="AH421" s="32"/>
      <c r="AI421" s="42"/>
      <c r="AJ421" s="42"/>
    </row>
    <row r="422" spans="1:36" x14ac:dyDescent="0.25">
      <c r="A422" s="272"/>
      <c r="B422" s="273"/>
      <c r="C422" s="274"/>
      <c r="D422" s="272"/>
      <c r="E422" s="272"/>
      <c r="F422" s="272"/>
      <c r="G422" s="272"/>
      <c r="H422" s="272"/>
      <c r="I422" s="272"/>
      <c r="J422" s="272"/>
      <c r="K422" s="33"/>
      <c r="L422" s="33"/>
      <c r="M422" s="32"/>
      <c r="N422" s="32"/>
      <c r="O422" s="32"/>
      <c r="P422" s="33"/>
      <c r="Q422" s="32"/>
      <c r="R422" s="240"/>
      <c r="S422" s="32"/>
      <c r="T422" s="32"/>
      <c r="U422" s="250"/>
      <c r="V422" s="32"/>
      <c r="W422" s="33"/>
      <c r="X422" s="32"/>
      <c r="Y422" s="42"/>
      <c r="Z422" s="31"/>
      <c r="AA422" s="42"/>
      <c r="AB422" s="42"/>
      <c r="AC422" s="250"/>
      <c r="AD422" s="32"/>
      <c r="AE422" s="282"/>
      <c r="AF422" s="261"/>
      <c r="AG422" s="31"/>
      <c r="AH422" s="32"/>
      <c r="AI422" s="42"/>
      <c r="AJ422" s="42"/>
    </row>
    <row r="423" spans="1:36" x14ac:dyDescent="0.25">
      <c r="A423" s="272"/>
      <c r="B423" s="273"/>
      <c r="C423" s="274"/>
      <c r="D423" s="272"/>
      <c r="E423" s="272"/>
      <c r="F423" s="272"/>
      <c r="G423" s="272"/>
      <c r="H423" s="272"/>
      <c r="I423" s="272"/>
      <c r="J423" s="272"/>
      <c r="K423" s="33"/>
      <c r="L423" s="33"/>
      <c r="M423" s="32"/>
      <c r="N423" s="32"/>
      <c r="O423" s="32"/>
      <c r="P423" s="33"/>
      <c r="Q423" s="32"/>
      <c r="R423" s="240"/>
      <c r="S423" s="32"/>
      <c r="T423" s="32"/>
      <c r="U423" s="250"/>
      <c r="V423" s="32"/>
      <c r="W423" s="33"/>
      <c r="X423" s="32"/>
      <c r="Y423" s="42"/>
      <c r="Z423" s="31"/>
      <c r="AA423" s="42"/>
      <c r="AB423" s="42"/>
      <c r="AC423" s="250"/>
      <c r="AD423" s="32"/>
      <c r="AE423" s="282"/>
      <c r="AF423" s="261"/>
      <c r="AG423" s="31"/>
      <c r="AH423" s="32"/>
      <c r="AI423" s="42"/>
      <c r="AJ423" s="42"/>
    </row>
    <row r="424" spans="1:36" x14ac:dyDescent="0.25">
      <c r="A424" s="272"/>
      <c r="B424" s="273"/>
      <c r="C424" s="274"/>
      <c r="D424" s="272"/>
      <c r="E424" s="272"/>
      <c r="F424" s="272"/>
      <c r="G424" s="272"/>
      <c r="H424" s="272"/>
      <c r="I424" s="272"/>
      <c r="J424" s="272"/>
      <c r="K424" s="33"/>
      <c r="L424" s="33"/>
      <c r="M424" s="32"/>
      <c r="N424" s="32"/>
      <c r="O424" s="32"/>
      <c r="P424" s="33"/>
      <c r="Q424" s="32"/>
      <c r="R424" s="240"/>
      <c r="S424" s="32"/>
      <c r="T424" s="32"/>
      <c r="U424" s="250"/>
      <c r="V424" s="32"/>
      <c r="W424" s="33"/>
      <c r="X424" s="32"/>
      <c r="Y424" s="42"/>
      <c r="Z424" s="31"/>
      <c r="AA424" s="42"/>
      <c r="AB424" s="42"/>
      <c r="AC424" s="250"/>
      <c r="AD424" s="32"/>
      <c r="AE424" s="282"/>
      <c r="AF424" s="261"/>
      <c r="AG424" s="31"/>
      <c r="AH424" s="32"/>
      <c r="AI424" s="42"/>
      <c r="AJ424" s="42"/>
    </row>
    <row r="425" spans="1:36" x14ac:dyDescent="0.25">
      <c r="A425" s="272"/>
      <c r="B425" s="273"/>
      <c r="C425" s="274"/>
      <c r="D425" s="272"/>
      <c r="E425" s="272"/>
      <c r="F425" s="272"/>
      <c r="G425" s="272"/>
      <c r="H425" s="272"/>
      <c r="I425" s="272"/>
      <c r="J425" s="272"/>
      <c r="K425" s="33"/>
      <c r="L425" s="33"/>
      <c r="M425" s="32"/>
      <c r="N425" s="32"/>
      <c r="O425" s="32"/>
      <c r="P425" s="33"/>
      <c r="Q425" s="32"/>
      <c r="R425" s="240"/>
      <c r="S425" s="32"/>
      <c r="T425" s="32"/>
      <c r="U425" s="250"/>
      <c r="V425" s="32"/>
      <c r="W425" s="33"/>
      <c r="X425" s="32"/>
      <c r="Y425" s="42"/>
      <c r="Z425" s="31"/>
      <c r="AA425" s="42"/>
      <c r="AB425" s="42"/>
      <c r="AC425" s="250"/>
      <c r="AD425" s="32"/>
      <c r="AE425" s="282"/>
      <c r="AF425" s="261"/>
      <c r="AG425" s="31"/>
      <c r="AH425" s="32"/>
      <c r="AI425" s="42"/>
      <c r="AJ425" s="42"/>
    </row>
    <row r="426" spans="1:36" x14ac:dyDescent="0.25">
      <c r="A426" s="272"/>
      <c r="B426" s="273"/>
      <c r="C426" s="274"/>
      <c r="D426" s="272"/>
      <c r="E426" s="272"/>
      <c r="F426" s="272"/>
      <c r="G426" s="272"/>
      <c r="H426" s="272"/>
      <c r="I426" s="272"/>
      <c r="J426" s="272"/>
      <c r="K426" s="33"/>
      <c r="L426" s="33"/>
      <c r="M426" s="32"/>
      <c r="N426" s="32"/>
      <c r="O426" s="32"/>
      <c r="P426" s="33"/>
      <c r="Q426" s="32"/>
      <c r="R426" s="240"/>
      <c r="S426" s="32"/>
      <c r="T426" s="32"/>
      <c r="U426" s="250"/>
      <c r="V426" s="32"/>
      <c r="W426" s="33"/>
      <c r="X426" s="32"/>
      <c r="Y426" s="42"/>
      <c r="Z426" s="31"/>
      <c r="AA426" s="42"/>
      <c r="AB426" s="42"/>
      <c r="AC426" s="250"/>
      <c r="AD426" s="32"/>
      <c r="AE426" s="282"/>
      <c r="AF426" s="261"/>
      <c r="AG426" s="31"/>
      <c r="AH426" s="32"/>
      <c r="AI426" s="42"/>
      <c r="AJ426" s="42"/>
    </row>
    <row r="427" spans="1:36" x14ac:dyDescent="0.25">
      <c r="A427" s="272"/>
      <c r="B427" s="273"/>
      <c r="C427" s="274"/>
      <c r="D427" s="272"/>
      <c r="E427" s="272"/>
      <c r="F427" s="272"/>
      <c r="G427" s="272"/>
      <c r="H427" s="272"/>
      <c r="I427" s="272"/>
      <c r="J427" s="272"/>
      <c r="K427" s="33"/>
      <c r="L427" s="33"/>
      <c r="M427" s="32"/>
      <c r="N427" s="32"/>
      <c r="O427" s="32"/>
      <c r="P427" s="33"/>
      <c r="Q427" s="32"/>
      <c r="R427" s="240"/>
      <c r="S427" s="32"/>
      <c r="T427" s="32"/>
      <c r="U427" s="250"/>
      <c r="V427" s="32"/>
      <c r="W427" s="33"/>
      <c r="X427" s="32"/>
      <c r="Y427" s="42"/>
      <c r="Z427" s="31"/>
      <c r="AA427" s="42"/>
      <c r="AB427" s="42"/>
      <c r="AC427" s="250"/>
      <c r="AD427" s="32"/>
      <c r="AE427" s="282"/>
      <c r="AF427" s="261"/>
      <c r="AG427" s="31"/>
      <c r="AH427" s="32"/>
      <c r="AI427" s="42"/>
      <c r="AJ427" s="42"/>
    </row>
    <row r="428" spans="1:36" x14ac:dyDescent="0.25">
      <c r="A428" s="272"/>
      <c r="B428" s="273"/>
      <c r="C428" s="274"/>
      <c r="D428" s="272"/>
      <c r="E428" s="272"/>
      <c r="F428" s="272"/>
      <c r="G428" s="272"/>
      <c r="H428" s="272"/>
      <c r="I428" s="272"/>
      <c r="J428" s="272"/>
      <c r="K428" s="33"/>
      <c r="L428" s="33"/>
      <c r="M428" s="32"/>
      <c r="N428" s="32"/>
      <c r="O428" s="32"/>
      <c r="P428" s="33"/>
      <c r="Q428" s="32"/>
      <c r="R428" s="240"/>
      <c r="S428" s="32"/>
      <c r="T428" s="32"/>
      <c r="U428" s="250"/>
      <c r="V428" s="32"/>
      <c r="W428" s="33"/>
      <c r="X428" s="32"/>
      <c r="Y428" s="42"/>
      <c r="Z428" s="31"/>
      <c r="AA428" s="42"/>
      <c r="AB428" s="42"/>
      <c r="AC428" s="250"/>
      <c r="AD428" s="32"/>
      <c r="AE428" s="282"/>
      <c r="AF428" s="261"/>
      <c r="AG428" s="31"/>
      <c r="AH428" s="32"/>
      <c r="AI428" s="42"/>
      <c r="AJ428" s="42"/>
    </row>
    <row r="429" spans="1:36" x14ac:dyDescent="0.25">
      <c r="A429" s="272"/>
      <c r="B429" s="273"/>
      <c r="C429" s="274"/>
      <c r="D429" s="272"/>
      <c r="E429" s="272"/>
      <c r="F429" s="272"/>
      <c r="G429" s="272"/>
      <c r="H429" s="272"/>
      <c r="I429" s="272"/>
      <c r="J429" s="272"/>
      <c r="K429" s="33"/>
      <c r="L429" s="33"/>
      <c r="M429" s="32"/>
      <c r="N429" s="32"/>
      <c r="O429" s="32"/>
      <c r="P429" s="33"/>
      <c r="Q429" s="32"/>
      <c r="R429" s="240"/>
      <c r="S429" s="32"/>
      <c r="T429" s="32"/>
      <c r="U429" s="250"/>
      <c r="V429" s="32"/>
      <c r="W429" s="33"/>
      <c r="X429" s="32"/>
      <c r="Y429" s="42"/>
      <c r="Z429" s="31"/>
      <c r="AA429" s="42"/>
      <c r="AB429" s="42"/>
      <c r="AC429" s="250"/>
      <c r="AD429" s="32"/>
      <c r="AE429" s="282"/>
      <c r="AF429" s="261"/>
      <c r="AG429" s="31"/>
      <c r="AH429" s="32"/>
      <c r="AI429" s="42"/>
      <c r="AJ429" s="42"/>
    </row>
    <row r="430" spans="1:36" x14ac:dyDescent="0.25">
      <c r="A430" s="272"/>
      <c r="B430" s="273"/>
      <c r="C430" s="274"/>
      <c r="D430" s="272"/>
      <c r="E430" s="272"/>
      <c r="F430" s="272"/>
      <c r="G430" s="272"/>
      <c r="H430" s="272"/>
      <c r="I430" s="272"/>
      <c r="J430" s="272"/>
      <c r="K430" s="33"/>
      <c r="L430" s="33"/>
      <c r="M430" s="32"/>
      <c r="N430" s="32"/>
      <c r="O430" s="32"/>
      <c r="P430" s="33"/>
      <c r="Q430" s="32"/>
      <c r="R430" s="240"/>
      <c r="S430" s="32"/>
      <c r="T430" s="32"/>
      <c r="U430" s="250"/>
      <c r="V430" s="32"/>
      <c r="W430" s="33"/>
      <c r="X430" s="32"/>
      <c r="Y430" s="42"/>
      <c r="Z430" s="31"/>
      <c r="AA430" s="42"/>
      <c r="AB430" s="42"/>
      <c r="AC430" s="250"/>
      <c r="AD430" s="32"/>
      <c r="AE430" s="282"/>
      <c r="AF430" s="261"/>
      <c r="AG430" s="31"/>
      <c r="AH430" s="32"/>
      <c r="AI430" s="42"/>
      <c r="AJ430" s="42"/>
    </row>
    <row r="431" spans="1:36" x14ac:dyDescent="0.25">
      <c r="A431" s="272"/>
      <c r="B431" s="273"/>
      <c r="C431" s="274"/>
      <c r="D431" s="272"/>
      <c r="E431" s="272"/>
      <c r="F431" s="272"/>
      <c r="G431" s="272"/>
      <c r="H431" s="272"/>
      <c r="I431" s="272"/>
      <c r="J431" s="272"/>
      <c r="K431" s="33"/>
      <c r="L431" s="33"/>
      <c r="M431" s="32"/>
      <c r="N431" s="32"/>
      <c r="O431" s="32"/>
      <c r="P431" s="33"/>
      <c r="Q431" s="32"/>
      <c r="R431" s="240"/>
      <c r="S431" s="32"/>
      <c r="T431" s="32"/>
      <c r="U431" s="250"/>
      <c r="V431" s="32"/>
      <c r="W431" s="33"/>
      <c r="X431" s="32"/>
      <c r="Y431" s="42"/>
      <c r="Z431" s="31"/>
      <c r="AA431" s="42"/>
      <c r="AB431" s="42"/>
      <c r="AC431" s="250"/>
      <c r="AD431" s="32"/>
      <c r="AE431" s="282"/>
      <c r="AF431" s="261"/>
      <c r="AG431" s="31"/>
      <c r="AH431" s="32"/>
      <c r="AI431" s="42"/>
      <c r="AJ431" s="42"/>
    </row>
    <row r="432" spans="1:36" x14ac:dyDescent="0.25">
      <c r="A432" s="272"/>
      <c r="B432" s="273"/>
      <c r="C432" s="274"/>
      <c r="D432" s="272"/>
      <c r="E432" s="272"/>
      <c r="F432" s="272"/>
      <c r="G432" s="272"/>
      <c r="H432" s="272"/>
      <c r="I432" s="272"/>
      <c r="J432" s="272"/>
      <c r="K432" s="33"/>
      <c r="L432" s="33"/>
      <c r="M432" s="32"/>
      <c r="N432" s="32"/>
      <c r="O432" s="32"/>
      <c r="P432" s="33"/>
      <c r="Q432" s="32"/>
      <c r="R432" s="240"/>
      <c r="S432" s="32"/>
      <c r="T432" s="32"/>
      <c r="U432" s="250"/>
      <c r="V432" s="32"/>
      <c r="W432" s="33"/>
      <c r="X432" s="32"/>
      <c r="Y432" s="42"/>
      <c r="Z432" s="31"/>
      <c r="AA432" s="42"/>
      <c r="AB432" s="42"/>
      <c r="AC432" s="250"/>
      <c r="AD432" s="32"/>
      <c r="AE432" s="282"/>
      <c r="AF432" s="261"/>
      <c r="AG432" s="31"/>
      <c r="AH432" s="32"/>
      <c r="AI432" s="42"/>
      <c r="AJ432" s="42"/>
    </row>
    <row r="433" spans="1:36" x14ac:dyDescent="0.25">
      <c r="A433" s="272"/>
      <c r="B433" s="273"/>
      <c r="C433" s="274"/>
      <c r="D433" s="272"/>
      <c r="E433" s="272"/>
      <c r="F433" s="272"/>
      <c r="G433" s="272"/>
      <c r="H433" s="272"/>
      <c r="I433" s="272"/>
      <c r="J433" s="272"/>
      <c r="K433" s="33"/>
      <c r="L433" s="33"/>
      <c r="M433" s="32"/>
      <c r="N433" s="32"/>
      <c r="O433" s="32"/>
      <c r="P433" s="33"/>
      <c r="Q433" s="32"/>
      <c r="R433" s="240"/>
      <c r="S433" s="32"/>
      <c r="T433" s="32"/>
      <c r="U433" s="250"/>
      <c r="V433" s="32"/>
      <c r="W433" s="33"/>
      <c r="X433" s="32"/>
      <c r="Y433" s="42"/>
      <c r="Z433" s="31"/>
      <c r="AA433" s="42"/>
      <c r="AB433" s="42"/>
      <c r="AC433" s="250"/>
      <c r="AD433" s="32"/>
      <c r="AE433" s="282"/>
      <c r="AF433" s="261"/>
      <c r="AG433" s="31"/>
      <c r="AH433" s="32"/>
      <c r="AI433" s="42"/>
      <c r="AJ433" s="42"/>
    </row>
    <row r="434" spans="1:36" x14ac:dyDescent="0.25">
      <c r="A434" s="272"/>
      <c r="B434" s="273"/>
      <c r="C434" s="274"/>
      <c r="D434" s="272"/>
      <c r="E434" s="272"/>
      <c r="F434" s="272"/>
      <c r="G434" s="272"/>
      <c r="H434" s="272"/>
      <c r="I434" s="272"/>
      <c r="J434" s="272"/>
      <c r="K434" s="33"/>
      <c r="L434" s="33"/>
      <c r="M434" s="32"/>
      <c r="N434" s="32"/>
      <c r="O434" s="32"/>
      <c r="P434" s="33"/>
      <c r="Q434" s="32"/>
      <c r="R434" s="240"/>
      <c r="S434" s="32"/>
      <c r="T434" s="32"/>
      <c r="U434" s="250"/>
      <c r="V434" s="32"/>
      <c r="W434" s="33"/>
      <c r="X434" s="32"/>
      <c r="Y434" s="42"/>
      <c r="Z434" s="31"/>
      <c r="AA434" s="42"/>
      <c r="AB434" s="42"/>
      <c r="AC434" s="250"/>
      <c r="AD434" s="32"/>
      <c r="AE434" s="282"/>
      <c r="AF434" s="261"/>
      <c r="AG434" s="31"/>
      <c r="AH434" s="32"/>
      <c r="AI434" s="42"/>
      <c r="AJ434" s="42"/>
    </row>
    <row r="435" spans="1:36" x14ac:dyDescent="0.25">
      <c r="A435" s="272"/>
      <c r="B435" s="273"/>
      <c r="C435" s="274"/>
      <c r="D435" s="272"/>
      <c r="E435" s="272"/>
      <c r="F435" s="272"/>
      <c r="G435" s="272"/>
      <c r="H435" s="272"/>
      <c r="I435" s="272"/>
      <c r="J435" s="272"/>
      <c r="K435" s="33"/>
      <c r="L435" s="33"/>
      <c r="M435" s="32"/>
      <c r="N435" s="32"/>
      <c r="O435" s="32"/>
      <c r="P435" s="33"/>
      <c r="Q435" s="32"/>
      <c r="R435" s="240"/>
      <c r="S435" s="32"/>
      <c r="T435" s="32"/>
      <c r="U435" s="250"/>
      <c r="V435" s="32"/>
      <c r="W435" s="33"/>
      <c r="X435" s="32"/>
      <c r="Y435" s="42"/>
      <c r="Z435" s="31"/>
      <c r="AA435" s="42"/>
      <c r="AB435" s="42"/>
      <c r="AC435" s="250"/>
      <c r="AD435" s="32"/>
      <c r="AE435" s="282"/>
      <c r="AF435" s="261"/>
      <c r="AG435" s="31"/>
      <c r="AH435" s="32"/>
      <c r="AI435" s="42"/>
      <c r="AJ435" s="42"/>
    </row>
    <row r="436" spans="1:36" x14ac:dyDescent="0.25">
      <c r="A436" s="272"/>
      <c r="B436" s="273"/>
      <c r="C436" s="274"/>
      <c r="D436" s="272"/>
      <c r="E436" s="272"/>
      <c r="F436" s="272"/>
      <c r="G436" s="272"/>
      <c r="H436" s="272"/>
      <c r="I436" s="272"/>
      <c r="J436" s="272"/>
      <c r="K436" s="33"/>
      <c r="L436" s="33"/>
      <c r="M436" s="32"/>
      <c r="N436" s="32"/>
      <c r="O436" s="32"/>
      <c r="P436" s="33"/>
      <c r="Q436" s="32"/>
      <c r="R436" s="240"/>
      <c r="S436" s="32"/>
      <c r="T436" s="32"/>
      <c r="U436" s="250"/>
      <c r="V436" s="32"/>
      <c r="W436" s="33"/>
      <c r="X436" s="32"/>
      <c r="Y436" s="42"/>
      <c r="Z436" s="31"/>
      <c r="AA436" s="42"/>
      <c r="AB436" s="42"/>
      <c r="AC436" s="250"/>
      <c r="AD436" s="32"/>
      <c r="AE436" s="282"/>
      <c r="AF436" s="261"/>
      <c r="AG436" s="31"/>
      <c r="AH436" s="32"/>
      <c r="AI436" s="42"/>
      <c r="AJ436" s="42"/>
    </row>
    <row r="437" spans="1:36" x14ac:dyDescent="0.25">
      <c r="A437" s="272"/>
      <c r="B437" s="273"/>
      <c r="C437" s="274"/>
      <c r="D437" s="272"/>
      <c r="E437" s="272"/>
      <c r="F437" s="272"/>
      <c r="G437" s="272"/>
      <c r="H437" s="272"/>
      <c r="I437" s="272"/>
      <c r="J437" s="272"/>
      <c r="K437" s="33"/>
      <c r="L437" s="33"/>
      <c r="M437" s="32"/>
      <c r="N437" s="32"/>
      <c r="O437" s="32"/>
      <c r="P437" s="33"/>
      <c r="Q437" s="32"/>
      <c r="R437" s="240"/>
      <c r="S437" s="32"/>
      <c r="T437" s="32"/>
      <c r="U437" s="250"/>
      <c r="V437" s="32"/>
      <c r="W437" s="33"/>
      <c r="X437" s="32"/>
      <c r="Y437" s="42"/>
      <c r="Z437" s="31"/>
      <c r="AA437" s="42"/>
      <c r="AB437" s="42"/>
      <c r="AC437" s="250"/>
      <c r="AD437" s="32"/>
      <c r="AE437" s="282"/>
      <c r="AF437" s="261"/>
      <c r="AG437" s="31"/>
      <c r="AH437" s="32"/>
      <c r="AI437" s="42"/>
      <c r="AJ437" s="42"/>
    </row>
    <row r="438" spans="1:36" x14ac:dyDescent="0.25">
      <c r="A438" s="272"/>
      <c r="B438" s="273"/>
      <c r="C438" s="274"/>
      <c r="D438" s="272"/>
      <c r="E438" s="272"/>
      <c r="F438" s="272"/>
      <c r="G438" s="272"/>
      <c r="H438" s="272"/>
      <c r="I438" s="272"/>
      <c r="J438" s="272"/>
      <c r="K438" s="33"/>
      <c r="L438" s="33"/>
      <c r="M438" s="32"/>
      <c r="N438" s="32"/>
      <c r="O438" s="32"/>
      <c r="P438" s="33"/>
      <c r="Q438" s="32"/>
      <c r="R438" s="240"/>
      <c r="S438" s="32"/>
      <c r="T438" s="32"/>
      <c r="U438" s="250"/>
      <c r="V438" s="32"/>
      <c r="W438" s="33"/>
      <c r="X438" s="32"/>
      <c r="Y438" s="42"/>
      <c r="Z438" s="31"/>
      <c r="AA438" s="42"/>
      <c r="AB438" s="42"/>
      <c r="AC438" s="250"/>
      <c r="AD438" s="32"/>
      <c r="AE438" s="282"/>
      <c r="AF438" s="261"/>
      <c r="AG438" s="31"/>
      <c r="AH438" s="32"/>
      <c r="AI438" s="42"/>
      <c r="AJ438" s="42"/>
    </row>
    <row r="439" spans="1:36" x14ac:dyDescent="0.25">
      <c r="A439" s="272"/>
      <c r="B439" s="273"/>
      <c r="C439" s="274"/>
      <c r="D439" s="272"/>
      <c r="E439" s="272"/>
      <c r="F439" s="272"/>
      <c r="G439" s="272"/>
      <c r="H439" s="272"/>
      <c r="I439" s="272"/>
      <c r="J439" s="272"/>
      <c r="K439" s="33"/>
      <c r="L439" s="33"/>
      <c r="M439" s="32"/>
      <c r="N439" s="32"/>
      <c r="O439" s="32"/>
      <c r="P439" s="33"/>
      <c r="Q439" s="32"/>
      <c r="R439" s="240"/>
      <c r="S439" s="32"/>
      <c r="T439" s="32"/>
      <c r="U439" s="250"/>
      <c r="V439" s="32"/>
      <c r="W439" s="33"/>
      <c r="X439" s="32"/>
      <c r="Y439" s="42"/>
      <c r="Z439" s="31"/>
      <c r="AA439" s="42"/>
      <c r="AB439" s="42"/>
      <c r="AC439" s="250"/>
      <c r="AD439" s="32"/>
      <c r="AE439" s="282"/>
      <c r="AF439" s="261"/>
      <c r="AG439" s="31"/>
      <c r="AH439" s="32"/>
      <c r="AI439" s="42"/>
      <c r="AJ439" s="42"/>
    </row>
    <row r="440" spans="1:36" x14ac:dyDescent="0.25">
      <c r="A440" s="272"/>
      <c r="B440" s="273"/>
      <c r="C440" s="274"/>
      <c r="D440" s="272"/>
      <c r="E440" s="272"/>
      <c r="F440" s="272"/>
      <c r="G440" s="272"/>
      <c r="H440" s="272"/>
      <c r="I440" s="272"/>
      <c r="J440" s="272"/>
      <c r="K440" s="33"/>
      <c r="L440" s="33"/>
      <c r="M440" s="32"/>
      <c r="N440" s="32"/>
      <c r="O440" s="32"/>
      <c r="P440" s="33"/>
      <c r="Q440" s="32"/>
      <c r="R440" s="240"/>
      <c r="S440" s="32"/>
      <c r="T440" s="32"/>
      <c r="U440" s="250"/>
      <c r="V440" s="32"/>
      <c r="W440" s="33"/>
      <c r="X440" s="32"/>
      <c r="Y440" s="42"/>
      <c r="Z440" s="31"/>
      <c r="AA440" s="42"/>
      <c r="AB440" s="42"/>
      <c r="AC440" s="250"/>
      <c r="AD440" s="32"/>
      <c r="AE440" s="282"/>
      <c r="AF440" s="261"/>
      <c r="AG440" s="31"/>
      <c r="AH440" s="32"/>
      <c r="AI440" s="42"/>
      <c r="AJ440" s="42"/>
    </row>
    <row r="441" spans="1:36" x14ac:dyDescent="0.25">
      <c r="A441" s="272"/>
      <c r="B441" s="273"/>
      <c r="C441" s="274"/>
      <c r="D441" s="272"/>
      <c r="E441" s="272"/>
      <c r="F441" s="272"/>
      <c r="G441" s="272"/>
      <c r="H441" s="272"/>
      <c r="I441" s="272"/>
      <c r="J441" s="272"/>
      <c r="K441" s="33"/>
      <c r="L441" s="33"/>
      <c r="M441" s="32"/>
      <c r="N441" s="32"/>
      <c r="O441" s="32"/>
      <c r="P441" s="33"/>
      <c r="Q441" s="32"/>
      <c r="R441" s="240"/>
      <c r="S441" s="32"/>
      <c r="T441" s="32"/>
      <c r="U441" s="250"/>
      <c r="V441" s="32"/>
      <c r="W441" s="33"/>
      <c r="X441" s="32"/>
      <c r="Y441" s="42"/>
      <c r="Z441" s="31"/>
      <c r="AA441" s="42"/>
      <c r="AB441" s="42"/>
      <c r="AC441" s="250"/>
      <c r="AD441" s="32"/>
      <c r="AE441" s="282"/>
      <c r="AF441" s="261"/>
      <c r="AG441" s="31"/>
      <c r="AH441" s="32"/>
      <c r="AI441" s="42"/>
      <c r="AJ441" s="42"/>
    </row>
    <row r="442" spans="1:36" x14ac:dyDescent="0.25">
      <c r="A442" s="272"/>
      <c r="B442" s="273"/>
      <c r="C442" s="274"/>
      <c r="D442" s="272"/>
      <c r="E442" s="272"/>
      <c r="F442" s="272"/>
      <c r="G442" s="272"/>
      <c r="H442" s="272"/>
      <c r="I442" s="272"/>
      <c r="J442" s="272"/>
      <c r="K442" s="33"/>
      <c r="L442" s="33"/>
      <c r="M442" s="32"/>
      <c r="N442" s="32"/>
      <c r="O442" s="32"/>
      <c r="P442" s="33"/>
      <c r="Q442" s="32"/>
      <c r="R442" s="240"/>
      <c r="S442" s="32"/>
      <c r="T442" s="32"/>
      <c r="U442" s="250"/>
      <c r="V442" s="32"/>
      <c r="W442" s="33"/>
      <c r="X442" s="32"/>
      <c r="Y442" s="42"/>
      <c r="Z442" s="31"/>
      <c r="AA442" s="42"/>
      <c r="AB442" s="42"/>
      <c r="AC442" s="250"/>
      <c r="AD442" s="32"/>
      <c r="AE442" s="282"/>
      <c r="AF442" s="261"/>
      <c r="AG442" s="31"/>
      <c r="AH442" s="32"/>
      <c r="AI442" s="42"/>
      <c r="AJ442" s="42"/>
    </row>
    <row r="443" spans="1:36" x14ac:dyDescent="0.25">
      <c r="A443" s="272"/>
      <c r="B443" s="273"/>
      <c r="C443" s="274"/>
      <c r="D443" s="272"/>
      <c r="E443" s="272"/>
      <c r="F443" s="272"/>
      <c r="G443" s="272"/>
      <c r="H443" s="272"/>
      <c r="I443" s="272"/>
      <c r="J443" s="272"/>
      <c r="K443" s="33"/>
      <c r="L443" s="33"/>
      <c r="M443" s="32"/>
      <c r="N443" s="32"/>
      <c r="O443" s="32"/>
      <c r="P443" s="33"/>
      <c r="Q443" s="32"/>
      <c r="R443" s="240"/>
      <c r="S443" s="32"/>
      <c r="T443" s="32"/>
      <c r="U443" s="250"/>
      <c r="V443" s="32"/>
      <c r="W443" s="33"/>
      <c r="X443" s="32"/>
      <c r="Y443" s="42"/>
      <c r="Z443" s="31"/>
      <c r="AA443" s="42"/>
      <c r="AB443" s="42"/>
      <c r="AC443" s="250"/>
      <c r="AD443" s="32"/>
      <c r="AE443" s="282"/>
      <c r="AF443" s="261"/>
      <c r="AG443" s="31"/>
      <c r="AH443" s="32"/>
      <c r="AI443" s="42"/>
      <c r="AJ443" s="42"/>
    </row>
    <row r="444" spans="1:36" x14ac:dyDescent="0.25">
      <c r="A444" s="272"/>
      <c r="B444" s="273"/>
      <c r="C444" s="274"/>
      <c r="D444" s="272"/>
      <c r="E444" s="272"/>
      <c r="F444" s="272"/>
      <c r="G444" s="272"/>
      <c r="H444" s="272"/>
      <c r="I444" s="272"/>
      <c r="J444" s="272"/>
      <c r="K444" s="33"/>
      <c r="L444" s="33"/>
      <c r="M444" s="32"/>
      <c r="N444" s="32"/>
      <c r="O444" s="32"/>
      <c r="P444" s="33"/>
      <c r="Q444" s="32"/>
      <c r="R444" s="240"/>
      <c r="S444" s="32"/>
      <c r="T444" s="32"/>
      <c r="U444" s="250"/>
      <c r="V444" s="32"/>
      <c r="W444" s="33"/>
      <c r="X444" s="32"/>
      <c r="Y444" s="42"/>
      <c r="Z444" s="31"/>
      <c r="AA444" s="42"/>
      <c r="AB444" s="42"/>
      <c r="AC444" s="250"/>
      <c r="AD444" s="32"/>
      <c r="AE444" s="282"/>
      <c r="AF444" s="261"/>
      <c r="AG444" s="31"/>
      <c r="AH444" s="32"/>
      <c r="AI444" s="42"/>
      <c r="AJ444" s="42"/>
    </row>
    <row r="445" spans="1:36" x14ac:dyDescent="0.25">
      <c r="A445" s="272"/>
      <c r="B445" s="273"/>
      <c r="C445" s="274"/>
      <c r="D445" s="272"/>
      <c r="E445" s="272"/>
      <c r="F445" s="272"/>
      <c r="G445" s="272"/>
      <c r="H445" s="272"/>
      <c r="I445" s="272"/>
      <c r="J445" s="272"/>
      <c r="K445" s="33"/>
      <c r="L445" s="33"/>
      <c r="M445" s="32"/>
      <c r="N445" s="32"/>
      <c r="O445" s="32"/>
      <c r="P445" s="33"/>
      <c r="Q445" s="32"/>
      <c r="R445" s="240"/>
      <c r="S445" s="32"/>
      <c r="T445" s="32"/>
      <c r="U445" s="250"/>
      <c r="V445" s="32"/>
      <c r="W445" s="33"/>
      <c r="X445" s="32"/>
      <c r="Y445" s="42"/>
      <c r="Z445" s="31"/>
      <c r="AA445" s="42"/>
      <c r="AB445" s="42"/>
      <c r="AC445" s="250"/>
      <c r="AD445" s="32"/>
      <c r="AE445" s="282"/>
      <c r="AF445" s="261"/>
      <c r="AG445" s="31"/>
      <c r="AH445" s="32"/>
      <c r="AI445" s="42"/>
      <c r="AJ445" s="42"/>
    </row>
    <row r="446" spans="1:36" x14ac:dyDescent="0.25">
      <c r="A446" s="272"/>
      <c r="B446" s="273"/>
      <c r="C446" s="274"/>
      <c r="D446" s="272"/>
      <c r="E446" s="272"/>
      <c r="F446" s="272"/>
      <c r="G446" s="272"/>
      <c r="H446" s="272"/>
      <c r="I446" s="272"/>
      <c r="J446" s="272"/>
      <c r="K446" s="33"/>
      <c r="L446" s="33"/>
      <c r="M446" s="32"/>
      <c r="N446" s="32"/>
      <c r="O446" s="32"/>
      <c r="P446" s="33"/>
      <c r="Q446" s="32"/>
      <c r="R446" s="240"/>
      <c r="S446" s="32"/>
      <c r="T446" s="32"/>
      <c r="U446" s="250"/>
      <c r="V446" s="32"/>
      <c r="W446" s="33"/>
      <c r="X446" s="32"/>
      <c r="Y446" s="42"/>
      <c r="Z446" s="31"/>
      <c r="AA446" s="42"/>
      <c r="AB446" s="42"/>
      <c r="AC446" s="250"/>
      <c r="AD446" s="32"/>
      <c r="AE446" s="282"/>
      <c r="AF446" s="261"/>
      <c r="AG446" s="31"/>
      <c r="AH446" s="32"/>
      <c r="AI446" s="42"/>
      <c r="AJ446" s="42"/>
    </row>
    <row r="447" spans="1:36" x14ac:dyDescent="0.25">
      <c r="A447" s="272"/>
      <c r="B447" s="273"/>
      <c r="C447" s="274"/>
      <c r="D447" s="272"/>
      <c r="E447" s="272"/>
      <c r="F447" s="272"/>
      <c r="G447" s="272"/>
      <c r="H447" s="272"/>
      <c r="I447" s="272"/>
      <c r="J447" s="272"/>
      <c r="K447" s="33"/>
      <c r="L447" s="33"/>
      <c r="M447" s="32"/>
      <c r="N447" s="32"/>
      <c r="O447" s="32"/>
      <c r="P447" s="33"/>
      <c r="Q447" s="32"/>
      <c r="R447" s="240"/>
      <c r="S447" s="32"/>
      <c r="T447" s="32"/>
      <c r="U447" s="250"/>
      <c r="V447" s="32"/>
      <c r="W447" s="33"/>
      <c r="X447" s="32"/>
      <c r="Y447" s="42"/>
      <c r="Z447" s="31"/>
      <c r="AA447" s="42"/>
      <c r="AB447" s="42"/>
      <c r="AC447" s="250"/>
      <c r="AD447" s="32"/>
      <c r="AE447" s="282"/>
      <c r="AF447" s="261"/>
      <c r="AG447" s="31"/>
      <c r="AH447" s="32"/>
      <c r="AI447" s="42"/>
      <c r="AJ447" s="42"/>
    </row>
    <row r="448" spans="1:36" x14ac:dyDescent="0.25">
      <c r="A448" s="272"/>
      <c r="B448" s="273"/>
      <c r="C448" s="274"/>
      <c r="D448" s="272"/>
      <c r="E448" s="272"/>
      <c r="F448" s="272"/>
      <c r="G448" s="272"/>
      <c r="H448" s="272"/>
      <c r="I448" s="272"/>
      <c r="J448" s="272"/>
      <c r="K448" s="33"/>
      <c r="L448" s="33"/>
      <c r="M448" s="32"/>
      <c r="N448" s="32"/>
      <c r="O448" s="32"/>
      <c r="P448" s="33"/>
      <c r="Q448" s="32"/>
      <c r="R448" s="240"/>
      <c r="S448" s="32"/>
      <c r="T448" s="32"/>
      <c r="U448" s="250"/>
      <c r="V448" s="32"/>
      <c r="W448" s="33"/>
      <c r="X448" s="32"/>
      <c r="Y448" s="42"/>
      <c r="Z448" s="31"/>
      <c r="AA448" s="42"/>
      <c r="AB448" s="42"/>
      <c r="AC448" s="250"/>
      <c r="AD448" s="32"/>
      <c r="AE448" s="282"/>
      <c r="AF448" s="261"/>
      <c r="AG448" s="31"/>
      <c r="AH448" s="32"/>
      <c r="AI448" s="42"/>
      <c r="AJ448" s="42"/>
    </row>
    <row r="449" spans="1:36" x14ac:dyDescent="0.25">
      <c r="A449" s="272"/>
      <c r="B449" s="273"/>
      <c r="C449" s="274"/>
      <c r="D449" s="272"/>
      <c r="E449" s="272"/>
      <c r="F449" s="272"/>
      <c r="G449" s="272"/>
      <c r="H449" s="272"/>
      <c r="I449" s="272"/>
      <c r="J449" s="272"/>
      <c r="K449" s="33"/>
      <c r="L449" s="33"/>
      <c r="M449" s="32"/>
      <c r="N449" s="32"/>
      <c r="O449" s="32"/>
      <c r="P449" s="33"/>
      <c r="Q449" s="32"/>
      <c r="R449" s="240"/>
      <c r="S449" s="32"/>
      <c r="T449" s="32"/>
      <c r="U449" s="250"/>
      <c r="V449" s="32"/>
      <c r="W449" s="33"/>
      <c r="X449" s="32"/>
      <c r="Y449" s="42"/>
      <c r="Z449" s="31"/>
      <c r="AA449" s="42"/>
      <c r="AB449" s="42"/>
      <c r="AC449" s="250"/>
      <c r="AD449" s="32"/>
      <c r="AE449" s="282"/>
      <c r="AF449" s="261"/>
      <c r="AG449" s="31"/>
      <c r="AH449" s="32"/>
      <c r="AI449" s="42"/>
      <c r="AJ449" s="42"/>
    </row>
    <row r="450" spans="1:36" x14ac:dyDescent="0.25">
      <c r="A450" s="272"/>
      <c r="B450" s="273"/>
      <c r="C450" s="274"/>
      <c r="D450" s="272"/>
      <c r="E450" s="272"/>
      <c r="F450" s="272"/>
      <c r="G450" s="272"/>
      <c r="H450" s="272"/>
      <c r="I450" s="272"/>
      <c r="J450" s="272"/>
      <c r="K450" s="33"/>
      <c r="L450" s="33"/>
      <c r="M450" s="32"/>
      <c r="N450" s="32"/>
      <c r="O450" s="32"/>
      <c r="P450" s="33"/>
      <c r="Q450" s="32"/>
      <c r="R450" s="240"/>
      <c r="S450" s="32"/>
      <c r="T450" s="32"/>
      <c r="U450" s="250"/>
      <c r="V450" s="32"/>
      <c r="W450" s="33"/>
      <c r="X450" s="32"/>
      <c r="Y450" s="42"/>
      <c r="Z450" s="31"/>
      <c r="AA450" s="42"/>
      <c r="AB450" s="42"/>
      <c r="AC450" s="250"/>
      <c r="AD450" s="32"/>
      <c r="AE450" s="282"/>
      <c r="AF450" s="261"/>
      <c r="AG450" s="31"/>
      <c r="AH450" s="32"/>
      <c r="AI450" s="42"/>
      <c r="AJ450" s="42"/>
    </row>
    <row r="451" spans="1:36" x14ac:dyDescent="0.25">
      <c r="A451" s="272"/>
      <c r="B451" s="273"/>
      <c r="C451" s="274"/>
      <c r="D451" s="272"/>
      <c r="E451" s="272"/>
      <c r="F451" s="272"/>
      <c r="G451" s="272"/>
      <c r="H451" s="272"/>
      <c r="I451" s="272"/>
      <c r="J451" s="272"/>
      <c r="K451" s="33"/>
      <c r="L451" s="33"/>
      <c r="M451" s="32"/>
      <c r="N451" s="32"/>
      <c r="O451" s="32"/>
      <c r="P451" s="33"/>
      <c r="Q451" s="32"/>
      <c r="R451" s="240"/>
      <c r="S451" s="32"/>
      <c r="T451" s="32"/>
      <c r="U451" s="250"/>
      <c r="V451" s="32"/>
      <c r="W451" s="33"/>
      <c r="X451" s="32"/>
      <c r="Y451" s="42"/>
      <c r="Z451" s="31"/>
      <c r="AA451" s="42"/>
      <c r="AB451" s="42"/>
      <c r="AC451" s="250"/>
      <c r="AD451" s="32"/>
      <c r="AE451" s="282"/>
      <c r="AF451" s="261"/>
      <c r="AG451" s="31"/>
      <c r="AH451" s="32"/>
      <c r="AI451" s="42"/>
      <c r="AJ451" s="42"/>
    </row>
    <row r="452" spans="1:36" x14ac:dyDescent="0.25">
      <c r="A452" s="272"/>
      <c r="B452" s="273"/>
      <c r="C452" s="274"/>
      <c r="D452" s="272"/>
      <c r="E452" s="272"/>
      <c r="F452" s="272"/>
      <c r="G452" s="272"/>
      <c r="H452" s="272"/>
      <c r="I452" s="272"/>
      <c r="J452" s="272"/>
      <c r="K452" s="33"/>
      <c r="L452" s="33"/>
      <c r="M452" s="32"/>
      <c r="N452" s="32"/>
      <c r="O452" s="32"/>
      <c r="P452" s="33"/>
      <c r="Q452" s="32"/>
      <c r="R452" s="240"/>
      <c r="S452" s="32"/>
      <c r="T452" s="32"/>
      <c r="U452" s="250"/>
      <c r="V452" s="32"/>
      <c r="W452" s="33"/>
      <c r="X452" s="32"/>
      <c r="Y452" s="42"/>
      <c r="Z452" s="31"/>
      <c r="AA452" s="42"/>
      <c r="AB452" s="42"/>
      <c r="AC452" s="250"/>
      <c r="AD452" s="32"/>
      <c r="AE452" s="282"/>
      <c r="AF452" s="261"/>
      <c r="AG452" s="31"/>
      <c r="AH452" s="32"/>
      <c r="AI452" s="42"/>
      <c r="AJ452" s="42"/>
    </row>
    <row r="453" spans="1:36" x14ac:dyDescent="0.25">
      <c r="A453" s="272"/>
      <c r="B453" s="273"/>
      <c r="C453" s="274"/>
      <c r="D453" s="272"/>
      <c r="E453" s="272"/>
      <c r="F453" s="272"/>
      <c r="G453" s="272"/>
      <c r="H453" s="272"/>
      <c r="I453" s="272"/>
      <c r="J453" s="272"/>
      <c r="K453" s="33"/>
      <c r="L453" s="33"/>
      <c r="M453" s="32"/>
      <c r="N453" s="32"/>
      <c r="O453" s="32"/>
      <c r="P453" s="33"/>
      <c r="Q453" s="32"/>
      <c r="R453" s="240"/>
      <c r="S453" s="32"/>
      <c r="T453" s="32"/>
      <c r="U453" s="250"/>
      <c r="V453" s="32"/>
      <c r="W453" s="33"/>
      <c r="X453" s="32"/>
      <c r="Y453" s="42"/>
      <c r="Z453" s="31"/>
      <c r="AA453" s="42"/>
      <c r="AB453" s="42"/>
      <c r="AC453" s="250"/>
      <c r="AD453" s="32"/>
      <c r="AE453" s="282"/>
      <c r="AF453" s="261"/>
      <c r="AG453" s="31"/>
      <c r="AH453" s="32"/>
      <c r="AI453" s="42"/>
      <c r="AJ453" s="42"/>
    </row>
    <row r="454" spans="1:36" x14ac:dyDescent="0.25">
      <c r="A454" s="272"/>
      <c r="B454" s="273"/>
      <c r="C454" s="274"/>
      <c r="D454" s="272"/>
      <c r="E454" s="272"/>
      <c r="F454" s="272"/>
      <c r="G454" s="272"/>
      <c r="H454" s="272"/>
      <c r="I454" s="272"/>
      <c r="J454" s="272"/>
      <c r="K454" s="33"/>
      <c r="L454" s="33"/>
      <c r="M454" s="32"/>
      <c r="N454" s="32"/>
      <c r="O454" s="32"/>
      <c r="P454" s="33"/>
      <c r="Q454" s="32"/>
      <c r="R454" s="240"/>
      <c r="S454" s="32"/>
      <c r="T454" s="32"/>
      <c r="U454" s="250"/>
      <c r="V454" s="32"/>
      <c r="W454" s="33"/>
      <c r="X454" s="32"/>
      <c r="Y454" s="42"/>
      <c r="Z454" s="31"/>
      <c r="AA454" s="42"/>
      <c r="AB454" s="42"/>
      <c r="AC454" s="250"/>
      <c r="AD454" s="32"/>
      <c r="AE454" s="282"/>
      <c r="AF454" s="261"/>
      <c r="AG454" s="31"/>
      <c r="AH454" s="32"/>
      <c r="AI454" s="42"/>
      <c r="AJ454" s="42"/>
    </row>
    <row r="455" spans="1:36" x14ac:dyDescent="0.25">
      <c r="A455" s="272"/>
      <c r="B455" s="273"/>
      <c r="C455" s="274"/>
      <c r="D455" s="272"/>
      <c r="E455" s="272"/>
      <c r="F455" s="272"/>
      <c r="G455" s="272"/>
      <c r="H455" s="272"/>
      <c r="I455" s="272"/>
      <c r="J455" s="272"/>
      <c r="K455" s="33"/>
      <c r="L455" s="33"/>
      <c r="M455" s="32"/>
      <c r="N455" s="32"/>
      <c r="O455" s="32"/>
      <c r="P455" s="33"/>
      <c r="Q455" s="32"/>
      <c r="R455" s="240"/>
      <c r="S455" s="32"/>
      <c r="T455" s="32"/>
      <c r="U455" s="250"/>
      <c r="V455" s="32"/>
      <c r="W455" s="33"/>
      <c r="X455" s="32"/>
      <c r="Y455" s="42"/>
      <c r="Z455" s="31"/>
      <c r="AA455" s="42"/>
      <c r="AB455" s="42"/>
      <c r="AC455" s="250"/>
      <c r="AD455" s="32"/>
      <c r="AE455" s="282"/>
      <c r="AF455" s="261"/>
      <c r="AG455" s="31"/>
      <c r="AH455" s="32"/>
      <c r="AI455" s="42"/>
      <c r="AJ455" s="42"/>
    </row>
    <row r="456" spans="1:36" x14ac:dyDescent="0.25">
      <c r="A456" s="272"/>
      <c r="B456" s="273"/>
      <c r="C456" s="274"/>
      <c r="D456" s="272"/>
      <c r="E456" s="272"/>
      <c r="F456" s="272"/>
      <c r="G456" s="272"/>
      <c r="H456" s="272"/>
      <c r="I456" s="272"/>
      <c r="J456" s="272"/>
      <c r="K456" s="33"/>
      <c r="L456" s="33"/>
      <c r="M456" s="32"/>
      <c r="N456" s="32"/>
      <c r="O456" s="32"/>
      <c r="P456" s="33"/>
      <c r="Q456" s="32"/>
      <c r="R456" s="240"/>
      <c r="S456" s="32"/>
      <c r="T456" s="32"/>
      <c r="U456" s="250"/>
      <c r="V456" s="32"/>
      <c r="W456" s="33"/>
      <c r="X456" s="32"/>
      <c r="Y456" s="42"/>
      <c r="Z456" s="31"/>
      <c r="AA456" s="42"/>
      <c r="AB456" s="42"/>
      <c r="AC456" s="250"/>
      <c r="AD456" s="32"/>
      <c r="AE456" s="282"/>
      <c r="AF456" s="261"/>
      <c r="AG456" s="31"/>
      <c r="AH456" s="32"/>
      <c r="AI456" s="42"/>
      <c r="AJ456" s="42"/>
    </row>
    <row r="457" spans="1:36" x14ac:dyDescent="0.25">
      <c r="A457" s="272"/>
      <c r="B457" s="273"/>
      <c r="C457" s="274"/>
      <c r="D457" s="272"/>
      <c r="E457" s="272"/>
      <c r="F457" s="272"/>
      <c r="G457" s="272"/>
      <c r="H457" s="272"/>
      <c r="I457" s="272"/>
      <c r="J457" s="272"/>
      <c r="K457" s="33"/>
      <c r="L457" s="33"/>
      <c r="M457" s="32"/>
      <c r="N457" s="32"/>
      <c r="O457" s="32"/>
      <c r="P457" s="33"/>
      <c r="Q457" s="32"/>
      <c r="R457" s="240"/>
      <c r="S457" s="32"/>
      <c r="T457" s="32"/>
      <c r="U457" s="250"/>
      <c r="V457" s="32"/>
      <c r="W457" s="33"/>
      <c r="X457" s="32"/>
      <c r="Y457" s="42"/>
      <c r="Z457" s="31"/>
      <c r="AA457" s="42"/>
      <c r="AB457" s="42"/>
      <c r="AC457" s="250"/>
      <c r="AD457" s="32"/>
      <c r="AE457" s="282"/>
      <c r="AF457" s="261"/>
      <c r="AG457" s="31"/>
      <c r="AH457" s="32"/>
      <c r="AI457" s="42"/>
      <c r="AJ457" s="42"/>
    </row>
    <row r="458" spans="1:36" x14ac:dyDescent="0.25">
      <c r="A458" s="272"/>
      <c r="B458" s="273"/>
      <c r="C458" s="274"/>
      <c r="D458" s="272"/>
      <c r="E458" s="272"/>
      <c r="F458" s="272"/>
      <c r="G458" s="272"/>
      <c r="H458" s="272"/>
      <c r="I458" s="272"/>
      <c r="J458" s="272"/>
      <c r="K458" s="33"/>
      <c r="L458" s="33"/>
      <c r="M458" s="32"/>
      <c r="N458" s="32"/>
      <c r="O458" s="32"/>
      <c r="P458" s="33"/>
      <c r="Q458" s="32"/>
      <c r="R458" s="240"/>
      <c r="S458" s="32"/>
      <c r="T458" s="32"/>
      <c r="U458" s="250"/>
      <c r="V458" s="32"/>
      <c r="W458" s="33"/>
      <c r="X458" s="32"/>
      <c r="Y458" s="42"/>
      <c r="Z458" s="31"/>
      <c r="AA458" s="42"/>
      <c r="AB458" s="42"/>
      <c r="AC458" s="250"/>
      <c r="AD458" s="32"/>
      <c r="AE458" s="282"/>
      <c r="AF458" s="261"/>
      <c r="AG458" s="31"/>
      <c r="AH458" s="32"/>
      <c r="AI458" s="42"/>
      <c r="AJ458" s="42"/>
    </row>
    <row r="459" spans="1:36" x14ac:dyDescent="0.25">
      <c r="A459" s="272"/>
      <c r="B459" s="273"/>
      <c r="C459" s="274"/>
      <c r="D459" s="272"/>
      <c r="E459" s="272"/>
      <c r="F459" s="272"/>
      <c r="G459" s="272"/>
      <c r="H459" s="272"/>
      <c r="I459" s="272"/>
      <c r="J459" s="272"/>
      <c r="K459" s="33"/>
      <c r="L459" s="33"/>
      <c r="M459" s="32"/>
      <c r="N459" s="32"/>
      <c r="O459" s="32"/>
      <c r="P459" s="33"/>
      <c r="Q459" s="32"/>
      <c r="R459" s="240"/>
      <c r="S459" s="32"/>
      <c r="T459" s="32"/>
      <c r="U459" s="250"/>
      <c r="V459" s="32"/>
      <c r="W459" s="33"/>
      <c r="X459" s="32"/>
      <c r="Y459" s="42"/>
      <c r="Z459" s="31"/>
      <c r="AA459" s="42"/>
      <c r="AB459" s="42"/>
      <c r="AC459" s="250"/>
      <c r="AD459" s="32"/>
      <c r="AE459" s="282"/>
      <c r="AF459" s="261"/>
      <c r="AG459" s="31"/>
      <c r="AH459" s="32"/>
      <c r="AI459" s="42"/>
      <c r="AJ459" s="42"/>
    </row>
    <row r="460" spans="1:36" x14ac:dyDescent="0.25">
      <c r="A460" s="272"/>
      <c r="B460" s="273"/>
      <c r="C460" s="274"/>
      <c r="D460" s="272"/>
      <c r="E460" s="272"/>
      <c r="F460" s="272"/>
      <c r="G460" s="272"/>
      <c r="H460" s="272"/>
      <c r="I460" s="272"/>
      <c r="J460" s="272"/>
      <c r="K460" s="33"/>
      <c r="L460" s="33"/>
      <c r="M460" s="32"/>
      <c r="N460" s="32"/>
      <c r="O460" s="32"/>
      <c r="P460" s="33"/>
      <c r="Q460" s="32"/>
      <c r="R460" s="240"/>
      <c r="S460" s="32"/>
      <c r="T460" s="32"/>
      <c r="U460" s="250"/>
      <c r="V460" s="32"/>
      <c r="W460" s="33"/>
      <c r="X460" s="32"/>
      <c r="Y460" s="42"/>
      <c r="Z460" s="31"/>
      <c r="AA460" s="42"/>
      <c r="AB460" s="42"/>
      <c r="AC460" s="250"/>
      <c r="AD460" s="32"/>
      <c r="AE460" s="282"/>
      <c r="AF460" s="261"/>
      <c r="AG460" s="31"/>
      <c r="AH460" s="32"/>
      <c r="AI460" s="42"/>
      <c r="AJ460" s="42"/>
    </row>
    <row r="461" spans="1:36" x14ac:dyDescent="0.25">
      <c r="A461" s="272"/>
      <c r="B461" s="273"/>
      <c r="C461" s="274"/>
      <c r="D461" s="272"/>
      <c r="E461" s="272"/>
      <c r="F461" s="272"/>
      <c r="G461" s="272"/>
      <c r="H461" s="272"/>
      <c r="I461" s="272"/>
      <c r="J461" s="272"/>
      <c r="K461" s="33"/>
      <c r="L461" s="33"/>
      <c r="M461" s="32"/>
      <c r="N461" s="32"/>
      <c r="O461" s="32"/>
      <c r="P461" s="33"/>
      <c r="Q461" s="32"/>
      <c r="R461" s="240"/>
      <c r="S461" s="32"/>
      <c r="T461" s="32"/>
      <c r="U461" s="250"/>
      <c r="V461" s="32"/>
      <c r="W461" s="33"/>
      <c r="X461" s="32"/>
      <c r="Y461" s="42"/>
      <c r="Z461" s="31"/>
      <c r="AA461" s="42"/>
      <c r="AB461" s="42"/>
      <c r="AC461" s="250"/>
      <c r="AD461" s="32"/>
      <c r="AE461" s="282"/>
      <c r="AF461" s="261"/>
      <c r="AG461" s="31"/>
      <c r="AH461" s="32"/>
      <c r="AI461" s="42"/>
      <c r="AJ461" s="42"/>
    </row>
    <row r="462" spans="1:36" x14ac:dyDescent="0.25">
      <c r="A462" s="272"/>
      <c r="B462" s="273"/>
      <c r="C462" s="274"/>
      <c r="D462" s="272"/>
      <c r="E462" s="272"/>
      <c r="F462" s="272"/>
      <c r="G462" s="272"/>
      <c r="H462" s="272"/>
      <c r="I462" s="272"/>
      <c r="J462" s="272"/>
      <c r="K462" s="33"/>
      <c r="L462" s="33"/>
      <c r="M462" s="32"/>
      <c r="N462" s="32"/>
      <c r="O462" s="32"/>
      <c r="P462" s="33"/>
      <c r="Q462" s="32"/>
      <c r="R462" s="240"/>
      <c r="S462" s="32"/>
      <c r="T462" s="32"/>
      <c r="U462" s="250"/>
      <c r="V462" s="32"/>
      <c r="W462" s="33"/>
      <c r="X462" s="32"/>
      <c r="Y462" s="42"/>
      <c r="Z462" s="31"/>
      <c r="AA462" s="42"/>
      <c r="AB462" s="42"/>
      <c r="AC462" s="250"/>
      <c r="AD462" s="32"/>
      <c r="AE462" s="282"/>
      <c r="AF462" s="261"/>
      <c r="AG462" s="31"/>
      <c r="AH462" s="32"/>
      <c r="AI462" s="42"/>
      <c r="AJ462" s="42"/>
    </row>
    <row r="463" spans="1:36" x14ac:dyDescent="0.25">
      <c r="A463" s="272"/>
      <c r="B463" s="273"/>
      <c r="C463" s="274"/>
      <c r="D463" s="272"/>
      <c r="E463" s="272"/>
      <c r="F463" s="272"/>
      <c r="G463" s="272"/>
      <c r="H463" s="272"/>
      <c r="I463" s="272"/>
      <c r="J463" s="272"/>
      <c r="K463" s="33"/>
      <c r="L463" s="33"/>
      <c r="M463" s="32"/>
      <c r="N463" s="32"/>
      <c r="O463" s="32"/>
      <c r="P463" s="33"/>
      <c r="Q463" s="32"/>
      <c r="R463" s="240"/>
      <c r="S463" s="32"/>
      <c r="T463" s="32"/>
      <c r="U463" s="250"/>
      <c r="V463" s="32"/>
      <c r="W463" s="33"/>
      <c r="X463" s="32"/>
      <c r="Y463" s="42"/>
      <c r="Z463" s="31"/>
      <c r="AA463" s="42"/>
      <c r="AB463" s="42"/>
      <c r="AC463" s="250"/>
      <c r="AD463" s="32"/>
      <c r="AE463" s="282"/>
      <c r="AF463" s="261"/>
      <c r="AG463" s="31"/>
      <c r="AH463" s="32"/>
      <c r="AI463" s="42"/>
      <c r="AJ463" s="42"/>
    </row>
    <row r="464" spans="1:36" x14ac:dyDescent="0.25">
      <c r="A464" s="272"/>
      <c r="B464" s="273"/>
      <c r="C464" s="274"/>
      <c r="D464" s="272"/>
      <c r="E464" s="272"/>
      <c r="F464" s="272"/>
      <c r="G464" s="272"/>
      <c r="H464" s="272"/>
      <c r="I464" s="272"/>
      <c r="J464" s="272"/>
      <c r="K464" s="33"/>
      <c r="L464" s="33"/>
      <c r="M464" s="32"/>
      <c r="N464" s="32"/>
      <c r="O464" s="32"/>
      <c r="P464" s="33"/>
      <c r="Q464" s="32"/>
      <c r="R464" s="240"/>
      <c r="S464" s="32"/>
      <c r="T464" s="32"/>
      <c r="U464" s="250"/>
      <c r="V464" s="32"/>
      <c r="W464" s="33"/>
      <c r="X464" s="32"/>
      <c r="Y464" s="42"/>
      <c r="Z464" s="31"/>
      <c r="AA464" s="42"/>
      <c r="AB464" s="42"/>
      <c r="AC464" s="250"/>
      <c r="AD464" s="32"/>
      <c r="AE464" s="282"/>
      <c r="AF464" s="261"/>
      <c r="AG464" s="31"/>
      <c r="AH464" s="32"/>
      <c r="AI464" s="42"/>
      <c r="AJ464" s="42"/>
    </row>
    <row r="465" spans="1:36" x14ac:dyDescent="0.25">
      <c r="A465" s="272"/>
      <c r="B465" s="273"/>
      <c r="C465" s="274"/>
      <c r="D465" s="272"/>
      <c r="E465" s="272"/>
      <c r="F465" s="272"/>
      <c r="G465" s="272"/>
      <c r="H465" s="272"/>
      <c r="I465" s="272"/>
      <c r="J465" s="272"/>
      <c r="K465" s="33"/>
      <c r="L465" s="33"/>
      <c r="M465" s="32"/>
      <c r="N465" s="32"/>
      <c r="O465" s="32"/>
      <c r="P465" s="33"/>
      <c r="Q465" s="32"/>
      <c r="R465" s="240"/>
      <c r="S465" s="32"/>
      <c r="T465" s="32"/>
      <c r="U465" s="250"/>
      <c r="V465" s="32"/>
      <c r="W465" s="33"/>
      <c r="X465" s="32"/>
      <c r="Y465" s="42"/>
      <c r="Z465" s="31"/>
      <c r="AA465" s="42"/>
      <c r="AB465" s="42"/>
      <c r="AC465" s="250"/>
      <c r="AD465" s="32"/>
      <c r="AE465" s="282"/>
      <c r="AF465" s="261"/>
      <c r="AG465" s="31"/>
      <c r="AH465" s="32"/>
      <c r="AI465" s="42"/>
      <c r="AJ465" s="42"/>
    </row>
    <row r="466" spans="1:36" x14ac:dyDescent="0.25">
      <c r="A466" s="272"/>
      <c r="B466" s="273"/>
      <c r="C466" s="274"/>
      <c r="D466" s="272"/>
      <c r="E466" s="272"/>
      <c r="F466" s="272"/>
      <c r="G466" s="272"/>
      <c r="H466" s="272"/>
      <c r="I466" s="272"/>
      <c r="J466" s="272"/>
      <c r="K466" s="33"/>
      <c r="L466" s="33"/>
      <c r="M466" s="32"/>
      <c r="N466" s="32"/>
      <c r="O466" s="32"/>
      <c r="P466" s="33"/>
      <c r="Q466" s="32"/>
      <c r="R466" s="240"/>
      <c r="S466" s="32"/>
      <c r="T466" s="32"/>
      <c r="U466" s="250"/>
      <c r="V466" s="32"/>
      <c r="W466" s="33"/>
      <c r="X466" s="32"/>
      <c r="Y466" s="42"/>
      <c r="Z466" s="31"/>
      <c r="AA466" s="42"/>
      <c r="AB466" s="42"/>
      <c r="AC466" s="250"/>
      <c r="AD466" s="32"/>
      <c r="AE466" s="282"/>
      <c r="AF466" s="261"/>
      <c r="AG466" s="31"/>
      <c r="AH466" s="32"/>
      <c r="AI466" s="42"/>
      <c r="AJ466" s="42"/>
    </row>
    <row r="467" spans="1:36" x14ac:dyDescent="0.25">
      <c r="A467" s="272"/>
      <c r="B467" s="273"/>
      <c r="C467" s="274"/>
      <c r="D467" s="272"/>
      <c r="E467" s="272"/>
      <c r="F467" s="272"/>
      <c r="G467" s="272"/>
      <c r="H467" s="272"/>
      <c r="I467" s="272"/>
      <c r="J467" s="272"/>
      <c r="K467" s="33"/>
      <c r="L467" s="33"/>
      <c r="M467" s="32"/>
      <c r="N467" s="32"/>
      <c r="O467" s="32"/>
      <c r="P467" s="33"/>
      <c r="Q467" s="32"/>
      <c r="R467" s="240"/>
      <c r="S467" s="32"/>
      <c r="T467" s="32"/>
      <c r="U467" s="250"/>
      <c r="V467" s="32"/>
      <c r="W467" s="33"/>
      <c r="X467" s="32"/>
      <c r="Y467" s="42"/>
      <c r="Z467" s="31"/>
      <c r="AA467" s="42"/>
      <c r="AB467" s="42"/>
      <c r="AC467" s="250"/>
      <c r="AD467" s="32"/>
      <c r="AE467" s="282"/>
      <c r="AF467" s="261"/>
      <c r="AG467" s="31"/>
      <c r="AH467" s="32"/>
      <c r="AI467" s="42"/>
      <c r="AJ467" s="42"/>
    </row>
    <row r="468" spans="1:36" x14ac:dyDescent="0.25">
      <c r="A468" s="272"/>
      <c r="B468" s="273"/>
      <c r="C468" s="274"/>
      <c r="D468" s="272"/>
      <c r="E468" s="272"/>
      <c r="F468" s="272"/>
      <c r="G468" s="272"/>
      <c r="H468" s="272"/>
      <c r="I468" s="272"/>
      <c r="J468" s="272"/>
      <c r="K468" s="33"/>
      <c r="L468" s="33"/>
      <c r="M468" s="32"/>
      <c r="N468" s="32"/>
      <c r="O468" s="32"/>
      <c r="P468" s="33"/>
      <c r="Q468" s="32"/>
      <c r="R468" s="240"/>
      <c r="S468" s="32"/>
      <c r="T468" s="32"/>
      <c r="U468" s="250"/>
      <c r="V468" s="32"/>
      <c r="W468" s="33"/>
      <c r="X468" s="32"/>
      <c r="Y468" s="42"/>
      <c r="Z468" s="31"/>
      <c r="AA468" s="42"/>
      <c r="AB468" s="42"/>
      <c r="AC468" s="250"/>
      <c r="AD468" s="32"/>
      <c r="AE468" s="282"/>
      <c r="AF468" s="261"/>
      <c r="AG468" s="31"/>
      <c r="AH468" s="32"/>
      <c r="AI468" s="42"/>
      <c r="AJ468" s="42"/>
    </row>
    <row r="469" spans="1:36" x14ac:dyDescent="0.25">
      <c r="A469" s="272"/>
      <c r="B469" s="273"/>
      <c r="C469" s="274"/>
      <c r="D469" s="272"/>
      <c r="E469" s="272"/>
      <c r="F469" s="272"/>
      <c r="G469" s="272"/>
      <c r="H469" s="272"/>
      <c r="I469" s="272"/>
      <c r="J469" s="272"/>
      <c r="K469" s="33"/>
      <c r="L469" s="33"/>
      <c r="M469" s="32"/>
      <c r="N469" s="32"/>
      <c r="O469" s="32"/>
      <c r="P469" s="33"/>
      <c r="Q469" s="32"/>
      <c r="R469" s="240"/>
      <c r="S469" s="32"/>
      <c r="T469" s="32"/>
      <c r="U469" s="250"/>
      <c r="V469" s="32"/>
      <c r="W469" s="33"/>
      <c r="X469" s="32"/>
      <c r="Y469" s="42"/>
      <c r="Z469" s="31"/>
      <c r="AA469" s="42"/>
      <c r="AB469" s="42"/>
      <c r="AC469" s="250"/>
      <c r="AD469" s="32"/>
      <c r="AE469" s="282"/>
      <c r="AF469" s="261"/>
      <c r="AG469" s="31"/>
      <c r="AH469" s="32"/>
      <c r="AI469" s="42"/>
      <c r="AJ469" s="42"/>
    </row>
    <row r="470" spans="1:36" x14ac:dyDescent="0.25">
      <c r="A470" s="272"/>
      <c r="B470" s="273"/>
      <c r="C470" s="274"/>
      <c r="D470" s="272"/>
      <c r="E470" s="272"/>
      <c r="F470" s="272"/>
      <c r="G470" s="272"/>
      <c r="H470" s="272"/>
      <c r="I470" s="272"/>
      <c r="J470" s="272"/>
      <c r="K470" s="33"/>
      <c r="L470" s="33"/>
      <c r="M470" s="32"/>
      <c r="N470" s="32"/>
      <c r="O470" s="32"/>
      <c r="P470" s="33"/>
      <c r="Q470" s="32"/>
      <c r="R470" s="240"/>
      <c r="S470" s="32"/>
      <c r="T470" s="32"/>
      <c r="U470" s="250"/>
      <c r="V470" s="32"/>
      <c r="W470" s="33"/>
      <c r="X470" s="32"/>
      <c r="Y470" s="42"/>
      <c r="Z470" s="31"/>
      <c r="AA470" s="42"/>
      <c r="AB470" s="42"/>
      <c r="AC470" s="250"/>
      <c r="AD470" s="32"/>
      <c r="AE470" s="282"/>
      <c r="AF470" s="261"/>
      <c r="AG470" s="31"/>
      <c r="AH470" s="32"/>
      <c r="AI470" s="42"/>
      <c r="AJ470" s="42"/>
    </row>
    <row r="471" spans="1:36" x14ac:dyDescent="0.25">
      <c r="A471" s="272"/>
      <c r="B471" s="273"/>
      <c r="C471" s="274"/>
      <c r="D471" s="272"/>
      <c r="E471" s="272"/>
      <c r="F471" s="272"/>
      <c r="G471" s="272"/>
      <c r="H471" s="272"/>
      <c r="I471" s="272"/>
      <c r="J471" s="272"/>
      <c r="K471" s="33"/>
      <c r="L471" s="33"/>
      <c r="M471" s="32"/>
      <c r="N471" s="32"/>
      <c r="O471" s="32"/>
      <c r="P471" s="33"/>
      <c r="Q471" s="32"/>
      <c r="R471" s="240"/>
      <c r="S471" s="32"/>
      <c r="T471" s="32"/>
      <c r="U471" s="250"/>
      <c r="V471" s="32"/>
      <c r="W471" s="33"/>
      <c r="X471" s="32"/>
      <c r="Y471" s="42"/>
      <c r="Z471" s="31"/>
      <c r="AA471" s="42"/>
      <c r="AB471" s="42"/>
      <c r="AC471" s="250"/>
      <c r="AD471" s="32"/>
      <c r="AE471" s="282"/>
      <c r="AF471" s="261"/>
      <c r="AG471" s="31"/>
      <c r="AH471" s="32"/>
      <c r="AI471" s="42"/>
      <c r="AJ471" s="42"/>
    </row>
    <row r="472" spans="1:36" x14ac:dyDescent="0.25">
      <c r="A472" s="272"/>
      <c r="B472" s="273"/>
      <c r="C472" s="274"/>
      <c r="D472" s="272"/>
      <c r="E472" s="272"/>
      <c r="F472" s="272"/>
      <c r="G472" s="272"/>
      <c r="H472" s="272"/>
      <c r="I472" s="272"/>
      <c r="J472" s="272"/>
      <c r="K472" s="33"/>
      <c r="L472" s="33"/>
      <c r="M472" s="32"/>
      <c r="N472" s="32"/>
      <c r="O472" s="32"/>
      <c r="P472" s="33"/>
      <c r="Q472" s="32"/>
      <c r="R472" s="240"/>
      <c r="S472" s="32"/>
      <c r="T472" s="32"/>
      <c r="U472" s="250"/>
      <c r="V472" s="32"/>
      <c r="W472" s="33"/>
      <c r="X472" s="32"/>
      <c r="Y472" s="42"/>
      <c r="Z472" s="31"/>
      <c r="AA472" s="42"/>
      <c r="AB472" s="42"/>
      <c r="AC472" s="250"/>
      <c r="AD472" s="32"/>
      <c r="AE472" s="282"/>
      <c r="AF472" s="261"/>
      <c r="AG472" s="31"/>
      <c r="AH472" s="32"/>
      <c r="AI472" s="42"/>
      <c r="AJ472" s="42"/>
    </row>
    <row r="473" spans="1:36" x14ac:dyDescent="0.25">
      <c r="A473" s="272"/>
      <c r="B473" s="273"/>
      <c r="C473" s="274"/>
      <c r="D473" s="272"/>
      <c r="E473" s="272"/>
      <c r="F473" s="272"/>
      <c r="G473" s="272"/>
      <c r="H473" s="272"/>
      <c r="I473" s="272"/>
      <c r="J473" s="272"/>
      <c r="K473" s="33"/>
      <c r="L473" s="33"/>
      <c r="M473" s="32"/>
      <c r="N473" s="32"/>
      <c r="O473" s="32"/>
      <c r="P473" s="33"/>
      <c r="Q473" s="32"/>
      <c r="R473" s="240"/>
      <c r="S473" s="32"/>
      <c r="T473" s="32"/>
      <c r="U473" s="250"/>
      <c r="V473" s="32"/>
      <c r="W473" s="33"/>
      <c r="X473" s="32"/>
      <c r="Y473" s="42"/>
      <c r="Z473" s="31"/>
      <c r="AA473" s="42"/>
      <c r="AB473" s="42"/>
      <c r="AC473" s="250"/>
      <c r="AD473" s="32"/>
      <c r="AE473" s="282"/>
      <c r="AF473" s="261"/>
      <c r="AG473" s="31"/>
      <c r="AH473" s="32"/>
      <c r="AI473" s="42"/>
      <c r="AJ473" s="42"/>
    </row>
    <row r="474" spans="1:36" x14ac:dyDescent="0.25">
      <c r="A474" s="272"/>
      <c r="B474" s="273"/>
      <c r="C474" s="274"/>
      <c r="D474" s="272"/>
      <c r="E474" s="272"/>
      <c r="F474" s="272"/>
      <c r="G474" s="272"/>
      <c r="H474" s="272"/>
      <c r="I474" s="272"/>
      <c r="J474" s="272"/>
      <c r="K474" s="33"/>
      <c r="L474" s="33"/>
      <c r="M474" s="32"/>
      <c r="N474" s="32"/>
      <c r="O474" s="32"/>
      <c r="P474" s="33"/>
      <c r="Q474" s="32"/>
      <c r="R474" s="240"/>
      <c r="S474" s="32"/>
      <c r="T474" s="32"/>
      <c r="U474" s="250"/>
      <c r="V474" s="32"/>
      <c r="W474" s="33"/>
      <c r="X474" s="32"/>
      <c r="Y474" s="42"/>
      <c r="Z474" s="31"/>
      <c r="AA474" s="42"/>
      <c r="AB474" s="42"/>
      <c r="AC474" s="250"/>
      <c r="AD474" s="32"/>
      <c r="AE474" s="282"/>
      <c r="AF474" s="261"/>
      <c r="AG474" s="31"/>
      <c r="AH474" s="32"/>
      <c r="AI474" s="42"/>
      <c r="AJ474" s="42"/>
    </row>
    <row r="475" spans="1:36" x14ac:dyDescent="0.25">
      <c r="A475" s="272"/>
      <c r="B475" s="273"/>
      <c r="C475" s="274"/>
      <c r="D475" s="272"/>
      <c r="E475" s="272"/>
      <c r="F475" s="272"/>
      <c r="G475" s="272"/>
      <c r="H475" s="272"/>
      <c r="I475" s="272"/>
      <c r="J475" s="272"/>
      <c r="K475" s="33"/>
      <c r="L475" s="33"/>
      <c r="M475" s="32"/>
      <c r="N475" s="32"/>
      <c r="O475" s="32"/>
      <c r="P475" s="33"/>
      <c r="Q475" s="32"/>
      <c r="R475" s="240"/>
      <c r="S475" s="32"/>
      <c r="T475" s="32"/>
      <c r="U475" s="250"/>
      <c r="V475" s="32"/>
      <c r="W475" s="33"/>
      <c r="X475" s="32"/>
      <c r="Y475" s="42"/>
      <c r="Z475" s="31"/>
      <c r="AA475" s="42"/>
      <c r="AB475" s="42"/>
      <c r="AC475" s="250"/>
      <c r="AD475" s="32"/>
      <c r="AE475" s="282"/>
      <c r="AF475" s="261"/>
      <c r="AG475" s="31"/>
      <c r="AH475" s="32"/>
      <c r="AI475" s="42"/>
      <c r="AJ475" s="42"/>
    </row>
    <row r="476" spans="1:36" x14ac:dyDescent="0.25">
      <c r="A476" s="272"/>
      <c r="B476" s="273"/>
      <c r="C476" s="274"/>
      <c r="D476" s="272"/>
      <c r="E476" s="272"/>
      <c r="F476" s="272"/>
      <c r="G476" s="272"/>
      <c r="H476" s="272"/>
      <c r="I476" s="272"/>
      <c r="J476" s="272"/>
      <c r="K476" s="33"/>
      <c r="L476" s="33"/>
      <c r="M476" s="32"/>
      <c r="N476" s="32"/>
      <c r="O476" s="32"/>
      <c r="P476" s="33"/>
      <c r="Q476" s="32"/>
      <c r="R476" s="240"/>
      <c r="S476" s="32"/>
      <c r="T476" s="32"/>
      <c r="U476" s="250"/>
      <c r="V476" s="32"/>
      <c r="W476" s="33"/>
      <c r="X476" s="32"/>
      <c r="Y476" s="42"/>
      <c r="Z476" s="31"/>
      <c r="AA476" s="42"/>
      <c r="AB476" s="42"/>
      <c r="AC476" s="250"/>
      <c r="AD476" s="32"/>
      <c r="AE476" s="282"/>
      <c r="AF476" s="261"/>
      <c r="AG476" s="31"/>
      <c r="AH476" s="32"/>
      <c r="AI476" s="42"/>
      <c r="AJ476" s="42"/>
    </row>
    <row r="477" spans="1:36" x14ac:dyDescent="0.25">
      <c r="A477" s="272"/>
      <c r="B477" s="273"/>
      <c r="C477" s="274"/>
      <c r="D477" s="272"/>
      <c r="E477" s="272"/>
      <c r="F477" s="272"/>
      <c r="G477" s="272"/>
      <c r="H477" s="272"/>
      <c r="I477" s="272"/>
      <c r="J477" s="272"/>
      <c r="K477" s="33"/>
      <c r="L477" s="33"/>
      <c r="M477" s="32"/>
      <c r="N477" s="32"/>
      <c r="O477" s="32"/>
      <c r="P477" s="33"/>
      <c r="Q477" s="32"/>
      <c r="R477" s="240"/>
      <c r="S477" s="32"/>
      <c r="T477" s="32"/>
      <c r="U477" s="250"/>
      <c r="V477" s="32"/>
      <c r="W477" s="33"/>
      <c r="X477" s="32"/>
      <c r="Y477" s="42"/>
      <c r="Z477" s="31"/>
      <c r="AA477" s="42"/>
      <c r="AB477" s="42"/>
      <c r="AC477" s="250"/>
      <c r="AD477" s="32"/>
      <c r="AE477" s="282"/>
      <c r="AF477" s="261"/>
      <c r="AG477" s="31"/>
      <c r="AH477" s="32"/>
      <c r="AI477" s="42"/>
      <c r="AJ477" s="42"/>
    </row>
    <row r="478" spans="1:36" x14ac:dyDescent="0.25">
      <c r="A478" s="272"/>
      <c r="B478" s="273"/>
      <c r="C478" s="274"/>
      <c r="D478" s="272"/>
      <c r="E478" s="272"/>
      <c r="F478" s="272"/>
      <c r="G478" s="272"/>
      <c r="H478" s="272"/>
      <c r="I478" s="272"/>
      <c r="J478" s="272"/>
      <c r="K478" s="33"/>
      <c r="L478" s="33"/>
      <c r="M478" s="32"/>
      <c r="N478" s="32"/>
      <c r="O478" s="32"/>
      <c r="P478" s="33"/>
      <c r="Q478" s="32"/>
      <c r="R478" s="240"/>
      <c r="S478" s="32"/>
      <c r="T478" s="32"/>
      <c r="U478" s="250"/>
      <c r="V478" s="32"/>
      <c r="W478" s="33"/>
      <c r="X478" s="32"/>
      <c r="Y478" s="42"/>
      <c r="Z478" s="31"/>
      <c r="AA478" s="42"/>
      <c r="AB478" s="42"/>
      <c r="AC478" s="250"/>
      <c r="AD478" s="32"/>
      <c r="AE478" s="282"/>
      <c r="AF478" s="261"/>
      <c r="AG478" s="31"/>
      <c r="AH478" s="32"/>
      <c r="AI478" s="42"/>
      <c r="AJ478" s="42"/>
    </row>
    <row r="479" spans="1:36" x14ac:dyDescent="0.25">
      <c r="A479" s="272"/>
      <c r="B479" s="273"/>
      <c r="C479" s="274"/>
      <c r="D479" s="272"/>
      <c r="E479" s="272"/>
      <c r="F479" s="272"/>
      <c r="G479" s="272"/>
      <c r="H479" s="272"/>
      <c r="I479" s="272"/>
      <c r="J479" s="272"/>
      <c r="K479" s="33"/>
      <c r="L479" s="33"/>
      <c r="M479" s="32"/>
      <c r="N479" s="32"/>
      <c r="O479" s="32"/>
      <c r="P479" s="33"/>
      <c r="Q479" s="32"/>
      <c r="R479" s="240"/>
      <c r="S479" s="32"/>
      <c r="T479" s="32"/>
      <c r="U479" s="250"/>
      <c r="V479" s="32"/>
      <c r="W479" s="33"/>
      <c r="X479" s="32"/>
      <c r="Y479" s="42"/>
      <c r="Z479" s="31"/>
      <c r="AA479" s="42"/>
      <c r="AB479" s="42"/>
      <c r="AC479" s="250"/>
      <c r="AD479" s="32"/>
      <c r="AE479" s="282"/>
      <c r="AF479" s="261"/>
      <c r="AG479" s="31"/>
      <c r="AH479" s="32"/>
      <c r="AI479" s="42"/>
      <c r="AJ479" s="42"/>
    </row>
    <row r="480" spans="1:36" x14ac:dyDescent="0.25">
      <c r="A480" s="272"/>
      <c r="B480" s="273"/>
      <c r="C480" s="274"/>
      <c r="D480" s="272"/>
      <c r="E480" s="272"/>
      <c r="F480" s="272"/>
      <c r="G480" s="272"/>
      <c r="H480" s="272"/>
      <c r="I480" s="272"/>
      <c r="J480" s="272"/>
      <c r="K480" s="33"/>
      <c r="L480" s="33"/>
      <c r="M480" s="32"/>
      <c r="N480" s="32"/>
      <c r="O480" s="32"/>
      <c r="P480" s="33"/>
      <c r="Q480" s="32"/>
      <c r="R480" s="240"/>
      <c r="S480" s="32"/>
      <c r="T480" s="32"/>
      <c r="U480" s="250"/>
      <c r="V480" s="32"/>
      <c r="W480" s="33"/>
      <c r="X480" s="32"/>
      <c r="Y480" s="42"/>
      <c r="Z480" s="31"/>
      <c r="AA480" s="42"/>
      <c r="AB480" s="42"/>
      <c r="AC480" s="250"/>
      <c r="AD480" s="32"/>
      <c r="AE480" s="282"/>
      <c r="AF480" s="261"/>
      <c r="AG480" s="31"/>
      <c r="AH480" s="32"/>
      <c r="AI480" s="42"/>
      <c r="AJ480" s="42"/>
    </row>
    <row r="481" spans="1:36" x14ac:dyDescent="0.25">
      <c r="A481" s="272"/>
      <c r="B481" s="273"/>
      <c r="C481" s="274"/>
      <c r="D481" s="272"/>
      <c r="E481" s="272"/>
      <c r="F481" s="272"/>
      <c r="G481" s="272"/>
      <c r="H481" s="272"/>
      <c r="I481" s="272"/>
      <c r="J481" s="272"/>
      <c r="K481" s="33"/>
      <c r="L481" s="33"/>
      <c r="M481" s="32"/>
      <c r="N481" s="32"/>
      <c r="O481" s="32"/>
      <c r="P481" s="33"/>
      <c r="Q481" s="32"/>
      <c r="R481" s="240"/>
      <c r="S481" s="32"/>
      <c r="T481" s="32"/>
      <c r="U481" s="250"/>
      <c r="V481" s="32"/>
      <c r="W481" s="33"/>
      <c r="X481" s="32"/>
      <c r="Y481" s="42"/>
      <c r="Z481" s="31"/>
      <c r="AA481" s="42"/>
      <c r="AB481" s="42"/>
      <c r="AC481" s="250"/>
      <c r="AD481" s="32"/>
      <c r="AE481" s="282"/>
      <c r="AF481" s="261"/>
      <c r="AG481" s="31"/>
      <c r="AH481" s="32"/>
      <c r="AI481" s="42"/>
      <c r="AJ481" s="42"/>
    </row>
    <row r="482" spans="1:36" x14ac:dyDescent="0.25">
      <c r="A482" s="272"/>
      <c r="B482" s="273"/>
      <c r="C482" s="274"/>
      <c r="D482" s="272"/>
      <c r="E482" s="272"/>
      <c r="F482" s="272"/>
      <c r="G482" s="272"/>
      <c r="H482" s="272"/>
      <c r="I482" s="272"/>
      <c r="J482" s="272"/>
      <c r="K482" s="33"/>
      <c r="L482" s="33"/>
      <c r="M482" s="32"/>
      <c r="N482" s="32"/>
      <c r="O482" s="32"/>
      <c r="P482" s="33"/>
      <c r="Q482" s="32"/>
      <c r="R482" s="240"/>
      <c r="S482" s="32"/>
      <c r="T482" s="32"/>
      <c r="U482" s="250"/>
      <c r="V482" s="32"/>
      <c r="W482" s="33"/>
      <c r="X482" s="32"/>
      <c r="Y482" s="42"/>
      <c r="Z482" s="31"/>
      <c r="AA482" s="42"/>
      <c r="AB482" s="42"/>
      <c r="AC482" s="250"/>
      <c r="AD482" s="32"/>
      <c r="AE482" s="282"/>
      <c r="AF482" s="261"/>
      <c r="AG482" s="31"/>
      <c r="AH482" s="32"/>
      <c r="AI482" s="42"/>
      <c r="AJ482" s="42"/>
    </row>
    <row r="483" spans="1:36" x14ac:dyDescent="0.25">
      <c r="A483" s="272"/>
      <c r="B483" s="273"/>
      <c r="C483" s="274"/>
      <c r="D483" s="272"/>
      <c r="E483" s="272"/>
      <c r="F483" s="272"/>
      <c r="G483" s="272"/>
      <c r="H483" s="272"/>
      <c r="I483" s="272"/>
      <c r="J483" s="272"/>
      <c r="K483" s="33"/>
      <c r="L483" s="33"/>
      <c r="M483" s="32"/>
      <c r="N483" s="32"/>
      <c r="O483" s="32"/>
      <c r="P483" s="33"/>
      <c r="Q483" s="32"/>
      <c r="R483" s="240"/>
      <c r="S483" s="32"/>
      <c r="T483" s="32"/>
      <c r="U483" s="250"/>
      <c r="V483" s="32"/>
      <c r="W483" s="33"/>
      <c r="X483" s="32"/>
      <c r="Y483" s="42"/>
      <c r="Z483" s="31"/>
      <c r="AA483" s="42"/>
      <c r="AB483" s="42"/>
      <c r="AC483" s="250"/>
      <c r="AD483" s="32"/>
      <c r="AE483" s="282"/>
      <c r="AF483" s="261"/>
      <c r="AG483" s="31"/>
      <c r="AH483" s="32"/>
      <c r="AI483" s="42"/>
      <c r="AJ483" s="42"/>
    </row>
    <row r="484" spans="1:36" x14ac:dyDescent="0.25">
      <c r="A484" s="272"/>
      <c r="B484" s="273"/>
      <c r="C484" s="274"/>
      <c r="D484" s="272"/>
      <c r="E484" s="272"/>
      <c r="F484" s="272"/>
      <c r="G484" s="272"/>
      <c r="H484" s="272"/>
      <c r="I484" s="272"/>
      <c r="J484" s="272"/>
      <c r="K484" s="33"/>
      <c r="L484" s="33"/>
      <c r="M484" s="32"/>
      <c r="N484" s="32"/>
      <c r="O484" s="32"/>
      <c r="P484" s="33"/>
      <c r="Q484" s="32"/>
      <c r="R484" s="240"/>
      <c r="S484" s="32"/>
      <c r="T484" s="32"/>
      <c r="U484" s="250"/>
      <c r="V484" s="32"/>
      <c r="W484" s="33"/>
      <c r="X484" s="32"/>
      <c r="Y484" s="42"/>
      <c r="Z484" s="31"/>
      <c r="AA484" s="42"/>
      <c r="AB484" s="42"/>
      <c r="AC484" s="250"/>
      <c r="AD484" s="32"/>
      <c r="AE484" s="282"/>
      <c r="AF484" s="261"/>
      <c r="AG484" s="31"/>
      <c r="AH484" s="32"/>
      <c r="AI484" s="42"/>
      <c r="AJ484" s="42"/>
    </row>
    <row r="485" spans="1:36" x14ac:dyDescent="0.25">
      <c r="A485" s="272"/>
      <c r="B485" s="273"/>
      <c r="C485" s="274"/>
      <c r="D485" s="272"/>
      <c r="E485" s="272"/>
      <c r="F485" s="272"/>
      <c r="G485" s="272"/>
      <c r="H485" s="272"/>
      <c r="I485" s="272"/>
      <c r="J485" s="272"/>
      <c r="K485" s="33"/>
      <c r="L485" s="33"/>
      <c r="M485" s="32"/>
      <c r="N485" s="32"/>
      <c r="O485" s="32"/>
      <c r="P485" s="33"/>
      <c r="Q485" s="32"/>
      <c r="R485" s="240"/>
      <c r="S485" s="32"/>
      <c r="T485" s="32"/>
      <c r="U485" s="250"/>
      <c r="V485" s="32"/>
      <c r="W485" s="33"/>
      <c r="X485" s="32"/>
      <c r="Y485" s="42"/>
      <c r="Z485" s="31"/>
      <c r="AA485" s="42"/>
      <c r="AB485" s="42"/>
      <c r="AC485" s="250"/>
      <c r="AD485" s="32"/>
      <c r="AE485" s="282"/>
      <c r="AF485" s="261"/>
      <c r="AG485" s="31"/>
      <c r="AH485" s="32"/>
      <c r="AI485" s="42"/>
      <c r="AJ485" s="42"/>
    </row>
    <row r="486" spans="1:36" x14ac:dyDescent="0.25">
      <c r="A486" s="272"/>
      <c r="B486" s="273"/>
      <c r="C486" s="274"/>
      <c r="D486" s="272"/>
      <c r="E486" s="272"/>
      <c r="F486" s="272"/>
      <c r="G486" s="272"/>
      <c r="H486" s="272"/>
      <c r="I486" s="272"/>
      <c r="J486" s="272"/>
      <c r="K486" s="33"/>
      <c r="L486" s="33"/>
      <c r="M486" s="32"/>
      <c r="N486" s="32"/>
      <c r="O486" s="32"/>
      <c r="P486" s="33"/>
      <c r="Q486" s="32"/>
      <c r="R486" s="240"/>
      <c r="S486" s="32"/>
      <c r="T486" s="32"/>
      <c r="U486" s="250"/>
      <c r="V486" s="32"/>
      <c r="W486" s="33"/>
      <c r="X486" s="32"/>
      <c r="Y486" s="42"/>
      <c r="Z486" s="31"/>
      <c r="AA486" s="42"/>
      <c r="AB486" s="42"/>
      <c r="AC486" s="250"/>
      <c r="AD486" s="32"/>
      <c r="AE486" s="282"/>
      <c r="AF486" s="261"/>
      <c r="AG486" s="31"/>
      <c r="AH486" s="32"/>
      <c r="AI486" s="42"/>
      <c r="AJ486" s="42"/>
    </row>
    <row r="487" spans="1:36" x14ac:dyDescent="0.25">
      <c r="A487" s="272"/>
      <c r="B487" s="273"/>
      <c r="C487" s="274"/>
      <c r="D487" s="272"/>
      <c r="E487" s="272"/>
      <c r="F487" s="272"/>
      <c r="G487" s="272"/>
      <c r="H487" s="272"/>
      <c r="I487" s="272"/>
      <c r="J487" s="272"/>
      <c r="K487" s="33"/>
      <c r="L487" s="33"/>
      <c r="M487" s="32"/>
      <c r="N487" s="32"/>
      <c r="O487" s="32"/>
      <c r="P487" s="33"/>
      <c r="Q487" s="32"/>
      <c r="R487" s="240"/>
      <c r="S487" s="32"/>
      <c r="T487" s="32"/>
      <c r="U487" s="250"/>
      <c r="V487" s="32"/>
      <c r="W487" s="33"/>
      <c r="X487" s="32"/>
      <c r="Y487" s="42"/>
      <c r="Z487" s="31"/>
      <c r="AA487" s="42"/>
      <c r="AB487" s="42"/>
      <c r="AC487" s="250"/>
      <c r="AD487" s="32"/>
      <c r="AE487" s="282"/>
      <c r="AF487" s="261"/>
      <c r="AG487" s="31"/>
      <c r="AH487" s="32"/>
      <c r="AI487" s="42"/>
      <c r="AJ487" s="42"/>
    </row>
    <row r="488" spans="1:36" x14ac:dyDescent="0.25">
      <c r="A488" s="272"/>
      <c r="B488" s="273"/>
      <c r="C488" s="274"/>
      <c r="D488" s="272"/>
      <c r="E488" s="272"/>
      <c r="F488" s="272"/>
      <c r="G488" s="272"/>
      <c r="H488" s="272"/>
      <c r="I488" s="272"/>
      <c r="J488" s="272"/>
      <c r="K488" s="33"/>
      <c r="L488" s="33"/>
      <c r="M488" s="32"/>
      <c r="N488" s="32"/>
      <c r="O488" s="32"/>
      <c r="P488" s="33"/>
      <c r="Q488" s="32"/>
      <c r="R488" s="240"/>
      <c r="S488" s="32"/>
      <c r="T488" s="32"/>
      <c r="U488" s="250"/>
      <c r="V488" s="32"/>
      <c r="W488" s="33"/>
      <c r="X488" s="32"/>
      <c r="Y488" s="42"/>
      <c r="Z488" s="31"/>
      <c r="AA488" s="42"/>
      <c r="AB488" s="42"/>
      <c r="AC488" s="250"/>
      <c r="AD488" s="32"/>
      <c r="AE488" s="282"/>
      <c r="AF488" s="261"/>
      <c r="AG488" s="31"/>
      <c r="AH488" s="32"/>
      <c r="AI488" s="42"/>
      <c r="AJ488" s="42"/>
    </row>
    <row r="489" spans="1:36" x14ac:dyDescent="0.25">
      <c r="A489" s="272"/>
      <c r="B489" s="273"/>
      <c r="C489" s="274"/>
      <c r="D489" s="272"/>
      <c r="E489" s="272"/>
      <c r="F489" s="272"/>
      <c r="G489" s="272"/>
      <c r="H489" s="272"/>
      <c r="I489" s="272"/>
      <c r="J489" s="272"/>
      <c r="K489" s="33"/>
      <c r="L489" s="33"/>
      <c r="M489" s="32"/>
      <c r="N489" s="32"/>
      <c r="O489" s="32"/>
      <c r="P489" s="33"/>
      <c r="Q489" s="32"/>
      <c r="R489" s="240"/>
      <c r="S489" s="32"/>
      <c r="T489" s="32"/>
      <c r="U489" s="250"/>
      <c r="V489" s="32"/>
      <c r="W489" s="33"/>
      <c r="X489" s="32"/>
      <c r="Y489" s="42"/>
      <c r="Z489" s="31"/>
      <c r="AA489" s="42"/>
      <c r="AB489" s="42"/>
      <c r="AC489" s="250"/>
      <c r="AD489" s="32"/>
      <c r="AE489" s="282"/>
      <c r="AF489" s="261"/>
      <c r="AG489" s="31"/>
      <c r="AH489" s="32"/>
      <c r="AI489" s="42"/>
      <c r="AJ489" s="42"/>
    </row>
    <row r="490" spans="1:36" x14ac:dyDescent="0.25">
      <c r="A490" s="272"/>
      <c r="B490" s="273"/>
      <c r="C490" s="274"/>
      <c r="D490" s="272"/>
      <c r="E490" s="272"/>
      <c r="F490" s="272"/>
      <c r="G490" s="272"/>
      <c r="H490" s="272"/>
      <c r="I490" s="272"/>
      <c r="J490" s="272"/>
      <c r="K490" s="33"/>
      <c r="L490" s="33"/>
      <c r="M490" s="32"/>
      <c r="N490" s="32"/>
      <c r="O490" s="32"/>
      <c r="P490" s="33"/>
      <c r="Q490" s="32"/>
      <c r="R490" s="240"/>
      <c r="S490" s="32"/>
      <c r="T490" s="32"/>
      <c r="U490" s="250"/>
      <c r="V490" s="32"/>
      <c r="W490" s="33"/>
      <c r="X490" s="32"/>
      <c r="Y490" s="42"/>
      <c r="Z490" s="31"/>
      <c r="AA490" s="42"/>
      <c r="AB490" s="42"/>
      <c r="AC490" s="250"/>
      <c r="AD490" s="32"/>
      <c r="AE490" s="282"/>
      <c r="AF490" s="261"/>
      <c r="AG490" s="31"/>
      <c r="AH490" s="32"/>
      <c r="AI490" s="42"/>
      <c r="AJ490" s="42"/>
    </row>
    <row r="491" spans="1:36" x14ac:dyDescent="0.25">
      <c r="A491" s="272"/>
      <c r="B491" s="273"/>
      <c r="C491" s="274"/>
      <c r="D491" s="272"/>
      <c r="E491" s="272"/>
      <c r="F491" s="272"/>
      <c r="G491" s="272"/>
      <c r="H491" s="272"/>
      <c r="I491" s="272"/>
      <c r="J491" s="272"/>
      <c r="K491" s="33"/>
      <c r="L491" s="33"/>
      <c r="M491" s="32"/>
      <c r="N491" s="32"/>
      <c r="O491" s="32"/>
      <c r="P491" s="33"/>
      <c r="Q491" s="32"/>
      <c r="R491" s="240"/>
      <c r="S491" s="32"/>
      <c r="T491" s="32"/>
      <c r="U491" s="250"/>
      <c r="V491" s="32"/>
      <c r="W491" s="33"/>
      <c r="X491" s="32"/>
      <c r="Y491" s="42"/>
      <c r="Z491" s="31"/>
      <c r="AA491" s="42"/>
      <c r="AB491" s="42"/>
      <c r="AC491" s="250"/>
      <c r="AD491" s="32"/>
      <c r="AE491" s="282"/>
      <c r="AF491" s="261"/>
      <c r="AG491" s="31"/>
      <c r="AH491" s="32"/>
      <c r="AI491" s="42"/>
      <c r="AJ491" s="42"/>
    </row>
    <row r="492" spans="1:36" x14ac:dyDescent="0.25">
      <c r="A492" s="272"/>
      <c r="B492" s="273"/>
      <c r="C492" s="274"/>
      <c r="D492" s="272"/>
      <c r="E492" s="272"/>
      <c r="F492" s="272"/>
      <c r="G492" s="272"/>
      <c r="H492" s="272"/>
      <c r="I492" s="272"/>
      <c r="J492" s="272"/>
      <c r="K492" s="33"/>
      <c r="L492" s="33"/>
      <c r="M492" s="32"/>
      <c r="N492" s="32"/>
      <c r="O492" s="32"/>
      <c r="P492" s="33"/>
      <c r="Q492" s="32"/>
      <c r="R492" s="240"/>
      <c r="S492" s="32"/>
      <c r="T492" s="32"/>
      <c r="U492" s="250"/>
      <c r="V492" s="32"/>
      <c r="W492" s="33"/>
      <c r="X492" s="32"/>
      <c r="Y492" s="42"/>
      <c r="Z492" s="31"/>
      <c r="AA492" s="42"/>
      <c r="AB492" s="42"/>
      <c r="AC492" s="250"/>
      <c r="AD492" s="32"/>
      <c r="AE492" s="282"/>
      <c r="AF492" s="261"/>
      <c r="AG492" s="31"/>
      <c r="AH492" s="32"/>
      <c r="AI492" s="42"/>
      <c r="AJ492" s="42"/>
    </row>
    <row r="493" spans="1:36" x14ac:dyDescent="0.25">
      <c r="A493" s="272"/>
      <c r="B493" s="273"/>
      <c r="C493" s="274"/>
      <c r="D493" s="272"/>
      <c r="E493" s="272"/>
      <c r="F493" s="272"/>
      <c r="G493" s="272"/>
      <c r="H493" s="272"/>
      <c r="I493" s="272"/>
      <c r="J493" s="272"/>
      <c r="K493" s="33"/>
      <c r="L493" s="33"/>
      <c r="M493" s="32"/>
      <c r="N493" s="32"/>
      <c r="O493" s="32"/>
      <c r="P493" s="33"/>
      <c r="Q493" s="32"/>
      <c r="R493" s="240"/>
      <c r="S493" s="32"/>
      <c r="T493" s="32"/>
      <c r="U493" s="250"/>
      <c r="V493" s="32"/>
      <c r="W493" s="33"/>
      <c r="X493" s="32"/>
      <c r="Y493" s="42"/>
      <c r="Z493" s="31"/>
      <c r="AA493" s="42"/>
      <c r="AB493" s="42"/>
      <c r="AC493" s="250"/>
      <c r="AD493" s="32"/>
      <c r="AE493" s="282"/>
      <c r="AF493" s="261"/>
      <c r="AG493" s="31"/>
      <c r="AH493" s="32"/>
      <c r="AI493" s="42"/>
      <c r="AJ493" s="42"/>
    </row>
    <row r="494" spans="1:36" x14ac:dyDescent="0.25">
      <c r="A494" s="272"/>
      <c r="B494" s="273"/>
      <c r="C494" s="274"/>
      <c r="D494" s="272"/>
      <c r="E494" s="272"/>
      <c r="F494" s="272"/>
      <c r="G494" s="272"/>
      <c r="H494" s="272"/>
      <c r="I494" s="272"/>
      <c r="J494" s="272"/>
      <c r="K494" s="33"/>
      <c r="L494" s="33"/>
      <c r="M494" s="32"/>
      <c r="N494" s="32"/>
      <c r="O494" s="32"/>
      <c r="P494" s="33"/>
      <c r="Q494" s="32"/>
      <c r="R494" s="240"/>
      <c r="S494" s="32"/>
      <c r="T494" s="32"/>
      <c r="U494" s="250"/>
      <c r="V494" s="32"/>
      <c r="W494" s="33"/>
      <c r="X494" s="32"/>
      <c r="Y494" s="42"/>
      <c r="Z494" s="31"/>
      <c r="AA494" s="42"/>
      <c r="AB494" s="42"/>
      <c r="AC494" s="250"/>
      <c r="AD494" s="32"/>
      <c r="AE494" s="282"/>
      <c r="AF494" s="261"/>
      <c r="AG494" s="31"/>
      <c r="AH494" s="32"/>
      <c r="AI494" s="42"/>
      <c r="AJ494" s="42"/>
    </row>
    <row r="495" spans="1:36" x14ac:dyDescent="0.25">
      <c r="A495" s="272"/>
      <c r="B495" s="273"/>
      <c r="C495" s="274"/>
      <c r="D495" s="272"/>
      <c r="E495" s="272"/>
      <c r="F495" s="272"/>
      <c r="G495" s="272"/>
      <c r="H495" s="272"/>
      <c r="I495" s="272"/>
      <c r="J495" s="272"/>
      <c r="K495" s="33"/>
      <c r="L495" s="33"/>
      <c r="M495" s="32"/>
      <c r="N495" s="32"/>
      <c r="O495" s="32"/>
      <c r="P495" s="33"/>
      <c r="Q495" s="32"/>
      <c r="R495" s="240"/>
      <c r="S495" s="32"/>
      <c r="T495" s="32"/>
      <c r="U495" s="250"/>
      <c r="V495" s="32"/>
      <c r="W495" s="33"/>
      <c r="X495" s="32"/>
      <c r="Y495" s="42"/>
      <c r="Z495" s="31"/>
      <c r="AA495" s="42"/>
      <c r="AB495" s="42"/>
      <c r="AC495" s="250"/>
      <c r="AD495" s="32"/>
      <c r="AE495" s="282"/>
      <c r="AF495" s="261"/>
      <c r="AG495" s="31"/>
      <c r="AH495" s="32"/>
      <c r="AI495" s="42"/>
      <c r="AJ495" s="42"/>
    </row>
    <row r="496" spans="1:36" x14ac:dyDescent="0.25">
      <c r="A496" s="272"/>
      <c r="B496" s="273"/>
      <c r="C496" s="274"/>
      <c r="D496" s="272"/>
      <c r="E496" s="272"/>
      <c r="F496" s="272"/>
      <c r="G496" s="272"/>
      <c r="H496" s="272"/>
      <c r="I496" s="272"/>
      <c r="J496" s="272"/>
      <c r="K496" s="33"/>
      <c r="L496" s="33"/>
      <c r="M496" s="32"/>
      <c r="N496" s="32"/>
      <c r="O496" s="32"/>
      <c r="P496" s="33"/>
      <c r="Q496" s="32"/>
      <c r="R496" s="240"/>
      <c r="S496" s="32"/>
      <c r="T496" s="32"/>
      <c r="U496" s="250"/>
      <c r="V496" s="32"/>
      <c r="W496" s="33"/>
      <c r="X496" s="32"/>
      <c r="Y496" s="42"/>
      <c r="Z496" s="31"/>
      <c r="AA496" s="42"/>
      <c r="AB496" s="42"/>
      <c r="AC496" s="250"/>
      <c r="AD496" s="32"/>
      <c r="AE496" s="282"/>
      <c r="AF496" s="261"/>
      <c r="AG496" s="31"/>
      <c r="AH496" s="32"/>
      <c r="AI496" s="42"/>
      <c r="AJ496" s="42"/>
    </row>
    <row r="497" spans="1:36" x14ac:dyDescent="0.25">
      <c r="A497" s="272"/>
      <c r="B497" s="273"/>
      <c r="C497" s="274"/>
      <c r="D497" s="272"/>
      <c r="E497" s="272"/>
      <c r="F497" s="272"/>
      <c r="G497" s="272"/>
      <c r="H497" s="272"/>
      <c r="I497" s="272"/>
      <c r="J497" s="272"/>
      <c r="K497" s="33"/>
      <c r="L497" s="33"/>
      <c r="M497" s="32"/>
      <c r="N497" s="32"/>
      <c r="O497" s="32"/>
      <c r="P497" s="33"/>
      <c r="Q497" s="32"/>
      <c r="R497" s="240"/>
      <c r="S497" s="32"/>
      <c r="T497" s="32"/>
      <c r="U497" s="250"/>
      <c r="V497" s="32"/>
      <c r="W497" s="33"/>
      <c r="X497" s="32"/>
      <c r="Y497" s="42"/>
      <c r="Z497" s="31"/>
      <c r="AA497" s="42"/>
      <c r="AB497" s="42"/>
      <c r="AC497" s="250"/>
      <c r="AD497" s="32"/>
      <c r="AE497" s="282"/>
      <c r="AF497" s="261"/>
      <c r="AG497" s="31"/>
      <c r="AH497" s="32"/>
      <c r="AI497" s="42"/>
      <c r="AJ497" s="42"/>
    </row>
    <row r="498" spans="1:36" x14ac:dyDescent="0.25">
      <c r="A498" s="272"/>
      <c r="B498" s="273"/>
      <c r="C498" s="274"/>
      <c r="D498" s="272"/>
      <c r="E498" s="272"/>
      <c r="F498" s="272"/>
      <c r="G498" s="272"/>
      <c r="H498" s="272"/>
      <c r="I498" s="272"/>
      <c r="J498" s="272"/>
      <c r="K498" s="33"/>
      <c r="L498" s="33"/>
      <c r="M498" s="32"/>
      <c r="N498" s="32"/>
      <c r="O498" s="32"/>
      <c r="P498" s="33"/>
      <c r="Q498" s="32"/>
      <c r="R498" s="240"/>
      <c r="S498" s="32"/>
      <c r="T498" s="32"/>
      <c r="U498" s="250"/>
      <c r="V498" s="32"/>
      <c r="W498" s="33"/>
      <c r="X498" s="32"/>
      <c r="Y498" s="42"/>
      <c r="Z498" s="31"/>
      <c r="AA498" s="42"/>
      <c r="AB498" s="42"/>
      <c r="AC498" s="250"/>
      <c r="AD498" s="32"/>
      <c r="AE498" s="282"/>
      <c r="AF498" s="261"/>
      <c r="AG498" s="31"/>
      <c r="AH498" s="32"/>
      <c r="AI498" s="42"/>
      <c r="AJ498" s="42"/>
    </row>
    <row r="499" spans="1:36" x14ac:dyDescent="0.25">
      <c r="A499" s="272"/>
      <c r="B499" s="273"/>
      <c r="C499" s="274"/>
      <c r="D499" s="272"/>
      <c r="E499" s="272"/>
      <c r="F499" s="272"/>
      <c r="G499" s="272"/>
      <c r="H499" s="272"/>
      <c r="I499" s="272"/>
      <c r="J499" s="272"/>
      <c r="K499" s="33"/>
      <c r="L499" s="33"/>
      <c r="M499" s="32"/>
      <c r="N499" s="32"/>
      <c r="O499" s="32"/>
      <c r="P499" s="33"/>
      <c r="Q499" s="32"/>
      <c r="R499" s="240"/>
      <c r="S499" s="32"/>
      <c r="T499" s="32"/>
      <c r="U499" s="250"/>
      <c r="V499" s="32"/>
      <c r="W499" s="33"/>
      <c r="X499" s="32"/>
      <c r="Y499" s="42"/>
      <c r="Z499" s="31"/>
      <c r="AA499" s="42"/>
      <c r="AB499" s="42"/>
      <c r="AC499" s="250"/>
      <c r="AD499" s="32"/>
      <c r="AE499" s="282"/>
      <c r="AF499" s="261"/>
      <c r="AG499" s="31"/>
      <c r="AH499" s="32"/>
      <c r="AI499" s="42"/>
      <c r="AJ499" s="42"/>
    </row>
    <row r="500" spans="1:36" x14ac:dyDescent="0.25">
      <c r="A500" s="272"/>
      <c r="B500" s="273"/>
      <c r="C500" s="274"/>
      <c r="D500" s="272"/>
      <c r="E500" s="272"/>
      <c r="F500" s="272"/>
      <c r="G500" s="272"/>
      <c r="H500" s="272"/>
      <c r="I500" s="272"/>
      <c r="J500" s="272"/>
      <c r="K500" s="33"/>
      <c r="L500" s="33"/>
      <c r="M500" s="32"/>
      <c r="N500" s="32"/>
      <c r="O500" s="32"/>
      <c r="P500" s="33"/>
      <c r="Q500" s="32"/>
      <c r="R500" s="240"/>
      <c r="S500" s="32"/>
      <c r="T500" s="32"/>
      <c r="U500" s="250"/>
      <c r="V500" s="32"/>
      <c r="W500" s="33"/>
      <c r="X500" s="32"/>
      <c r="Y500" s="42"/>
      <c r="Z500" s="31"/>
      <c r="AA500" s="42"/>
      <c r="AB500" s="42"/>
      <c r="AC500" s="250"/>
      <c r="AD500" s="32"/>
      <c r="AE500" s="282"/>
      <c r="AF500" s="261"/>
      <c r="AG500" s="31"/>
      <c r="AH500" s="32"/>
      <c r="AI500" s="42"/>
      <c r="AJ500" s="42"/>
    </row>
    <row r="501" spans="1:36" x14ac:dyDescent="0.25">
      <c r="A501" s="272"/>
      <c r="B501" s="273"/>
      <c r="C501" s="274"/>
      <c r="D501" s="272"/>
      <c r="E501" s="272"/>
      <c r="F501" s="272"/>
      <c r="G501" s="272"/>
      <c r="H501" s="272"/>
      <c r="I501" s="272"/>
      <c r="J501" s="272"/>
      <c r="K501" s="33"/>
      <c r="L501" s="33"/>
      <c r="M501" s="32"/>
      <c r="N501" s="32"/>
      <c r="O501" s="32"/>
      <c r="P501" s="33"/>
      <c r="Q501" s="32"/>
      <c r="R501" s="240"/>
      <c r="S501" s="32"/>
      <c r="T501" s="32"/>
      <c r="U501" s="250"/>
      <c r="V501" s="32"/>
      <c r="W501" s="33"/>
      <c r="X501" s="32"/>
      <c r="Y501" s="42"/>
      <c r="Z501" s="31"/>
      <c r="AA501" s="42"/>
      <c r="AB501" s="42"/>
      <c r="AC501" s="250"/>
      <c r="AD501" s="32"/>
      <c r="AE501" s="282"/>
      <c r="AF501" s="261"/>
      <c r="AG501" s="31"/>
      <c r="AH501" s="32"/>
      <c r="AI501" s="42"/>
      <c r="AJ501" s="42"/>
    </row>
    <row r="502" spans="1:36" x14ac:dyDescent="0.25">
      <c r="A502" s="272"/>
      <c r="B502" s="273"/>
      <c r="C502" s="274"/>
      <c r="D502" s="272"/>
      <c r="E502" s="272"/>
      <c r="F502" s="272"/>
      <c r="G502" s="272"/>
      <c r="H502" s="272"/>
      <c r="I502" s="272"/>
      <c r="J502" s="272"/>
      <c r="K502" s="33"/>
      <c r="L502" s="33"/>
      <c r="M502" s="32"/>
      <c r="N502" s="32"/>
      <c r="O502" s="32"/>
      <c r="P502" s="33"/>
      <c r="Q502" s="32"/>
      <c r="R502" s="240"/>
      <c r="S502" s="32"/>
      <c r="T502" s="32"/>
      <c r="U502" s="250"/>
      <c r="V502" s="32"/>
      <c r="W502" s="33"/>
      <c r="X502" s="32"/>
      <c r="Y502" s="42"/>
      <c r="Z502" s="31"/>
      <c r="AA502" s="42"/>
      <c r="AB502" s="42"/>
      <c r="AC502" s="250"/>
      <c r="AD502" s="32"/>
      <c r="AE502" s="282"/>
      <c r="AF502" s="261"/>
      <c r="AG502" s="31"/>
      <c r="AH502" s="32"/>
      <c r="AI502" s="42"/>
      <c r="AJ502" s="42"/>
    </row>
    <row r="503" spans="1:36" x14ac:dyDescent="0.25">
      <c r="A503" s="272"/>
      <c r="B503" s="273"/>
      <c r="C503" s="274"/>
      <c r="D503" s="272"/>
      <c r="E503" s="272"/>
      <c r="F503" s="272"/>
      <c r="G503" s="272"/>
      <c r="H503" s="272"/>
      <c r="I503" s="272"/>
      <c r="J503" s="272"/>
      <c r="K503" s="33"/>
      <c r="L503" s="33"/>
      <c r="M503" s="32"/>
      <c r="N503" s="32"/>
      <c r="O503" s="32"/>
      <c r="P503" s="33"/>
      <c r="Q503" s="32"/>
      <c r="R503" s="240"/>
      <c r="S503" s="32"/>
      <c r="T503" s="32"/>
      <c r="U503" s="250"/>
      <c r="V503" s="32"/>
      <c r="W503" s="33"/>
      <c r="X503" s="32"/>
      <c r="Y503" s="42"/>
      <c r="Z503" s="31"/>
      <c r="AA503" s="42"/>
      <c r="AB503" s="42"/>
      <c r="AC503" s="250"/>
      <c r="AD503" s="32"/>
      <c r="AE503" s="282"/>
      <c r="AF503" s="261"/>
      <c r="AG503" s="31"/>
      <c r="AH503" s="32"/>
      <c r="AI503" s="42"/>
      <c r="AJ503" s="42"/>
    </row>
    <row r="504" spans="1:36" x14ac:dyDescent="0.25">
      <c r="A504" s="272"/>
      <c r="B504" s="273"/>
      <c r="C504" s="274"/>
      <c r="D504" s="272"/>
      <c r="E504" s="272"/>
      <c r="F504" s="272"/>
      <c r="G504" s="272"/>
      <c r="H504" s="272"/>
      <c r="I504" s="272"/>
      <c r="J504" s="272"/>
      <c r="K504" s="33"/>
      <c r="L504" s="33"/>
      <c r="M504" s="32"/>
      <c r="N504" s="32"/>
      <c r="O504" s="32"/>
      <c r="P504" s="33"/>
      <c r="Q504" s="32"/>
      <c r="R504" s="240"/>
      <c r="S504" s="32"/>
      <c r="T504" s="32"/>
      <c r="U504" s="250"/>
      <c r="V504" s="32"/>
      <c r="W504" s="33"/>
      <c r="X504" s="32"/>
      <c r="Y504" s="42"/>
      <c r="Z504" s="31"/>
      <c r="AA504" s="42"/>
      <c r="AB504" s="42"/>
      <c r="AC504" s="250"/>
      <c r="AD504" s="32"/>
      <c r="AE504" s="282"/>
      <c r="AF504" s="261"/>
      <c r="AG504" s="31"/>
      <c r="AH504" s="32"/>
      <c r="AI504" s="42"/>
      <c r="AJ504" s="42"/>
    </row>
    <row r="505" spans="1:36" x14ac:dyDescent="0.25">
      <c r="A505" s="272"/>
      <c r="B505" s="273"/>
      <c r="C505" s="274"/>
      <c r="D505" s="272"/>
      <c r="E505" s="272"/>
      <c r="F505" s="272"/>
      <c r="G505" s="272"/>
      <c r="H505" s="272"/>
      <c r="I505" s="272"/>
      <c r="J505" s="272"/>
      <c r="K505" s="33"/>
      <c r="L505" s="33"/>
      <c r="M505" s="32"/>
      <c r="N505" s="32"/>
      <c r="O505" s="32"/>
      <c r="P505" s="33"/>
      <c r="Q505" s="32"/>
      <c r="R505" s="240"/>
      <c r="S505" s="32"/>
      <c r="T505" s="32"/>
      <c r="U505" s="250"/>
      <c r="V505" s="32"/>
      <c r="W505" s="33"/>
      <c r="X505" s="32"/>
      <c r="Y505" s="42"/>
      <c r="Z505" s="31"/>
      <c r="AA505" s="42"/>
      <c r="AB505" s="42"/>
      <c r="AC505" s="250"/>
      <c r="AD505" s="32"/>
      <c r="AE505" s="282"/>
      <c r="AF505" s="261"/>
      <c r="AG505" s="31"/>
      <c r="AH505" s="32"/>
      <c r="AI505" s="42"/>
      <c r="AJ505" s="42"/>
    </row>
    <row r="506" spans="1:36" x14ac:dyDescent="0.25">
      <c r="A506" s="272"/>
      <c r="B506" s="273"/>
      <c r="C506" s="274"/>
      <c r="D506" s="272"/>
      <c r="E506" s="272"/>
      <c r="F506" s="272"/>
      <c r="G506" s="272"/>
      <c r="H506" s="272"/>
      <c r="I506" s="272"/>
      <c r="J506" s="272"/>
      <c r="K506" s="33"/>
      <c r="L506" s="33"/>
      <c r="M506" s="32"/>
      <c r="N506" s="32"/>
      <c r="O506" s="32"/>
      <c r="P506" s="33"/>
      <c r="Q506" s="32"/>
      <c r="R506" s="240"/>
      <c r="S506" s="32"/>
      <c r="T506" s="32"/>
      <c r="U506" s="250"/>
      <c r="V506" s="32"/>
      <c r="W506" s="33"/>
      <c r="X506" s="32"/>
      <c r="Y506" s="42"/>
      <c r="Z506" s="31"/>
      <c r="AA506" s="42"/>
      <c r="AB506" s="42"/>
      <c r="AC506" s="250"/>
      <c r="AD506" s="32"/>
      <c r="AE506" s="282"/>
      <c r="AF506" s="261"/>
      <c r="AG506" s="31"/>
      <c r="AH506" s="32"/>
      <c r="AI506" s="42"/>
      <c r="AJ506" s="42"/>
    </row>
    <row r="507" spans="1:36" x14ac:dyDescent="0.25">
      <c r="A507" s="272"/>
      <c r="B507" s="273"/>
      <c r="C507" s="274"/>
      <c r="D507" s="272"/>
      <c r="E507" s="272"/>
      <c r="F507" s="272"/>
      <c r="G507" s="272"/>
      <c r="H507" s="272"/>
      <c r="I507" s="272"/>
      <c r="J507" s="272"/>
      <c r="K507" s="33"/>
      <c r="L507" s="33"/>
      <c r="M507" s="32"/>
      <c r="N507" s="32"/>
      <c r="O507" s="32"/>
      <c r="P507" s="33"/>
      <c r="Q507" s="32"/>
      <c r="R507" s="240"/>
      <c r="S507" s="32"/>
      <c r="T507" s="32"/>
      <c r="U507" s="250"/>
      <c r="V507" s="32"/>
      <c r="W507" s="33"/>
      <c r="X507" s="32"/>
      <c r="Y507" s="42"/>
      <c r="Z507" s="31"/>
      <c r="AA507" s="42"/>
      <c r="AB507" s="42"/>
      <c r="AC507" s="250"/>
      <c r="AD507" s="32"/>
      <c r="AE507" s="282"/>
      <c r="AF507" s="261"/>
      <c r="AG507" s="31"/>
      <c r="AH507" s="32"/>
      <c r="AI507" s="42"/>
      <c r="AJ507" s="42"/>
    </row>
    <row r="508" spans="1:36" x14ac:dyDescent="0.25">
      <c r="A508" s="272"/>
      <c r="B508" s="273"/>
      <c r="C508" s="274"/>
      <c r="D508" s="272"/>
      <c r="E508" s="272"/>
      <c r="F508" s="272"/>
      <c r="G508" s="272"/>
      <c r="H508" s="272"/>
      <c r="I508" s="272"/>
      <c r="J508" s="272"/>
      <c r="K508" s="33"/>
      <c r="L508" s="33"/>
      <c r="M508" s="32"/>
      <c r="N508" s="32"/>
      <c r="O508" s="32"/>
      <c r="P508" s="33"/>
      <c r="Q508" s="32"/>
      <c r="R508" s="240"/>
      <c r="S508" s="32"/>
      <c r="T508" s="32"/>
      <c r="U508" s="250"/>
      <c r="V508" s="32"/>
      <c r="W508" s="33"/>
      <c r="X508" s="32"/>
      <c r="Y508" s="42"/>
      <c r="Z508" s="31"/>
      <c r="AA508" s="42"/>
      <c r="AB508" s="42"/>
      <c r="AC508" s="250"/>
      <c r="AD508" s="32"/>
      <c r="AE508" s="282"/>
      <c r="AF508" s="261"/>
      <c r="AG508" s="31"/>
      <c r="AH508" s="32"/>
      <c r="AI508" s="42"/>
      <c r="AJ508" s="42"/>
    </row>
    <row r="509" spans="1:36" x14ac:dyDescent="0.25">
      <c r="A509" s="272"/>
      <c r="B509" s="273"/>
      <c r="C509" s="274"/>
      <c r="D509" s="272"/>
      <c r="E509" s="272"/>
      <c r="F509" s="272"/>
      <c r="G509" s="272"/>
      <c r="H509" s="272"/>
      <c r="I509" s="272"/>
      <c r="J509" s="272"/>
      <c r="K509" s="33"/>
      <c r="L509" s="33"/>
      <c r="M509" s="32"/>
      <c r="N509" s="32"/>
      <c r="O509" s="32"/>
      <c r="P509" s="33"/>
      <c r="Q509" s="32"/>
      <c r="R509" s="240"/>
      <c r="S509" s="32"/>
      <c r="T509" s="32"/>
      <c r="U509" s="250"/>
      <c r="V509" s="32"/>
      <c r="W509" s="33"/>
      <c r="X509" s="32"/>
      <c r="Y509" s="42"/>
      <c r="Z509" s="31"/>
      <c r="AA509" s="42"/>
      <c r="AB509" s="42"/>
      <c r="AC509" s="250"/>
      <c r="AD509" s="32"/>
      <c r="AE509" s="282"/>
      <c r="AF509" s="261"/>
      <c r="AG509" s="31"/>
      <c r="AH509" s="32"/>
      <c r="AI509" s="42"/>
      <c r="AJ509" s="42"/>
    </row>
    <row r="510" spans="1:36" x14ac:dyDescent="0.25">
      <c r="A510" s="272"/>
      <c r="B510" s="273"/>
      <c r="C510" s="274"/>
      <c r="D510" s="272"/>
      <c r="E510" s="272"/>
      <c r="F510" s="272"/>
      <c r="G510" s="272"/>
      <c r="H510" s="272"/>
      <c r="I510" s="272"/>
      <c r="J510" s="272"/>
      <c r="K510" s="33"/>
      <c r="L510" s="33"/>
      <c r="M510" s="32"/>
      <c r="N510" s="32"/>
      <c r="O510" s="32"/>
      <c r="P510" s="33"/>
      <c r="Q510" s="32"/>
      <c r="R510" s="240"/>
      <c r="S510" s="32"/>
      <c r="T510" s="32"/>
      <c r="U510" s="250"/>
      <c r="V510" s="32"/>
      <c r="W510" s="33"/>
      <c r="X510" s="32"/>
      <c r="Y510" s="42"/>
      <c r="Z510" s="31"/>
      <c r="AA510" s="42"/>
      <c r="AB510" s="42"/>
      <c r="AC510" s="250"/>
      <c r="AD510" s="32"/>
      <c r="AE510" s="282"/>
      <c r="AF510" s="261"/>
      <c r="AG510" s="31"/>
      <c r="AH510" s="32"/>
      <c r="AI510" s="42"/>
      <c r="AJ510" s="42"/>
    </row>
    <row r="511" spans="1:36" x14ac:dyDescent="0.25">
      <c r="A511" s="272"/>
      <c r="B511" s="273"/>
      <c r="C511" s="274"/>
      <c r="D511" s="272"/>
      <c r="E511" s="272"/>
      <c r="F511" s="272"/>
      <c r="G511" s="272"/>
      <c r="H511" s="272"/>
      <c r="I511" s="272"/>
      <c r="J511" s="272"/>
      <c r="K511" s="33"/>
      <c r="L511" s="33"/>
      <c r="M511" s="32"/>
      <c r="N511" s="32"/>
      <c r="O511" s="32"/>
      <c r="P511" s="33"/>
      <c r="Q511" s="32"/>
      <c r="R511" s="240"/>
      <c r="S511" s="32"/>
      <c r="T511" s="32"/>
      <c r="U511" s="250"/>
      <c r="V511" s="32"/>
      <c r="W511" s="33"/>
      <c r="X511" s="32"/>
      <c r="Y511" s="42"/>
      <c r="Z511" s="31"/>
      <c r="AA511" s="42"/>
      <c r="AB511" s="42"/>
      <c r="AC511" s="250"/>
      <c r="AD511" s="32"/>
      <c r="AE511" s="282"/>
      <c r="AF511" s="261"/>
      <c r="AG511" s="31"/>
      <c r="AH511" s="32"/>
      <c r="AI511" s="42"/>
      <c r="AJ511" s="42"/>
    </row>
    <row r="512" spans="1:36" x14ac:dyDescent="0.25">
      <c r="A512" s="272"/>
      <c r="B512" s="273"/>
      <c r="C512" s="274"/>
      <c r="D512" s="272"/>
      <c r="E512" s="272"/>
      <c r="F512" s="272"/>
      <c r="G512" s="272"/>
      <c r="H512" s="272"/>
      <c r="I512" s="272"/>
      <c r="J512" s="272"/>
      <c r="K512" s="33"/>
      <c r="L512" s="33"/>
      <c r="M512" s="32"/>
      <c r="N512" s="32"/>
      <c r="O512" s="32"/>
      <c r="P512" s="33"/>
      <c r="Q512" s="32"/>
      <c r="R512" s="240"/>
      <c r="S512" s="32"/>
      <c r="T512" s="32"/>
      <c r="U512" s="250"/>
      <c r="V512" s="32"/>
      <c r="W512" s="33"/>
      <c r="X512" s="32"/>
      <c r="Y512" s="42"/>
      <c r="Z512" s="31"/>
      <c r="AA512" s="42"/>
      <c r="AB512" s="42"/>
      <c r="AC512" s="250"/>
      <c r="AD512" s="32"/>
      <c r="AE512" s="282"/>
      <c r="AF512" s="261"/>
      <c r="AG512" s="31"/>
      <c r="AH512" s="32"/>
      <c r="AI512" s="42"/>
      <c r="AJ512" s="42"/>
    </row>
    <row r="513" spans="1:36" x14ac:dyDescent="0.25">
      <c r="A513" s="272"/>
      <c r="B513" s="273"/>
      <c r="C513" s="274"/>
      <c r="D513" s="272"/>
      <c r="E513" s="272"/>
      <c r="F513" s="272"/>
      <c r="G513" s="272"/>
      <c r="H513" s="272"/>
      <c r="I513" s="272"/>
      <c r="J513" s="272"/>
      <c r="K513" s="33"/>
      <c r="L513" s="33"/>
      <c r="M513" s="32"/>
      <c r="N513" s="32"/>
      <c r="O513" s="32"/>
      <c r="P513" s="33"/>
      <c r="Q513" s="32"/>
      <c r="R513" s="240"/>
      <c r="S513" s="32"/>
      <c r="T513" s="32"/>
      <c r="U513" s="250"/>
      <c r="V513" s="32"/>
      <c r="W513" s="33"/>
      <c r="X513" s="32"/>
      <c r="Y513" s="42"/>
      <c r="Z513" s="31"/>
      <c r="AA513" s="42"/>
      <c r="AB513" s="42"/>
      <c r="AC513" s="250"/>
      <c r="AD513" s="32"/>
      <c r="AE513" s="282"/>
      <c r="AF513" s="261"/>
      <c r="AG513" s="31"/>
      <c r="AH513" s="32"/>
      <c r="AI513" s="42"/>
      <c r="AJ513" s="42"/>
    </row>
    <row r="514" spans="1:36" x14ac:dyDescent="0.25">
      <c r="A514" s="272"/>
      <c r="B514" s="273"/>
      <c r="C514" s="274"/>
      <c r="D514" s="272"/>
      <c r="E514" s="272"/>
      <c r="F514" s="272"/>
      <c r="G514" s="272"/>
      <c r="H514" s="272"/>
      <c r="I514" s="272"/>
      <c r="J514" s="272"/>
      <c r="K514" s="33"/>
      <c r="L514" s="33"/>
      <c r="M514" s="32"/>
      <c r="N514" s="32"/>
      <c r="O514" s="32"/>
      <c r="P514" s="33"/>
      <c r="Q514" s="32"/>
      <c r="R514" s="240"/>
      <c r="S514" s="32"/>
      <c r="T514" s="32"/>
      <c r="U514" s="250"/>
      <c r="V514" s="32"/>
      <c r="W514" s="33"/>
      <c r="X514" s="32"/>
      <c r="Y514" s="42"/>
      <c r="Z514" s="31"/>
      <c r="AA514" s="42"/>
      <c r="AB514" s="42"/>
      <c r="AC514" s="250"/>
      <c r="AD514" s="32"/>
      <c r="AE514" s="282"/>
      <c r="AF514" s="261"/>
      <c r="AG514" s="31"/>
      <c r="AH514" s="32"/>
      <c r="AI514" s="42"/>
      <c r="AJ514" s="42"/>
    </row>
    <row r="515" spans="1:36" x14ac:dyDescent="0.25">
      <c r="A515" s="272"/>
      <c r="B515" s="273"/>
      <c r="C515" s="274"/>
      <c r="D515" s="272"/>
      <c r="E515" s="272"/>
      <c r="F515" s="272"/>
      <c r="G515" s="272"/>
      <c r="H515" s="272"/>
      <c r="I515" s="272"/>
      <c r="J515" s="272"/>
      <c r="K515" s="33"/>
      <c r="L515" s="33"/>
      <c r="M515" s="32"/>
      <c r="N515" s="32"/>
      <c r="O515" s="32"/>
      <c r="P515" s="33"/>
      <c r="Q515" s="32"/>
      <c r="R515" s="240"/>
      <c r="S515" s="32"/>
      <c r="T515" s="32"/>
      <c r="U515" s="250"/>
      <c r="V515" s="32"/>
      <c r="W515" s="33"/>
      <c r="X515" s="32"/>
      <c r="Y515" s="42"/>
      <c r="Z515" s="31"/>
      <c r="AA515" s="42"/>
      <c r="AB515" s="42"/>
      <c r="AC515" s="250"/>
      <c r="AD515" s="32"/>
      <c r="AE515" s="282"/>
      <c r="AF515" s="261"/>
      <c r="AG515" s="31"/>
      <c r="AH515" s="32"/>
      <c r="AI515" s="42"/>
      <c r="AJ515" s="42"/>
    </row>
    <row r="516" spans="1:36" x14ac:dyDescent="0.25">
      <c r="A516" s="272"/>
      <c r="B516" s="273"/>
      <c r="C516" s="274"/>
      <c r="D516" s="272"/>
      <c r="E516" s="272"/>
      <c r="F516" s="272"/>
      <c r="G516" s="272"/>
      <c r="H516" s="272"/>
      <c r="I516" s="272"/>
      <c r="J516" s="272"/>
      <c r="K516" s="33"/>
      <c r="L516" s="33"/>
      <c r="M516" s="32"/>
      <c r="N516" s="32"/>
      <c r="O516" s="32"/>
      <c r="P516" s="33"/>
      <c r="Q516" s="32"/>
      <c r="R516" s="240"/>
      <c r="S516" s="32"/>
      <c r="T516" s="32"/>
      <c r="U516" s="250"/>
      <c r="V516" s="32"/>
      <c r="W516" s="33"/>
      <c r="X516" s="32"/>
      <c r="Y516" s="42"/>
      <c r="Z516" s="31"/>
      <c r="AA516" s="42"/>
      <c r="AB516" s="42"/>
      <c r="AC516" s="250"/>
      <c r="AD516" s="32"/>
      <c r="AE516" s="282"/>
      <c r="AF516" s="261"/>
      <c r="AG516" s="31"/>
      <c r="AH516" s="32"/>
      <c r="AI516" s="42"/>
      <c r="AJ516" s="42"/>
    </row>
    <row r="517" spans="1:36" x14ac:dyDescent="0.25">
      <c r="A517" s="272"/>
      <c r="B517" s="273"/>
      <c r="C517" s="274"/>
      <c r="D517" s="272"/>
      <c r="E517" s="272"/>
      <c r="F517" s="272"/>
      <c r="G517" s="272"/>
      <c r="H517" s="272"/>
      <c r="I517" s="272"/>
      <c r="J517" s="272"/>
      <c r="K517" s="33"/>
      <c r="L517" s="33"/>
      <c r="M517" s="32"/>
      <c r="N517" s="32"/>
      <c r="O517" s="32"/>
      <c r="P517" s="33"/>
      <c r="Q517" s="32"/>
      <c r="R517" s="240"/>
      <c r="S517" s="32"/>
      <c r="T517" s="32"/>
      <c r="U517" s="250"/>
      <c r="V517" s="32"/>
      <c r="W517" s="33"/>
      <c r="X517" s="32"/>
      <c r="Y517" s="42"/>
      <c r="Z517" s="31"/>
      <c r="AA517" s="42"/>
      <c r="AB517" s="42"/>
      <c r="AC517" s="250"/>
      <c r="AD517" s="32"/>
      <c r="AE517" s="282"/>
      <c r="AF517" s="261"/>
      <c r="AG517" s="31"/>
      <c r="AH517" s="32"/>
      <c r="AI517" s="42"/>
      <c r="AJ517" s="42"/>
    </row>
    <row r="518" spans="1:36" x14ac:dyDescent="0.25">
      <c r="A518" s="272"/>
      <c r="B518" s="273"/>
      <c r="C518" s="274"/>
      <c r="D518" s="272"/>
      <c r="E518" s="272"/>
      <c r="F518" s="272"/>
      <c r="G518" s="272"/>
      <c r="H518" s="272"/>
      <c r="I518" s="272"/>
      <c r="J518" s="272"/>
      <c r="K518" s="33"/>
      <c r="L518" s="33"/>
      <c r="M518" s="32"/>
      <c r="N518" s="32"/>
      <c r="O518" s="32"/>
      <c r="P518" s="33"/>
      <c r="Q518" s="32"/>
      <c r="R518" s="240"/>
      <c r="S518" s="32"/>
      <c r="T518" s="32"/>
      <c r="U518" s="250"/>
      <c r="V518" s="32"/>
      <c r="W518" s="33"/>
      <c r="X518" s="32"/>
      <c r="Y518" s="42"/>
      <c r="Z518" s="31"/>
      <c r="AA518" s="42"/>
      <c r="AB518" s="42"/>
      <c r="AC518" s="250"/>
      <c r="AD518" s="32"/>
      <c r="AE518" s="282"/>
      <c r="AF518" s="261"/>
      <c r="AG518" s="31"/>
      <c r="AH518" s="32"/>
      <c r="AI518" s="42"/>
      <c r="AJ518" s="42"/>
    </row>
    <row r="519" spans="1:36" x14ac:dyDescent="0.25">
      <c r="A519" s="272"/>
      <c r="B519" s="273"/>
      <c r="C519" s="274"/>
      <c r="D519" s="272"/>
      <c r="E519" s="272"/>
      <c r="F519" s="272"/>
      <c r="G519" s="272"/>
      <c r="H519" s="272"/>
      <c r="I519" s="272"/>
      <c r="J519" s="272"/>
      <c r="K519" s="33"/>
      <c r="L519" s="33"/>
      <c r="M519" s="32"/>
      <c r="N519" s="32"/>
      <c r="O519" s="32"/>
      <c r="P519" s="33"/>
      <c r="Q519" s="32"/>
      <c r="R519" s="240"/>
      <c r="S519" s="32"/>
      <c r="T519" s="32"/>
      <c r="U519" s="250"/>
      <c r="V519" s="32"/>
      <c r="W519" s="33"/>
      <c r="X519" s="32"/>
      <c r="Y519" s="42"/>
      <c r="Z519" s="31"/>
      <c r="AA519" s="42"/>
      <c r="AB519" s="42"/>
      <c r="AC519" s="250"/>
      <c r="AD519" s="32"/>
      <c r="AE519" s="282"/>
      <c r="AF519" s="261"/>
      <c r="AG519" s="31"/>
      <c r="AH519" s="32"/>
      <c r="AI519" s="42"/>
      <c r="AJ519" s="42"/>
    </row>
    <row r="520" spans="1:36" x14ac:dyDescent="0.25">
      <c r="A520" s="272"/>
      <c r="B520" s="273"/>
      <c r="C520" s="274"/>
      <c r="D520" s="272"/>
      <c r="E520" s="272"/>
      <c r="F520" s="272"/>
      <c r="G520" s="272"/>
      <c r="H520" s="272"/>
      <c r="I520" s="272"/>
      <c r="J520" s="272"/>
      <c r="K520" s="33"/>
      <c r="L520" s="33"/>
      <c r="M520" s="32"/>
      <c r="N520" s="32"/>
      <c r="O520" s="32"/>
      <c r="P520" s="33"/>
      <c r="Q520" s="32"/>
      <c r="R520" s="240"/>
      <c r="S520" s="32"/>
      <c r="T520" s="32"/>
      <c r="U520" s="250"/>
      <c r="V520" s="32"/>
      <c r="W520" s="33"/>
      <c r="X520" s="32"/>
      <c r="Y520" s="42"/>
      <c r="Z520" s="31"/>
      <c r="AA520" s="42"/>
      <c r="AB520" s="42"/>
      <c r="AC520" s="250"/>
      <c r="AD520" s="32"/>
      <c r="AE520" s="282"/>
      <c r="AF520" s="261"/>
      <c r="AG520" s="31"/>
      <c r="AH520" s="32"/>
      <c r="AI520" s="42"/>
      <c r="AJ520" s="42"/>
    </row>
    <row r="521" spans="1:36" x14ac:dyDescent="0.25">
      <c r="A521" s="272"/>
      <c r="B521" s="273"/>
      <c r="C521" s="274"/>
      <c r="D521" s="272"/>
      <c r="E521" s="272"/>
      <c r="F521" s="272"/>
      <c r="G521" s="272"/>
      <c r="H521" s="272"/>
      <c r="I521" s="272"/>
      <c r="J521" s="272"/>
      <c r="K521" s="33"/>
      <c r="L521" s="33"/>
      <c r="M521" s="32"/>
      <c r="N521" s="32"/>
      <c r="O521" s="32"/>
      <c r="P521" s="33"/>
      <c r="Q521" s="32"/>
      <c r="R521" s="240"/>
      <c r="S521" s="32"/>
      <c r="T521" s="32"/>
      <c r="U521" s="250"/>
      <c r="V521" s="32"/>
      <c r="W521" s="33"/>
      <c r="X521" s="32"/>
      <c r="Y521" s="42"/>
      <c r="Z521" s="31"/>
      <c r="AA521" s="42"/>
      <c r="AB521" s="42"/>
      <c r="AC521" s="250"/>
      <c r="AD521" s="32"/>
      <c r="AE521" s="282"/>
      <c r="AF521" s="261"/>
      <c r="AG521" s="31"/>
      <c r="AH521" s="32"/>
      <c r="AI521" s="42"/>
      <c r="AJ521" s="42"/>
    </row>
    <row r="522" spans="1:36" x14ac:dyDescent="0.25">
      <c r="A522" s="272"/>
      <c r="B522" s="273"/>
      <c r="C522" s="274"/>
      <c r="D522" s="272"/>
      <c r="E522" s="272"/>
      <c r="F522" s="272"/>
      <c r="G522" s="272"/>
      <c r="H522" s="272"/>
      <c r="I522" s="272"/>
      <c r="J522" s="272"/>
      <c r="K522" s="33"/>
      <c r="L522" s="33"/>
      <c r="M522" s="32"/>
      <c r="N522" s="32"/>
      <c r="O522" s="32"/>
      <c r="P522" s="33"/>
      <c r="Q522" s="32"/>
      <c r="R522" s="240"/>
      <c r="S522" s="32"/>
      <c r="T522" s="32"/>
      <c r="U522" s="250"/>
      <c r="V522" s="32"/>
      <c r="W522" s="33"/>
      <c r="X522" s="32"/>
      <c r="Y522" s="42"/>
      <c r="Z522" s="31"/>
      <c r="AA522" s="42"/>
      <c r="AB522" s="42"/>
      <c r="AC522" s="250"/>
      <c r="AD522" s="32"/>
      <c r="AE522" s="282"/>
      <c r="AF522" s="261"/>
      <c r="AG522" s="31"/>
      <c r="AH522" s="32"/>
      <c r="AI522" s="42"/>
      <c r="AJ522" s="42"/>
    </row>
    <row r="523" spans="1:36" x14ac:dyDescent="0.25">
      <c r="A523" s="272"/>
      <c r="B523" s="273"/>
      <c r="C523" s="274"/>
      <c r="D523" s="272"/>
      <c r="E523" s="272"/>
      <c r="F523" s="272"/>
      <c r="G523" s="272"/>
      <c r="H523" s="272"/>
      <c r="I523" s="272"/>
      <c r="J523" s="272"/>
      <c r="K523" s="33"/>
      <c r="L523" s="33"/>
      <c r="M523" s="32"/>
      <c r="N523" s="32"/>
      <c r="O523" s="32"/>
      <c r="P523" s="33"/>
      <c r="Q523" s="32"/>
      <c r="R523" s="240"/>
      <c r="S523" s="32"/>
      <c r="T523" s="32"/>
      <c r="U523" s="250"/>
      <c r="V523" s="32"/>
      <c r="W523" s="33"/>
      <c r="X523" s="32"/>
      <c r="Y523" s="42"/>
      <c r="Z523" s="31"/>
      <c r="AA523" s="42"/>
      <c r="AB523" s="42"/>
      <c r="AC523" s="250"/>
      <c r="AD523" s="32"/>
      <c r="AE523" s="282"/>
      <c r="AF523" s="261"/>
      <c r="AG523" s="31"/>
      <c r="AH523" s="32"/>
      <c r="AI523" s="42"/>
      <c r="AJ523" s="42"/>
    </row>
    <row r="524" spans="1:36" x14ac:dyDescent="0.25">
      <c r="A524" s="272"/>
      <c r="B524" s="273"/>
      <c r="C524" s="274"/>
      <c r="D524" s="272"/>
      <c r="E524" s="272"/>
      <c r="F524" s="272"/>
      <c r="G524" s="272"/>
      <c r="H524" s="272"/>
      <c r="I524" s="272"/>
      <c r="J524" s="272"/>
      <c r="K524" s="33"/>
      <c r="L524" s="33"/>
      <c r="M524" s="32"/>
      <c r="N524" s="32"/>
      <c r="O524" s="32"/>
      <c r="P524" s="33"/>
      <c r="Q524" s="32"/>
      <c r="R524" s="240"/>
      <c r="S524" s="32"/>
      <c r="T524" s="32"/>
      <c r="U524" s="250"/>
      <c r="V524" s="32"/>
      <c r="W524" s="33"/>
      <c r="X524" s="32"/>
      <c r="Y524" s="42"/>
      <c r="Z524" s="31"/>
      <c r="AA524" s="42"/>
      <c r="AB524" s="42"/>
      <c r="AC524" s="250"/>
      <c r="AD524" s="32"/>
      <c r="AE524" s="282"/>
      <c r="AF524" s="261"/>
      <c r="AG524" s="31"/>
      <c r="AH524" s="32"/>
      <c r="AI524" s="42"/>
      <c r="AJ524" s="42"/>
    </row>
    <row r="525" spans="1:36" x14ac:dyDescent="0.25">
      <c r="A525" s="272"/>
      <c r="B525" s="273"/>
      <c r="C525" s="274"/>
      <c r="D525" s="272"/>
      <c r="E525" s="272"/>
      <c r="F525" s="272"/>
      <c r="G525" s="272"/>
      <c r="H525" s="272"/>
      <c r="I525" s="272"/>
      <c r="J525" s="272"/>
      <c r="K525" s="33"/>
      <c r="L525" s="33"/>
      <c r="M525" s="32"/>
      <c r="N525" s="32"/>
      <c r="O525" s="32"/>
      <c r="P525" s="33"/>
      <c r="Q525" s="32"/>
      <c r="R525" s="240"/>
      <c r="S525" s="32"/>
      <c r="T525" s="32"/>
      <c r="U525" s="250"/>
      <c r="V525" s="32"/>
      <c r="W525" s="33"/>
      <c r="X525" s="32"/>
      <c r="Y525" s="42"/>
      <c r="Z525" s="31"/>
      <c r="AA525" s="42"/>
      <c r="AB525" s="42"/>
      <c r="AC525" s="250"/>
      <c r="AD525" s="32"/>
      <c r="AE525" s="282"/>
      <c r="AF525" s="261"/>
      <c r="AG525" s="31"/>
      <c r="AH525" s="32"/>
      <c r="AI525" s="42"/>
      <c r="AJ525" s="42"/>
    </row>
    <row r="526" spans="1:36" x14ac:dyDescent="0.25">
      <c r="A526" s="272"/>
      <c r="B526" s="273"/>
      <c r="C526" s="274"/>
      <c r="D526" s="272"/>
      <c r="E526" s="272"/>
      <c r="F526" s="272"/>
      <c r="G526" s="272"/>
      <c r="H526" s="272"/>
      <c r="I526" s="272"/>
      <c r="J526" s="272"/>
      <c r="K526" s="33"/>
      <c r="L526" s="33"/>
      <c r="M526" s="32"/>
      <c r="N526" s="32"/>
      <c r="O526" s="32"/>
      <c r="P526" s="33"/>
      <c r="Q526" s="32"/>
      <c r="R526" s="240"/>
      <c r="S526" s="32"/>
      <c r="T526" s="32"/>
      <c r="U526" s="250"/>
      <c r="V526" s="32"/>
      <c r="W526" s="33"/>
      <c r="X526" s="32"/>
      <c r="Y526" s="42"/>
      <c r="Z526" s="31"/>
      <c r="AA526" s="42"/>
      <c r="AB526" s="42"/>
      <c r="AC526" s="250"/>
      <c r="AD526" s="32"/>
      <c r="AE526" s="282"/>
      <c r="AF526" s="261"/>
      <c r="AG526" s="31"/>
      <c r="AH526" s="32"/>
      <c r="AI526" s="42"/>
      <c r="AJ526" s="42"/>
    </row>
    <row r="527" spans="1:36" x14ac:dyDescent="0.25">
      <c r="A527" s="272"/>
      <c r="B527" s="273"/>
      <c r="C527" s="274"/>
      <c r="D527" s="272"/>
      <c r="E527" s="272"/>
      <c r="F527" s="272"/>
      <c r="G527" s="272"/>
      <c r="H527" s="272"/>
      <c r="I527" s="272"/>
      <c r="J527" s="272"/>
      <c r="K527" s="33"/>
      <c r="L527" s="33"/>
      <c r="M527" s="32"/>
      <c r="N527" s="32"/>
      <c r="O527" s="32"/>
      <c r="P527" s="33"/>
      <c r="Q527" s="32"/>
      <c r="R527" s="240"/>
      <c r="S527" s="32"/>
      <c r="T527" s="32"/>
      <c r="U527" s="250"/>
      <c r="V527" s="32"/>
      <c r="W527" s="33"/>
      <c r="X527" s="32"/>
      <c r="Y527" s="42"/>
      <c r="Z527" s="31"/>
      <c r="AA527" s="42"/>
      <c r="AB527" s="42"/>
      <c r="AC527" s="250"/>
      <c r="AD527" s="32"/>
      <c r="AE527" s="282"/>
      <c r="AF527" s="261"/>
      <c r="AG527" s="31"/>
      <c r="AH527" s="32"/>
      <c r="AI527" s="42"/>
      <c r="AJ527" s="42"/>
    </row>
    <row r="528" spans="1:36" x14ac:dyDescent="0.25">
      <c r="A528" s="272"/>
      <c r="B528" s="273"/>
      <c r="C528" s="274"/>
      <c r="D528" s="272"/>
      <c r="E528" s="272"/>
      <c r="F528" s="272"/>
      <c r="G528" s="272"/>
      <c r="H528" s="272"/>
      <c r="I528" s="272"/>
      <c r="J528" s="272"/>
      <c r="K528" s="33"/>
      <c r="L528" s="33"/>
      <c r="M528" s="32"/>
      <c r="N528" s="32"/>
      <c r="O528" s="32"/>
      <c r="P528" s="33"/>
      <c r="Q528" s="32"/>
      <c r="R528" s="240"/>
      <c r="S528" s="32"/>
      <c r="T528" s="32"/>
      <c r="U528" s="250"/>
      <c r="V528" s="32"/>
      <c r="W528" s="33"/>
      <c r="X528" s="32"/>
      <c r="Y528" s="42"/>
      <c r="Z528" s="31"/>
      <c r="AA528" s="42"/>
      <c r="AB528" s="42"/>
      <c r="AC528" s="250"/>
      <c r="AD528" s="32"/>
      <c r="AE528" s="282"/>
      <c r="AF528" s="261"/>
      <c r="AG528" s="31"/>
      <c r="AH528" s="32"/>
      <c r="AI528" s="42"/>
      <c r="AJ528" s="42"/>
    </row>
    <row r="529" spans="1:36" x14ac:dyDescent="0.25">
      <c r="A529" s="272"/>
      <c r="B529" s="273"/>
      <c r="C529" s="274"/>
      <c r="D529" s="272"/>
      <c r="E529" s="272"/>
      <c r="F529" s="272"/>
      <c r="G529" s="272"/>
      <c r="H529" s="272"/>
      <c r="I529" s="272"/>
      <c r="J529" s="272"/>
      <c r="K529" s="33"/>
      <c r="L529" s="33"/>
      <c r="M529" s="32"/>
      <c r="N529" s="32"/>
      <c r="O529" s="32"/>
      <c r="P529" s="33"/>
      <c r="Q529" s="32"/>
      <c r="R529" s="240"/>
      <c r="S529" s="32"/>
      <c r="T529" s="32"/>
      <c r="U529" s="250"/>
      <c r="V529" s="32"/>
      <c r="W529" s="33"/>
      <c r="X529" s="32"/>
      <c r="Y529" s="42"/>
      <c r="Z529" s="31"/>
      <c r="AA529" s="42"/>
      <c r="AB529" s="42"/>
      <c r="AC529" s="250"/>
      <c r="AD529" s="32"/>
      <c r="AE529" s="282"/>
      <c r="AF529" s="261"/>
      <c r="AG529" s="31"/>
      <c r="AH529" s="32"/>
      <c r="AI529" s="42"/>
      <c r="AJ529" s="42"/>
    </row>
    <row r="530" spans="1:36" x14ac:dyDescent="0.25">
      <c r="A530" s="272"/>
      <c r="B530" s="273"/>
      <c r="C530" s="274"/>
      <c r="D530" s="272"/>
      <c r="E530" s="272"/>
      <c r="F530" s="272"/>
      <c r="G530" s="272"/>
      <c r="H530" s="272"/>
      <c r="I530" s="272"/>
      <c r="J530" s="272"/>
      <c r="K530" s="33"/>
      <c r="L530" s="33"/>
      <c r="M530" s="32"/>
      <c r="N530" s="32"/>
      <c r="O530" s="32"/>
      <c r="P530" s="33"/>
      <c r="Q530" s="32"/>
      <c r="R530" s="240"/>
      <c r="S530" s="32"/>
      <c r="T530" s="32"/>
      <c r="U530" s="250"/>
      <c r="V530" s="32"/>
      <c r="W530" s="33"/>
      <c r="X530" s="32"/>
      <c r="Y530" s="42"/>
      <c r="Z530" s="31"/>
      <c r="AA530" s="42"/>
      <c r="AB530" s="42"/>
      <c r="AC530" s="250"/>
      <c r="AD530" s="32"/>
      <c r="AE530" s="282"/>
      <c r="AF530" s="261"/>
      <c r="AG530" s="31"/>
      <c r="AH530" s="32"/>
      <c r="AI530" s="42"/>
      <c r="AJ530" s="42"/>
    </row>
    <row r="531" spans="1:36" x14ac:dyDescent="0.25">
      <c r="A531" s="272"/>
      <c r="B531" s="273"/>
      <c r="C531" s="274"/>
      <c r="D531" s="272"/>
      <c r="E531" s="272"/>
      <c r="F531" s="272"/>
      <c r="G531" s="272"/>
      <c r="H531" s="272"/>
      <c r="I531" s="272"/>
      <c r="J531" s="272"/>
      <c r="K531" s="33"/>
      <c r="L531" s="33"/>
      <c r="M531" s="32"/>
      <c r="N531" s="32"/>
      <c r="O531" s="32"/>
      <c r="P531" s="33"/>
      <c r="Q531" s="32"/>
      <c r="R531" s="240"/>
      <c r="S531" s="32"/>
      <c r="T531" s="32"/>
      <c r="U531" s="250"/>
      <c r="V531" s="32"/>
      <c r="W531" s="33"/>
      <c r="X531" s="32"/>
      <c r="Y531" s="42"/>
      <c r="Z531" s="31"/>
      <c r="AA531" s="42"/>
      <c r="AB531" s="42"/>
      <c r="AC531" s="250"/>
      <c r="AD531" s="32"/>
      <c r="AE531" s="282"/>
      <c r="AF531" s="261"/>
      <c r="AG531" s="31"/>
      <c r="AH531" s="32"/>
      <c r="AI531" s="42"/>
      <c r="AJ531" s="42"/>
    </row>
    <row r="532" spans="1:36" x14ac:dyDescent="0.25">
      <c r="A532" s="272"/>
      <c r="B532" s="273"/>
      <c r="C532" s="274"/>
      <c r="D532" s="272"/>
      <c r="E532" s="272"/>
      <c r="F532" s="272"/>
      <c r="G532" s="272"/>
      <c r="H532" s="272"/>
      <c r="I532" s="272"/>
      <c r="J532" s="272"/>
      <c r="K532" s="33"/>
      <c r="L532" s="33"/>
      <c r="M532" s="32"/>
      <c r="N532" s="32"/>
      <c r="O532" s="32"/>
      <c r="P532" s="33"/>
      <c r="Q532" s="32"/>
      <c r="R532" s="240"/>
      <c r="S532" s="32"/>
      <c r="T532" s="32"/>
      <c r="U532" s="250"/>
      <c r="V532" s="32"/>
      <c r="W532" s="33"/>
      <c r="X532" s="32"/>
      <c r="Y532" s="42"/>
      <c r="Z532" s="31"/>
      <c r="AA532" s="42"/>
      <c r="AB532" s="42"/>
      <c r="AC532" s="250"/>
      <c r="AD532" s="32"/>
      <c r="AE532" s="282"/>
      <c r="AF532" s="261"/>
      <c r="AG532" s="31"/>
      <c r="AH532" s="32"/>
      <c r="AI532" s="42"/>
      <c r="AJ532" s="42"/>
    </row>
    <row r="533" spans="1:36" x14ac:dyDescent="0.25">
      <c r="A533" s="272"/>
      <c r="B533" s="273"/>
      <c r="C533" s="274"/>
      <c r="D533" s="272"/>
      <c r="E533" s="272"/>
      <c r="F533" s="272"/>
      <c r="G533" s="272"/>
      <c r="H533" s="272"/>
      <c r="I533" s="272"/>
      <c r="J533" s="272"/>
      <c r="K533" s="33"/>
      <c r="L533" s="33"/>
      <c r="M533" s="32"/>
      <c r="N533" s="32"/>
      <c r="O533" s="32"/>
      <c r="P533" s="33"/>
      <c r="Q533" s="32"/>
      <c r="R533" s="240"/>
      <c r="S533" s="32"/>
      <c r="T533" s="32"/>
      <c r="U533" s="250"/>
      <c r="V533" s="32"/>
      <c r="W533" s="33"/>
      <c r="X533" s="32"/>
      <c r="Y533" s="42"/>
      <c r="Z533" s="31"/>
      <c r="AA533" s="42"/>
      <c r="AB533" s="42"/>
      <c r="AC533" s="250"/>
      <c r="AD533" s="32"/>
      <c r="AE533" s="282"/>
      <c r="AF533" s="261"/>
      <c r="AG533" s="31"/>
      <c r="AH533" s="32"/>
      <c r="AI533" s="42"/>
      <c r="AJ533" s="42"/>
    </row>
    <row r="534" spans="1:36" x14ac:dyDescent="0.25">
      <c r="A534" s="272"/>
      <c r="B534" s="273"/>
      <c r="C534" s="274"/>
      <c r="D534" s="272"/>
      <c r="E534" s="272"/>
      <c r="F534" s="272"/>
      <c r="G534" s="272"/>
      <c r="H534" s="272"/>
      <c r="I534" s="272"/>
      <c r="J534" s="272"/>
      <c r="K534" s="33"/>
      <c r="L534" s="33"/>
      <c r="M534" s="32"/>
      <c r="N534" s="32"/>
      <c r="O534" s="32"/>
      <c r="P534" s="33"/>
      <c r="Q534" s="32"/>
      <c r="R534" s="240"/>
      <c r="S534" s="32"/>
      <c r="T534" s="32"/>
      <c r="U534" s="250"/>
      <c r="V534" s="32"/>
      <c r="W534" s="33"/>
      <c r="X534" s="32"/>
      <c r="Y534" s="42"/>
      <c r="Z534" s="31"/>
      <c r="AA534" s="42"/>
      <c r="AB534" s="42"/>
      <c r="AC534" s="250"/>
      <c r="AD534" s="32"/>
      <c r="AE534" s="282"/>
      <c r="AF534" s="261"/>
      <c r="AG534" s="31"/>
      <c r="AH534" s="32"/>
      <c r="AI534" s="42"/>
      <c r="AJ534" s="42"/>
    </row>
    <row r="535" spans="1:36" x14ac:dyDescent="0.25">
      <c r="A535" s="272"/>
      <c r="B535" s="273"/>
      <c r="C535" s="274"/>
      <c r="D535" s="272"/>
      <c r="E535" s="272"/>
      <c r="F535" s="272"/>
      <c r="G535" s="272"/>
      <c r="H535" s="272"/>
      <c r="I535" s="272"/>
      <c r="J535" s="272"/>
      <c r="K535" s="33"/>
      <c r="L535" s="33"/>
      <c r="M535" s="32"/>
      <c r="N535" s="32"/>
      <c r="O535" s="32"/>
      <c r="P535" s="33"/>
      <c r="Q535" s="32"/>
      <c r="R535" s="240"/>
      <c r="S535" s="32"/>
      <c r="T535" s="32"/>
      <c r="U535" s="250"/>
      <c r="V535" s="32"/>
      <c r="W535" s="33"/>
      <c r="X535" s="32"/>
      <c r="Y535" s="42"/>
      <c r="Z535" s="31"/>
      <c r="AA535" s="42"/>
      <c r="AB535" s="42"/>
      <c r="AC535" s="250"/>
      <c r="AD535" s="32"/>
      <c r="AE535" s="282"/>
      <c r="AF535" s="261"/>
      <c r="AG535" s="31"/>
      <c r="AH535" s="32"/>
      <c r="AI535" s="42"/>
      <c r="AJ535" s="42"/>
    </row>
    <row r="536" spans="1:36" x14ac:dyDescent="0.25">
      <c r="A536" s="272"/>
      <c r="B536" s="273"/>
      <c r="C536" s="274"/>
      <c r="D536" s="272"/>
      <c r="E536" s="272"/>
      <c r="F536" s="272"/>
      <c r="G536" s="272"/>
      <c r="H536" s="272"/>
      <c r="I536" s="272"/>
      <c r="J536" s="272"/>
      <c r="K536" s="33"/>
      <c r="L536" s="33"/>
      <c r="M536" s="32"/>
      <c r="N536" s="32"/>
      <c r="O536" s="32"/>
      <c r="P536" s="33"/>
      <c r="Q536" s="32"/>
      <c r="R536" s="240"/>
      <c r="S536" s="32"/>
      <c r="T536" s="32"/>
      <c r="U536" s="250"/>
      <c r="V536" s="32"/>
      <c r="W536" s="33"/>
      <c r="X536" s="32"/>
      <c r="Y536" s="42"/>
      <c r="Z536" s="31"/>
      <c r="AA536" s="42"/>
      <c r="AB536" s="42"/>
      <c r="AC536" s="250"/>
      <c r="AD536" s="32"/>
      <c r="AE536" s="282"/>
      <c r="AF536" s="261"/>
      <c r="AG536" s="31"/>
      <c r="AH536" s="32"/>
      <c r="AI536" s="42"/>
      <c r="AJ536" s="42"/>
    </row>
    <row r="537" spans="1:36" x14ac:dyDescent="0.25">
      <c r="A537" s="272"/>
      <c r="B537" s="273"/>
      <c r="C537" s="274"/>
      <c r="D537" s="272"/>
      <c r="E537" s="272"/>
      <c r="F537" s="272"/>
      <c r="G537" s="272"/>
      <c r="H537" s="272"/>
      <c r="I537" s="272"/>
      <c r="J537" s="272"/>
      <c r="K537" s="33"/>
      <c r="L537" s="33"/>
      <c r="M537" s="32"/>
      <c r="N537" s="32"/>
      <c r="O537" s="32"/>
      <c r="P537" s="33"/>
      <c r="Q537" s="32"/>
      <c r="R537" s="240"/>
      <c r="S537" s="32"/>
      <c r="T537" s="32"/>
      <c r="U537" s="250"/>
      <c r="V537" s="32"/>
      <c r="W537" s="33"/>
      <c r="X537" s="32"/>
      <c r="Y537" s="42"/>
      <c r="Z537" s="31"/>
      <c r="AA537" s="42"/>
      <c r="AB537" s="42"/>
      <c r="AC537" s="250"/>
      <c r="AD537" s="32"/>
      <c r="AE537" s="282"/>
      <c r="AF537" s="261"/>
      <c r="AG537" s="31"/>
      <c r="AH537" s="32"/>
      <c r="AI537" s="42"/>
      <c r="AJ537" s="42"/>
    </row>
    <row r="538" spans="1:36" x14ac:dyDescent="0.25">
      <c r="A538" s="272"/>
      <c r="B538" s="273"/>
      <c r="C538" s="274"/>
      <c r="D538" s="272"/>
      <c r="E538" s="272"/>
      <c r="F538" s="272"/>
      <c r="G538" s="272"/>
      <c r="H538" s="272"/>
      <c r="I538" s="272"/>
      <c r="J538" s="272"/>
      <c r="K538" s="33"/>
      <c r="L538" s="33"/>
      <c r="M538" s="32"/>
      <c r="N538" s="32"/>
      <c r="O538" s="32"/>
      <c r="P538" s="33"/>
      <c r="Q538" s="32"/>
      <c r="R538" s="240"/>
      <c r="S538" s="32"/>
      <c r="T538" s="32"/>
      <c r="U538" s="250"/>
      <c r="V538" s="32"/>
      <c r="W538" s="33"/>
      <c r="X538" s="32"/>
      <c r="Y538" s="42"/>
      <c r="Z538" s="31"/>
      <c r="AA538" s="42"/>
      <c r="AB538" s="42"/>
      <c r="AC538" s="250"/>
      <c r="AD538" s="32"/>
      <c r="AE538" s="282"/>
      <c r="AF538" s="261"/>
      <c r="AG538" s="31"/>
      <c r="AH538" s="32"/>
      <c r="AI538" s="42"/>
      <c r="AJ538" s="42"/>
    </row>
    <row r="539" spans="1:36" x14ac:dyDescent="0.25">
      <c r="A539" s="272"/>
      <c r="B539" s="273"/>
      <c r="C539" s="274"/>
      <c r="D539" s="272"/>
      <c r="E539" s="272"/>
      <c r="F539" s="272"/>
      <c r="G539" s="272"/>
      <c r="H539" s="272"/>
      <c r="I539" s="272"/>
      <c r="J539" s="272"/>
      <c r="K539" s="33"/>
      <c r="L539" s="33"/>
      <c r="M539" s="32"/>
      <c r="N539" s="32"/>
      <c r="O539" s="32"/>
      <c r="P539" s="33"/>
      <c r="Q539" s="32"/>
      <c r="R539" s="240"/>
      <c r="S539" s="32"/>
      <c r="T539" s="32"/>
      <c r="U539" s="250"/>
      <c r="V539" s="32"/>
      <c r="W539" s="33"/>
      <c r="X539" s="32"/>
      <c r="Y539" s="42"/>
      <c r="Z539" s="31"/>
      <c r="AA539" s="42"/>
      <c r="AB539" s="42"/>
      <c r="AC539" s="250"/>
      <c r="AD539" s="32"/>
      <c r="AE539" s="282"/>
      <c r="AF539" s="261"/>
      <c r="AG539" s="31"/>
      <c r="AH539" s="32"/>
      <c r="AI539" s="42"/>
      <c r="AJ539" s="42"/>
    </row>
    <row r="540" spans="1:36" x14ac:dyDescent="0.25">
      <c r="A540" s="272"/>
      <c r="B540" s="273"/>
      <c r="C540" s="274"/>
      <c r="D540" s="272"/>
      <c r="E540" s="272"/>
      <c r="F540" s="272"/>
      <c r="G540" s="272"/>
      <c r="H540" s="272"/>
      <c r="I540" s="272"/>
      <c r="J540" s="272"/>
      <c r="K540" s="33"/>
      <c r="L540" s="33"/>
      <c r="M540" s="32"/>
      <c r="N540" s="32"/>
      <c r="O540" s="32"/>
      <c r="P540" s="33"/>
      <c r="Q540" s="32"/>
      <c r="R540" s="240"/>
      <c r="S540" s="32"/>
      <c r="T540" s="32"/>
      <c r="U540" s="250"/>
      <c r="V540" s="32"/>
      <c r="W540" s="33"/>
      <c r="X540" s="32"/>
      <c r="Y540" s="42"/>
      <c r="Z540" s="31"/>
      <c r="AA540" s="42"/>
      <c r="AB540" s="42"/>
      <c r="AC540" s="250"/>
      <c r="AD540" s="32"/>
      <c r="AE540" s="282"/>
      <c r="AF540" s="261"/>
      <c r="AG540" s="31"/>
      <c r="AH540" s="32"/>
      <c r="AI540" s="42"/>
      <c r="AJ540" s="42"/>
    </row>
    <row r="541" spans="1:36" x14ac:dyDescent="0.25">
      <c r="A541" s="272"/>
      <c r="B541" s="273"/>
      <c r="C541" s="274"/>
      <c r="D541" s="272"/>
      <c r="E541" s="272"/>
      <c r="F541" s="272"/>
      <c r="G541" s="272"/>
      <c r="H541" s="272"/>
      <c r="I541" s="272"/>
      <c r="J541" s="272"/>
      <c r="K541" s="33"/>
      <c r="L541" s="33"/>
      <c r="M541" s="32"/>
      <c r="N541" s="32"/>
      <c r="O541" s="32"/>
      <c r="P541" s="33"/>
      <c r="Q541" s="32"/>
      <c r="R541" s="240"/>
      <c r="S541" s="32"/>
      <c r="T541" s="32"/>
      <c r="U541" s="250"/>
      <c r="V541" s="32"/>
      <c r="W541" s="33"/>
      <c r="X541" s="32"/>
      <c r="Y541" s="42"/>
      <c r="Z541" s="31"/>
      <c r="AA541" s="42"/>
      <c r="AB541" s="42"/>
      <c r="AC541" s="250"/>
      <c r="AD541" s="32"/>
      <c r="AE541" s="282"/>
      <c r="AF541" s="261"/>
      <c r="AG541" s="31"/>
      <c r="AH541" s="32"/>
      <c r="AI541" s="42"/>
      <c r="AJ541" s="42"/>
    </row>
    <row r="542" spans="1:36" x14ac:dyDescent="0.25">
      <c r="A542" s="272"/>
      <c r="B542" s="273"/>
      <c r="C542" s="274"/>
      <c r="D542" s="272"/>
      <c r="E542" s="272"/>
      <c r="F542" s="272"/>
      <c r="G542" s="272"/>
      <c r="H542" s="272"/>
      <c r="I542" s="272"/>
      <c r="J542" s="272"/>
      <c r="K542" s="33"/>
      <c r="L542" s="33"/>
      <c r="M542" s="32"/>
      <c r="N542" s="32"/>
      <c r="O542" s="32"/>
      <c r="P542" s="33"/>
      <c r="Q542" s="32"/>
      <c r="R542" s="240"/>
      <c r="S542" s="32"/>
      <c r="T542" s="32"/>
      <c r="U542" s="250"/>
      <c r="V542" s="32"/>
      <c r="W542" s="33"/>
      <c r="X542" s="32"/>
      <c r="Y542" s="42"/>
      <c r="Z542" s="31"/>
      <c r="AA542" s="42"/>
      <c r="AB542" s="42"/>
      <c r="AC542" s="250"/>
      <c r="AD542" s="32"/>
      <c r="AE542" s="282"/>
      <c r="AF542" s="261"/>
      <c r="AG542" s="31"/>
      <c r="AH542" s="32"/>
      <c r="AI542" s="42"/>
      <c r="AJ542" s="42"/>
    </row>
    <row r="543" spans="1:36" x14ac:dyDescent="0.25">
      <c r="A543" s="272"/>
      <c r="B543" s="273"/>
      <c r="C543" s="274"/>
      <c r="D543" s="272"/>
      <c r="E543" s="272"/>
      <c r="F543" s="272"/>
      <c r="G543" s="272"/>
      <c r="H543" s="272"/>
      <c r="I543" s="272"/>
      <c r="J543" s="272"/>
      <c r="K543" s="33"/>
      <c r="L543" s="33"/>
      <c r="M543" s="32"/>
      <c r="N543" s="32"/>
      <c r="O543" s="32"/>
      <c r="P543" s="33"/>
      <c r="Q543" s="32"/>
      <c r="R543" s="240"/>
      <c r="S543" s="32"/>
      <c r="T543" s="32"/>
      <c r="U543" s="250"/>
      <c r="V543" s="32"/>
      <c r="W543" s="33"/>
      <c r="X543" s="32"/>
      <c r="Y543" s="42"/>
      <c r="Z543" s="31"/>
      <c r="AA543" s="42"/>
      <c r="AB543" s="42"/>
      <c r="AC543" s="250"/>
      <c r="AD543" s="32"/>
      <c r="AE543" s="282"/>
      <c r="AF543" s="261"/>
      <c r="AG543" s="31"/>
      <c r="AH543" s="32"/>
      <c r="AI543" s="42"/>
      <c r="AJ543" s="42"/>
    </row>
    <row r="544" spans="1:36" x14ac:dyDescent="0.25">
      <c r="A544" s="272"/>
      <c r="B544" s="273"/>
      <c r="C544" s="274"/>
      <c r="D544" s="272"/>
      <c r="E544" s="272"/>
      <c r="F544" s="272"/>
      <c r="G544" s="272"/>
      <c r="H544" s="272"/>
      <c r="I544" s="272"/>
      <c r="J544" s="272"/>
      <c r="K544" s="33"/>
      <c r="L544" s="33"/>
      <c r="M544" s="32"/>
      <c r="N544" s="32"/>
      <c r="O544" s="32"/>
      <c r="P544" s="33"/>
      <c r="Q544" s="32"/>
      <c r="R544" s="240"/>
      <c r="S544" s="32"/>
      <c r="T544" s="32"/>
      <c r="U544" s="250"/>
      <c r="V544" s="32"/>
      <c r="W544" s="33"/>
      <c r="X544" s="32"/>
      <c r="Y544" s="42"/>
      <c r="Z544" s="31"/>
      <c r="AA544" s="42"/>
      <c r="AB544" s="42"/>
      <c r="AC544" s="250"/>
      <c r="AD544" s="32"/>
      <c r="AE544" s="282"/>
      <c r="AF544" s="261"/>
      <c r="AG544" s="31"/>
      <c r="AH544" s="32"/>
      <c r="AI544" s="42"/>
      <c r="AJ544" s="42"/>
    </row>
    <row r="545" spans="1:36" x14ac:dyDescent="0.25">
      <c r="A545" s="272"/>
      <c r="B545" s="273"/>
      <c r="C545" s="274"/>
      <c r="D545" s="272"/>
      <c r="E545" s="272"/>
      <c r="F545" s="272"/>
      <c r="G545" s="272"/>
      <c r="H545" s="272"/>
      <c r="I545" s="272"/>
      <c r="J545" s="272"/>
      <c r="K545" s="33"/>
      <c r="L545" s="33"/>
      <c r="M545" s="32"/>
      <c r="N545" s="32"/>
      <c r="O545" s="32"/>
      <c r="P545" s="33"/>
      <c r="Q545" s="32"/>
      <c r="R545" s="240"/>
      <c r="S545" s="32"/>
      <c r="T545" s="32"/>
      <c r="U545" s="250"/>
      <c r="V545" s="32"/>
      <c r="W545" s="33"/>
      <c r="X545" s="32"/>
      <c r="Y545" s="42"/>
      <c r="Z545" s="31"/>
      <c r="AA545" s="42"/>
      <c r="AB545" s="42"/>
      <c r="AC545" s="250"/>
      <c r="AD545" s="32"/>
      <c r="AE545" s="282"/>
      <c r="AF545" s="261"/>
      <c r="AG545" s="31"/>
      <c r="AH545" s="32"/>
      <c r="AI545" s="42"/>
      <c r="AJ545" s="42"/>
    </row>
    <row r="546" spans="1:36" x14ac:dyDescent="0.25">
      <c r="A546" s="272"/>
      <c r="B546" s="273"/>
      <c r="C546" s="274"/>
      <c r="D546" s="272"/>
      <c r="E546" s="272"/>
      <c r="F546" s="272"/>
      <c r="G546" s="272"/>
      <c r="H546" s="272"/>
      <c r="I546" s="272"/>
      <c r="J546" s="272"/>
      <c r="K546" s="33"/>
      <c r="L546" s="33"/>
      <c r="M546" s="32"/>
      <c r="N546" s="32"/>
      <c r="O546" s="32"/>
      <c r="P546" s="33"/>
      <c r="Q546" s="32"/>
      <c r="R546" s="240"/>
      <c r="S546" s="32"/>
      <c r="T546" s="32"/>
      <c r="U546" s="250"/>
      <c r="V546" s="32"/>
      <c r="W546" s="33"/>
      <c r="X546" s="32"/>
      <c r="Y546" s="42"/>
      <c r="Z546" s="31"/>
      <c r="AA546" s="42"/>
      <c r="AB546" s="42"/>
      <c r="AC546" s="250"/>
      <c r="AD546" s="32"/>
      <c r="AE546" s="282"/>
      <c r="AF546" s="261"/>
      <c r="AG546" s="31"/>
      <c r="AH546" s="32"/>
      <c r="AI546" s="42"/>
      <c r="AJ546" s="42"/>
    </row>
    <row r="547" spans="1:36" x14ac:dyDescent="0.25">
      <c r="A547" s="272"/>
      <c r="B547" s="273"/>
      <c r="C547" s="274"/>
      <c r="D547" s="272"/>
      <c r="E547" s="272"/>
      <c r="F547" s="272"/>
      <c r="G547" s="272"/>
      <c r="H547" s="272"/>
      <c r="I547" s="272"/>
      <c r="J547" s="272"/>
      <c r="K547" s="33"/>
      <c r="L547" s="33"/>
      <c r="M547" s="32"/>
      <c r="N547" s="32"/>
      <c r="O547" s="32"/>
      <c r="P547" s="33"/>
      <c r="Q547" s="32"/>
      <c r="R547" s="240"/>
      <c r="S547" s="32"/>
      <c r="T547" s="32"/>
      <c r="U547" s="250"/>
      <c r="V547" s="32"/>
      <c r="W547" s="33"/>
      <c r="X547" s="32"/>
      <c r="Y547" s="42"/>
      <c r="Z547" s="31"/>
      <c r="AA547" s="42"/>
      <c r="AB547" s="42"/>
      <c r="AC547" s="250"/>
      <c r="AD547" s="32"/>
      <c r="AE547" s="282"/>
      <c r="AF547" s="261"/>
      <c r="AG547" s="31"/>
      <c r="AH547" s="32"/>
      <c r="AI547" s="42"/>
      <c r="AJ547" s="42"/>
    </row>
    <row r="548" spans="1:36" x14ac:dyDescent="0.25">
      <c r="A548" s="272"/>
      <c r="B548" s="273"/>
      <c r="C548" s="274"/>
      <c r="D548" s="272"/>
      <c r="E548" s="272"/>
      <c r="F548" s="272"/>
      <c r="G548" s="272"/>
      <c r="H548" s="272"/>
      <c r="I548" s="272"/>
      <c r="J548" s="272"/>
      <c r="K548" s="33"/>
      <c r="L548" s="33"/>
      <c r="M548" s="32"/>
      <c r="N548" s="32"/>
      <c r="O548" s="32"/>
      <c r="P548" s="33"/>
      <c r="Q548" s="32"/>
      <c r="R548" s="240"/>
      <c r="S548" s="32"/>
      <c r="T548" s="32"/>
      <c r="U548" s="250"/>
      <c r="V548" s="32"/>
      <c r="W548" s="33"/>
      <c r="X548" s="32"/>
      <c r="Y548" s="42"/>
      <c r="Z548" s="31"/>
      <c r="AA548" s="42"/>
      <c r="AB548" s="42"/>
      <c r="AC548" s="250"/>
      <c r="AD548" s="32"/>
      <c r="AE548" s="282"/>
      <c r="AF548" s="261"/>
      <c r="AG548" s="31"/>
      <c r="AH548" s="32"/>
      <c r="AI548" s="42"/>
      <c r="AJ548" s="42"/>
    </row>
    <row r="549" spans="1:36" x14ac:dyDescent="0.25">
      <c r="A549" s="272"/>
      <c r="B549" s="273"/>
      <c r="C549" s="274"/>
      <c r="D549" s="272"/>
      <c r="E549" s="272"/>
      <c r="F549" s="272"/>
      <c r="G549" s="272"/>
      <c r="H549" s="272"/>
      <c r="I549" s="272"/>
      <c r="J549" s="272"/>
      <c r="K549" s="33"/>
      <c r="L549" s="33"/>
      <c r="M549" s="32"/>
      <c r="N549" s="32"/>
      <c r="O549" s="32"/>
      <c r="P549" s="33"/>
      <c r="Q549" s="32"/>
      <c r="R549" s="240"/>
      <c r="S549" s="32"/>
      <c r="T549" s="32"/>
      <c r="U549" s="250"/>
      <c r="V549" s="32"/>
      <c r="W549" s="33"/>
      <c r="X549" s="32"/>
      <c r="Y549" s="42"/>
      <c r="Z549" s="31"/>
      <c r="AA549" s="42"/>
      <c r="AB549" s="42"/>
      <c r="AC549" s="250"/>
      <c r="AD549" s="32"/>
      <c r="AE549" s="282"/>
      <c r="AF549" s="261"/>
      <c r="AG549" s="31"/>
      <c r="AH549" s="32"/>
      <c r="AI549" s="42"/>
      <c r="AJ549" s="42"/>
    </row>
    <row r="550" spans="1:36" x14ac:dyDescent="0.25">
      <c r="A550" s="272"/>
      <c r="B550" s="273"/>
      <c r="C550" s="274"/>
      <c r="D550" s="272"/>
      <c r="E550" s="272"/>
      <c r="F550" s="272"/>
      <c r="G550" s="272"/>
      <c r="H550" s="272"/>
      <c r="I550" s="272"/>
      <c r="J550" s="272"/>
      <c r="K550" s="33"/>
      <c r="L550" s="33"/>
      <c r="M550" s="32"/>
      <c r="N550" s="32"/>
      <c r="O550" s="32"/>
      <c r="P550" s="33"/>
      <c r="Q550" s="32"/>
      <c r="R550" s="240"/>
      <c r="S550" s="32"/>
      <c r="T550" s="32"/>
      <c r="U550" s="250"/>
      <c r="V550" s="32"/>
      <c r="W550" s="33"/>
      <c r="X550" s="32"/>
      <c r="Y550" s="42"/>
      <c r="Z550" s="31"/>
      <c r="AA550" s="42"/>
      <c r="AB550" s="42"/>
      <c r="AC550" s="250"/>
      <c r="AD550" s="32"/>
      <c r="AE550" s="282"/>
      <c r="AF550" s="261"/>
      <c r="AG550" s="31"/>
      <c r="AH550" s="32"/>
      <c r="AI550" s="42"/>
      <c r="AJ550" s="42"/>
    </row>
    <row r="551" spans="1:36" x14ac:dyDescent="0.25">
      <c r="A551" s="272"/>
      <c r="B551" s="273"/>
      <c r="C551" s="274"/>
      <c r="D551" s="272"/>
      <c r="E551" s="272"/>
      <c r="F551" s="272"/>
      <c r="G551" s="272"/>
      <c r="H551" s="272"/>
      <c r="I551" s="272"/>
      <c r="J551" s="272"/>
      <c r="K551" s="33"/>
      <c r="L551" s="33"/>
      <c r="M551" s="32"/>
      <c r="N551" s="32"/>
      <c r="O551" s="32"/>
      <c r="P551" s="33"/>
      <c r="Q551" s="32"/>
      <c r="R551" s="240"/>
      <c r="S551" s="32"/>
      <c r="T551" s="32"/>
      <c r="U551" s="250"/>
      <c r="V551" s="32"/>
      <c r="W551" s="33"/>
      <c r="X551" s="32"/>
      <c r="Y551" s="42"/>
      <c r="Z551" s="31"/>
      <c r="AA551" s="42"/>
      <c r="AB551" s="42"/>
      <c r="AC551" s="250"/>
      <c r="AD551" s="32"/>
      <c r="AE551" s="282"/>
      <c r="AF551" s="261"/>
      <c r="AG551" s="31"/>
      <c r="AH551" s="32"/>
      <c r="AI551" s="42"/>
      <c r="AJ551" s="42"/>
    </row>
    <row r="552" spans="1:36" x14ac:dyDescent="0.25">
      <c r="A552" s="272"/>
      <c r="B552" s="273"/>
      <c r="C552" s="274"/>
      <c r="D552" s="272"/>
      <c r="E552" s="272"/>
      <c r="F552" s="272"/>
      <c r="G552" s="272"/>
      <c r="H552" s="272"/>
      <c r="I552" s="272"/>
      <c r="J552" s="272"/>
      <c r="K552" s="33"/>
      <c r="L552" s="33"/>
      <c r="M552" s="32"/>
      <c r="N552" s="32"/>
      <c r="O552" s="32"/>
      <c r="P552" s="33"/>
      <c r="Q552" s="32"/>
      <c r="R552" s="240"/>
      <c r="S552" s="32"/>
      <c r="T552" s="32"/>
      <c r="U552" s="250"/>
      <c r="V552" s="32"/>
      <c r="W552" s="33"/>
      <c r="X552" s="32"/>
      <c r="Y552" s="42"/>
      <c r="Z552" s="31"/>
      <c r="AA552" s="42"/>
      <c r="AB552" s="42"/>
      <c r="AC552" s="250"/>
      <c r="AD552" s="32"/>
      <c r="AE552" s="282"/>
      <c r="AF552" s="261"/>
      <c r="AG552" s="31"/>
      <c r="AH552" s="32"/>
      <c r="AI552" s="42"/>
      <c r="AJ552" s="42"/>
    </row>
    <row r="553" spans="1:36" x14ac:dyDescent="0.25">
      <c r="A553" s="272"/>
      <c r="B553" s="273"/>
      <c r="C553" s="274"/>
      <c r="D553" s="272"/>
      <c r="E553" s="272"/>
      <c r="F553" s="272"/>
      <c r="G553" s="272"/>
      <c r="H553" s="272"/>
      <c r="I553" s="272"/>
      <c r="J553" s="272"/>
      <c r="K553" s="33"/>
      <c r="L553" s="33"/>
      <c r="M553" s="32"/>
      <c r="N553" s="32"/>
      <c r="O553" s="32"/>
      <c r="P553" s="33"/>
      <c r="Q553" s="32"/>
      <c r="R553" s="240"/>
      <c r="S553" s="32"/>
      <c r="T553" s="32"/>
      <c r="U553" s="250"/>
      <c r="V553" s="32"/>
      <c r="W553" s="33"/>
      <c r="X553" s="32"/>
      <c r="Y553" s="42"/>
      <c r="Z553" s="31"/>
      <c r="AA553" s="42"/>
      <c r="AB553" s="42"/>
      <c r="AC553" s="250"/>
      <c r="AD553" s="32"/>
      <c r="AE553" s="282"/>
      <c r="AF553" s="261"/>
      <c r="AG553" s="31"/>
      <c r="AH553" s="32"/>
      <c r="AI553" s="42"/>
      <c r="AJ553" s="42"/>
    </row>
    <row r="554" spans="1:36" x14ac:dyDescent="0.25">
      <c r="A554" s="272"/>
      <c r="B554" s="273"/>
      <c r="C554" s="274"/>
      <c r="D554" s="272"/>
      <c r="E554" s="272"/>
      <c r="F554" s="272"/>
      <c r="G554" s="272"/>
      <c r="H554" s="272"/>
      <c r="I554" s="272"/>
      <c r="J554" s="272"/>
      <c r="K554" s="33"/>
      <c r="L554" s="33"/>
      <c r="M554" s="32"/>
      <c r="N554" s="32"/>
      <c r="O554" s="32"/>
      <c r="P554" s="33"/>
      <c r="Q554" s="32"/>
      <c r="R554" s="240"/>
      <c r="S554" s="32"/>
      <c r="T554" s="32"/>
      <c r="U554" s="250"/>
      <c r="V554" s="32"/>
      <c r="W554" s="33"/>
      <c r="X554" s="32"/>
      <c r="Y554" s="42"/>
      <c r="Z554" s="31"/>
      <c r="AA554" s="42"/>
      <c r="AB554" s="42"/>
      <c r="AC554" s="250"/>
      <c r="AD554" s="32"/>
      <c r="AE554" s="282"/>
      <c r="AF554" s="261"/>
      <c r="AG554" s="31"/>
      <c r="AH554" s="32"/>
      <c r="AI554" s="42"/>
      <c r="AJ554" s="42"/>
    </row>
    <row r="555" spans="1:36" x14ac:dyDescent="0.25">
      <c r="A555" s="272"/>
      <c r="B555" s="273"/>
      <c r="C555" s="274"/>
      <c r="D555" s="272"/>
      <c r="E555" s="272"/>
      <c r="F555" s="272"/>
      <c r="G555" s="272"/>
      <c r="H555" s="272"/>
      <c r="I555" s="272"/>
      <c r="J555" s="272"/>
      <c r="K555" s="33"/>
      <c r="L555" s="33"/>
      <c r="M555" s="32"/>
      <c r="N555" s="32"/>
      <c r="O555" s="32"/>
      <c r="P555" s="33"/>
      <c r="Q555" s="32"/>
      <c r="R555" s="240"/>
      <c r="S555" s="32"/>
      <c r="T555" s="32"/>
      <c r="U555" s="250"/>
      <c r="V555" s="32"/>
      <c r="W555" s="33"/>
      <c r="X555" s="32"/>
      <c r="Y555" s="42"/>
      <c r="Z555" s="31"/>
      <c r="AA555" s="42"/>
      <c r="AB555" s="42"/>
      <c r="AC555" s="250"/>
      <c r="AD555" s="32"/>
      <c r="AE555" s="282"/>
      <c r="AF555" s="261"/>
      <c r="AG555" s="31"/>
      <c r="AH555" s="32"/>
      <c r="AI555" s="42"/>
      <c r="AJ555" s="42"/>
    </row>
    <row r="556" spans="1:36" x14ac:dyDescent="0.25">
      <c r="A556" s="272"/>
      <c r="B556" s="273"/>
      <c r="C556" s="274"/>
      <c r="D556" s="272"/>
      <c r="E556" s="272"/>
      <c r="F556" s="272"/>
      <c r="G556" s="272"/>
      <c r="H556" s="272"/>
      <c r="I556" s="272"/>
      <c r="J556" s="272"/>
      <c r="K556" s="33"/>
      <c r="L556" s="33"/>
      <c r="M556" s="32"/>
      <c r="N556" s="32"/>
      <c r="O556" s="32"/>
      <c r="P556" s="33"/>
      <c r="Q556" s="32"/>
      <c r="R556" s="240"/>
      <c r="S556" s="32"/>
      <c r="T556" s="32"/>
      <c r="U556" s="250"/>
      <c r="V556" s="32"/>
      <c r="W556" s="33"/>
      <c r="X556" s="32"/>
      <c r="Y556" s="42"/>
      <c r="Z556" s="31"/>
      <c r="AA556" s="42"/>
      <c r="AB556" s="42"/>
      <c r="AC556" s="250"/>
      <c r="AD556" s="32"/>
      <c r="AE556" s="282"/>
      <c r="AF556" s="261"/>
      <c r="AG556" s="31"/>
      <c r="AH556" s="32"/>
      <c r="AI556" s="42"/>
      <c r="AJ556" s="42"/>
    </row>
    <row r="557" spans="1:36" x14ac:dyDescent="0.25">
      <c r="A557" s="272"/>
      <c r="B557" s="273"/>
      <c r="C557" s="274"/>
      <c r="D557" s="272"/>
      <c r="E557" s="272"/>
      <c r="F557" s="272"/>
      <c r="G557" s="272"/>
      <c r="H557" s="272"/>
      <c r="I557" s="272"/>
      <c r="J557" s="272"/>
      <c r="K557" s="33"/>
      <c r="L557" s="33"/>
      <c r="M557" s="32"/>
      <c r="N557" s="32"/>
      <c r="O557" s="32"/>
      <c r="P557" s="33"/>
      <c r="Q557" s="32"/>
      <c r="R557" s="240"/>
      <c r="S557" s="32"/>
      <c r="T557" s="32"/>
      <c r="U557" s="250"/>
      <c r="V557" s="32"/>
      <c r="W557" s="33"/>
      <c r="X557" s="32"/>
      <c r="Y557" s="42"/>
      <c r="Z557" s="31"/>
      <c r="AA557" s="42"/>
      <c r="AB557" s="42"/>
      <c r="AC557" s="250"/>
      <c r="AD557" s="32"/>
      <c r="AE557" s="282"/>
      <c r="AF557" s="261"/>
      <c r="AG557" s="31"/>
      <c r="AH557" s="32"/>
      <c r="AI557" s="42"/>
      <c r="AJ557" s="42"/>
    </row>
    <row r="558" spans="1:36" x14ac:dyDescent="0.25">
      <c r="A558" s="272"/>
      <c r="B558" s="273"/>
      <c r="C558" s="274"/>
      <c r="D558" s="272"/>
      <c r="E558" s="272"/>
      <c r="F558" s="272"/>
      <c r="G558" s="272"/>
      <c r="H558" s="272"/>
      <c r="I558" s="272"/>
      <c r="J558" s="272"/>
      <c r="K558" s="33"/>
      <c r="L558" s="33"/>
      <c r="M558" s="32"/>
      <c r="N558" s="32"/>
      <c r="O558" s="32"/>
      <c r="P558" s="33"/>
      <c r="Q558" s="32"/>
      <c r="R558" s="240"/>
      <c r="S558" s="32"/>
      <c r="T558" s="32"/>
      <c r="U558" s="250"/>
      <c r="V558" s="32"/>
      <c r="W558" s="33"/>
      <c r="X558" s="32"/>
      <c r="Y558" s="42"/>
      <c r="Z558" s="31"/>
      <c r="AA558" s="42"/>
      <c r="AB558" s="42"/>
      <c r="AC558" s="250"/>
      <c r="AD558" s="32"/>
      <c r="AE558" s="282"/>
      <c r="AF558" s="261"/>
      <c r="AG558" s="31"/>
      <c r="AH558" s="32"/>
      <c r="AI558" s="42"/>
      <c r="AJ558" s="42"/>
    </row>
    <row r="559" spans="1:36" x14ac:dyDescent="0.25">
      <c r="A559" s="272"/>
      <c r="B559" s="273"/>
      <c r="C559" s="274"/>
      <c r="D559" s="272"/>
      <c r="E559" s="272"/>
      <c r="F559" s="272"/>
      <c r="G559" s="272"/>
      <c r="H559" s="272"/>
      <c r="I559" s="272"/>
      <c r="J559" s="272"/>
      <c r="K559" s="33"/>
      <c r="L559" s="33"/>
      <c r="M559" s="32"/>
      <c r="N559" s="32"/>
      <c r="O559" s="32"/>
      <c r="P559" s="33"/>
      <c r="Q559" s="32"/>
      <c r="R559" s="240"/>
      <c r="S559" s="32"/>
      <c r="T559" s="32"/>
      <c r="U559" s="250"/>
      <c r="V559" s="32"/>
      <c r="W559" s="33"/>
      <c r="X559" s="32"/>
      <c r="Y559" s="42"/>
      <c r="Z559" s="31"/>
      <c r="AA559" s="42"/>
      <c r="AB559" s="42"/>
      <c r="AC559" s="250"/>
      <c r="AD559" s="32"/>
      <c r="AE559" s="282"/>
      <c r="AF559" s="261"/>
      <c r="AG559" s="31"/>
      <c r="AH559" s="32"/>
      <c r="AI559" s="42"/>
      <c r="AJ559" s="42"/>
    </row>
    <row r="560" spans="1:36" x14ac:dyDescent="0.25">
      <c r="A560" s="272"/>
      <c r="B560" s="273"/>
      <c r="C560" s="274"/>
      <c r="D560" s="272"/>
      <c r="E560" s="272"/>
      <c r="F560" s="272"/>
      <c r="G560" s="272"/>
      <c r="H560" s="272"/>
      <c r="I560" s="272"/>
      <c r="J560" s="272"/>
      <c r="K560" s="33"/>
      <c r="L560" s="33"/>
      <c r="M560" s="32"/>
      <c r="N560" s="32"/>
      <c r="O560" s="32"/>
      <c r="P560" s="33"/>
      <c r="Q560" s="32"/>
      <c r="R560" s="240"/>
      <c r="S560" s="32"/>
      <c r="T560" s="32"/>
      <c r="U560" s="250"/>
      <c r="V560" s="32"/>
      <c r="W560" s="33"/>
      <c r="X560" s="32"/>
      <c r="Y560" s="42"/>
      <c r="Z560" s="31"/>
      <c r="AA560" s="42"/>
      <c r="AB560" s="42"/>
      <c r="AC560" s="250"/>
      <c r="AD560" s="32"/>
      <c r="AE560" s="282"/>
      <c r="AF560" s="261"/>
      <c r="AG560" s="31"/>
      <c r="AH560" s="32"/>
      <c r="AI560" s="42"/>
      <c r="AJ560" s="42"/>
    </row>
    <row r="561" spans="1:36" x14ac:dyDescent="0.25">
      <c r="A561" s="272"/>
      <c r="B561" s="273"/>
      <c r="C561" s="274"/>
      <c r="D561" s="272"/>
      <c r="E561" s="272"/>
      <c r="F561" s="272"/>
      <c r="G561" s="272"/>
      <c r="H561" s="272"/>
      <c r="I561" s="272"/>
      <c r="J561" s="272"/>
      <c r="K561" s="33"/>
      <c r="L561" s="33"/>
      <c r="M561" s="32"/>
      <c r="N561" s="32"/>
      <c r="O561" s="32"/>
      <c r="P561" s="33"/>
      <c r="Q561" s="32"/>
      <c r="R561" s="240"/>
      <c r="S561" s="32"/>
      <c r="T561" s="32"/>
      <c r="U561" s="250"/>
      <c r="V561" s="32"/>
      <c r="W561" s="33"/>
      <c r="X561" s="32"/>
      <c r="Y561" s="42"/>
      <c r="Z561" s="31"/>
      <c r="AA561" s="42"/>
      <c r="AB561" s="42"/>
      <c r="AC561" s="250"/>
      <c r="AD561" s="32"/>
      <c r="AE561" s="282"/>
      <c r="AF561" s="261"/>
      <c r="AG561" s="31"/>
      <c r="AH561" s="32"/>
      <c r="AI561" s="42"/>
      <c r="AJ561" s="42"/>
    </row>
    <row r="562" spans="1:36" x14ac:dyDescent="0.25">
      <c r="A562" s="272"/>
      <c r="B562" s="273"/>
      <c r="C562" s="274"/>
      <c r="D562" s="272"/>
      <c r="E562" s="272"/>
      <c r="F562" s="272"/>
      <c r="G562" s="272"/>
      <c r="H562" s="272"/>
      <c r="I562" s="272"/>
      <c r="J562" s="272"/>
      <c r="K562" s="33"/>
      <c r="L562" s="33"/>
      <c r="M562" s="32"/>
      <c r="N562" s="32"/>
      <c r="O562" s="32"/>
      <c r="P562" s="33"/>
      <c r="Q562" s="32"/>
      <c r="R562" s="240"/>
      <c r="S562" s="32"/>
      <c r="T562" s="32"/>
      <c r="U562" s="250"/>
      <c r="V562" s="32"/>
      <c r="W562" s="33"/>
      <c r="X562" s="32"/>
      <c r="Y562" s="42"/>
      <c r="Z562" s="31"/>
      <c r="AA562" s="42"/>
      <c r="AB562" s="42"/>
      <c r="AC562" s="250"/>
      <c r="AD562" s="32"/>
      <c r="AE562" s="282"/>
      <c r="AF562" s="261"/>
      <c r="AG562" s="31"/>
      <c r="AH562" s="32"/>
      <c r="AI562" s="42"/>
      <c r="AJ562" s="42"/>
    </row>
    <row r="563" spans="1:36" x14ac:dyDescent="0.25">
      <c r="A563" s="272"/>
      <c r="B563" s="273"/>
      <c r="C563" s="274"/>
      <c r="D563" s="272"/>
      <c r="E563" s="272"/>
      <c r="F563" s="272"/>
      <c r="G563" s="272"/>
      <c r="H563" s="272"/>
      <c r="I563" s="272"/>
      <c r="J563" s="272"/>
      <c r="K563" s="33"/>
      <c r="L563" s="33"/>
      <c r="M563" s="32"/>
      <c r="N563" s="32"/>
      <c r="O563" s="32"/>
      <c r="P563" s="33"/>
      <c r="Q563" s="32"/>
      <c r="R563" s="240"/>
      <c r="S563" s="32"/>
      <c r="T563" s="32"/>
      <c r="U563" s="250"/>
      <c r="V563" s="32"/>
      <c r="W563" s="33"/>
      <c r="X563" s="32"/>
      <c r="Y563" s="42"/>
      <c r="Z563" s="31"/>
      <c r="AA563" s="42"/>
      <c r="AB563" s="42"/>
      <c r="AC563" s="250"/>
      <c r="AD563" s="32"/>
      <c r="AE563" s="282"/>
      <c r="AF563" s="261"/>
      <c r="AG563" s="31"/>
      <c r="AH563" s="32"/>
      <c r="AI563" s="42"/>
      <c r="AJ563" s="42"/>
    </row>
    <row r="564" spans="1:36" x14ac:dyDescent="0.25">
      <c r="A564" s="272"/>
      <c r="B564" s="273"/>
      <c r="C564" s="274"/>
      <c r="D564" s="272"/>
      <c r="E564" s="272"/>
      <c r="F564" s="272"/>
      <c r="G564" s="272"/>
      <c r="H564" s="272"/>
      <c r="I564" s="272"/>
      <c r="J564" s="272"/>
      <c r="K564" s="33"/>
      <c r="L564" s="33"/>
      <c r="M564" s="32"/>
      <c r="N564" s="32"/>
      <c r="O564" s="32"/>
      <c r="P564" s="33"/>
      <c r="Q564" s="32"/>
      <c r="R564" s="240"/>
      <c r="S564" s="32"/>
      <c r="T564" s="32"/>
      <c r="U564" s="250"/>
      <c r="V564" s="32"/>
      <c r="W564" s="33"/>
      <c r="X564" s="32"/>
      <c r="Y564" s="42"/>
      <c r="Z564" s="31"/>
      <c r="AA564" s="42"/>
      <c r="AB564" s="42"/>
      <c r="AC564" s="250"/>
      <c r="AD564" s="32"/>
      <c r="AE564" s="282"/>
      <c r="AF564" s="261"/>
      <c r="AG564" s="31"/>
      <c r="AH564" s="32"/>
      <c r="AI564" s="42"/>
      <c r="AJ564" s="42"/>
    </row>
    <row r="565" spans="1:36" x14ac:dyDescent="0.25">
      <c r="A565" s="272"/>
      <c r="B565" s="273"/>
      <c r="C565" s="274"/>
      <c r="D565" s="272"/>
      <c r="E565" s="272"/>
      <c r="F565" s="272"/>
      <c r="G565" s="272"/>
      <c r="H565" s="272"/>
      <c r="I565" s="272"/>
      <c r="J565" s="272"/>
      <c r="K565" s="33"/>
      <c r="L565" s="33"/>
      <c r="M565" s="32"/>
      <c r="N565" s="32"/>
      <c r="O565" s="32"/>
      <c r="P565" s="33"/>
      <c r="Q565" s="32"/>
      <c r="R565" s="240"/>
      <c r="S565" s="32"/>
      <c r="T565" s="32"/>
      <c r="U565" s="250"/>
      <c r="V565" s="32"/>
      <c r="W565" s="33"/>
      <c r="X565" s="32"/>
      <c r="Y565" s="42"/>
      <c r="Z565" s="31"/>
      <c r="AA565" s="42"/>
      <c r="AB565" s="42"/>
      <c r="AC565" s="250"/>
      <c r="AD565" s="32"/>
      <c r="AE565" s="282"/>
      <c r="AF565" s="261"/>
      <c r="AG565" s="31"/>
      <c r="AH565" s="32"/>
      <c r="AI565" s="42"/>
      <c r="AJ565" s="42"/>
    </row>
    <row r="566" spans="1:36" x14ac:dyDescent="0.25">
      <c r="A566" s="272"/>
      <c r="B566" s="273"/>
      <c r="C566" s="274"/>
      <c r="D566" s="272"/>
      <c r="E566" s="272"/>
      <c r="F566" s="272"/>
      <c r="G566" s="272"/>
      <c r="H566" s="272"/>
      <c r="I566" s="272"/>
      <c r="J566" s="272"/>
      <c r="K566" s="33"/>
      <c r="L566" s="33"/>
      <c r="M566" s="32"/>
      <c r="N566" s="32"/>
      <c r="O566" s="32"/>
      <c r="P566" s="33"/>
      <c r="Q566" s="32"/>
      <c r="R566" s="240"/>
      <c r="S566" s="32"/>
      <c r="T566" s="32"/>
      <c r="U566" s="250"/>
      <c r="V566" s="32"/>
      <c r="W566" s="33"/>
      <c r="X566" s="32"/>
      <c r="Y566" s="42"/>
      <c r="Z566" s="31"/>
      <c r="AA566" s="42"/>
      <c r="AB566" s="42"/>
      <c r="AC566" s="250"/>
      <c r="AD566" s="32"/>
      <c r="AE566" s="282"/>
      <c r="AF566" s="261"/>
      <c r="AG566" s="31"/>
      <c r="AH566" s="32"/>
      <c r="AI566" s="42"/>
      <c r="AJ566" s="42"/>
    </row>
    <row r="567" spans="1:36" x14ac:dyDescent="0.25">
      <c r="A567" s="272"/>
      <c r="B567" s="273"/>
      <c r="C567" s="274"/>
      <c r="D567" s="272"/>
      <c r="E567" s="272"/>
      <c r="F567" s="272"/>
      <c r="G567" s="272"/>
      <c r="H567" s="272"/>
      <c r="I567" s="272"/>
      <c r="J567" s="272"/>
      <c r="K567" s="33"/>
      <c r="L567" s="33"/>
      <c r="M567" s="32"/>
      <c r="N567" s="32"/>
      <c r="O567" s="32"/>
      <c r="P567" s="33"/>
      <c r="Q567" s="32"/>
      <c r="R567" s="240"/>
      <c r="S567" s="32"/>
      <c r="T567" s="32"/>
      <c r="U567" s="250"/>
      <c r="V567" s="32"/>
      <c r="W567" s="33"/>
      <c r="X567" s="32"/>
      <c r="Y567" s="42"/>
      <c r="Z567" s="31"/>
      <c r="AA567" s="42"/>
      <c r="AB567" s="42"/>
      <c r="AC567" s="250"/>
      <c r="AD567" s="32"/>
      <c r="AE567" s="282"/>
      <c r="AF567" s="261"/>
      <c r="AG567" s="31"/>
      <c r="AH567" s="32"/>
      <c r="AI567" s="42"/>
      <c r="AJ567" s="42"/>
    </row>
    <row r="568" spans="1:36" x14ac:dyDescent="0.25">
      <c r="A568" s="272"/>
      <c r="B568" s="273"/>
      <c r="C568" s="274"/>
      <c r="D568" s="272"/>
      <c r="E568" s="272"/>
      <c r="F568" s="272"/>
      <c r="G568" s="272"/>
      <c r="H568" s="272"/>
      <c r="I568" s="272"/>
      <c r="J568" s="272"/>
      <c r="K568" s="33"/>
      <c r="L568" s="33"/>
      <c r="M568" s="32"/>
      <c r="N568" s="32"/>
      <c r="O568" s="32"/>
      <c r="P568" s="33"/>
      <c r="Q568" s="32"/>
      <c r="R568" s="240"/>
      <c r="S568" s="32"/>
      <c r="T568" s="32"/>
      <c r="U568" s="250"/>
      <c r="V568" s="32"/>
      <c r="W568" s="33"/>
      <c r="X568" s="32"/>
      <c r="Y568" s="42"/>
      <c r="Z568" s="31"/>
      <c r="AA568" s="42"/>
      <c r="AB568" s="42"/>
      <c r="AC568" s="250"/>
      <c r="AD568" s="32"/>
      <c r="AE568" s="282"/>
      <c r="AF568" s="261"/>
      <c r="AG568" s="31"/>
      <c r="AH568" s="32"/>
      <c r="AI568" s="42"/>
      <c r="AJ568" s="42"/>
    </row>
    <row r="569" spans="1:36" x14ac:dyDescent="0.25">
      <c r="A569" s="272"/>
      <c r="B569" s="273"/>
      <c r="C569" s="274"/>
      <c r="D569" s="272"/>
      <c r="E569" s="272"/>
      <c r="F569" s="272"/>
      <c r="G569" s="272"/>
      <c r="H569" s="272"/>
      <c r="I569" s="272"/>
      <c r="J569" s="272"/>
      <c r="K569" s="33"/>
      <c r="L569" s="33"/>
      <c r="M569" s="32"/>
      <c r="N569" s="32"/>
      <c r="O569" s="32"/>
      <c r="P569" s="33"/>
      <c r="Q569" s="32"/>
      <c r="R569" s="240"/>
      <c r="S569" s="32"/>
      <c r="T569" s="32"/>
      <c r="U569" s="250"/>
      <c r="V569" s="32"/>
      <c r="W569" s="33"/>
      <c r="X569" s="32"/>
      <c r="Y569" s="42"/>
      <c r="Z569" s="31"/>
      <c r="AA569" s="42"/>
      <c r="AB569" s="42"/>
      <c r="AC569" s="250"/>
      <c r="AD569" s="32"/>
      <c r="AE569" s="282"/>
      <c r="AF569" s="261"/>
      <c r="AG569" s="31"/>
      <c r="AH569" s="32"/>
      <c r="AI569" s="42"/>
      <c r="AJ569" s="42"/>
    </row>
    <row r="570" spans="1:36" x14ac:dyDescent="0.25">
      <c r="A570" s="272"/>
      <c r="B570" s="273"/>
      <c r="C570" s="274"/>
      <c r="D570" s="272"/>
      <c r="E570" s="272"/>
      <c r="F570" s="272"/>
      <c r="G570" s="272"/>
      <c r="H570" s="272"/>
      <c r="I570" s="272"/>
      <c r="J570" s="272"/>
      <c r="K570" s="33"/>
      <c r="L570" s="33"/>
      <c r="M570" s="32"/>
      <c r="N570" s="32"/>
      <c r="O570" s="32"/>
      <c r="P570" s="33"/>
      <c r="Q570" s="32"/>
      <c r="R570" s="240"/>
      <c r="S570" s="32"/>
      <c r="T570" s="32"/>
      <c r="U570" s="250"/>
      <c r="V570" s="32"/>
      <c r="W570" s="33"/>
      <c r="X570" s="32"/>
      <c r="Y570" s="42"/>
      <c r="Z570" s="31"/>
      <c r="AA570" s="42"/>
      <c r="AB570" s="42"/>
      <c r="AC570" s="250"/>
      <c r="AD570" s="32"/>
      <c r="AE570" s="282"/>
      <c r="AF570" s="261"/>
      <c r="AG570" s="31"/>
      <c r="AH570" s="32"/>
      <c r="AI570" s="42"/>
      <c r="AJ570" s="42"/>
    </row>
    <row r="571" spans="1:36" x14ac:dyDescent="0.25">
      <c r="A571" s="272"/>
      <c r="B571" s="273"/>
      <c r="C571" s="274"/>
      <c r="D571" s="272"/>
      <c r="E571" s="272"/>
      <c r="F571" s="272"/>
      <c r="G571" s="272"/>
      <c r="H571" s="272"/>
      <c r="I571" s="272"/>
      <c r="J571" s="272"/>
      <c r="K571" s="33"/>
      <c r="L571" s="33"/>
      <c r="M571" s="32"/>
      <c r="N571" s="32"/>
      <c r="O571" s="32"/>
      <c r="P571" s="33"/>
      <c r="Q571" s="32"/>
      <c r="R571" s="240"/>
      <c r="S571" s="32"/>
      <c r="T571" s="32"/>
      <c r="U571" s="250"/>
      <c r="V571" s="32"/>
      <c r="W571" s="33"/>
      <c r="X571" s="32"/>
      <c r="Y571" s="42"/>
      <c r="Z571" s="31"/>
      <c r="AA571" s="42"/>
      <c r="AB571" s="42"/>
      <c r="AC571" s="250"/>
      <c r="AD571" s="32"/>
      <c r="AE571" s="282"/>
      <c r="AF571" s="261"/>
      <c r="AG571" s="31"/>
      <c r="AH571" s="32"/>
      <c r="AI571" s="42"/>
      <c r="AJ571" s="42"/>
    </row>
    <row r="572" spans="1:36" x14ac:dyDescent="0.25">
      <c r="A572" s="272"/>
      <c r="B572" s="273"/>
      <c r="C572" s="274"/>
      <c r="D572" s="272"/>
      <c r="E572" s="272"/>
      <c r="F572" s="272"/>
      <c r="G572" s="272"/>
      <c r="H572" s="272"/>
      <c r="I572" s="272"/>
      <c r="J572" s="272"/>
      <c r="K572" s="33"/>
      <c r="L572" s="33"/>
      <c r="M572" s="32"/>
      <c r="N572" s="32"/>
      <c r="O572" s="32"/>
      <c r="P572" s="33"/>
      <c r="Q572" s="32"/>
      <c r="R572" s="240"/>
      <c r="S572" s="32"/>
      <c r="T572" s="32"/>
      <c r="U572" s="250"/>
      <c r="V572" s="32"/>
      <c r="W572" s="33"/>
      <c r="X572" s="32"/>
      <c r="Y572" s="42"/>
      <c r="Z572" s="31"/>
      <c r="AA572" s="42"/>
      <c r="AB572" s="42"/>
      <c r="AC572" s="250"/>
      <c r="AD572" s="32"/>
      <c r="AE572" s="282"/>
      <c r="AF572" s="261"/>
      <c r="AG572" s="31"/>
      <c r="AH572" s="32"/>
      <c r="AI572" s="42"/>
      <c r="AJ572" s="42"/>
    </row>
    <row r="573" spans="1:36" x14ac:dyDescent="0.25">
      <c r="A573" s="272"/>
      <c r="B573" s="273"/>
      <c r="C573" s="274"/>
      <c r="D573" s="272"/>
      <c r="E573" s="272"/>
      <c r="F573" s="272"/>
      <c r="G573" s="272"/>
      <c r="H573" s="272"/>
      <c r="I573" s="272"/>
      <c r="J573" s="272"/>
      <c r="K573" s="33"/>
      <c r="L573" s="33"/>
      <c r="M573" s="32"/>
      <c r="N573" s="32"/>
      <c r="O573" s="32"/>
      <c r="P573" s="33"/>
      <c r="Q573" s="32"/>
      <c r="R573" s="240"/>
      <c r="S573" s="32"/>
      <c r="T573" s="32"/>
      <c r="U573" s="250"/>
      <c r="V573" s="32"/>
      <c r="W573" s="33"/>
      <c r="X573" s="32"/>
      <c r="Y573" s="42"/>
      <c r="Z573" s="31"/>
      <c r="AA573" s="42"/>
      <c r="AB573" s="42"/>
      <c r="AC573" s="250"/>
      <c r="AD573" s="32"/>
      <c r="AE573" s="282"/>
      <c r="AF573" s="261"/>
      <c r="AG573" s="31"/>
      <c r="AH573" s="32"/>
      <c r="AI573" s="42"/>
      <c r="AJ573" s="42"/>
    </row>
    <row r="574" spans="1:36" x14ac:dyDescent="0.25">
      <c r="A574" s="272"/>
      <c r="B574" s="273"/>
      <c r="C574" s="274"/>
      <c r="D574" s="272"/>
      <c r="E574" s="272"/>
      <c r="F574" s="272"/>
      <c r="G574" s="272"/>
      <c r="H574" s="272"/>
      <c r="I574" s="272"/>
      <c r="J574" s="272"/>
      <c r="K574" s="33"/>
      <c r="L574" s="33"/>
      <c r="M574" s="32"/>
      <c r="N574" s="32"/>
      <c r="O574" s="32"/>
      <c r="P574" s="33"/>
      <c r="Q574" s="32"/>
      <c r="R574" s="240"/>
      <c r="S574" s="32"/>
      <c r="T574" s="32"/>
      <c r="U574" s="250"/>
      <c r="V574" s="32"/>
      <c r="W574" s="33"/>
      <c r="X574" s="32"/>
      <c r="Y574" s="42"/>
      <c r="Z574" s="31"/>
      <c r="AA574" s="42"/>
      <c r="AB574" s="42"/>
      <c r="AC574" s="250"/>
      <c r="AD574" s="32"/>
      <c r="AE574" s="282"/>
      <c r="AF574" s="261"/>
      <c r="AG574" s="31"/>
      <c r="AH574" s="32"/>
      <c r="AI574" s="42"/>
      <c r="AJ574" s="42"/>
    </row>
    <row r="575" spans="1:36" x14ac:dyDescent="0.25">
      <c r="A575" s="272"/>
      <c r="B575" s="273"/>
      <c r="C575" s="274"/>
      <c r="D575" s="272"/>
      <c r="E575" s="272"/>
      <c r="F575" s="272"/>
      <c r="G575" s="272"/>
      <c r="H575" s="272"/>
      <c r="I575" s="272"/>
      <c r="J575" s="272"/>
      <c r="K575" s="33"/>
      <c r="L575" s="33"/>
      <c r="M575" s="32"/>
      <c r="N575" s="32"/>
      <c r="O575" s="32"/>
      <c r="P575" s="33"/>
      <c r="Q575" s="32"/>
      <c r="R575" s="240"/>
      <c r="S575" s="32"/>
      <c r="T575" s="32"/>
      <c r="U575" s="250"/>
      <c r="V575" s="32"/>
      <c r="W575" s="33"/>
      <c r="X575" s="32"/>
      <c r="Y575" s="42"/>
      <c r="Z575" s="31"/>
      <c r="AA575" s="42"/>
      <c r="AB575" s="42"/>
      <c r="AC575" s="250"/>
      <c r="AD575" s="32"/>
      <c r="AE575" s="282"/>
      <c r="AF575" s="261"/>
      <c r="AG575" s="31"/>
      <c r="AH575" s="32"/>
      <c r="AI575" s="42"/>
      <c r="AJ575" s="42"/>
    </row>
    <row r="576" spans="1:36" x14ac:dyDescent="0.25">
      <c r="A576" s="272"/>
      <c r="B576" s="273"/>
      <c r="C576" s="274"/>
      <c r="D576" s="272"/>
      <c r="E576" s="272"/>
      <c r="F576" s="272"/>
      <c r="G576" s="272"/>
      <c r="H576" s="272"/>
      <c r="I576" s="272"/>
      <c r="J576" s="272"/>
      <c r="K576" s="33"/>
      <c r="L576" s="33"/>
      <c r="M576" s="32"/>
      <c r="N576" s="32"/>
      <c r="O576" s="32"/>
      <c r="P576" s="33"/>
      <c r="Q576" s="32"/>
      <c r="R576" s="240"/>
      <c r="S576" s="32"/>
      <c r="T576" s="32"/>
      <c r="U576" s="250"/>
      <c r="V576" s="32"/>
      <c r="W576" s="33"/>
      <c r="X576" s="32"/>
      <c r="Y576" s="42"/>
      <c r="Z576" s="31"/>
      <c r="AA576" s="42"/>
      <c r="AB576" s="42"/>
      <c r="AC576" s="250"/>
      <c r="AD576" s="32"/>
      <c r="AE576" s="282"/>
      <c r="AF576" s="261"/>
      <c r="AG576" s="31"/>
      <c r="AH576" s="32"/>
      <c r="AI576" s="42"/>
      <c r="AJ576" s="42"/>
    </row>
    <row r="577" spans="1:36" x14ac:dyDescent="0.25">
      <c r="A577" s="272"/>
      <c r="B577" s="273"/>
      <c r="C577" s="274"/>
      <c r="D577" s="272"/>
      <c r="E577" s="272"/>
      <c r="F577" s="272"/>
      <c r="G577" s="272"/>
      <c r="H577" s="272"/>
      <c r="I577" s="272"/>
      <c r="J577" s="272"/>
      <c r="K577" s="33"/>
      <c r="L577" s="33"/>
      <c r="M577" s="32"/>
      <c r="N577" s="32"/>
      <c r="O577" s="32"/>
      <c r="P577" s="33"/>
      <c r="Q577" s="32"/>
      <c r="R577" s="240"/>
      <c r="S577" s="32"/>
      <c r="T577" s="32"/>
      <c r="U577" s="250"/>
      <c r="V577" s="32"/>
      <c r="W577" s="33"/>
      <c r="X577" s="32"/>
      <c r="Y577" s="42"/>
      <c r="Z577" s="31"/>
      <c r="AA577" s="42"/>
      <c r="AB577" s="42"/>
      <c r="AC577" s="250"/>
      <c r="AD577" s="32"/>
      <c r="AE577" s="282"/>
      <c r="AF577" s="261"/>
      <c r="AG577" s="31"/>
      <c r="AH577" s="32"/>
      <c r="AI577" s="42"/>
      <c r="AJ577" s="42"/>
    </row>
    <row r="578" spans="1:36" x14ac:dyDescent="0.25">
      <c r="A578" s="272"/>
      <c r="B578" s="273"/>
      <c r="C578" s="274"/>
      <c r="D578" s="272"/>
      <c r="E578" s="272"/>
      <c r="F578" s="272"/>
      <c r="G578" s="272"/>
      <c r="H578" s="272"/>
      <c r="I578" s="272"/>
      <c r="J578" s="272"/>
      <c r="K578" s="33"/>
      <c r="L578" s="33"/>
      <c r="M578" s="32"/>
      <c r="N578" s="32"/>
      <c r="O578" s="32"/>
      <c r="P578" s="33"/>
      <c r="Q578" s="32"/>
      <c r="R578" s="240"/>
      <c r="S578" s="32"/>
      <c r="T578" s="32"/>
      <c r="U578" s="250"/>
      <c r="V578" s="32"/>
      <c r="W578" s="33"/>
      <c r="X578" s="32"/>
      <c r="Y578" s="42"/>
      <c r="Z578" s="31"/>
      <c r="AA578" s="42"/>
      <c r="AB578" s="42"/>
      <c r="AC578" s="250"/>
      <c r="AD578" s="32"/>
      <c r="AE578" s="282"/>
      <c r="AF578" s="261"/>
      <c r="AG578" s="31"/>
      <c r="AH578" s="32"/>
      <c r="AI578" s="42"/>
      <c r="AJ578" s="42"/>
    </row>
    <row r="579" spans="1:36" x14ac:dyDescent="0.25">
      <c r="A579" s="272"/>
      <c r="B579" s="273"/>
      <c r="C579" s="274"/>
      <c r="D579" s="272"/>
      <c r="E579" s="272"/>
      <c r="F579" s="272"/>
      <c r="G579" s="272"/>
      <c r="H579" s="272"/>
      <c r="I579" s="272"/>
      <c r="J579" s="272"/>
      <c r="K579" s="33"/>
      <c r="L579" s="33"/>
      <c r="M579" s="32"/>
      <c r="N579" s="32"/>
      <c r="O579" s="32"/>
      <c r="P579" s="33"/>
      <c r="Q579" s="32"/>
      <c r="R579" s="240"/>
      <c r="S579" s="32"/>
      <c r="T579" s="32"/>
      <c r="U579" s="250"/>
      <c r="V579" s="32"/>
      <c r="W579" s="33"/>
      <c r="X579" s="32"/>
      <c r="Y579" s="42"/>
      <c r="Z579" s="31"/>
      <c r="AA579" s="42"/>
      <c r="AB579" s="42"/>
      <c r="AC579" s="250"/>
      <c r="AD579" s="32"/>
      <c r="AE579" s="282"/>
      <c r="AF579" s="261"/>
      <c r="AG579" s="31"/>
      <c r="AH579" s="32"/>
      <c r="AI579" s="42"/>
      <c r="AJ579" s="42"/>
    </row>
    <row r="580" spans="1:36" x14ac:dyDescent="0.25">
      <c r="A580" s="272"/>
      <c r="B580" s="273"/>
      <c r="C580" s="274"/>
      <c r="D580" s="272"/>
      <c r="E580" s="272"/>
      <c r="F580" s="272"/>
      <c r="G580" s="272"/>
      <c r="H580" s="272"/>
      <c r="I580" s="272"/>
      <c r="J580" s="272"/>
      <c r="K580" s="33"/>
      <c r="L580" s="33"/>
      <c r="M580" s="32"/>
      <c r="N580" s="32"/>
      <c r="O580" s="32"/>
      <c r="P580" s="33"/>
      <c r="Q580" s="32"/>
      <c r="R580" s="240"/>
      <c r="S580" s="32"/>
      <c r="T580" s="32"/>
      <c r="U580" s="250"/>
      <c r="V580" s="32"/>
      <c r="W580" s="33"/>
      <c r="X580" s="32"/>
      <c r="Y580" s="42"/>
      <c r="Z580" s="31"/>
      <c r="AA580" s="42"/>
      <c r="AB580" s="42"/>
      <c r="AC580" s="250"/>
      <c r="AD580" s="32"/>
      <c r="AE580" s="282"/>
      <c r="AF580" s="261"/>
      <c r="AG580" s="31"/>
      <c r="AH580" s="32"/>
      <c r="AI580" s="42"/>
      <c r="AJ580" s="42"/>
    </row>
    <row r="581" spans="1:36" x14ac:dyDescent="0.25">
      <c r="A581" s="272"/>
      <c r="B581" s="273"/>
      <c r="C581" s="274"/>
      <c r="D581" s="272"/>
      <c r="E581" s="272"/>
      <c r="F581" s="272"/>
      <c r="G581" s="272"/>
      <c r="H581" s="272"/>
      <c r="I581" s="272"/>
      <c r="J581" s="272"/>
      <c r="K581" s="33"/>
      <c r="L581" s="33"/>
      <c r="M581" s="32"/>
      <c r="N581" s="32"/>
      <c r="O581" s="32"/>
      <c r="P581" s="33"/>
      <c r="Q581" s="32"/>
      <c r="R581" s="240"/>
      <c r="S581" s="32"/>
      <c r="T581" s="32"/>
      <c r="U581" s="250"/>
      <c r="V581" s="32"/>
      <c r="W581" s="33"/>
      <c r="X581" s="32"/>
      <c r="Y581" s="42"/>
      <c r="Z581" s="31"/>
      <c r="AA581" s="42"/>
      <c r="AB581" s="42"/>
      <c r="AC581" s="250"/>
      <c r="AD581" s="32"/>
      <c r="AE581" s="282"/>
      <c r="AF581" s="261"/>
      <c r="AG581" s="31"/>
      <c r="AH581" s="32"/>
      <c r="AI581" s="42"/>
      <c r="AJ581" s="42"/>
    </row>
    <row r="582" spans="1:36" x14ac:dyDescent="0.25">
      <c r="A582" s="272"/>
      <c r="B582" s="273"/>
      <c r="C582" s="274"/>
      <c r="D582" s="272"/>
      <c r="E582" s="272"/>
      <c r="F582" s="272"/>
      <c r="G582" s="272"/>
      <c r="H582" s="272"/>
      <c r="I582" s="272"/>
      <c r="J582" s="272"/>
      <c r="K582" s="33"/>
      <c r="L582" s="33"/>
      <c r="M582" s="32"/>
      <c r="N582" s="32"/>
      <c r="O582" s="32"/>
      <c r="P582" s="33"/>
      <c r="Q582" s="32"/>
      <c r="R582" s="240"/>
      <c r="S582" s="32"/>
      <c r="T582" s="32"/>
      <c r="U582" s="250"/>
      <c r="V582" s="32"/>
      <c r="W582" s="33"/>
      <c r="X582" s="32"/>
      <c r="Y582" s="42"/>
      <c r="Z582" s="31"/>
      <c r="AA582" s="42"/>
      <c r="AB582" s="42"/>
      <c r="AC582" s="250"/>
      <c r="AD582" s="32"/>
      <c r="AE582" s="282"/>
      <c r="AF582" s="261"/>
      <c r="AG582" s="31"/>
      <c r="AH582" s="32"/>
      <c r="AI582" s="42"/>
      <c r="AJ582" s="42"/>
    </row>
    <row r="583" spans="1:36" x14ac:dyDescent="0.25">
      <c r="A583" s="272"/>
      <c r="B583" s="273"/>
      <c r="C583" s="274"/>
      <c r="D583" s="272"/>
      <c r="E583" s="272"/>
      <c r="F583" s="272"/>
      <c r="G583" s="272"/>
      <c r="H583" s="272"/>
      <c r="I583" s="272"/>
      <c r="J583" s="272"/>
      <c r="K583" s="33"/>
      <c r="L583" s="33"/>
      <c r="M583" s="32"/>
      <c r="N583" s="32"/>
      <c r="O583" s="32"/>
      <c r="P583" s="33"/>
      <c r="Q583" s="32"/>
      <c r="R583" s="240"/>
      <c r="S583" s="32"/>
      <c r="T583" s="32"/>
      <c r="U583" s="250"/>
      <c r="V583" s="32"/>
      <c r="W583" s="33"/>
      <c r="X583" s="32"/>
      <c r="Y583" s="42"/>
      <c r="Z583" s="31"/>
      <c r="AA583" s="42"/>
      <c r="AB583" s="42"/>
      <c r="AC583" s="250"/>
      <c r="AD583" s="32"/>
      <c r="AE583" s="282"/>
      <c r="AF583" s="261"/>
      <c r="AG583" s="31"/>
      <c r="AH583" s="32"/>
      <c r="AI583" s="42"/>
      <c r="AJ583" s="42"/>
    </row>
    <row r="584" spans="1:36" x14ac:dyDescent="0.25">
      <c r="A584" s="272"/>
      <c r="B584" s="273"/>
      <c r="C584" s="274"/>
      <c r="D584" s="272"/>
      <c r="E584" s="272"/>
      <c r="F584" s="272"/>
      <c r="G584" s="272"/>
      <c r="H584" s="272"/>
      <c r="I584" s="272"/>
      <c r="J584" s="272"/>
      <c r="K584" s="33"/>
      <c r="L584" s="33"/>
      <c r="M584" s="32"/>
      <c r="N584" s="32"/>
      <c r="O584" s="32"/>
      <c r="P584" s="33"/>
      <c r="Q584" s="32"/>
      <c r="R584" s="240"/>
      <c r="S584" s="32"/>
      <c r="T584" s="32"/>
      <c r="U584" s="250"/>
      <c r="V584" s="32"/>
      <c r="W584" s="33"/>
      <c r="X584" s="32"/>
      <c r="Y584" s="42"/>
      <c r="Z584" s="31"/>
      <c r="AA584" s="42"/>
      <c r="AB584" s="42"/>
      <c r="AC584" s="250"/>
      <c r="AD584" s="32"/>
      <c r="AE584" s="282"/>
      <c r="AF584" s="261"/>
      <c r="AG584" s="31"/>
      <c r="AH584" s="32"/>
      <c r="AI584" s="42"/>
      <c r="AJ584" s="42"/>
    </row>
    <row r="585" spans="1:36" x14ac:dyDescent="0.25">
      <c r="A585" s="272"/>
      <c r="B585" s="273"/>
      <c r="C585" s="274"/>
      <c r="D585" s="272"/>
      <c r="E585" s="272"/>
      <c r="F585" s="272"/>
      <c r="G585" s="272"/>
      <c r="H585" s="272"/>
      <c r="I585" s="272"/>
      <c r="J585" s="272"/>
      <c r="K585" s="33"/>
      <c r="L585" s="33"/>
      <c r="M585" s="32"/>
      <c r="N585" s="32"/>
      <c r="O585" s="32"/>
      <c r="P585" s="33"/>
      <c r="Q585" s="32"/>
      <c r="R585" s="240"/>
      <c r="S585" s="32"/>
      <c r="T585" s="32"/>
      <c r="U585" s="250"/>
      <c r="V585" s="32"/>
      <c r="W585" s="33"/>
      <c r="X585" s="32"/>
      <c r="Y585" s="42"/>
      <c r="Z585" s="31"/>
      <c r="AA585" s="42"/>
      <c r="AB585" s="42"/>
      <c r="AC585" s="250"/>
      <c r="AD585" s="32"/>
      <c r="AE585" s="282"/>
      <c r="AF585" s="261"/>
      <c r="AG585" s="31"/>
      <c r="AH585" s="32"/>
      <c r="AI585" s="42"/>
      <c r="AJ585" s="42"/>
    </row>
    <row r="586" spans="1:36" x14ac:dyDescent="0.25">
      <c r="A586" s="272"/>
      <c r="B586" s="273"/>
      <c r="C586" s="274"/>
      <c r="D586" s="272"/>
      <c r="E586" s="272"/>
      <c r="F586" s="272"/>
      <c r="G586" s="272"/>
      <c r="H586" s="272"/>
      <c r="I586" s="272"/>
      <c r="J586" s="272"/>
      <c r="K586" s="33"/>
      <c r="L586" s="33"/>
      <c r="M586" s="32"/>
      <c r="N586" s="32"/>
      <c r="O586" s="32"/>
      <c r="P586" s="33"/>
      <c r="Q586" s="32"/>
      <c r="R586" s="240"/>
      <c r="S586" s="32"/>
      <c r="T586" s="32"/>
      <c r="U586" s="250"/>
      <c r="V586" s="32"/>
      <c r="W586" s="33"/>
      <c r="X586" s="32"/>
      <c r="Y586" s="42"/>
      <c r="Z586" s="31"/>
      <c r="AA586" s="42"/>
      <c r="AB586" s="42"/>
      <c r="AC586" s="250"/>
      <c r="AD586" s="32"/>
      <c r="AE586" s="282"/>
      <c r="AF586" s="261"/>
      <c r="AG586" s="31"/>
      <c r="AH586" s="32"/>
      <c r="AI586" s="42"/>
      <c r="AJ586" s="42"/>
    </row>
    <row r="587" spans="1:36" x14ac:dyDescent="0.25">
      <c r="A587" s="272"/>
      <c r="B587" s="273"/>
      <c r="C587" s="274"/>
      <c r="D587" s="272"/>
      <c r="E587" s="272"/>
      <c r="F587" s="272"/>
      <c r="G587" s="272"/>
      <c r="H587" s="272"/>
      <c r="I587" s="272"/>
      <c r="J587" s="272"/>
      <c r="K587" s="33"/>
      <c r="L587" s="33"/>
      <c r="M587" s="32"/>
      <c r="N587" s="32"/>
      <c r="O587" s="32"/>
      <c r="P587" s="33"/>
      <c r="Q587" s="32"/>
      <c r="R587" s="240"/>
      <c r="S587" s="32"/>
      <c r="T587" s="32"/>
      <c r="U587" s="250"/>
      <c r="V587" s="32"/>
      <c r="W587" s="33"/>
      <c r="X587" s="32"/>
      <c r="Y587" s="42"/>
      <c r="Z587" s="31"/>
      <c r="AA587" s="42"/>
      <c r="AB587" s="42"/>
      <c r="AC587" s="250"/>
      <c r="AD587" s="32"/>
      <c r="AE587" s="282"/>
      <c r="AF587" s="261"/>
      <c r="AG587" s="31"/>
      <c r="AH587" s="32"/>
      <c r="AI587" s="42"/>
      <c r="AJ587" s="42"/>
    </row>
    <row r="588" spans="1:36" x14ac:dyDescent="0.25">
      <c r="A588" s="272"/>
      <c r="B588" s="273"/>
      <c r="C588" s="274"/>
      <c r="D588" s="272"/>
      <c r="E588" s="272"/>
      <c r="F588" s="272"/>
      <c r="G588" s="272"/>
      <c r="H588" s="272"/>
      <c r="I588" s="272"/>
      <c r="J588" s="272"/>
      <c r="K588" s="33"/>
      <c r="L588" s="33"/>
      <c r="M588" s="32"/>
      <c r="N588" s="32"/>
      <c r="O588" s="32"/>
      <c r="P588" s="33"/>
      <c r="Q588" s="32"/>
      <c r="R588" s="240"/>
      <c r="S588" s="32"/>
      <c r="T588" s="32"/>
      <c r="U588" s="250"/>
      <c r="V588" s="32"/>
      <c r="W588" s="33"/>
      <c r="X588" s="32"/>
      <c r="Y588" s="42"/>
      <c r="Z588" s="31"/>
      <c r="AA588" s="42"/>
      <c r="AB588" s="42"/>
      <c r="AC588" s="250"/>
      <c r="AD588" s="32"/>
      <c r="AE588" s="282"/>
      <c r="AF588" s="261"/>
      <c r="AG588" s="31"/>
      <c r="AH588" s="32"/>
      <c r="AI588" s="42"/>
      <c r="AJ588" s="42"/>
    </row>
    <row r="589" spans="1:36" x14ac:dyDescent="0.25">
      <c r="A589" s="272"/>
      <c r="B589" s="273"/>
      <c r="C589" s="274"/>
      <c r="D589" s="272"/>
      <c r="E589" s="272"/>
      <c r="F589" s="272"/>
      <c r="G589" s="272"/>
      <c r="H589" s="272"/>
      <c r="I589" s="272"/>
      <c r="J589" s="272"/>
      <c r="K589" s="33"/>
      <c r="L589" s="33"/>
      <c r="M589" s="32"/>
      <c r="N589" s="32"/>
      <c r="O589" s="32"/>
      <c r="P589" s="33"/>
      <c r="Q589" s="32"/>
      <c r="R589" s="240"/>
      <c r="S589" s="32"/>
      <c r="T589" s="32"/>
      <c r="U589" s="250"/>
      <c r="V589" s="32"/>
      <c r="W589" s="33"/>
      <c r="X589" s="32"/>
      <c r="Y589" s="42"/>
      <c r="Z589" s="31"/>
      <c r="AA589" s="42"/>
      <c r="AB589" s="42"/>
      <c r="AC589" s="250"/>
      <c r="AD589" s="32"/>
      <c r="AE589" s="282"/>
      <c r="AF589" s="261"/>
      <c r="AG589" s="31"/>
      <c r="AH589" s="32"/>
      <c r="AI589" s="42"/>
      <c r="AJ589" s="42"/>
    </row>
    <row r="590" spans="1:36" x14ac:dyDescent="0.25">
      <c r="A590" s="272"/>
      <c r="B590" s="273"/>
      <c r="C590" s="274"/>
      <c r="D590" s="272"/>
      <c r="E590" s="272"/>
      <c r="F590" s="272"/>
      <c r="G590" s="272"/>
      <c r="H590" s="272"/>
      <c r="I590" s="272"/>
      <c r="J590" s="272"/>
      <c r="K590" s="33"/>
      <c r="L590" s="33"/>
      <c r="M590" s="32"/>
      <c r="N590" s="32"/>
      <c r="O590" s="32"/>
      <c r="P590" s="33"/>
      <c r="Q590" s="32"/>
      <c r="R590" s="240"/>
      <c r="S590" s="32"/>
      <c r="T590" s="32"/>
      <c r="U590" s="250"/>
      <c r="V590" s="32"/>
      <c r="W590" s="33"/>
      <c r="X590" s="32"/>
      <c r="Y590" s="42"/>
      <c r="Z590" s="31"/>
      <c r="AA590" s="42"/>
      <c r="AB590" s="42"/>
      <c r="AC590" s="250"/>
      <c r="AD590" s="32"/>
      <c r="AE590" s="282"/>
      <c r="AF590" s="261"/>
      <c r="AG590" s="31"/>
      <c r="AH590" s="32"/>
      <c r="AI590" s="42"/>
      <c r="AJ590" s="42"/>
    </row>
    <row r="591" spans="1:36" x14ac:dyDescent="0.25">
      <c r="A591" s="272"/>
      <c r="B591" s="273"/>
      <c r="C591" s="274"/>
      <c r="D591" s="272"/>
      <c r="E591" s="272"/>
      <c r="F591" s="272"/>
      <c r="G591" s="272"/>
      <c r="H591" s="272"/>
      <c r="I591" s="272"/>
      <c r="J591" s="272"/>
      <c r="K591" s="33"/>
      <c r="L591" s="33"/>
      <c r="M591" s="32"/>
      <c r="N591" s="32"/>
      <c r="O591" s="32"/>
      <c r="P591" s="33"/>
      <c r="Q591" s="32"/>
      <c r="R591" s="240"/>
      <c r="S591" s="32"/>
      <c r="T591" s="32"/>
      <c r="U591" s="250"/>
      <c r="V591" s="32"/>
      <c r="W591" s="33"/>
      <c r="X591" s="32"/>
      <c r="Y591" s="42"/>
      <c r="Z591" s="31"/>
      <c r="AA591" s="42"/>
      <c r="AB591" s="42"/>
      <c r="AC591" s="250"/>
      <c r="AD591" s="32"/>
      <c r="AE591" s="282"/>
      <c r="AF591" s="261"/>
      <c r="AG591" s="31"/>
      <c r="AH591" s="32"/>
      <c r="AI591" s="42"/>
      <c r="AJ591" s="42"/>
    </row>
    <row r="592" spans="1:36" x14ac:dyDescent="0.25">
      <c r="A592" s="272"/>
      <c r="B592" s="273"/>
      <c r="C592" s="274"/>
      <c r="D592" s="272"/>
      <c r="E592" s="272"/>
      <c r="F592" s="272"/>
      <c r="G592" s="272"/>
      <c r="H592" s="272"/>
      <c r="I592" s="272"/>
      <c r="J592" s="272"/>
      <c r="K592" s="33"/>
      <c r="L592" s="33"/>
      <c r="M592" s="32"/>
      <c r="N592" s="32"/>
      <c r="O592" s="32"/>
      <c r="P592" s="33"/>
      <c r="Q592" s="32"/>
      <c r="R592" s="240"/>
      <c r="S592" s="32"/>
      <c r="T592" s="32"/>
      <c r="U592" s="250"/>
      <c r="V592" s="32"/>
      <c r="W592" s="33"/>
      <c r="X592" s="32"/>
      <c r="Y592" s="42"/>
      <c r="Z592" s="31"/>
      <c r="AA592" s="42"/>
      <c r="AB592" s="42"/>
      <c r="AC592" s="250"/>
      <c r="AD592" s="32"/>
      <c r="AE592" s="282"/>
      <c r="AF592" s="261"/>
      <c r="AG592" s="31"/>
      <c r="AH592" s="32"/>
      <c r="AI592" s="42"/>
      <c r="AJ592" s="42"/>
    </row>
    <row r="593" spans="1:36" x14ac:dyDescent="0.25">
      <c r="A593" s="272"/>
      <c r="B593" s="273"/>
      <c r="C593" s="274"/>
      <c r="D593" s="272"/>
      <c r="E593" s="272"/>
      <c r="F593" s="272"/>
      <c r="G593" s="272"/>
      <c r="H593" s="272"/>
      <c r="I593" s="272"/>
      <c r="J593" s="272"/>
      <c r="K593" s="33"/>
      <c r="L593" s="33"/>
      <c r="M593" s="32"/>
      <c r="N593" s="32"/>
      <c r="O593" s="32"/>
      <c r="P593" s="33"/>
      <c r="Q593" s="32"/>
      <c r="R593" s="240"/>
      <c r="S593" s="32"/>
      <c r="T593" s="32"/>
      <c r="U593" s="250"/>
      <c r="V593" s="32"/>
      <c r="W593" s="33"/>
      <c r="X593" s="32"/>
      <c r="Y593" s="42"/>
      <c r="Z593" s="31"/>
      <c r="AA593" s="42"/>
      <c r="AB593" s="42"/>
      <c r="AC593" s="250"/>
      <c r="AD593" s="32"/>
      <c r="AE593" s="282"/>
      <c r="AF593" s="261"/>
      <c r="AG593" s="31"/>
      <c r="AH593" s="32"/>
      <c r="AI593" s="42"/>
      <c r="AJ593" s="42"/>
    </row>
    <row r="594" spans="1:36" x14ac:dyDescent="0.25">
      <c r="A594" s="272"/>
      <c r="B594" s="273"/>
      <c r="C594" s="274"/>
      <c r="D594" s="272"/>
      <c r="E594" s="272"/>
      <c r="F594" s="272"/>
      <c r="G594" s="272"/>
      <c r="H594" s="272"/>
      <c r="I594" s="272"/>
      <c r="J594" s="272"/>
      <c r="K594" s="33"/>
      <c r="L594" s="33"/>
      <c r="M594" s="32"/>
      <c r="N594" s="32"/>
      <c r="O594" s="32"/>
      <c r="P594" s="33"/>
      <c r="Q594" s="32"/>
      <c r="R594" s="240"/>
      <c r="S594" s="32"/>
      <c r="T594" s="32"/>
      <c r="U594" s="250"/>
      <c r="V594" s="32"/>
      <c r="W594" s="33"/>
      <c r="X594" s="32"/>
      <c r="Y594" s="42"/>
      <c r="Z594" s="31"/>
      <c r="AA594" s="42"/>
      <c r="AB594" s="42"/>
      <c r="AC594" s="250"/>
      <c r="AD594" s="32"/>
      <c r="AE594" s="282"/>
      <c r="AF594" s="261"/>
      <c r="AG594" s="31"/>
      <c r="AH594" s="32"/>
      <c r="AI594" s="42"/>
      <c r="AJ594" s="42"/>
    </row>
    <row r="595" spans="1:36" x14ac:dyDescent="0.25">
      <c r="A595" s="272"/>
      <c r="B595" s="273"/>
      <c r="C595" s="274"/>
      <c r="D595" s="272"/>
      <c r="E595" s="272"/>
      <c r="F595" s="272"/>
      <c r="G595" s="272"/>
      <c r="H595" s="272"/>
      <c r="I595" s="272"/>
      <c r="J595" s="272"/>
      <c r="K595" s="33"/>
      <c r="L595" s="33"/>
      <c r="M595" s="32"/>
      <c r="N595" s="32"/>
      <c r="O595" s="32"/>
      <c r="P595" s="33"/>
      <c r="Q595" s="32"/>
      <c r="R595" s="240"/>
      <c r="S595" s="32"/>
      <c r="T595" s="32"/>
      <c r="U595" s="250"/>
      <c r="V595" s="32"/>
      <c r="W595" s="33"/>
      <c r="X595" s="32"/>
      <c r="Y595" s="42"/>
      <c r="Z595" s="31"/>
      <c r="AA595" s="42"/>
      <c r="AB595" s="42"/>
      <c r="AC595" s="250"/>
      <c r="AD595" s="32"/>
      <c r="AE595" s="282"/>
      <c r="AF595" s="261"/>
      <c r="AG595" s="31"/>
      <c r="AH595" s="32"/>
      <c r="AI595" s="42"/>
      <c r="AJ595" s="42"/>
    </row>
    <row r="596" spans="1:36" x14ac:dyDescent="0.25">
      <c r="A596" s="272"/>
      <c r="B596" s="273"/>
      <c r="C596" s="274"/>
      <c r="D596" s="272"/>
      <c r="E596" s="272"/>
      <c r="F596" s="272"/>
      <c r="G596" s="272"/>
      <c r="H596" s="272"/>
      <c r="I596" s="272"/>
      <c r="J596" s="272"/>
      <c r="K596" s="33"/>
      <c r="L596" s="33"/>
      <c r="M596" s="32"/>
      <c r="N596" s="32"/>
      <c r="O596" s="32"/>
      <c r="P596" s="33"/>
      <c r="Q596" s="32"/>
      <c r="R596" s="240"/>
      <c r="S596" s="32"/>
      <c r="T596" s="32"/>
      <c r="U596" s="250"/>
      <c r="V596" s="32"/>
      <c r="W596" s="33"/>
      <c r="X596" s="32"/>
      <c r="Y596" s="42"/>
      <c r="Z596" s="31"/>
      <c r="AA596" s="42"/>
      <c r="AB596" s="42"/>
      <c r="AC596" s="250"/>
      <c r="AD596" s="32"/>
      <c r="AE596" s="282"/>
      <c r="AF596" s="261"/>
      <c r="AG596" s="31"/>
      <c r="AH596" s="32"/>
      <c r="AI596" s="42"/>
      <c r="AJ596" s="42"/>
    </row>
    <row r="597" spans="1:36" x14ac:dyDescent="0.25">
      <c r="A597" s="272"/>
      <c r="B597" s="273"/>
      <c r="C597" s="274"/>
      <c r="D597" s="272"/>
      <c r="E597" s="272"/>
      <c r="F597" s="272"/>
      <c r="G597" s="272"/>
      <c r="H597" s="272"/>
      <c r="I597" s="272"/>
      <c r="J597" s="272"/>
      <c r="K597" s="33"/>
      <c r="L597" s="33"/>
      <c r="M597" s="32"/>
      <c r="N597" s="32"/>
      <c r="O597" s="32"/>
      <c r="P597" s="33"/>
      <c r="Q597" s="32"/>
      <c r="R597" s="240"/>
      <c r="S597" s="32"/>
      <c r="T597" s="32"/>
      <c r="U597" s="250"/>
      <c r="V597" s="32"/>
      <c r="W597" s="33"/>
      <c r="X597" s="32"/>
      <c r="Y597" s="42"/>
      <c r="Z597" s="31"/>
      <c r="AA597" s="42"/>
      <c r="AB597" s="42"/>
      <c r="AC597" s="250"/>
      <c r="AD597" s="32"/>
      <c r="AE597" s="282"/>
      <c r="AF597" s="261"/>
      <c r="AG597" s="31"/>
      <c r="AH597" s="32"/>
      <c r="AI597" s="42"/>
      <c r="AJ597" s="42"/>
    </row>
    <row r="598" spans="1:36" x14ac:dyDescent="0.25">
      <c r="A598" s="272"/>
      <c r="B598" s="273"/>
      <c r="C598" s="274"/>
      <c r="D598" s="272"/>
      <c r="E598" s="272"/>
      <c r="F598" s="272"/>
      <c r="G598" s="272"/>
      <c r="H598" s="272"/>
      <c r="I598" s="272"/>
      <c r="J598" s="272"/>
      <c r="K598" s="33"/>
      <c r="L598" s="33"/>
      <c r="M598" s="32"/>
      <c r="N598" s="32"/>
      <c r="O598" s="32"/>
      <c r="P598" s="33"/>
      <c r="Q598" s="32"/>
      <c r="R598" s="240"/>
      <c r="S598" s="32"/>
      <c r="T598" s="32"/>
      <c r="U598" s="250"/>
      <c r="V598" s="32"/>
      <c r="W598" s="33"/>
      <c r="X598" s="32"/>
      <c r="Y598" s="42"/>
      <c r="Z598" s="31"/>
      <c r="AA598" s="42"/>
      <c r="AB598" s="42"/>
      <c r="AC598" s="250"/>
      <c r="AD598" s="32"/>
      <c r="AE598" s="282"/>
      <c r="AF598" s="261"/>
      <c r="AG598" s="31"/>
      <c r="AH598" s="32"/>
      <c r="AI598" s="42"/>
      <c r="AJ598" s="42"/>
    </row>
    <row r="599" spans="1:36" x14ac:dyDescent="0.25">
      <c r="A599" s="272"/>
      <c r="B599" s="273"/>
      <c r="C599" s="274"/>
      <c r="D599" s="272"/>
      <c r="E599" s="272"/>
      <c r="F599" s="272"/>
      <c r="G599" s="272"/>
      <c r="H599" s="272"/>
      <c r="I599" s="272"/>
      <c r="J599" s="272"/>
      <c r="K599" s="33"/>
      <c r="L599" s="33"/>
      <c r="M599" s="32"/>
      <c r="N599" s="32"/>
      <c r="O599" s="32"/>
      <c r="P599" s="33"/>
      <c r="Q599" s="32"/>
      <c r="R599" s="240"/>
      <c r="S599" s="32"/>
      <c r="T599" s="32"/>
      <c r="U599" s="250"/>
      <c r="V599" s="32"/>
      <c r="W599" s="33"/>
      <c r="X599" s="32"/>
      <c r="Y599" s="42"/>
      <c r="Z599" s="31"/>
      <c r="AA599" s="42"/>
      <c r="AB599" s="42"/>
      <c r="AC599" s="250"/>
      <c r="AD599" s="32"/>
      <c r="AE599" s="282"/>
      <c r="AF599" s="261"/>
      <c r="AG599" s="31"/>
      <c r="AH599" s="32"/>
      <c r="AI599" s="42"/>
      <c r="AJ599" s="42"/>
    </row>
    <row r="600" spans="1:36" x14ac:dyDescent="0.25">
      <c r="A600" s="272"/>
      <c r="B600" s="273"/>
      <c r="C600" s="274"/>
      <c r="D600" s="272"/>
      <c r="E600" s="272"/>
      <c r="F600" s="272"/>
      <c r="G600" s="272"/>
      <c r="H600" s="272"/>
      <c r="I600" s="272"/>
      <c r="J600" s="272"/>
      <c r="K600" s="33"/>
      <c r="L600" s="33"/>
      <c r="M600" s="32"/>
      <c r="N600" s="32"/>
      <c r="O600" s="32"/>
      <c r="P600" s="33"/>
      <c r="Q600" s="32"/>
      <c r="R600" s="240"/>
      <c r="S600" s="32"/>
      <c r="T600" s="32"/>
      <c r="U600" s="250"/>
      <c r="V600" s="32"/>
      <c r="W600" s="33"/>
      <c r="X600" s="32"/>
      <c r="Y600" s="42"/>
      <c r="Z600" s="31"/>
      <c r="AA600" s="42"/>
      <c r="AB600" s="42"/>
      <c r="AC600" s="250"/>
      <c r="AD600" s="32"/>
      <c r="AE600" s="282"/>
      <c r="AF600" s="261"/>
      <c r="AG600" s="31"/>
      <c r="AH600" s="32"/>
      <c r="AI600" s="42"/>
      <c r="AJ600" s="42"/>
    </row>
    <row r="601" spans="1:36" x14ac:dyDescent="0.25">
      <c r="A601" s="272"/>
      <c r="B601" s="273"/>
      <c r="C601" s="274"/>
      <c r="D601" s="272"/>
      <c r="E601" s="272"/>
      <c r="F601" s="272"/>
      <c r="G601" s="272"/>
      <c r="H601" s="272"/>
      <c r="I601" s="272"/>
      <c r="J601" s="272"/>
      <c r="K601" s="33"/>
      <c r="L601" s="33"/>
      <c r="M601" s="32"/>
      <c r="N601" s="32"/>
      <c r="O601" s="32"/>
      <c r="P601" s="33"/>
      <c r="Q601" s="32"/>
      <c r="R601" s="240"/>
      <c r="S601" s="32"/>
      <c r="T601" s="32"/>
      <c r="U601" s="250"/>
      <c r="V601" s="32"/>
      <c r="W601" s="33"/>
      <c r="X601" s="32"/>
      <c r="Y601" s="42"/>
      <c r="Z601" s="31"/>
      <c r="AA601" s="42"/>
      <c r="AB601" s="42"/>
      <c r="AC601" s="250"/>
      <c r="AD601" s="32"/>
      <c r="AE601" s="282"/>
      <c r="AF601" s="261"/>
      <c r="AG601" s="31"/>
      <c r="AH601" s="32"/>
      <c r="AI601" s="42"/>
      <c r="AJ601" s="42"/>
    </row>
    <row r="602" spans="1:36" x14ac:dyDescent="0.25">
      <c r="A602" s="272"/>
      <c r="B602" s="273"/>
      <c r="C602" s="274"/>
      <c r="D602" s="272"/>
      <c r="E602" s="272"/>
      <c r="F602" s="272"/>
      <c r="G602" s="272"/>
      <c r="H602" s="272"/>
      <c r="I602" s="272"/>
      <c r="J602" s="272"/>
      <c r="K602" s="33"/>
      <c r="L602" s="33"/>
      <c r="M602" s="32"/>
      <c r="N602" s="32"/>
      <c r="O602" s="32"/>
      <c r="P602" s="33"/>
      <c r="Q602" s="32"/>
      <c r="R602" s="240"/>
      <c r="S602" s="32"/>
      <c r="T602" s="32"/>
      <c r="U602" s="250"/>
      <c r="V602" s="32"/>
      <c r="W602" s="33"/>
      <c r="X602" s="32"/>
      <c r="Y602" s="42"/>
      <c r="Z602" s="31"/>
      <c r="AA602" s="42"/>
      <c r="AB602" s="42"/>
      <c r="AC602" s="250"/>
      <c r="AD602" s="32"/>
      <c r="AE602" s="282"/>
      <c r="AF602" s="261"/>
      <c r="AG602" s="31"/>
      <c r="AH602" s="32"/>
      <c r="AI602" s="42"/>
      <c r="AJ602" s="42"/>
    </row>
    <row r="603" spans="1:36" x14ac:dyDescent="0.25">
      <c r="A603" s="272"/>
      <c r="B603" s="273"/>
      <c r="C603" s="274"/>
      <c r="D603" s="272"/>
      <c r="E603" s="272"/>
      <c r="F603" s="272"/>
      <c r="G603" s="272"/>
      <c r="H603" s="272"/>
      <c r="I603" s="272"/>
      <c r="J603" s="272"/>
      <c r="K603" s="33"/>
      <c r="L603" s="33"/>
      <c r="M603" s="32"/>
      <c r="N603" s="32"/>
      <c r="O603" s="32"/>
      <c r="P603" s="33"/>
      <c r="Q603" s="32"/>
      <c r="R603" s="240"/>
      <c r="S603" s="32"/>
      <c r="T603" s="32"/>
      <c r="U603" s="250"/>
      <c r="V603" s="32"/>
      <c r="W603" s="33"/>
      <c r="X603" s="32"/>
      <c r="Y603" s="42"/>
      <c r="Z603" s="31"/>
      <c r="AA603" s="42"/>
      <c r="AB603" s="42"/>
      <c r="AC603" s="250"/>
      <c r="AD603" s="32"/>
      <c r="AE603" s="282"/>
      <c r="AF603" s="261"/>
      <c r="AG603" s="31"/>
      <c r="AH603" s="32"/>
      <c r="AI603" s="42"/>
      <c r="AJ603" s="42"/>
    </row>
    <row r="604" spans="1:36" x14ac:dyDescent="0.25">
      <c r="A604" s="272"/>
      <c r="B604" s="273"/>
      <c r="C604" s="274"/>
      <c r="D604" s="272"/>
      <c r="E604" s="272"/>
      <c r="F604" s="272"/>
      <c r="G604" s="272"/>
      <c r="H604" s="272"/>
      <c r="I604" s="272"/>
      <c r="J604" s="272"/>
      <c r="K604" s="33"/>
      <c r="L604" s="33"/>
      <c r="M604" s="32"/>
      <c r="N604" s="32"/>
      <c r="O604" s="32"/>
      <c r="P604" s="33"/>
      <c r="Q604" s="32"/>
      <c r="R604" s="240"/>
      <c r="S604" s="32"/>
      <c r="T604" s="32"/>
      <c r="U604" s="250"/>
      <c r="V604" s="32"/>
      <c r="W604" s="33"/>
      <c r="X604" s="32"/>
      <c r="Y604" s="42"/>
      <c r="Z604" s="31"/>
      <c r="AA604" s="42"/>
      <c r="AB604" s="42"/>
      <c r="AC604" s="250"/>
      <c r="AD604" s="32"/>
      <c r="AE604" s="282"/>
      <c r="AF604" s="261"/>
      <c r="AG604" s="31"/>
      <c r="AH604" s="32"/>
      <c r="AI604" s="42"/>
      <c r="AJ604" s="42"/>
    </row>
    <row r="605" spans="1:36" x14ac:dyDescent="0.25">
      <c r="A605" s="272"/>
      <c r="B605" s="273"/>
      <c r="C605" s="274"/>
      <c r="D605" s="272"/>
      <c r="E605" s="272"/>
      <c r="F605" s="272"/>
      <c r="G605" s="272"/>
      <c r="H605" s="272"/>
      <c r="I605" s="272"/>
      <c r="J605" s="272"/>
      <c r="K605" s="33"/>
      <c r="L605" s="33"/>
      <c r="M605" s="32"/>
      <c r="N605" s="32"/>
      <c r="O605" s="32"/>
      <c r="P605" s="33"/>
      <c r="Q605" s="32"/>
      <c r="R605" s="240"/>
      <c r="S605" s="32"/>
      <c r="T605" s="32"/>
      <c r="U605" s="250"/>
      <c r="V605" s="32"/>
      <c r="W605" s="33"/>
      <c r="X605" s="32"/>
      <c r="Y605" s="42"/>
      <c r="Z605" s="31"/>
      <c r="AA605" s="42"/>
      <c r="AB605" s="42"/>
      <c r="AC605" s="250"/>
      <c r="AD605" s="32"/>
      <c r="AE605" s="282"/>
      <c r="AF605" s="261"/>
      <c r="AG605" s="31"/>
      <c r="AH605" s="32"/>
      <c r="AI605" s="42"/>
      <c r="AJ605" s="42"/>
    </row>
    <row r="606" spans="1:36" x14ac:dyDescent="0.25">
      <c r="A606" s="272"/>
      <c r="B606" s="273"/>
      <c r="C606" s="274"/>
      <c r="D606" s="272"/>
      <c r="E606" s="272"/>
      <c r="F606" s="272"/>
      <c r="G606" s="272"/>
      <c r="H606" s="272"/>
      <c r="I606" s="272"/>
      <c r="J606" s="272"/>
      <c r="K606" s="33"/>
      <c r="L606" s="33"/>
      <c r="M606" s="32"/>
      <c r="N606" s="32"/>
      <c r="O606" s="32"/>
      <c r="P606" s="33"/>
      <c r="Q606" s="32"/>
      <c r="R606" s="240"/>
      <c r="S606" s="32"/>
      <c r="T606" s="32"/>
      <c r="U606" s="250"/>
      <c r="V606" s="32"/>
      <c r="W606" s="33"/>
      <c r="X606" s="32"/>
      <c r="Y606" s="42"/>
      <c r="Z606" s="31"/>
      <c r="AA606" s="42"/>
      <c r="AB606" s="42"/>
      <c r="AC606" s="250"/>
      <c r="AD606" s="32"/>
      <c r="AE606" s="282"/>
      <c r="AF606" s="261"/>
      <c r="AG606" s="31"/>
      <c r="AH606" s="32"/>
      <c r="AI606" s="42"/>
      <c r="AJ606" s="42"/>
    </row>
    <row r="607" spans="1:36" x14ac:dyDescent="0.25">
      <c r="A607" s="272"/>
      <c r="B607" s="273"/>
      <c r="C607" s="274"/>
      <c r="D607" s="272"/>
      <c r="E607" s="272"/>
      <c r="F607" s="272"/>
      <c r="G607" s="272"/>
      <c r="H607" s="272"/>
      <c r="I607" s="272"/>
      <c r="J607" s="272"/>
      <c r="K607" s="33"/>
      <c r="L607" s="33"/>
      <c r="M607" s="32"/>
      <c r="N607" s="32"/>
      <c r="O607" s="32"/>
      <c r="P607" s="33"/>
      <c r="Q607" s="32"/>
      <c r="R607" s="240"/>
      <c r="S607" s="32"/>
      <c r="T607" s="32"/>
      <c r="U607" s="250"/>
      <c r="V607" s="32"/>
      <c r="W607" s="33"/>
      <c r="X607" s="32"/>
      <c r="Y607" s="42"/>
      <c r="Z607" s="31"/>
      <c r="AA607" s="42"/>
      <c r="AB607" s="42"/>
      <c r="AC607" s="250"/>
      <c r="AD607" s="32"/>
      <c r="AE607" s="282"/>
      <c r="AF607" s="261"/>
      <c r="AG607" s="31"/>
      <c r="AH607" s="32"/>
      <c r="AI607" s="42"/>
      <c r="AJ607" s="42"/>
    </row>
    <row r="608" spans="1:36" x14ac:dyDescent="0.25">
      <c r="A608" s="272"/>
      <c r="B608" s="273"/>
      <c r="C608" s="274"/>
      <c r="D608" s="272"/>
      <c r="E608" s="272"/>
      <c r="F608" s="272"/>
      <c r="G608" s="272"/>
      <c r="H608" s="272"/>
      <c r="I608" s="272"/>
      <c r="J608" s="272"/>
      <c r="K608" s="33"/>
      <c r="L608" s="33"/>
      <c r="M608" s="32"/>
      <c r="N608" s="32"/>
      <c r="O608" s="32"/>
      <c r="P608" s="33"/>
      <c r="Q608" s="32"/>
      <c r="R608" s="240"/>
      <c r="S608" s="32"/>
      <c r="T608" s="32"/>
      <c r="U608" s="250"/>
      <c r="V608" s="32"/>
      <c r="W608" s="33"/>
      <c r="X608" s="32"/>
      <c r="Y608" s="42"/>
      <c r="Z608" s="31"/>
      <c r="AA608" s="42"/>
      <c r="AB608" s="42"/>
      <c r="AC608" s="250"/>
      <c r="AD608" s="32"/>
      <c r="AE608" s="282"/>
      <c r="AF608" s="261"/>
      <c r="AG608" s="31"/>
      <c r="AH608" s="32"/>
      <c r="AI608" s="42"/>
      <c r="AJ608" s="42"/>
    </row>
    <row r="609" spans="1:36" x14ac:dyDescent="0.25">
      <c r="A609" s="272"/>
      <c r="B609" s="273"/>
      <c r="C609" s="274"/>
      <c r="D609" s="272"/>
      <c r="E609" s="272"/>
      <c r="F609" s="272"/>
      <c r="G609" s="272"/>
      <c r="H609" s="272"/>
      <c r="I609" s="272"/>
      <c r="J609" s="272"/>
      <c r="K609" s="33"/>
      <c r="L609" s="33"/>
      <c r="M609" s="32"/>
      <c r="N609" s="32"/>
      <c r="O609" s="32"/>
      <c r="P609" s="33"/>
      <c r="Q609" s="32"/>
      <c r="R609" s="240"/>
      <c r="S609" s="32"/>
      <c r="T609" s="32"/>
      <c r="U609" s="250"/>
      <c r="V609" s="32"/>
      <c r="W609" s="33"/>
      <c r="X609" s="32"/>
      <c r="Y609" s="42"/>
      <c r="Z609" s="31"/>
      <c r="AA609" s="42"/>
      <c r="AB609" s="42"/>
      <c r="AC609" s="250"/>
      <c r="AD609" s="32"/>
      <c r="AE609" s="282"/>
      <c r="AF609" s="261"/>
      <c r="AG609" s="31"/>
      <c r="AH609" s="32"/>
      <c r="AI609" s="42"/>
      <c r="AJ609" s="42"/>
    </row>
    <row r="610" spans="1:36" x14ac:dyDescent="0.25">
      <c r="A610" s="272"/>
      <c r="B610" s="273"/>
      <c r="C610" s="274"/>
      <c r="D610" s="272"/>
      <c r="E610" s="272"/>
      <c r="F610" s="272"/>
      <c r="G610" s="272"/>
      <c r="H610" s="272"/>
      <c r="I610" s="272"/>
      <c r="J610" s="272"/>
      <c r="K610" s="33"/>
      <c r="L610" s="33"/>
      <c r="M610" s="32"/>
      <c r="N610" s="32"/>
      <c r="O610" s="32"/>
      <c r="P610" s="33"/>
      <c r="Q610" s="32"/>
      <c r="R610" s="240"/>
      <c r="S610" s="32"/>
      <c r="T610" s="32"/>
      <c r="U610" s="250"/>
      <c r="V610" s="32"/>
      <c r="W610" s="33"/>
      <c r="X610" s="32"/>
      <c r="Y610" s="42"/>
      <c r="Z610" s="31"/>
      <c r="AA610" s="42"/>
      <c r="AB610" s="42"/>
      <c r="AC610" s="250"/>
      <c r="AD610" s="32"/>
      <c r="AE610" s="282"/>
      <c r="AF610" s="261"/>
      <c r="AG610" s="31"/>
      <c r="AH610" s="32"/>
      <c r="AI610" s="42"/>
      <c r="AJ610" s="42"/>
    </row>
    <row r="611" spans="1:36" x14ac:dyDescent="0.25">
      <c r="A611" s="272"/>
      <c r="B611" s="273"/>
      <c r="C611" s="274"/>
      <c r="D611" s="272"/>
      <c r="E611" s="272"/>
      <c r="F611" s="272"/>
      <c r="G611" s="272"/>
      <c r="H611" s="272"/>
      <c r="I611" s="272"/>
      <c r="J611" s="272"/>
      <c r="K611" s="33"/>
      <c r="L611" s="33"/>
      <c r="M611" s="32"/>
      <c r="N611" s="32"/>
      <c r="O611" s="32"/>
      <c r="P611" s="33"/>
      <c r="Q611" s="32"/>
      <c r="R611" s="240"/>
      <c r="S611" s="32"/>
      <c r="T611" s="32"/>
      <c r="U611" s="250"/>
      <c r="V611" s="32"/>
      <c r="W611" s="33"/>
      <c r="X611" s="32"/>
      <c r="Y611" s="42"/>
      <c r="Z611" s="31"/>
      <c r="AA611" s="42"/>
      <c r="AB611" s="42"/>
      <c r="AC611" s="250"/>
      <c r="AD611" s="32"/>
      <c r="AE611" s="282"/>
      <c r="AF611" s="261"/>
      <c r="AG611" s="31"/>
      <c r="AH611" s="32"/>
      <c r="AI611" s="42"/>
      <c r="AJ611" s="42"/>
    </row>
    <row r="612" spans="1:36" x14ac:dyDescent="0.25">
      <c r="A612" s="272"/>
      <c r="B612" s="273"/>
      <c r="C612" s="274"/>
      <c r="D612" s="272"/>
      <c r="E612" s="272"/>
      <c r="F612" s="272"/>
      <c r="G612" s="272"/>
      <c r="H612" s="272"/>
      <c r="I612" s="272"/>
      <c r="J612" s="272"/>
      <c r="K612" s="33"/>
      <c r="L612" s="33"/>
      <c r="M612" s="32"/>
      <c r="N612" s="32"/>
      <c r="O612" s="32"/>
      <c r="P612" s="33"/>
      <c r="Q612" s="32"/>
      <c r="R612" s="240"/>
      <c r="S612" s="32"/>
      <c r="T612" s="32"/>
      <c r="U612" s="250"/>
      <c r="V612" s="32"/>
      <c r="W612" s="33"/>
      <c r="X612" s="32"/>
      <c r="Y612" s="42"/>
      <c r="Z612" s="31"/>
      <c r="AA612" s="42"/>
      <c r="AB612" s="42"/>
      <c r="AC612" s="250"/>
      <c r="AD612" s="32"/>
      <c r="AE612" s="282"/>
      <c r="AF612" s="261"/>
      <c r="AG612" s="31"/>
      <c r="AH612" s="32"/>
      <c r="AI612" s="42"/>
      <c r="AJ612" s="42"/>
    </row>
    <row r="613" spans="1:36" x14ac:dyDescent="0.25">
      <c r="A613" s="272"/>
      <c r="B613" s="273"/>
      <c r="C613" s="274"/>
      <c r="D613" s="272"/>
      <c r="E613" s="272"/>
      <c r="F613" s="272"/>
      <c r="G613" s="272"/>
      <c r="H613" s="272"/>
      <c r="I613" s="272"/>
      <c r="J613" s="272"/>
      <c r="K613" s="33"/>
      <c r="L613" s="33"/>
      <c r="M613" s="32"/>
      <c r="N613" s="32"/>
      <c r="O613" s="32"/>
      <c r="P613" s="33"/>
      <c r="Q613" s="32"/>
      <c r="R613" s="240"/>
      <c r="S613" s="32"/>
      <c r="T613" s="32"/>
      <c r="U613" s="250"/>
      <c r="V613" s="32"/>
      <c r="W613" s="33"/>
      <c r="X613" s="32"/>
      <c r="Y613" s="42"/>
      <c r="Z613" s="31"/>
      <c r="AA613" s="42"/>
      <c r="AB613" s="42"/>
      <c r="AC613" s="250"/>
      <c r="AD613" s="32"/>
      <c r="AE613" s="282"/>
      <c r="AF613" s="261"/>
      <c r="AG613" s="31"/>
      <c r="AH613" s="32"/>
      <c r="AI613" s="42"/>
      <c r="AJ613" s="42"/>
    </row>
    <row r="614" spans="1:36" x14ac:dyDescent="0.25">
      <c r="A614" s="272"/>
      <c r="B614" s="273"/>
      <c r="C614" s="274"/>
      <c r="D614" s="272"/>
      <c r="E614" s="272"/>
      <c r="F614" s="272"/>
      <c r="G614" s="272"/>
      <c r="H614" s="272"/>
      <c r="I614" s="272"/>
      <c r="J614" s="272"/>
      <c r="K614" s="33"/>
      <c r="L614" s="33"/>
      <c r="M614" s="32"/>
      <c r="N614" s="32"/>
      <c r="O614" s="32"/>
      <c r="P614" s="33"/>
      <c r="Q614" s="32"/>
      <c r="R614" s="240"/>
      <c r="S614" s="32"/>
      <c r="T614" s="32"/>
      <c r="U614" s="250"/>
      <c r="V614" s="32"/>
      <c r="W614" s="33"/>
      <c r="X614" s="32"/>
      <c r="Y614" s="42"/>
      <c r="Z614" s="31"/>
      <c r="AA614" s="42"/>
      <c r="AB614" s="42"/>
      <c r="AC614" s="250"/>
      <c r="AD614" s="32"/>
      <c r="AE614" s="282"/>
      <c r="AF614" s="261"/>
      <c r="AG614" s="31"/>
      <c r="AH614" s="32"/>
      <c r="AI614" s="42"/>
      <c r="AJ614" s="42"/>
    </row>
    <row r="615" spans="1:36" x14ac:dyDescent="0.25">
      <c r="A615" s="272"/>
      <c r="B615" s="273"/>
      <c r="C615" s="274"/>
      <c r="D615" s="272"/>
      <c r="E615" s="272"/>
      <c r="F615" s="272"/>
      <c r="G615" s="272"/>
      <c r="H615" s="272"/>
      <c r="I615" s="272"/>
      <c r="J615" s="272"/>
      <c r="K615" s="33"/>
      <c r="L615" s="33"/>
      <c r="M615" s="32"/>
      <c r="N615" s="32"/>
      <c r="O615" s="32"/>
      <c r="P615" s="33"/>
      <c r="Q615" s="32"/>
      <c r="R615" s="240"/>
      <c r="S615" s="32"/>
      <c r="T615" s="32"/>
      <c r="U615" s="250"/>
      <c r="V615" s="32"/>
      <c r="W615" s="33"/>
      <c r="X615" s="32"/>
      <c r="Y615" s="42"/>
      <c r="Z615" s="31"/>
      <c r="AA615" s="42"/>
      <c r="AB615" s="42"/>
      <c r="AC615" s="250"/>
      <c r="AD615" s="32"/>
      <c r="AE615" s="282"/>
      <c r="AF615" s="261"/>
      <c r="AG615" s="31"/>
      <c r="AH615" s="32"/>
      <c r="AI615" s="42"/>
      <c r="AJ615" s="42"/>
    </row>
    <row r="616" spans="1:36" x14ac:dyDescent="0.25">
      <c r="A616" s="272"/>
      <c r="B616" s="273"/>
      <c r="C616" s="274"/>
      <c r="D616" s="272"/>
      <c r="E616" s="272"/>
      <c r="F616" s="272"/>
      <c r="G616" s="272"/>
      <c r="H616" s="272"/>
      <c r="I616" s="272"/>
      <c r="J616" s="272"/>
      <c r="K616" s="33"/>
      <c r="L616" s="33"/>
      <c r="M616" s="32"/>
      <c r="N616" s="32"/>
      <c r="O616" s="32"/>
      <c r="P616" s="33"/>
      <c r="Q616" s="32"/>
      <c r="R616" s="240"/>
      <c r="S616" s="32"/>
      <c r="T616" s="32"/>
      <c r="U616" s="250"/>
      <c r="V616" s="32"/>
      <c r="W616" s="33"/>
      <c r="X616" s="32"/>
      <c r="Y616" s="42"/>
      <c r="Z616" s="31"/>
      <c r="AA616" s="42"/>
      <c r="AB616" s="42"/>
      <c r="AC616" s="250"/>
      <c r="AD616" s="32"/>
      <c r="AE616" s="282"/>
      <c r="AF616" s="261"/>
      <c r="AG616" s="31"/>
      <c r="AH616" s="32"/>
      <c r="AI616" s="42"/>
      <c r="AJ616" s="42"/>
    </row>
    <row r="617" spans="1:36" x14ac:dyDescent="0.25">
      <c r="A617" s="272"/>
      <c r="B617" s="273"/>
      <c r="C617" s="274"/>
      <c r="D617" s="272"/>
      <c r="E617" s="272"/>
      <c r="F617" s="272"/>
      <c r="G617" s="272"/>
      <c r="H617" s="272"/>
      <c r="I617" s="272"/>
      <c r="J617" s="272"/>
      <c r="K617" s="33"/>
      <c r="L617" s="33"/>
      <c r="M617" s="32"/>
      <c r="N617" s="32"/>
      <c r="O617" s="32"/>
      <c r="P617" s="33"/>
      <c r="Q617" s="32"/>
      <c r="R617" s="240"/>
      <c r="S617" s="32"/>
      <c r="T617" s="32"/>
      <c r="U617" s="250"/>
      <c r="V617" s="32"/>
      <c r="W617" s="33"/>
      <c r="X617" s="32"/>
      <c r="Y617" s="42"/>
      <c r="Z617" s="31"/>
      <c r="AA617" s="42"/>
      <c r="AB617" s="42"/>
      <c r="AC617" s="250"/>
      <c r="AD617" s="32"/>
      <c r="AE617" s="282"/>
      <c r="AF617" s="261"/>
      <c r="AG617" s="31"/>
      <c r="AH617" s="32"/>
      <c r="AI617" s="42"/>
      <c r="AJ617" s="42"/>
    </row>
    <row r="618" spans="1:36" x14ac:dyDescent="0.25">
      <c r="A618" s="272"/>
      <c r="B618" s="273"/>
      <c r="C618" s="274"/>
      <c r="D618" s="272"/>
      <c r="E618" s="272"/>
      <c r="F618" s="272"/>
      <c r="G618" s="272"/>
      <c r="H618" s="272"/>
      <c r="I618" s="272"/>
      <c r="J618" s="272"/>
      <c r="K618" s="33"/>
      <c r="L618" s="33"/>
      <c r="M618" s="32"/>
      <c r="N618" s="32"/>
      <c r="O618" s="32"/>
      <c r="P618" s="33"/>
      <c r="Q618" s="32"/>
      <c r="R618" s="240"/>
      <c r="S618" s="32"/>
      <c r="T618" s="32"/>
      <c r="U618" s="250"/>
      <c r="V618" s="32"/>
      <c r="W618" s="33"/>
      <c r="X618" s="32"/>
      <c r="Y618" s="42"/>
      <c r="Z618" s="31"/>
      <c r="AA618" s="42"/>
      <c r="AB618" s="42"/>
      <c r="AC618" s="250"/>
      <c r="AD618" s="32"/>
      <c r="AE618" s="282"/>
      <c r="AF618" s="261"/>
      <c r="AG618" s="31"/>
      <c r="AH618" s="32"/>
      <c r="AI618" s="42"/>
      <c r="AJ618" s="42"/>
    </row>
    <row r="619" spans="1:36" x14ac:dyDescent="0.25">
      <c r="A619" s="272"/>
      <c r="B619" s="273"/>
      <c r="C619" s="274"/>
      <c r="D619" s="272"/>
      <c r="E619" s="272"/>
      <c r="F619" s="272"/>
      <c r="G619" s="272"/>
      <c r="H619" s="272"/>
      <c r="I619" s="272"/>
      <c r="J619" s="272"/>
      <c r="K619" s="33"/>
      <c r="L619" s="33"/>
      <c r="M619" s="32"/>
      <c r="N619" s="32"/>
      <c r="O619" s="32"/>
      <c r="P619" s="33"/>
      <c r="Q619" s="32"/>
      <c r="R619" s="240"/>
      <c r="S619" s="32"/>
      <c r="T619" s="32"/>
      <c r="U619" s="250"/>
      <c r="V619" s="32"/>
      <c r="W619" s="33"/>
      <c r="X619" s="32"/>
      <c r="Y619" s="42"/>
      <c r="Z619" s="31"/>
      <c r="AA619" s="42"/>
      <c r="AB619" s="42"/>
      <c r="AC619" s="250"/>
      <c r="AD619" s="32"/>
      <c r="AE619" s="282"/>
      <c r="AF619" s="261"/>
      <c r="AG619" s="31"/>
      <c r="AH619" s="32"/>
      <c r="AI619" s="42"/>
      <c r="AJ619" s="42"/>
    </row>
    <row r="620" spans="1:36" x14ac:dyDescent="0.25">
      <c r="A620" s="272"/>
      <c r="B620" s="273"/>
      <c r="C620" s="274"/>
      <c r="D620" s="272"/>
      <c r="E620" s="272"/>
      <c r="F620" s="272"/>
      <c r="G620" s="272"/>
      <c r="H620" s="272"/>
      <c r="I620" s="272"/>
      <c r="J620" s="272"/>
      <c r="K620" s="33"/>
      <c r="L620" s="33"/>
      <c r="M620" s="32"/>
      <c r="N620" s="32"/>
      <c r="O620" s="32"/>
      <c r="P620" s="33"/>
      <c r="Q620" s="32"/>
      <c r="R620" s="240"/>
      <c r="S620" s="32"/>
      <c r="T620" s="32"/>
      <c r="U620" s="250"/>
      <c r="V620" s="32"/>
      <c r="W620" s="33"/>
      <c r="X620" s="32"/>
      <c r="Y620" s="42"/>
      <c r="Z620" s="31"/>
      <c r="AA620" s="42"/>
      <c r="AB620" s="42"/>
      <c r="AC620" s="250"/>
      <c r="AD620" s="32"/>
      <c r="AE620" s="282"/>
      <c r="AF620" s="261"/>
      <c r="AG620" s="31"/>
      <c r="AH620" s="32"/>
      <c r="AI620" s="42"/>
      <c r="AJ620" s="42"/>
    </row>
    <row r="621" spans="1:36" x14ac:dyDescent="0.25">
      <c r="A621" s="272"/>
      <c r="B621" s="273"/>
      <c r="C621" s="274"/>
      <c r="D621" s="272"/>
      <c r="E621" s="272"/>
      <c r="F621" s="272"/>
      <c r="G621" s="272"/>
      <c r="H621" s="272"/>
      <c r="I621" s="272"/>
      <c r="J621" s="272"/>
      <c r="K621" s="33"/>
      <c r="L621" s="33"/>
      <c r="M621" s="32"/>
      <c r="N621" s="32"/>
      <c r="O621" s="32"/>
      <c r="P621" s="33"/>
      <c r="Q621" s="32"/>
      <c r="R621" s="240"/>
      <c r="S621" s="32"/>
      <c r="T621" s="32"/>
      <c r="U621" s="250"/>
      <c r="V621" s="32"/>
      <c r="W621" s="33"/>
      <c r="X621" s="32"/>
      <c r="Y621" s="42"/>
      <c r="Z621" s="31"/>
      <c r="AA621" s="42"/>
      <c r="AB621" s="42"/>
      <c r="AC621" s="250"/>
      <c r="AD621" s="32"/>
      <c r="AE621" s="282"/>
      <c r="AF621" s="261"/>
      <c r="AG621" s="31"/>
      <c r="AH621" s="32"/>
      <c r="AI621" s="42"/>
      <c r="AJ621" s="42"/>
    </row>
    <row r="622" spans="1:36" x14ac:dyDescent="0.25">
      <c r="A622" s="272"/>
      <c r="B622" s="273"/>
      <c r="C622" s="274"/>
      <c r="D622" s="272"/>
      <c r="E622" s="272"/>
      <c r="F622" s="272"/>
      <c r="G622" s="272"/>
      <c r="H622" s="272"/>
      <c r="I622" s="272"/>
      <c r="J622" s="272"/>
      <c r="K622" s="33"/>
      <c r="L622" s="33"/>
      <c r="M622" s="32"/>
      <c r="N622" s="32"/>
      <c r="O622" s="32"/>
      <c r="P622" s="33"/>
      <c r="Q622" s="32"/>
      <c r="R622" s="240"/>
      <c r="S622" s="32"/>
      <c r="T622" s="32"/>
      <c r="U622" s="250"/>
      <c r="V622" s="32"/>
      <c r="W622" s="33"/>
      <c r="X622" s="32"/>
      <c r="Y622" s="42"/>
      <c r="Z622" s="31"/>
      <c r="AA622" s="42"/>
      <c r="AB622" s="42"/>
      <c r="AC622" s="250"/>
      <c r="AD622" s="32"/>
      <c r="AE622" s="282"/>
      <c r="AF622" s="261"/>
      <c r="AG622" s="31"/>
      <c r="AH622" s="32"/>
      <c r="AI622" s="42"/>
      <c r="AJ622" s="42"/>
    </row>
    <row r="623" spans="1:36" x14ac:dyDescent="0.25">
      <c r="A623" s="272"/>
      <c r="B623" s="273"/>
      <c r="C623" s="274"/>
      <c r="D623" s="272"/>
      <c r="E623" s="272"/>
      <c r="F623" s="272"/>
      <c r="G623" s="272"/>
      <c r="H623" s="272"/>
      <c r="I623" s="272"/>
      <c r="J623" s="272"/>
      <c r="K623" s="33"/>
      <c r="L623" s="33"/>
      <c r="M623" s="32"/>
      <c r="N623" s="32"/>
      <c r="O623" s="32"/>
      <c r="P623" s="33"/>
      <c r="Q623" s="32"/>
      <c r="R623" s="240"/>
      <c r="S623" s="32"/>
      <c r="T623" s="32"/>
      <c r="U623" s="250"/>
      <c r="V623" s="32"/>
      <c r="W623" s="33"/>
      <c r="X623" s="32"/>
      <c r="Y623" s="42"/>
      <c r="Z623" s="31"/>
      <c r="AA623" s="42"/>
      <c r="AB623" s="42"/>
      <c r="AC623" s="250"/>
      <c r="AD623" s="32"/>
      <c r="AE623" s="282"/>
      <c r="AF623" s="261"/>
      <c r="AG623" s="31"/>
      <c r="AH623" s="32"/>
      <c r="AI623" s="42"/>
      <c r="AJ623" s="42"/>
    </row>
    <row r="624" spans="1:36" x14ac:dyDescent="0.25">
      <c r="A624" s="272"/>
      <c r="B624" s="273"/>
      <c r="C624" s="274"/>
      <c r="D624" s="272"/>
      <c r="E624" s="272"/>
      <c r="F624" s="272"/>
      <c r="G624" s="272"/>
      <c r="H624" s="272"/>
      <c r="I624" s="272"/>
      <c r="J624" s="272"/>
      <c r="K624" s="33"/>
      <c r="L624" s="33"/>
      <c r="M624" s="32"/>
      <c r="N624" s="32"/>
      <c r="O624" s="32"/>
      <c r="P624" s="33"/>
      <c r="Q624" s="32"/>
      <c r="R624" s="240"/>
      <c r="S624" s="32"/>
      <c r="T624" s="32"/>
      <c r="U624" s="250"/>
      <c r="V624" s="32"/>
      <c r="W624" s="33"/>
      <c r="X624" s="32"/>
      <c r="Y624" s="42"/>
      <c r="Z624" s="31"/>
      <c r="AA624" s="42"/>
      <c r="AB624" s="42"/>
      <c r="AC624" s="250"/>
      <c r="AD624" s="32"/>
      <c r="AE624" s="282"/>
      <c r="AF624" s="261"/>
      <c r="AG624" s="31"/>
      <c r="AH624" s="32"/>
      <c r="AI624" s="42"/>
      <c r="AJ624" s="42"/>
    </row>
    <row r="625" spans="1:36" x14ac:dyDescent="0.25">
      <c r="A625" s="272"/>
      <c r="B625" s="273"/>
      <c r="C625" s="274"/>
      <c r="D625" s="272"/>
      <c r="E625" s="272"/>
      <c r="F625" s="272"/>
      <c r="G625" s="272"/>
      <c r="H625" s="272"/>
      <c r="I625" s="272"/>
      <c r="J625" s="272"/>
      <c r="K625" s="33"/>
      <c r="L625" s="33"/>
      <c r="M625" s="32"/>
      <c r="N625" s="32"/>
      <c r="O625" s="32"/>
      <c r="P625" s="33"/>
      <c r="Q625" s="32"/>
      <c r="R625" s="240"/>
      <c r="S625" s="32"/>
      <c r="T625" s="32"/>
      <c r="U625" s="250"/>
      <c r="V625" s="32"/>
      <c r="W625" s="33"/>
      <c r="X625" s="32"/>
      <c r="Y625" s="42"/>
      <c r="Z625" s="31"/>
      <c r="AA625" s="42"/>
      <c r="AB625" s="42"/>
      <c r="AC625" s="250"/>
      <c r="AD625" s="32"/>
      <c r="AE625" s="282"/>
      <c r="AF625" s="261"/>
      <c r="AG625" s="31"/>
      <c r="AH625" s="32"/>
      <c r="AI625" s="42"/>
      <c r="AJ625" s="42"/>
    </row>
    <row r="626" spans="1:36" x14ac:dyDescent="0.25">
      <c r="A626" s="272"/>
      <c r="B626" s="273"/>
      <c r="C626" s="274"/>
      <c r="D626" s="272"/>
      <c r="E626" s="272"/>
      <c r="F626" s="272"/>
      <c r="G626" s="272"/>
      <c r="H626" s="272"/>
      <c r="I626" s="272"/>
      <c r="J626" s="272"/>
      <c r="K626" s="33"/>
      <c r="L626" s="33"/>
      <c r="M626" s="32"/>
      <c r="N626" s="32"/>
      <c r="O626" s="32"/>
      <c r="P626" s="33"/>
      <c r="Q626" s="32"/>
      <c r="R626" s="240"/>
      <c r="S626" s="32"/>
      <c r="T626" s="32"/>
      <c r="U626" s="250"/>
      <c r="V626" s="32"/>
      <c r="W626" s="33"/>
      <c r="X626" s="32"/>
      <c r="Y626" s="42"/>
      <c r="Z626" s="31"/>
      <c r="AA626" s="42"/>
      <c r="AB626" s="42"/>
      <c r="AC626" s="250"/>
      <c r="AD626" s="32"/>
      <c r="AE626" s="282"/>
      <c r="AF626" s="261"/>
      <c r="AG626" s="31"/>
      <c r="AH626" s="32"/>
      <c r="AI626" s="42"/>
      <c r="AJ626" s="42"/>
    </row>
    <row r="627" spans="1:36" x14ac:dyDescent="0.25">
      <c r="A627" s="272"/>
      <c r="B627" s="273"/>
      <c r="C627" s="274"/>
      <c r="D627" s="272"/>
      <c r="E627" s="272"/>
      <c r="F627" s="272"/>
      <c r="G627" s="272"/>
      <c r="H627" s="272"/>
      <c r="I627" s="272"/>
      <c r="J627" s="272"/>
      <c r="K627" s="33"/>
      <c r="L627" s="33"/>
      <c r="M627" s="32"/>
      <c r="N627" s="32"/>
      <c r="O627" s="32"/>
      <c r="P627" s="33"/>
      <c r="Q627" s="32"/>
      <c r="R627" s="240"/>
      <c r="S627" s="32"/>
      <c r="T627" s="32"/>
      <c r="U627" s="250"/>
      <c r="V627" s="32"/>
      <c r="W627" s="33"/>
      <c r="X627" s="32"/>
      <c r="Y627" s="42"/>
      <c r="Z627" s="31"/>
      <c r="AA627" s="42"/>
      <c r="AB627" s="42"/>
      <c r="AC627" s="250"/>
      <c r="AD627" s="32"/>
      <c r="AE627" s="282"/>
      <c r="AF627" s="261"/>
      <c r="AG627" s="31"/>
      <c r="AH627" s="32"/>
      <c r="AI627" s="42"/>
      <c r="AJ627" s="42"/>
    </row>
    <row r="628" spans="1:36" x14ac:dyDescent="0.25">
      <c r="A628" s="272"/>
      <c r="B628" s="273"/>
      <c r="C628" s="274"/>
      <c r="D628" s="272"/>
      <c r="E628" s="272"/>
      <c r="F628" s="272"/>
      <c r="G628" s="272"/>
      <c r="H628" s="272"/>
      <c r="I628" s="272"/>
      <c r="J628" s="272"/>
      <c r="K628" s="33"/>
      <c r="L628" s="33"/>
      <c r="M628" s="32"/>
      <c r="N628" s="32"/>
      <c r="O628" s="32"/>
      <c r="P628" s="33"/>
      <c r="Q628" s="32"/>
      <c r="R628" s="240"/>
      <c r="S628" s="32"/>
      <c r="T628" s="32"/>
      <c r="U628" s="250"/>
      <c r="V628" s="32"/>
      <c r="W628" s="33"/>
      <c r="X628" s="32"/>
      <c r="Y628" s="42"/>
      <c r="Z628" s="31"/>
      <c r="AA628" s="42"/>
      <c r="AB628" s="42"/>
      <c r="AC628" s="250"/>
      <c r="AD628" s="32"/>
      <c r="AE628" s="282"/>
      <c r="AF628" s="261"/>
      <c r="AG628" s="31"/>
      <c r="AH628" s="32"/>
      <c r="AI628" s="42"/>
      <c r="AJ628" s="42"/>
    </row>
    <row r="629" spans="1:36" x14ac:dyDescent="0.25">
      <c r="A629" s="272"/>
      <c r="B629" s="273"/>
      <c r="C629" s="274"/>
      <c r="D629" s="272"/>
      <c r="E629" s="272"/>
      <c r="F629" s="272"/>
      <c r="G629" s="272"/>
      <c r="H629" s="272"/>
      <c r="I629" s="272"/>
      <c r="J629" s="272"/>
      <c r="K629" s="33"/>
      <c r="L629" s="33"/>
      <c r="M629" s="32"/>
      <c r="N629" s="32"/>
      <c r="O629" s="32"/>
      <c r="P629" s="33"/>
      <c r="Q629" s="32"/>
      <c r="R629" s="240"/>
      <c r="S629" s="32"/>
      <c r="T629" s="32"/>
      <c r="U629" s="250"/>
      <c r="V629" s="32"/>
      <c r="W629" s="33"/>
      <c r="X629" s="32"/>
      <c r="Y629" s="42"/>
      <c r="Z629" s="31"/>
      <c r="AA629" s="42"/>
      <c r="AB629" s="42"/>
      <c r="AC629" s="250"/>
      <c r="AD629" s="32"/>
      <c r="AE629" s="282"/>
      <c r="AF629" s="261"/>
      <c r="AG629" s="31"/>
      <c r="AH629" s="32"/>
      <c r="AI629" s="42"/>
      <c r="AJ629" s="42"/>
    </row>
    <row r="630" spans="1:36" x14ac:dyDescent="0.25">
      <c r="A630" s="272"/>
      <c r="B630" s="273"/>
      <c r="C630" s="274"/>
      <c r="D630" s="272"/>
      <c r="E630" s="272"/>
      <c r="F630" s="272"/>
      <c r="G630" s="272"/>
      <c r="H630" s="272"/>
      <c r="I630" s="272"/>
      <c r="J630" s="272"/>
      <c r="K630" s="33"/>
      <c r="L630" s="33"/>
      <c r="M630" s="32"/>
      <c r="N630" s="32"/>
      <c r="O630" s="32"/>
      <c r="P630" s="33"/>
      <c r="Q630" s="32"/>
      <c r="R630" s="240"/>
      <c r="S630" s="32"/>
      <c r="T630" s="32"/>
      <c r="U630" s="250"/>
      <c r="V630" s="32"/>
      <c r="W630" s="33"/>
      <c r="X630" s="32"/>
      <c r="Y630" s="42"/>
      <c r="Z630" s="31"/>
      <c r="AA630" s="42"/>
      <c r="AB630" s="42"/>
      <c r="AC630" s="250"/>
      <c r="AD630" s="32"/>
      <c r="AE630" s="282"/>
      <c r="AF630" s="261"/>
      <c r="AG630" s="31"/>
      <c r="AH630" s="32"/>
      <c r="AI630" s="42"/>
      <c r="AJ630" s="42"/>
    </row>
    <row r="631" spans="1:36" x14ac:dyDescent="0.25">
      <c r="A631" s="272"/>
      <c r="B631" s="273"/>
      <c r="C631" s="274"/>
      <c r="D631" s="272"/>
      <c r="E631" s="272"/>
      <c r="F631" s="272"/>
      <c r="G631" s="272"/>
      <c r="H631" s="272"/>
      <c r="I631" s="272"/>
      <c r="J631" s="272"/>
      <c r="K631" s="33"/>
      <c r="L631" s="33"/>
      <c r="M631" s="32"/>
      <c r="N631" s="32"/>
      <c r="O631" s="32"/>
      <c r="P631" s="33"/>
      <c r="Q631" s="32"/>
      <c r="R631" s="240"/>
      <c r="S631" s="32"/>
      <c r="T631" s="32"/>
      <c r="U631" s="250"/>
      <c r="V631" s="32"/>
      <c r="W631" s="33"/>
      <c r="X631" s="32"/>
      <c r="Y631" s="42"/>
      <c r="Z631" s="31"/>
      <c r="AA631" s="42"/>
      <c r="AB631" s="42"/>
      <c r="AC631" s="250"/>
      <c r="AD631" s="32"/>
      <c r="AE631" s="282"/>
      <c r="AF631" s="261"/>
      <c r="AG631" s="31"/>
      <c r="AH631" s="32"/>
      <c r="AI631" s="42"/>
      <c r="AJ631" s="42"/>
    </row>
    <row r="632" spans="1:36" x14ac:dyDescent="0.25">
      <c r="A632" s="272"/>
      <c r="B632" s="273"/>
      <c r="C632" s="274"/>
      <c r="D632" s="272"/>
      <c r="E632" s="272"/>
      <c r="F632" s="272"/>
      <c r="G632" s="272"/>
      <c r="H632" s="272"/>
      <c r="I632" s="272"/>
      <c r="J632" s="272"/>
      <c r="K632" s="33"/>
      <c r="L632" s="33"/>
      <c r="M632" s="32"/>
      <c r="N632" s="32"/>
      <c r="O632" s="32"/>
      <c r="P632" s="33"/>
      <c r="Q632" s="32"/>
      <c r="R632" s="240"/>
      <c r="S632" s="32"/>
      <c r="T632" s="32"/>
      <c r="U632" s="250"/>
      <c r="V632" s="32"/>
      <c r="W632" s="33"/>
      <c r="X632" s="32"/>
      <c r="Y632" s="42"/>
      <c r="Z632" s="31"/>
      <c r="AA632" s="42"/>
      <c r="AB632" s="42"/>
      <c r="AC632" s="250"/>
      <c r="AD632" s="32"/>
      <c r="AE632" s="282"/>
      <c r="AF632" s="261"/>
      <c r="AG632" s="31"/>
      <c r="AH632" s="32"/>
      <c r="AI632" s="42"/>
      <c r="AJ632" s="42"/>
    </row>
    <row r="633" spans="1:36" x14ac:dyDescent="0.25">
      <c r="A633" s="272"/>
      <c r="B633" s="273"/>
      <c r="C633" s="274"/>
      <c r="D633" s="272"/>
      <c r="E633" s="272"/>
      <c r="F633" s="272"/>
      <c r="G633" s="272"/>
      <c r="H633" s="272"/>
      <c r="I633" s="272"/>
      <c r="J633" s="272"/>
      <c r="K633" s="33"/>
      <c r="L633" s="33"/>
      <c r="M633" s="32"/>
      <c r="N633" s="32"/>
      <c r="O633" s="32"/>
      <c r="P633" s="33"/>
      <c r="Q633" s="32"/>
      <c r="R633" s="240"/>
      <c r="S633" s="32"/>
      <c r="T633" s="32"/>
      <c r="U633" s="250"/>
      <c r="V633" s="32"/>
      <c r="W633" s="33"/>
      <c r="X633" s="32"/>
      <c r="Y633" s="42"/>
      <c r="Z633" s="31"/>
      <c r="AA633" s="42"/>
      <c r="AB633" s="42"/>
      <c r="AC633" s="250"/>
      <c r="AD633" s="32"/>
      <c r="AE633" s="282"/>
      <c r="AF633" s="261"/>
      <c r="AG633" s="31"/>
      <c r="AH633" s="32"/>
      <c r="AI633" s="42"/>
      <c r="AJ633" s="42"/>
    </row>
    <row r="634" spans="1:36" x14ac:dyDescent="0.25">
      <c r="A634" s="272"/>
      <c r="B634" s="273"/>
      <c r="C634" s="274"/>
      <c r="D634" s="272"/>
      <c r="E634" s="272"/>
      <c r="F634" s="272"/>
      <c r="G634" s="272"/>
      <c r="H634" s="272"/>
      <c r="I634" s="272"/>
      <c r="J634" s="272"/>
      <c r="K634" s="33"/>
      <c r="L634" s="33"/>
      <c r="M634" s="32"/>
      <c r="N634" s="32"/>
      <c r="O634" s="32"/>
      <c r="P634" s="33"/>
      <c r="Q634" s="32"/>
      <c r="R634" s="240"/>
      <c r="S634" s="32"/>
      <c r="T634" s="32"/>
      <c r="U634" s="250"/>
      <c r="V634" s="32"/>
      <c r="W634" s="33"/>
      <c r="X634" s="32"/>
      <c r="Y634" s="42"/>
      <c r="Z634" s="31"/>
      <c r="AA634" s="42"/>
      <c r="AB634" s="42"/>
      <c r="AC634" s="250"/>
      <c r="AD634" s="32"/>
      <c r="AE634" s="282"/>
      <c r="AF634" s="261"/>
      <c r="AG634" s="31"/>
      <c r="AH634" s="32"/>
      <c r="AI634" s="42"/>
      <c r="AJ634" s="42"/>
    </row>
    <row r="635" spans="1:36" x14ac:dyDescent="0.25">
      <c r="A635" s="272"/>
      <c r="B635" s="273"/>
      <c r="C635" s="274"/>
      <c r="D635" s="272"/>
      <c r="E635" s="272"/>
      <c r="F635" s="272"/>
      <c r="G635" s="272"/>
      <c r="H635" s="272"/>
      <c r="I635" s="272"/>
      <c r="J635" s="272"/>
      <c r="K635" s="33"/>
      <c r="L635" s="33"/>
      <c r="M635" s="32"/>
      <c r="N635" s="32"/>
      <c r="O635" s="32"/>
      <c r="P635" s="33"/>
      <c r="Q635" s="32"/>
      <c r="R635" s="240"/>
      <c r="S635" s="32"/>
      <c r="T635" s="32"/>
      <c r="U635" s="250"/>
      <c r="V635" s="32"/>
      <c r="W635" s="33"/>
      <c r="X635" s="32"/>
      <c r="Y635" s="42"/>
      <c r="Z635" s="31"/>
      <c r="AA635" s="42"/>
      <c r="AB635" s="42"/>
      <c r="AC635" s="250"/>
      <c r="AD635" s="32"/>
      <c r="AE635" s="282"/>
      <c r="AF635" s="261"/>
      <c r="AG635" s="31"/>
      <c r="AH635" s="32"/>
      <c r="AI635" s="42"/>
      <c r="AJ635" s="42"/>
    </row>
    <row r="636" spans="1:36" x14ac:dyDescent="0.25">
      <c r="A636" s="272"/>
      <c r="B636" s="273"/>
      <c r="C636" s="274"/>
      <c r="D636" s="272"/>
      <c r="E636" s="272"/>
      <c r="F636" s="272"/>
      <c r="G636" s="272"/>
      <c r="H636" s="272"/>
      <c r="I636" s="272"/>
      <c r="J636" s="272"/>
      <c r="K636" s="33"/>
      <c r="L636" s="33"/>
      <c r="M636" s="32"/>
      <c r="N636" s="32"/>
      <c r="O636" s="32"/>
      <c r="P636" s="33"/>
      <c r="Q636" s="32"/>
      <c r="R636" s="240"/>
      <c r="S636" s="32"/>
      <c r="T636" s="32"/>
      <c r="U636" s="250"/>
      <c r="V636" s="32"/>
      <c r="W636" s="33"/>
      <c r="X636" s="32"/>
      <c r="Y636" s="42"/>
      <c r="Z636" s="31"/>
      <c r="AA636" s="42"/>
      <c r="AB636" s="42"/>
      <c r="AC636" s="250"/>
      <c r="AD636" s="32"/>
      <c r="AE636" s="282"/>
      <c r="AF636" s="261"/>
      <c r="AG636" s="31"/>
      <c r="AH636" s="32"/>
      <c r="AI636" s="42"/>
      <c r="AJ636" s="42"/>
    </row>
    <row r="637" spans="1:36" x14ac:dyDescent="0.25">
      <c r="A637" s="272"/>
      <c r="B637" s="273"/>
      <c r="C637" s="274"/>
      <c r="D637" s="272"/>
      <c r="E637" s="272"/>
      <c r="F637" s="272"/>
      <c r="G637" s="272"/>
      <c r="H637" s="272"/>
      <c r="I637" s="272"/>
      <c r="J637" s="272"/>
      <c r="K637" s="33"/>
      <c r="L637" s="33"/>
      <c r="M637" s="32"/>
      <c r="N637" s="32"/>
      <c r="O637" s="32"/>
      <c r="P637" s="33"/>
      <c r="Q637" s="32"/>
      <c r="R637" s="240"/>
      <c r="S637" s="32"/>
      <c r="T637" s="32"/>
      <c r="U637" s="250"/>
      <c r="V637" s="32"/>
      <c r="W637" s="33"/>
      <c r="X637" s="32"/>
      <c r="Y637" s="42"/>
      <c r="Z637" s="31"/>
      <c r="AA637" s="42"/>
      <c r="AB637" s="42"/>
      <c r="AC637" s="250"/>
      <c r="AD637" s="32"/>
      <c r="AE637" s="282"/>
      <c r="AF637" s="261"/>
      <c r="AG637" s="31"/>
      <c r="AH637" s="32"/>
      <c r="AI637" s="42"/>
      <c r="AJ637" s="42"/>
    </row>
    <row r="638" spans="1:36" x14ac:dyDescent="0.25">
      <c r="A638" s="272"/>
      <c r="B638" s="273"/>
      <c r="C638" s="274"/>
      <c r="D638" s="272"/>
      <c r="E638" s="272"/>
      <c r="F638" s="272"/>
      <c r="G638" s="272"/>
      <c r="H638" s="272"/>
      <c r="I638" s="272"/>
      <c r="J638" s="272"/>
      <c r="K638" s="33"/>
      <c r="L638" s="33"/>
      <c r="M638" s="32"/>
      <c r="N638" s="32"/>
      <c r="O638" s="32"/>
      <c r="P638" s="33"/>
      <c r="Q638" s="32"/>
      <c r="R638" s="240"/>
      <c r="S638" s="32"/>
      <c r="T638" s="32"/>
      <c r="U638" s="250"/>
      <c r="V638" s="32"/>
      <c r="W638" s="33"/>
      <c r="X638" s="32"/>
      <c r="Y638" s="42"/>
      <c r="Z638" s="31"/>
      <c r="AA638" s="42"/>
      <c r="AB638" s="42"/>
      <c r="AC638" s="250"/>
      <c r="AD638" s="32"/>
      <c r="AE638" s="282"/>
      <c r="AF638" s="261"/>
      <c r="AG638" s="31"/>
      <c r="AH638" s="32"/>
      <c r="AI638" s="42"/>
      <c r="AJ638" s="42"/>
    </row>
    <row r="639" spans="1:36" x14ac:dyDescent="0.25">
      <c r="A639" s="272"/>
      <c r="B639" s="273"/>
      <c r="C639" s="274"/>
      <c r="D639" s="272"/>
      <c r="E639" s="272"/>
      <c r="F639" s="272"/>
      <c r="G639" s="272"/>
      <c r="H639" s="272"/>
      <c r="I639" s="272"/>
      <c r="J639" s="272"/>
      <c r="K639" s="33"/>
      <c r="L639" s="33"/>
      <c r="M639" s="32"/>
      <c r="N639" s="32"/>
      <c r="O639" s="32"/>
      <c r="P639" s="33"/>
      <c r="Q639" s="32"/>
      <c r="R639" s="240"/>
      <c r="S639" s="32"/>
      <c r="T639" s="32"/>
      <c r="U639" s="250"/>
      <c r="V639" s="32"/>
      <c r="W639" s="33"/>
      <c r="X639" s="32"/>
      <c r="Y639" s="42"/>
      <c r="Z639" s="31"/>
      <c r="AA639" s="42"/>
      <c r="AB639" s="42"/>
      <c r="AC639" s="250"/>
      <c r="AD639" s="32"/>
      <c r="AE639" s="282"/>
      <c r="AF639" s="261"/>
      <c r="AG639" s="31"/>
      <c r="AH639" s="32"/>
      <c r="AI639" s="42"/>
      <c r="AJ639" s="42"/>
    </row>
    <row r="640" spans="1:36" x14ac:dyDescent="0.25">
      <c r="A640" s="272"/>
      <c r="B640" s="273"/>
      <c r="C640" s="274"/>
      <c r="D640" s="272"/>
      <c r="E640" s="272"/>
      <c r="F640" s="272"/>
      <c r="G640" s="272"/>
      <c r="H640" s="272"/>
      <c r="I640" s="272"/>
      <c r="J640" s="272"/>
      <c r="K640" s="33"/>
      <c r="L640" s="33"/>
      <c r="M640" s="32"/>
      <c r="N640" s="32"/>
      <c r="O640" s="32"/>
      <c r="P640" s="33"/>
      <c r="Q640" s="32"/>
      <c r="R640" s="240"/>
      <c r="S640" s="32"/>
      <c r="T640" s="32"/>
      <c r="U640" s="250"/>
      <c r="V640" s="32"/>
      <c r="W640" s="33"/>
      <c r="X640" s="32"/>
      <c r="Y640" s="42"/>
      <c r="Z640" s="31"/>
      <c r="AA640" s="42"/>
      <c r="AB640" s="42"/>
      <c r="AC640" s="250"/>
      <c r="AD640" s="32"/>
      <c r="AE640" s="282"/>
      <c r="AF640" s="261"/>
      <c r="AG640" s="31"/>
      <c r="AH640" s="32"/>
      <c r="AI640" s="42"/>
      <c r="AJ640" s="42"/>
    </row>
    <row r="641" spans="1:36" x14ac:dyDescent="0.25">
      <c r="A641" s="272"/>
      <c r="B641" s="273"/>
      <c r="C641" s="274"/>
      <c r="D641" s="272"/>
      <c r="E641" s="272"/>
      <c r="F641" s="272"/>
      <c r="G641" s="272"/>
      <c r="H641" s="272"/>
      <c r="I641" s="272"/>
      <c r="J641" s="272"/>
      <c r="K641" s="33"/>
      <c r="L641" s="33"/>
      <c r="M641" s="32"/>
      <c r="N641" s="32"/>
      <c r="O641" s="32"/>
      <c r="P641" s="33"/>
      <c r="Q641" s="32"/>
      <c r="R641" s="240"/>
      <c r="S641" s="32"/>
      <c r="T641" s="32"/>
      <c r="U641" s="250"/>
      <c r="V641" s="32"/>
      <c r="W641" s="33"/>
      <c r="X641" s="32"/>
      <c r="Y641" s="42"/>
      <c r="Z641" s="31"/>
      <c r="AA641" s="42"/>
      <c r="AB641" s="42"/>
      <c r="AC641" s="250"/>
      <c r="AD641" s="32"/>
      <c r="AE641" s="282"/>
      <c r="AF641" s="261"/>
      <c r="AG641" s="31"/>
      <c r="AH641" s="32"/>
      <c r="AI641" s="42"/>
      <c r="AJ641" s="42"/>
    </row>
    <row r="642" spans="1:36" x14ac:dyDescent="0.25">
      <c r="A642" s="272"/>
      <c r="B642" s="273"/>
      <c r="C642" s="274"/>
      <c r="D642" s="272"/>
      <c r="E642" s="272"/>
      <c r="F642" s="272"/>
      <c r="G642" s="272"/>
      <c r="H642" s="272"/>
      <c r="I642" s="272"/>
      <c r="J642" s="272"/>
      <c r="K642" s="33"/>
      <c r="L642" s="33"/>
      <c r="M642" s="32"/>
      <c r="N642" s="32"/>
      <c r="O642" s="32"/>
      <c r="P642" s="33"/>
      <c r="Q642" s="32"/>
      <c r="R642" s="240"/>
      <c r="S642" s="32"/>
      <c r="T642" s="32"/>
      <c r="U642" s="250"/>
      <c r="V642" s="32"/>
      <c r="W642" s="33"/>
      <c r="X642" s="32"/>
      <c r="Y642" s="42"/>
      <c r="Z642" s="31"/>
      <c r="AA642" s="42"/>
      <c r="AB642" s="42"/>
      <c r="AC642" s="250"/>
      <c r="AD642" s="32"/>
      <c r="AE642" s="282"/>
      <c r="AF642" s="261"/>
      <c r="AG642" s="31"/>
      <c r="AH642" s="32"/>
      <c r="AI642" s="42"/>
      <c r="AJ642" s="42"/>
    </row>
    <row r="643" spans="1:36" x14ac:dyDescent="0.25">
      <c r="A643" s="272"/>
      <c r="B643" s="273"/>
      <c r="C643" s="274"/>
      <c r="D643" s="272"/>
      <c r="E643" s="272"/>
      <c r="F643" s="272"/>
      <c r="G643" s="272"/>
      <c r="H643" s="272"/>
      <c r="I643" s="272"/>
      <c r="J643" s="272"/>
      <c r="K643" s="33"/>
      <c r="L643" s="33"/>
      <c r="M643" s="32"/>
      <c r="N643" s="32"/>
      <c r="O643" s="32"/>
      <c r="P643" s="33"/>
      <c r="Q643" s="32"/>
      <c r="R643" s="240"/>
      <c r="S643" s="32"/>
      <c r="T643" s="32"/>
      <c r="U643" s="250"/>
      <c r="V643" s="32"/>
      <c r="W643" s="33"/>
      <c r="X643" s="32"/>
      <c r="Y643" s="42"/>
      <c r="Z643" s="31"/>
      <c r="AA643" s="42"/>
      <c r="AB643" s="42"/>
      <c r="AC643" s="250"/>
      <c r="AD643" s="32"/>
      <c r="AE643" s="282"/>
      <c r="AF643" s="261"/>
      <c r="AG643" s="31"/>
      <c r="AH643" s="32"/>
      <c r="AI643" s="42"/>
      <c r="AJ643" s="42"/>
    </row>
    <row r="644" spans="1:36" x14ac:dyDescent="0.25">
      <c r="A644" s="272"/>
      <c r="B644" s="273"/>
      <c r="C644" s="274"/>
      <c r="D644" s="272"/>
      <c r="E644" s="272"/>
      <c r="F644" s="272"/>
      <c r="G644" s="272"/>
      <c r="H644" s="272"/>
      <c r="I644" s="272"/>
      <c r="J644" s="272"/>
      <c r="K644" s="33"/>
      <c r="L644" s="33"/>
      <c r="M644" s="32"/>
      <c r="N644" s="32"/>
      <c r="O644" s="32"/>
      <c r="P644" s="33"/>
      <c r="Q644" s="32"/>
      <c r="R644" s="240"/>
      <c r="S644" s="32"/>
      <c r="T644" s="32"/>
      <c r="U644" s="250"/>
      <c r="V644" s="32"/>
      <c r="W644" s="33"/>
      <c r="X644" s="32"/>
      <c r="Y644" s="42"/>
      <c r="Z644" s="31"/>
      <c r="AA644" s="42"/>
      <c r="AB644" s="42"/>
      <c r="AC644" s="250"/>
      <c r="AD644" s="32"/>
      <c r="AE644" s="282"/>
      <c r="AF644" s="261"/>
      <c r="AG644" s="31"/>
      <c r="AH644" s="32"/>
      <c r="AI644" s="42"/>
      <c r="AJ644" s="42"/>
    </row>
    <row r="645" spans="1:36" x14ac:dyDescent="0.25">
      <c r="A645" s="272"/>
      <c r="B645" s="273"/>
      <c r="C645" s="274"/>
      <c r="D645" s="272"/>
      <c r="E645" s="272"/>
      <c r="F645" s="272"/>
      <c r="G645" s="272"/>
      <c r="H645" s="272"/>
      <c r="I645" s="272"/>
      <c r="J645" s="272"/>
      <c r="K645" s="33"/>
      <c r="L645" s="33"/>
      <c r="M645" s="32"/>
      <c r="N645" s="32"/>
      <c r="O645" s="32"/>
      <c r="P645" s="33"/>
      <c r="Q645" s="32"/>
      <c r="R645" s="240"/>
      <c r="S645" s="32"/>
      <c r="T645" s="32"/>
      <c r="U645" s="250"/>
      <c r="V645" s="32"/>
      <c r="W645" s="33"/>
      <c r="X645" s="32"/>
      <c r="Y645" s="42"/>
      <c r="Z645" s="31"/>
      <c r="AA645" s="42"/>
      <c r="AB645" s="42"/>
      <c r="AC645" s="250"/>
      <c r="AD645" s="32"/>
      <c r="AE645" s="282"/>
      <c r="AF645" s="261"/>
      <c r="AG645" s="31"/>
      <c r="AH645" s="32"/>
      <c r="AI645" s="42"/>
      <c r="AJ645" s="42"/>
    </row>
    <row r="646" spans="1:36" x14ac:dyDescent="0.25">
      <c r="A646" s="272"/>
      <c r="B646" s="273"/>
      <c r="C646" s="274"/>
      <c r="D646" s="272"/>
      <c r="E646" s="272"/>
      <c r="F646" s="272"/>
      <c r="G646" s="272"/>
      <c r="H646" s="272"/>
      <c r="I646" s="272"/>
      <c r="J646" s="272"/>
      <c r="K646" s="33"/>
      <c r="L646" s="33"/>
      <c r="M646" s="32"/>
      <c r="N646" s="32"/>
      <c r="O646" s="32"/>
      <c r="P646" s="33"/>
      <c r="Q646" s="32"/>
      <c r="R646" s="240"/>
      <c r="S646" s="32"/>
      <c r="T646" s="32"/>
      <c r="U646" s="250"/>
      <c r="V646" s="32"/>
      <c r="W646" s="33"/>
      <c r="X646" s="32"/>
      <c r="Y646" s="42"/>
      <c r="Z646" s="31"/>
      <c r="AA646" s="42"/>
      <c r="AB646" s="42"/>
      <c r="AC646" s="250"/>
      <c r="AD646" s="32"/>
      <c r="AE646" s="282"/>
      <c r="AF646" s="261"/>
      <c r="AG646" s="31"/>
      <c r="AH646" s="32"/>
      <c r="AI646" s="42"/>
      <c r="AJ646" s="42"/>
    </row>
    <row r="647" spans="1:36" x14ac:dyDescent="0.25">
      <c r="A647" s="272"/>
      <c r="B647" s="273"/>
      <c r="C647" s="274"/>
      <c r="D647" s="272"/>
      <c r="E647" s="272"/>
      <c r="F647" s="272"/>
      <c r="G647" s="272"/>
      <c r="H647" s="272"/>
      <c r="I647" s="272"/>
      <c r="J647" s="272"/>
      <c r="K647" s="33"/>
      <c r="L647" s="33"/>
      <c r="M647" s="32"/>
      <c r="N647" s="32"/>
      <c r="O647" s="32"/>
      <c r="P647" s="33"/>
      <c r="Q647" s="32"/>
      <c r="R647" s="240"/>
      <c r="S647" s="32"/>
      <c r="T647" s="32"/>
      <c r="U647" s="250"/>
      <c r="V647" s="32"/>
      <c r="W647" s="33"/>
      <c r="X647" s="32"/>
      <c r="Y647" s="42"/>
      <c r="Z647" s="31"/>
      <c r="AA647" s="42"/>
      <c r="AB647" s="42"/>
      <c r="AC647" s="250"/>
      <c r="AD647" s="32"/>
      <c r="AE647" s="282"/>
      <c r="AF647" s="261"/>
      <c r="AG647" s="31"/>
      <c r="AH647" s="32"/>
      <c r="AI647" s="42"/>
      <c r="AJ647" s="42"/>
    </row>
    <row r="648" spans="1:36" x14ac:dyDescent="0.25">
      <c r="A648" s="272"/>
      <c r="B648" s="273"/>
      <c r="C648" s="274"/>
      <c r="D648" s="272"/>
      <c r="E648" s="272"/>
      <c r="F648" s="272"/>
      <c r="G648" s="272"/>
      <c r="H648" s="272"/>
      <c r="I648" s="272"/>
      <c r="J648" s="272"/>
      <c r="K648" s="33"/>
      <c r="L648" s="33"/>
      <c r="M648" s="32"/>
      <c r="N648" s="32"/>
      <c r="O648" s="32"/>
      <c r="P648" s="33"/>
      <c r="Q648" s="32"/>
      <c r="R648" s="240"/>
      <c r="S648" s="32"/>
      <c r="T648" s="32"/>
      <c r="U648" s="250"/>
      <c r="V648" s="32"/>
      <c r="W648" s="33"/>
      <c r="X648" s="32"/>
      <c r="Y648" s="42"/>
      <c r="Z648" s="31"/>
      <c r="AA648" s="42"/>
      <c r="AB648" s="42"/>
      <c r="AC648" s="250"/>
      <c r="AD648" s="32"/>
      <c r="AE648" s="282"/>
      <c r="AF648" s="261"/>
      <c r="AG648" s="31"/>
      <c r="AH648" s="32"/>
      <c r="AI648" s="42"/>
      <c r="AJ648" s="42"/>
    </row>
    <row r="649" spans="1:36" x14ac:dyDescent="0.25">
      <c r="A649" s="272"/>
      <c r="B649" s="273"/>
      <c r="C649" s="274"/>
      <c r="D649" s="272"/>
      <c r="E649" s="272"/>
      <c r="F649" s="272"/>
      <c r="G649" s="272"/>
      <c r="H649" s="272"/>
      <c r="I649" s="272"/>
      <c r="J649" s="272"/>
      <c r="K649" s="33"/>
      <c r="L649" s="33"/>
      <c r="M649" s="32"/>
      <c r="N649" s="32"/>
      <c r="O649" s="32"/>
      <c r="P649" s="33"/>
      <c r="Q649" s="32"/>
      <c r="R649" s="240"/>
      <c r="S649" s="32"/>
      <c r="T649" s="32"/>
      <c r="U649" s="250"/>
      <c r="V649" s="32"/>
      <c r="W649" s="33"/>
      <c r="X649" s="32"/>
      <c r="Y649" s="42"/>
      <c r="Z649" s="31"/>
      <c r="AA649" s="42"/>
      <c r="AB649" s="42"/>
      <c r="AC649" s="250"/>
      <c r="AD649" s="32"/>
      <c r="AE649" s="282"/>
      <c r="AF649" s="261"/>
      <c r="AG649" s="31"/>
      <c r="AH649" s="32"/>
      <c r="AI649" s="42"/>
      <c r="AJ649" s="42"/>
    </row>
    <row r="650" spans="1:36" x14ac:dyDescent="0.25">
      <c r="A650" s="272"/>
      <c r="B650" s="273"/>
      <c r="C650" s="274"/>
      <c r="D650" s="272"/>
      <c r="E650" s="272"/>
      <c r="F650" s="272"/>
      <c r="G650" s="272"/>
      <c r="H650" s="272"/>
      <c r="I650" s="272"/>
      <c r="J650" s="272"/>
      <c r="K650" s="33"/>
      <c r="L650" s="33"/>
      <c r="M650" s="32"/>
      <c r="N650" s="32"/>
      <c r="O650" s="32"/>
      <c r="P650" s="33"/>
      <c r="Q650" s="32"/>
      <c r="R650" s="240"/>
      <c r="S650" s="32"/>
      <c r="T650" s="32"/>
      <c r="U650" s="250"/>
      <c r="V650" s="32"/>
      <c r="W650" s="33"/>
      <c r="X650" s="32"/>
      <c r="Y650" s="42"/>
      <c r="Z650" s="31"/>
      <c r="AA650" s="42"/>
      <c r="AB650" s="42"/>
      <c r="AC650" s="250"/>
      <c r="AD650" s="32"/>
      <c r="AE650" s="282"/>
      <c r="AF650" s="261"/>
      <c r="AG650" s="31"/>
      <c r="AH650" s="32"/>
      <c r="AI650" s="42"/>
      <c r="AJ650" s="42"/>
    </row>
    <row r="651" spans="1:36" x14ac:dyDescent="0.25">
      <c r="A651" s="272"/>
      <c r="B651" s="273"/>
      <c r="C651" s="274"/>
      <c r="D651" s="272"/>
      <c r="E651" s="272"/>
      <c r="F651" s="272"/>
      <c r="G651" s="272"/>
      <c r="H651" s="272"/>
      <c r="I651" s="272"/>
      <c r="J651" s="272"/>
      <c r="K651" s="33"/>
      <c r="L651" s="33"/>
      <c r="M651" s="32"/>
      <c r="N651" s="32"/>
      <c r="O651" s="32"/>
      <c r="P651" s="33"/>
      <c r="Q651" s="32"/>
      <c r="R651" s="240"/>
      <c r="S651" s="32"/>
      <c r="T651" s="32"/>
      <c r="U651" s="250"/>
      <c r="V651" s="32"/>
      <c r="W651" s="33"/>
      <c r="X651" s="32"/>
      <c r="Y651" s="42"/>
      <c r="Z651" s="31"/>
      <c r="AA651" s="42"/>
      <c r="AB651" s="42"/>
      <c r="AC651" s="250"/>
      <c r="AD651" s="32"/>
      <c r="AE651" s="282"/>
      <c r="AF651" s="261"/>
      <c r="AG651" s="31"/>
      <c r="AH651" s="32"/>
      <c r="AI651" s="42"/>
      <c r="AJ651" s="42"/>
    </row>
    <row r="652" spans="1:36" x14ac:dyDescent="0.25">
      <c r="A652" s="272"/>
      <c r="B652" s="273"/>
      <c r="C652" s="274"/>
      <c r="D652" s="272"/>
      <c r="E652" s="272"/>
      <c r="F652" s="272"/>
      <c r="G652" s="272"/>
      <c r="H652" s="272"/>
      <c r="I652" s="272"/>
      <c r="J652" s="272"/>
      <c r="K652" s="33"/>
      <c r="L652" s="33"/>
      <c r="M652" s="32"/>
      <c r="N652" s="32"/>
      <c r="O652" s="32"/>
      <c r="P652" s="33"/>
      <c r="Q652" s="32"/>
      <c r="R652" s="240"/>
      <c r="S652" s="32"/>
      <c r="T652" s="32"/>
      <c r="U652" s="250"/>
      <c r="V652" s="32"/>
      <c r="W652" s="33"/>
      <c r="X652" s="32"/>
      <c r="Y652" s="42"/>
      <c r="Z652" s="31"/>
      <c r="AA652" s="42"/>
      <c r="AB652" s="42"/>
      <c r="AC652" s="250"/>
      <c r="AD652" s="32"/>
      <c r="AE652" s="282"/>
      <c r="AF652" s="261"/>
      <c r="AG652" s="31"/>
      <c r="AH652" s="32"/>
      <c r="AI652" s="42"/>
      <c r="AJ652" s="42"/>
    </row>
    <row r="653" spans="1:36" x14ac:dyDescent="0.25">
      <c r="A653" s="272"/>
      <c r="B653" s="273"/>
      <c r="C653" s="274"/>
      <c r="D653" s="272"/>
      <c r="E653" s="272"/>
      <c r="F653" s="272"/>
      <c r="G653" s="272"/>
      <c r="H653" s="272"/>
      <c r="I653" s="272"/>
      <c r="J653" s="272"/>
      <c r="K653" s="33"/>
      <c r="L653" s="33"/>
      <c r="M653" s="32"/>
      <c r="N653" s="32"/>
      <c r="O653" s="32"/>
      <c r="P653" s="33"/>
      <c r="Q653" s="32"/>
      <c r="R653" s="240"/>
      <c r="S653" s="32"/>
      <c r="T653" s="32"/>
      <c r="U653" s="250"/>
      <c r="V653" s="32"/>
      <c r="W653" s="33"/>
      <c r="X653" s="32"/>
      <c r="Y653" s="42"/>
      <c r="Z653" s="31"/>
      <c r="AA653" s="42"/>
      <c r="AB653" s="42"/>
      <c r="AC653" s="250"/>
      <c r="AD653" s="32"/>
      <c r="AE653" s="282"/>
      <c r="AF653" s="261"/>
      <c r="AG653" s="31"/>
      <c r="AH653" s="32"/>
      <c r="AI653" s="42"/>
      <c r="AJ653" s="42"/>
    </row>
    <row r="654" spans="1:36" x14ac:dyDescent="0.25">
      <c r="A654" s="272"/>
      <c r="B654" s="273"/>
      <c r="C654" s="274"/>
      <c r="D654" s="272"/>
      <c r="E654" s="272"/>
      <c r="F654" s="272"/>
      <c r="G654" s="272"/>
      <c r="H654" s="272"/>
      <c r="I654" s="272"/>
      <c r="J654" s="272"/>
      <c r="K654" s="33"/>
      <c r="L654" s="33"/>
      <c r="M654" s="32"/>
      <c r="N654" s="32"/>
      <c r="O654" s="32"/>
      <c r="P654" s="33"/>
      <c r="Q654" s="32"/>
      <c r="R654" s="240"/>
      <c r="S654" s="32"/>
      <c r="T654" s="32"/>
      <c r="U654" s="250"/>
      <c r="V654" s="32"/>
      <c r="W654" s="33"/>
      <c r="X654" s="32"/>
      <c r="Y654" s="42"/>
      <c r="Z654" s="31"/>
      <c r="AA654" s="42"/>
      <c r="AB654" s="42"/>
      <c r="AC654" s="250"/>
      <c r="AD654" s="32"/>
      <c r="AE654" s="282"/>
      <c r="AF654" s="261"/>
      <c r="AG654" s="31"/>
      <c r="AH654" s="32"/>
      <c r="AI654" s="42"/>
      <c r="AJ654" s="42"/>
    </row>
    <row r="655" spans="1:36" x14ac:dyDescent="0.25">
      <c r="A655" s="272"/>
      <c r="B655" s="273"/>
      <c r="C655" s="274"/>
      <c r="D655" s="272"/>
      <c r="E655" s="272"/>
      <c r="F655" s="272"/>
      <c r="G655" s="272"/>
      <c r="H655" s="272"/>
      <c r="I655" s="272"/>
      <c r="J655" s="272"/>
      <c r="K655" s="33"/>
      <c r="L655" s="33"/>
      <c r="M655" s="32"/>
      <c r="N655" s="32"/>
      <c r="O655" s="32"/>
      <c r="P655" s="33"/>
      <c r="Q655" s="32"/>
      <c r="R655" s="240"/>
      <c r="S655" s="32"/>
      <c r="T655" s="32"/>
      <c r="U655" s="250"/>
      <c r="V655" s="32"/>
      <c r="W655" s="33"/>
      <c r="X655" s="32"/>
      <c r="Y655" s="42"/>
      <c r="Z655" s="31"/>
      <c r="AA655" s="42"/>
      <c r="AB655" s="42"/>
      <c r="AC655" s="250"/>
      <c r="AD655" s="32"/>
      <c r="AE655" s="282"/>
      <c r="AF655" s="261"/>
      <c r="AG655" s="31"/>
      <c r="AH655" s="32"/>
      <c r="AI655" s="42"/>
      <c r="AJ655" s="42"/>
    </row>
    <row r="656" spans="1:36" x14ac:dyDescent="0.25">
      <c r="A656" s="272"/>
      <c r="B656" s="273"/>
      <c r="C656" s="274"/>
      <c r="D656" s="272"/>
      <c r="E656" s="272"/>
      <c r="F656" s="272"/>
      <c r="G656" s="272"/>
      <c r="H656" s="272"/>
      <c r="I656" s="272"/>
      <c r="J656" s="272"/>
      <c r="K656" s="33"/>
      <c r="L656" s="33"/>
      <c r="M656" s="32"/>
      <c r="N656" s="32"/>
      <c r="O656" s="32"/>
      <c r="P656" s="33"/>
      <c r="Q656" s="32"/>
      <c r="R656" s="240"/>
      <c r="S656" s="32"/>
      <c r="T656" s="32"/>
      <c r="U656" s="250"/>
      <c r="V656" s="32"/>
      <c r="W656" s="33"/>
      <c r="X656" s="32"/>
      <c r="Y656" s="42"/>
      <c r="Z656" s="31"/>
      <c r="AA656" s="42"/>
      <c r="AB656" s="42"/>
      <c r="AC656" s="250"/>
      <c r="AD656" s="32"/>
      <c r="AE656" s="282"/>
      <c r="AF656" s="261"/>
      <c r="AG656" s="31"/>
      <c r="AH656" s="32"/>
      <c r="AI656" s="42"/>
      <c r="AJ656" s="42"/>
    </row>
    <row r="657" spans="1:36" x14ac:dyDescent="0.25">
      <c r="A657" s="272"/>
      <c r="B657" s="273"/>
      <c r="C657" s="274"/>
      <c r="D657" s="272"/>
      <c r="E657" s="272"/>
      <c r="F657" s="272"/>
      <c r="G657" s="272"/>
      <c r="H657" s="272"/>
      <c r="I657" s="272"/>
      <c r="J657" s="272"/>
      <c r="K657" s="33"/>
      <c r="L657" s="33"/>
      <c r="M657" s="32"/>
      <c r="N657" s="32"/>
      <c r="O657" s="32"/>
      <c r="P657" s="33"/>
      <c r="Q657" s="32"/>
      <c r="R657" s="240"/>
      <c r="S657" s="32"/>
      <c r="T657" s="32"/>
      <c r="U657" s="250"/>
      <c r="V657" s="32"/>
      <c r="W657" s="33"/>
      <c r="X657" s="32"/>
      <c r="Y657" s="42"/>
      <c r="Z657" s="31"/>
      <c r="AA657" s="42"/>
      <c r="AB657" s="42"/>
      <c r="AC657" s="250"/>
      <c r="AD657" s="32"/>
      <c r="AE657" s="282"/>
      <c r="AF657" s="261"/>
      <c r="AG657" s="31"/>
      <c r="AH657" s="32"/>
      <c r="AI657" s="42"/>
      <c r="AJ657" s="42"/>
    </row>
    <row r="658" spans="1:36" x14ac:dyDescent="0.25">
      <c r="A658" s="272"/>
      <c r="B658" s="273"/>
      <c r="C658" s="274"/>
      <c r="D658" s="272"/>
      <c r="E658" s="272"/>
      <c r="F658" s="272"/>
      <c r="G658" s="272"/>
      <c r="H658" s="272"/>
      <c r="I658" s="272"/>
      <c r="J658" s="272"/>
      <c r="K658" s="33"/>
      <c r="L658" s="33"/>
      <c r="M658" s="32"/>
      <c r="N658" s="32"/>
      <c r="O658" s="32"/>
      <c r="P658" s="33"/>
      <c r="Q658" s="32"/>
      <c r="R658" s="240"/>
      <c r="S658" s="32"/>
      <c r="T658" s="32"/>
      <c r="U658" s="250"/>
      <c r="V658" s="32"/>
      <c r="W658" s="33"/>
      <c r="X658" s="32"/>
      <c r="Y658" s="42"/>
      <c r="Z658" s="31"/>
      <c r="AA658" s="42"/>
      <c r="AB658" s="42"/>
      <c r="AC658" s="250"/>
      <c r="AD658" s="32"/>
      <c r="AE658" s="282"/>
      <c r="AF658" s="261"/>
      <c r="AG658" s="31"/>
      <c r="AH658" s="32"/>
      <c r="AI658" s="42"/>
      <c r="AJ658" s="42"/>
    </row>
    <row r="659" spans="1:36" x14ac:dyDescent="0.25">
      <c r="A659" s="272"/>
      <c r="B659" s="273"/>
      <c r="C659" s="274"/>
      <c r="D659" s="272"/>
      <c r="E659" s="272"/>
      <c r="F659" s="272"/>
      <c r="G659" s="272"/>
      <c r="H659" s="272"/>
      <c r="I659" s="272"/>
      <c r="J659" s="272"/>
      <c r="K659" s="33"/>
      <c r="L659" s="33"/>
      <c r="M659" s="32"/>
      <c r="N659" s="32"/>
      <c r="O659" s="32"/>
      <c r="P659" s="33"/>
      <c r="Q659" s="32"/>
      <c r="R659" s="240"/>
      <c r="S659" s="32"/>
      <c r="T659" s="32"/>
      <c r="U659" s="250"/>
      <c r="V659" s="32"/>
      <c r="W659" s="33"/>
      <c r="X659" s="32"/>
      <c r="Y659" s="42"/>
      <c r="Z659" s="31"/>
      <c r="AA659" s="42"/>
      <c r="AB659" s="42"/>
      <c r="AC659" s="250"/>
      <c r="AD659" s="32"/>
      <c r="AE659" s="282"/>
      <c r="AF659" s="261"/>
      <c r="AG659" s="31"/>
      <c r="AH659" s="32"/>
      <c r="AI659" s="42"/>
      <c r="AJ659" s="42"/>
    </row>
    <row r="660" spans="1:36" x14ac:dyDescent="0.25">
      <c r="A660" s="272"/>
      <c r="B660" s="273"/>
      <c r="C660" s="274"/>
      <c r="D660" s="272"/>
      <c r="E660" s="272"/>
      <c r="F660" s="272"/>
      <c r="G660" s="272"/>
      <c r="H660" s="272"/>
      <c r="I660" s="272"/>
      <c r="J660" s="272"/>
      <c r="K660" s="33"/>
      <c r="L660" s="33"/>
      <c r="M660" s="32"/>
      <c r="N660" s="32"/>
      <c r="O660" s="32"/>
      <c r="P660" s="33"/>
      <c r="Q660" s="32"/>
      <c r="R660" s="240"/>
      <c r="S660" s="32"/>
      <c r="T660" s="32"/>
      <c r="U660" s="250"/>
      <c r="V660" s="32"/>
      <c r="W660" s="33"/>
      <c r="X660" s="32"/>
      <c r="Y660" s="42"/>
      <c r="Z660" s="31"/>
      <c r="AA660" s="42"/>
      <c r="AB660" s="42"/>
      <c r="AC660" s="250"/>
      <c r="AD660" s="32"/>
      <c r="AE660" s="282"/>
      <c r="AF660" s="261"/>
      <c r="AG660" s="31"/>
      <c r="AH660" s="32"/>
      <c r="AI660" s="42"/>
      <c r="AJ660" s="42"/>
    </row>
    <row r="661" spans="1:36" x14ac:dyDescent="0.25">
      <c r="A661" s="272"/>
      <c r="B661" s="273"/>
      <c r="C661" s="274"/>
      <c r="D661" s="272"/>
      <c r="E661" s="272"/>
      <c r="F661" s="272"/>
      <c r="G661" s="272"/>
      <c r="H661" s="272"/>
      <c r="I661" s="272"/>
      <c r="J661" s="272"/>
      <c r="K661" s="33"/>
      <c r="L661" s="33"/>
      <c r="M661" s="32"/>
      <c r="N661" s="32"/>
      <c r="O661" s="32"/>
      <c r="P661" s="33"/>
      <c r="Q661" s="32"/>
      <c r="R661" s="240"/>
      <c r="S661" s="32"/>
      <c r="T661" s="32"/>
      <c r="U661" s="250"/>
      <c r="V661" s="32"/>
      <c r="W661" s="33"/>
      <c r="X661" s="32"/>
      <c r="Y661" s="42"/>
      <c r="Z661" s="31"/>
      <c r="AA661" s="42"/>
      <c r="AB661" s="42"/>
      <c r="AC661" s="250"/>
      <c r="AD661" s="32"/>
      <c r="AE661" s="282"/>
      <c r="AF661" s="261"/>
      <c r="AG661" s="31"/>
      <c r="AH661" s="32"/>
      <c r="AI661" s="42"/>
      <c r="AJ661" s="42"/>
    </row>
    <row r="662" spans="1:36" x14ac:dyDescent="0.25">
      <c r="A662" s="272"/>
      <c r="B662" s="273"/>
      <c r="C662" s="274"/>
      <c r="D662" s="272"/>
      <c r="E662" s="272"/>
      <c r="F662" s="272"/>
      <c r="G662" s="272"/>
      <c r="H662" s="272"/>
      <c r="I662" s="272"/>
      <c r="J662" s="272"/>
      <c r="K662" s="33"/>
      <c r="L662" s="33"/>
      <c r="M662" s="32"/>
      <c r="N662" s="32"/>
      <c r="O662" s="32"/>
      <c r="P662" s="33"/>
      <c r="Q662" s="32"/>
      <c r="R662" s="240"/>
      <c r="S662" s="32"/>
      <c r="T662" s="32"/>
      <c r="U662" s="250"/>
      <c r="V662" s="32"/>
      <c r="W662" s="33"/>
      <c r="X662" s="32"/>
      <c r="Y662" s="42"/>
      <c r="Z662" s="31"/>
      <c r="AA662" s="42"/>
      <c r="AB662" s="42"/>
      <c r="AC662" s="250"/>
      <c r="AD662" s="32"/>
      <c r="AE662" s="282"/>
      <c r="AF662" s="261"/>
      <c r="AG662" s="31"/>
      <c r="AH662" s="32"/>
      <c r="AI662" s="42"/>
      <c r="AJ662" s="42"/>
    </row>
    <row r="663" spans="1:36" x14ac:dyDescent="0.25">
      <c r="A663" s="272"/>
      <c r="B663" s="273"/>
      <c r="C663" s="274"/>
      <c r="D663" s="272"/>
      <c r="E663" s="272"/>
      <c r="F663" s="272"/>
      <c r="G663" s="272"/>
      <c r="H663" s="272"/>
      <c r="I663" s="272"/>
      <c r="J663" s="272"/>
      <c r="K663" s="33"/>
      <c r="L663" s="33"/>
      <c r="M663" s="32"/>
      <c r="N663" s="32"/>
      <c r="O663" s="32"/>
      <c r="P663" s="33"/>
      <c r="Q663" s="32"/>
      <c r="R663" s="240"/>
      <c r="S663" s="32"/>
      <c r="T663" s="32"/>
      <c r="U663" s="250"/>
      <c r="V663" s="32"/>
      <c r="W663" s="33"/>
      <c r="X663" s="32"/>
      <c r="Y663" s="42"/>
      <c r="Z663" s="31"/>
      <c r="AA663" s="42"/>
      <c r="AB663" s="42"/>
      <c r="AC663" s="250"/>
      <c r="AD663" s="32"/>
      <c r="AE663" s="282"/>
      <c r="AF663" s="261"/>
      <c r="AG663" s="31"/>
      <c r="AH663" s="32"/>
      <c r="AI663" s="42"/>
      <c r="AJ663" s="42"/>
    </row>
    <row r="664" spans="1:36" x14ac:dyDescent="0.25">
      <c r="A664" s="272"/>
      <c r="B664" s="273"/>
      <c r="C664" s="274"/>
      <c r="D664" s="272"/>
      <c r="E664" s="272"/>
      <c r="F664" s="272"/>
      <c r="G664" s="272"/>
      <c r="H664" s="272"/>
      <c r="I664" s="272"/>
      <c r="J664" s="272"/>
      <c r="K664" s="33"/>
      <c r="L664" s="33"/>
      <c r="M664" s="32"/>
      <c r="N664" s="32"/>
      <c r="O664" s="32"/>
      <c r="P664" s="33"/>
      <c r="Q664" s="32"/>
      <c r="R664" s="240"/>
      <c r="S664" s="32"/>
      <c r="T664" s="32"/>
      <c r="U664" s="250"/>
      <c r="V664" s="32"/>
      <c r="W664" s="33"/>
      <c r="X664" s="32"/>
      <c r="Y664" s="42"/>
      <c r="Z664" s="31"/>
      <c r="AA664" s="42"/>
      <c r="AB664" s="42"/>
      <c r="AC664" s="250"/>
      <c r="AD664" s="32"/>
      <c r="AE664" s="282"/>
      <c r="AF664" s="261"/>
      <c r="AG664" s="31"/>
      <c r="AH664" s="32"/>
      <c r="AI664" s="42"/>
      <c r="AJ664" s="42"/>
    </row>
    <row r="665" spans="1:36" x14ac:dyDescent="0.25">
      <c r="A665" s="272"/>
      <c r="B665" s="273"/>
      <c r="C665" s="274"/>
      <c r="D665" s="272"/>
      <c r="E665" s="272"/>
      <c r="F665" s="272"/>
      <c r="G665" s="272"/>
      <c r="H665" s="272"/>
      <c r="I665" s="272"/>
      <c r="J665" s="272"/>
      <c r="K665" s="33"/>
      <c r="L665" s="33"/>
      <c r="M665" s="32"/>
      <c r="N665" s="32"/>
      <c r="O665" s="32"/>
      <c r="P665" s="33"/>
      <c r="Q665" s="32"/>
      <c r="R665" s="240"/>
      <c r="S665" s="32"/>
      <c r="T665" s="32"/>
      <c r="U665" s="250"/>
      <c r="V665" s="32"/>
      <c r="W665" s="33"/>
      <c r="X665" s="32"/>
      <c r="Y665" s="42"/>
      <c r="Z665" s="31"/>
      <c r="AA665" s="42"/>
      <c r="AB665" s="42"/>
      <c r="AC665" s="250"/>
      <c r="AD665" s="32"/>
      <c r="AE665" s="282"/>
      <c r="AF665" s="261"/>
      <c r="AG665" s="31"/>
      <c r="AH665" s="32"/>
      <c r="AI665" s="42"/>
      <c r="AJ665" s="42"/>
    </row>
    <row r="666" spans="1:36" x14ac:dyDescent="0.25">
      <c r="A666" s="272"/>
      <c r="B666" s="273"/>
      <c r="C666" s="274"/>
      <c r="D666" s="272"/>
      <c r="E666" s="272"/>
      <c r="F666" s="272"/>
      <c r="G666" s="272"/>
      <c r="H666" s="272"/>
      <c r="I666" s="272"/>
      <c r="J666" s="272"/>
      <c r="K666" s="33"/>
      <c r="L666" s="33"/>
      <c r="M666" s="32"/>
      <c r="N666" s="32"/>
      <c r="O666" s="32"/>
      <c r="P666" s="33"/>
      <c r="Q666" s="32"/>
      <c r="R666" s="240"/>
      <c r="S666" s="32"/>
      <c r="T666" s="32"/>
      <c r="U666" s="250"/>
      <c r="V666" s="32"/>
      <c r="W666" s="33"/>
      <c r="X666" s="32"/>
      <c r="Y666" s="42"/>
      <c r="Z666" s="31"/>
      <c r="AA666" s="42"/>
      <c r="AB666" s="42"/>
      <c r="AC666" s="250"/>
      <c r="AD666" s="32"/>
      <c r="AE666" s="282"/>
      <c r="AF666" s="261"/>
      <c r="AG666" s="31"/>
      <c r="AH666" s="32"/>
      <c r="AI666" s="42"/>
      <c r="AJ666" s="42"/>
    </row>
    <row r="667" spans="1:36" x14ac:dyDescent="0.25">
      <c r="A667" s="272"/>
      <c r="B667" s="273"/>
      <c r="C667" s="274"/>
      <c r="D667" s="272"/>
      <c r="E667" s="272"/>
      <c r="F667" s="272"/>
      <c r="G667" s="272"/>
      <c r="H667" s="272"/>
      <c r="I667" s="272"/>
      <c r="J667" s="272"/>
      <c r="K667" s="33"/>
      <c r="L667" s="33"/>
      <c r="M667" s="32"/>
      <c r="N667" s="32"/>
      <c r="O667" s="32"/>
      <c r="P667" s="33"/>
      <c r="Q667" s="32"/>
      <c r="R667" s="240"/>
      <c r="S667" s="32"/>
      <c r="T667" s="32"/>
      <c r="U667" s="250"/>
      <c r="V667" s="32"/>
      <c r="W667" s="33"/>
      <c r="X667" s="32"/>
      <c r="Y667" s="42"/>
      <c r="Z667" s="31"/>
      <c r="AA667" s="42"/>
      <c r="AB667" s="42"/>
      <c r="AC667" s="250"/>
      <c r="AD667" s="32"/>
      <c r="AE667" s="282"/>
      <c r="AF667" s="261"/>
      <c r="AG667" s="31"/>
      <c r="AH667" s="32"/>
      <c r="AI667" s="42"/>
      <c r="AJ667" s="42"/>
    </row>
    <row r="668" spans="1:36" x14ac:dyDescent="0.25">
      <c r="A668" s="272"/>
      <c r="B668" s="273"/>
      <c r="C668" s="274"/>
      <c r="D668" s="272"/>
      <c r="E668" s="272"/>
      <c r="F668" s="272"/>
      <c r="G668" s="272"/>
      <c r="H668" s="272"/>
      <c r="I668" s="272"/>
      <c r="J668" s="272"/>
      <c r="K668" s="33"/>
      <c r="L668" s="33"/>
      <c r="M668" s="32"/>
      <c r="N668" s="32"/>
      <c r="O668" s="32"/>
      <c r="P668" s="33"/>
      <c r="Q668" s="32"/>
      <c r="R668" s="240"/>
      <c r="S668" s="32"/>
      <c r="T668" s="32"/>
      <c r="U668" s="250"/>
      <c r="V668" s="32"/>
      <c r="W668" s="33"/>
      <c r="X668" s="32"/>
      <c r="Y668" s="42"/>
      <c r="Z668" s="31"/>
      <c r="AA668" s="42"/>
      <c r="AB668" s="42"/>
      <c r="AC668" s="250"/>
      <c r="AD668" s="32"/>
      <c r="AE668" s="282"/>
      <c r="AF668" s="261"/>
      <c r="AG668" s="31"/>
      <c r="AH668" s="32"/>
      <c r="AI668" s="42"/>
      <c r="AJ668" s="42"/>
    </row>
    <row r="669" spans="1:36" x14ac:dyDescent="0.25">
      <c r="A669" s="272"/>
      <c r="B669" s="273"/>
      <c r="C669" s="274"/>
      <c r="D669" s="272"/>
      <c r="E669" s="272"/>
      <c r="F669" s="272"/>
      <c r="G669" s="272"/>
      <c r="H669" s="272"/>
      <c r="I669" s="272"/>
      <c r="J669" s="272"/>
      <c r="K669" s="33"/>
      <c r="L669" s="33"/>
      <c r="M669" s="32"/>
      <c r="N669" s="32"/>
      <c r="O669" s="32"/>
      <c r="P669" s="33"/>
      <c r="Q669" s="32"/>
      <c r="R669" s="240"/>
      <c r="S669" s="32"/>
      <c r="T669" s="32"/>
      <c r="U669" s="250"/>
      <c r="V669" s="32"/>
      <c r="W669" s="33"/>
      <c r="X669" s="32"/>
      <c r="Y669" s="42"/>
      <c r="Z669" s="31"/>
      <c r="AA669" s="42"/>
      <c r="AB669" s="42"/>
      <c r="AC669" s="250"/>
      <c r="AD669" s="32"/>
      <c r="AE669" s="282"/>
      <c r="AF669" s="261"/>
      <c r="AG669" s="31"/>
      <c r="AH669" s="32"/>
      <c r="AI669" s="42"/>
      <c r="AJ669" s="42"/>
    </row>
    <row r="670" spans="1:36" x14ac:dyDescent="0.25">
      <c r="A670" s="272"/>
      <c r="B670" s="273"/>
      <c r="C670" s="274"/>
      <c r="D670" s="272"/>
      <c r="E670" s="272"/>
      <c r="F670" s="272"/>
      <c r="G670" s="272"/>
      <c r="H670" s="272"/>
      <c r="I670" s="272"/>
      <c r="J670" s="272"/>
      <c r="K670" s="33"/>
      <c r="L670" s="33"/>
      <c r="M670" s="32"/>
      <c r="N670" s="32"/>
      <c r="O670" s="32"/>
      <c r="P670" s="33"/>
      <c r="Q670" s="32"/>
      <c r="R670" s="240"/>
      <c r="S670" s="32"/>
      <c r="T670" s="32"/>
      <c r="U670" s="250"/>
      <c r="V670" s="32"/>
      <c r="W670" s="33"/>
      <c r="X670" s="32"/>
      <c r="Y670" s="42"/>
      <c r="Z670" s="31"/>
      <c r="AA670" s="42"/>
      <c r="AB670" s="42"/>
      <c r="AC670" s="250"/>
      <c r="AD670" s="32"/>
      <c r="AE670" s="282"/>
      <c r="AF670" s="261"/>
      <c r="AG670" s="31"/>
      <c r="AH670" s="32"/>
      <c r="AI670" s="42"/>
      <c r="AJ670" s="42"/>
    </row>
    <row r="671" spans="1:36" x14ac:dyDescent="0.25">
      <c r="A671" s="272"/>
      <c r="B671" s="273"/>
      <c r="C671" s="274"/>
      <c r="D671" s="272"/>
      <c r="E671" s="272"/>
      <c r="F671" s="272"/>
      <c r="G671" s="272"/>
      <c r="H671" s="272"/>
      <c r="I671" s="272"/>
      <c r="J671" s="272"/>
      <c r="K671" s="33"/>
      <c r="L671" s="33"/>
      <c r="M671" s="32"/>
      <c r="N671" s="32"/>
      <c r="O671" s="32"/>
      <c r="P671" s="33"/>
      <c r="Q671" s="32"/>
      <c r="R671" s="240"/>
      <c r="S671" s="32"/>
      <c r="T671" s="32"/>
      <c r="U671" s="250"/>
      <c r="V671" s="32"/>
      <c r="W671" s="33"/>
      <c r="X671" s="32"/>
      <c r="Y671" s="42"/>
      <c r="Z671" s="31"/>
      <c r="AA671" s="42"/>
      <c r="AB671" s="42"/>
      <c r="AC671" s="250"/>
      <c r="AD671" s="32"/>
      <c r="AE671" s="282"/>
      <c r="AF671" s="261"/>
      <c r="AG671" s="31"/>
      <c r="AH671" s="32"/>
      <c r="AI671" s="42"/>
      <c r="AJ671" s="42"/>
    </row>
    <row r="672" spans="1:36" x14ac:dyDescent="0.25">
      <c r="A672" s="272"/>
      <c r="B672" s="273"/>
      <c r="C672" s="274"/>
      <c r="D672" s="272"/>
      <c r="E672" s="272"/>
      <c r="F672" s="272"/>
      <c r="G672" s="272"/>
      <c r="H672" s="272"/>
      <c r="I672" s="272"/>
      <c r="J672" s="272"/>
      <c r="K672" s="33"/>
      <c r="L672" s="33"/>
      <c r="M672" s="32"/>
      <c r="N672" s="32"/>
      <c r="O672" s="32"/>
      <c r="P672" s="33"/>
      <c r="Q672" s="32"/>
      <c r="R672" s="240"/>
      <c r="S672" s="32"/>
      <c r="T672" s="32"/>
      <c r="U672" s="250"/>
      <c r="V672" s="32"/>
      <c r="W672" s="33"/>
      <c r="X672" s="32"/>
      <c r="Y672" s="42"/>
      <c r="Z672" s="31"/>
      <c r="AA672" s="42"/>
      <c r="AB672" s="42"/>
      <c r="AC672" s="250"/>
      <c r="AD672" s="32"/>
      <c r="AE672" s="282"/>
      <c r="AF672" s="261"/>
      <c r="AG672" s="31"/>
      <c r="AH672" s="32"/>
      <c r="AI672" s="42"/>
      <c r="AJ672" s="42"/>
    </row>
    <row r="673" spans="1:36" x14ac:dyDescent="0.25">
      <c r="A673" s="272"/>
      <c r="B673" s="273"/>
      <c r="C673" s="274"/>
      <c r="D673" s="272"/>
      <c r="E673" s="272"/>
      <c r="F673" s="272"/>
      <c r="G673" s="272"/>
      <c r="H673" s="272"/>
      <c r="I673" s="272"/>
      <c r="J673" s="272"/>
      <c r="K673" s="33"/>
      <c r="L673" s="33"/>
      <c r="M673" s="32"/>
      <c r="N673" s="32"/>
      <c r="O673" s="32"/>
      <c r="P673" s="33"/>
      <c r="Q673" s="32"/>
      <c r="R673" s="240"/>
      <c r="S673" s="32"/>
      <c r="T673" s="32"/>
      <c r="U673" s="250"/>
      <c r="V673" s="32"/>
      <c r="W673" s="33"/>
      <c r="X673" s="32"/>
      <c r="Y673" s="42"/>
      <c r="Z673" s="31"/>
      <c r="AA673" s="42"/>
      <c r="AB673" s="42"/>
      <c r="AC673" s="250"/>
      <c r="AD673" s="32"/>
      <c r="AE673" s="282"/>
      <c r="AF673" s="261"/>
      <c r="AG673" s="31"/>
      <c r="AH673" s="32"/>
      <c r="AI673" s="42"/>
      <c r="AJ673" s="42"/>
    </row>
    <row r="674" spans="1:36" x14ac:dyDescent="0.25">
      <c r="A674" s="272"/>
      <c r="B674" s="273"/>
      <c r="C674" s="274"/>
      <c r="D674" s="272"/>
      <c r="E674" s="272"/>
      <c r="F674" s="272"/>
      <c r="G674" s="272"/>
      <c r="H674" s="272"/>
      <c r="I674" s="272"/>
      <c r="J674" s="272"/>
      <c r="K674" s="33"/>
      <c r="L674" s="33"/>
      <c r="M674" s="32"/>
      <c r="N674" s="32"/>
      <c r="O674" s="32"/>
      <c r="P674" s="33"/>
      <c r="Q674" s="32"/>
      <c r="R674" s="240"/>
      <c r="S674" s="32"/>
      <c r="T674" s="32"/>
      <c r="U674" s="250"/>
      <c r="V674" s="32"/>
      <c r="W674" s="33"/>
      <c r="X674" s="32"/>
      <c r="Y674" s="42"/>
      <c r="Z674" s="31"/>
      <c r="AA674" s="42"/>
      <c r="AB674" s="42"/>
      <c r="AC674" s="250"/>
      <c r="AD674" s="32"/>
      <c r="AE674" s="282"/>
      <c r="AF674" s="261"/>
      <c r="AG674" s="31"/>
      <c r="AH674" s="32"/>
      <c r="AI674" s="42"/>
      <c r="AJ674" s="42"/>
    </row>
    <row r="675" spans="1:36" x14ac:dyDescent="0.25">
      <c r="A675" s="272"/>
      <c r="B675" s="273"/>
      <c r="C675" s="274"/>
      <c r="D675" s="272"/>
      <c r="E675" s="272"/>
      <c r="F675" s="272"/>
      <c r="G675" s="272"/>
      <c r="H675" s="272"/>
      <c r="I675" s="272"/>
      <c r="J675" s="272"/>
      <c r="K675" s="33"/>
      <c r="L675" s="33"/>
      <c r="M675" s="32"/>
      <c r="N675" s="32"/>
      <c r="O675" s="32"/>
      <c r="P675" s="33"/>
      <c r="Q675" s="32"/>
      <c r="R675" s="240"/>
      <c r="S675" s="32"/>
      <c r="T675" s="32"/>
      <c r="U675" s="250"/>
      <c r="V675" s="32"/>
      <c r="W675" s="33"/>
      <c r="X675" s="32"/>
      <c r="Y675" s="42"/>
      <c r="Z675" s="31"/>
      <c r="AA675" s="42"/>
      <c r="AB675" s="42"/>
      <c r="AC675" s="250"/>
      <c r="AD675" s="32"/>
      <c r="AE675" s="282"/>
      <c r="AF675" s="261"/>
      <c r="AG675" s="31"/>
      <c r="AH675" s="32"/>
      <c r="AI675" s="42"/>
      <c r="AJ675" s="42"/>
    </row>
    <row r="676" spans="1:36" x14ac:dyDescent="0.25">
      <c r="A676" s="272"/>
      <c r="B676" s="273"/>
      <c r="C676" s="274"/>
      <c r="D676" s="272"/>
      <c r="E676" s="272"/>
      <c r="F676" s="272"/>
      <c r="G676" s="272"/>
      <c r="H676" s="272"/>
      <c r="I676" s="272"/>
      <c r="J676" s="272"/>
      <c r="K676" s="33"/>
      <c r="L676" s="33"/>
      <c r="M676" s="32"/>
      <c r="N676" s="32"/>
      <c r="O676" s="32"/>
      <c r="P676" s="33"/>
      <c r="Q676" s="32"/>
      <c r="R676" s="240"/>
      <c r="S676" s="32"/>
      <c r="T676" s="32"/>
      <c r="U676" s="250"/>
      <c r="V676" s="32"/>
      <c r="W676" s="33"/>
      <c r="X676" s="32"/>
      <c r="Y676" s="42"/>
      <c r="Z676" s="31"/>
      <c r="AA676" s="42"/>
      <c r="AB676" s="42"/>
      <c r="AC676" s="250"/>
      <c r="AD676" s="32"/>
      <c r="AE676" s="282"/>
      <c r="AF676" s="261"/>
      <c r="AG676" s="31"/>
      <c r="AH676" s="32"/>
      <c r="AI676" s="42"/>
      <c r="AJ676" s="42"/>
    </row>
    <row r="677" spans="1:36" x14ac:dyDescent="0.25">
      <c r="A677" s="272"/>
      <c r="B677" s="273"/>
      <c r="C677" s="274"/>
      <c r="D677" s="272"/>
      <c r="E677" s="272"/>
      <c r="F677" s="272"/>
      <c r="G677" s="272"/>
      <c r="H677" s="272"/>
      <c r="I677" s="272"/>
      <c r="J677" s="272"/>
      <c r="K677" s="33"/>
      <c r="L677" s="33"/>
      <c r="M677" s="32"/>
      <c r="N677" s="32"/>
      <c r="O677" s="32"/>
      <c r="P677" s="33"/>
      <c r="Q677" s="32"/>
      <c r="R677" s="240"/>
      <c r="S677" s="32"/>
      <c r="T677" s="32"/>
      <c r="U677" s="250"/>
      <c r="V677" s="32"/>
      <c r="W677" s="33"/>
      <c r="X677" s="32"/>
      <c r="Y677" s="42"/>
      <c r="Z677" s="31"/>
      <c r="AA677" s="42"/>
      <c r="AB677" s="42"/>
      <c r="AC677" s="250"/>
      <c r="AD677" s="32"/>
      <c r="AE677" s="282"/>
      <c r="AF677" s="261"/>
      <c r="AG677" s="31"/>
      <c r="AH677" s="32"/>
      <c r="AI677" s="42"/>
      <c r="AJ677" s="42"/>
    </row>
    <row r="678" spans="1:36" x14ac:dyDescent="0.25">
      <c r="A678" s="272"/>
      <c r="B678" s="273"/>
      <c r="C678" s="274"/>
      <c r="D678" s="272"/>
      <c r="E678" s="272"/>
      <c r="F678" s="272"/>
      <c r="G678" s="272"/>
      <c r="H678" s="272"/>
      <c r="I678" s="272"/>
      <c r="J678" s="272"/>
      <c r="K678" s="33"/>
      <c r="L678" s="33"/>
      <c r="M678" s="32"/>
      <c r="N678" s="32"/>
      <c r="O678" s="32"/>
      <c r="P678" s="33"/>
      <c r="Q678" s="32"/>
      <c r="R678" s="240"/>
      <c r="S678" s="32"/>
      <c r="T678" s="32"/>
      <c r="U678" s="250"/>
      <c r="V678" s="32"/>
      <c r="W678" s="33"/>
      <c r="X678" s="32"/>
      <c r="Y678" s="42"/>
      <c r="Z678" s="31"/>
      <c r="AA678" s="42"/>
      <c r="AB678" s="42"/>
      <c r="AC678" s="250"/>
      <c r="AD678" s="32"/>
      <c r="AE678" s="282"/>
      <c r="AF678" s="261"/>
      <c r="AG678" s="31"/>
      <c r="AH678" s="32"/>
      <c r="AI678" s="42"/>
      <c r="AJ678" s="42"/>
    </row>
    <row r="679" spans="1:36" x14ac:dyDescent="0.25">
      <c r="A679" s="272"/>
      <c r="B679" s="273"/>
      <c r="C679" s="274"/>
      <c r="D679" s="272"/>
      <c r="E679" s="272"/>
      <c r="F679" s="272"/>
      <c r="G679" s="272"/>
      <c r="H679" s="272"/>
      <c r="I679" s="272"/>
      <c r="J679" s="272"/>
      <c r="K679" s="33"/>
      <c r="L679" s="33"/>
      <c r="M679" s="32"/>
      <c r="N679" s="32"/>
      <c r="O679" s="32"/>
      <c r="P679" s="33"/>
      <c r="Q679" s="32"/>
      <c r="R679" s="240"/>
      <c r="S679" s="32"/>
      <c r="T679" s="32"/>
      <c r="U679" s="250"/>
      <c r="V679" s="32"/>
      <c r="W679" s="33"/>
      <c r="X679" s="32"/>
      <c r="Y679" s="42"/>
      <c r="Z679" s="31"/>
      <c r="AA679" s="42"/>
      <c r="AB679" s="42"/>
      <c r="AC679" s="250"/>
      <c r="AD679" s="32"/>
      <c r="AE679" s="282"/>
      <c r="AF679" s="261"/>
      <c r="AG679" s="31"/>
      <c r="AH679" s="32"/>
      <c r="AI679" s="42"/>
      <c r="AJ679" s="42"/>
    </row>
    <row r="680" spans="1:36" x14ac:dyDescent="0.25">
      <c r="A680" s="272"/>
      <c r="B680" s="273"/>
      <c r="C680" s="274"/>
      <c r="D680" s="272"/>
      <c r="E680" s="272"/>
      <c r="F680" s="272"/>
      <c r="G680" s="272"/>
      <c r="H680" s="272"/>
      <c r="I680" s="272"/>
      <c r="J680" s="272"/>
      <c r="K680" s="33"/>
      <c r="L680" s="33"/>
      <c r="M680" s="32"/>
      <c r="N680" s="32"/>
      <c r="O680" s="32"/>
      <c r="P680" s="33"/>
      <c r="Q680" s="32"/>
      <c r="R680" s="240"/>
      <c r="S680" s="32"/>
      <c r="T680" s="32"/>
      <c r="U680" s="250"/>
      <c r="V680" s="32"/>
      <c r="W680" s="33"/>
      <c r="X680" s="32"/>
      <c r="Y680" s="42"/>
      <c r="Z680" s="31"/>
      <c r="AA680" s="42"/>
      <c r="AB680" s="42"/>
      <c r="AC680" s="250"/>
      <c r="AD680" s="32"/>
      <c r="AE680" s="282"/>
      <c r="AF680" s="261"/>
      <c r="AG680" s="31"/>
      <c r="AH680" s="32"/>
      <c r="AI680" s="42"/>
      <c r="AJ680" s="42"/>
    </row>
    <row r="681" spans="1:36" x14ac:dyDescent="0.25">
      <c r="A681" s="272"/>
      <c r="B681" s="273"/>
      <c r="C681" s="274"/>
      <c r="D681" s="272"/>
      <c r="E681" s="272"/>
      <c r="F681" s="272"/>
      <c r="G681" s="272"/>
      <c r="H681" s="272"/>
      <c r="I681" s="272"/>
      <c r="J681" s="272"/>
      <c r="K681" s="33"/>
      <c r="L681" s="33"/>
      <c r="M681" s="32"/>
      <c r="N681" s="32"/>
      <c r="O681" s="32"/>
      <c r="P681" s="33"/>
      <c r="Q681" s="32"/>
      <c r="R681" s="240"/>
      <c r="S681" s="32"/>
      <c r="T681" s="32"/>
      <c r="U681" s="250"/>
      <c r="V681" s="32"/>
      <c r="W681" s="33"/>
      <c r="X681" s="32"/>
      <c r="Y681" s="42"/>
      <c r="Z681" s="31"/>
      <c r="AA681" s="42"/>
      <c r="AB681" s="42"/>
      <c r="AC681" s="250"/>
      <c r="AD681" s="32"/>
      <c r="AE681" s="282"/>
      <c r="AF681" s="261"/>
      <c r="AG681" s="31"/>
      <c r="AH681" s="32"/>
      <c r="AI681" s="42"/>
      <c r="AJ681" s="42"/>
    </row>
    <row r="682" spans="1:36" x14ac:dyDescent="0.25">
      <c r="A682" s="272"/>
      <c r="B682" s="273"/>
      <c r="C682" s="274"/>
      <c r="D682" s="272"/>
      <c r="E682" s="272"/>
      <c r="F682" s="272"/>
      <c r="G682" s="272"/>
      <c r="H682" s="272"/>
      <c r="I682" s="272"/>
      <c r="J682" s="272"/>
      <c r="K682" s="33"/>
      <c r="L682" s="33"/>
      <c r="M682" s="32"/>
      <c r="N682" s="32"/>
      <c r="O682" s="32"/>
      <c r="P682" s="33"/>
      <c r="Q682" s="32"/>
      <c r="R682" s="240"/>
      <c r="S682" s="32"/>
      <c r="T682" s="32"/>
      <c r="U682" s="250"/>
      <c r="V682" s="32"/>
      <c r="W682" s="33"/>
      <c r="X682" s="32"/>
      <c r="Y682" s="42"/>
      <c r="Z682" s="31"/>
      <c r="AA682" s="42"/>
      <c r="AB682" s="42"/>
      <c r="AC682" s="250"/>
      <c r="AD682" s="32"/>
      <c r="AE682" s="282"/>
      <c r="AF682" s="261"/>
      <c r="AG682" s="31"/>
      <c r="AH682" s="32"/>
      <c r="AI682" s="42"/>
      <c r="AJ682" s="42"/>
    </row>
    <row r="683" spans="1:36" x14ac:dyDescent="0.25">
      <c r="A683" s="272"/>
      <c r="B683" s="273"/>
      <c r="C683" s="274"/>
      <c r="D683" s="272"/>
      <c r="E683" s="272"/>
      <c r="F683" s="272"/>
      <c r="G683" s="272"/>
      <c r="H683" s="272"/>
      <c r="I683" s="272"/>
      <c r="J683" s="272"/>
      <c r="K683" s="33"/>
      <c r="L683" s="33"/>
      <c r="M683" s="32"/>
      <c r="N683" s="32"/>
      <c r="O683" s="32"/>
      <c r="P683" s="33"/>
      <c r="Q683" s="32"/>
      <c r="R683" s="240"/>
      <c r="S683" s="32"/>
      <c r="T683" s="32"/>
      <c r="U683" s="250"/>
      <c r="V683" s="32"/>
      <c r="W683" s="33"/>
      <c r="X683" s="32"/>
      <c r="Y683" s="42"/>
      <c r="Z683" s="31"/>
      <c r="AA683" s="42"/>
      <c r="AB683" s="42"/>
      <c r="AC683" s="250"/>
      <c r="AD683" s="32"/>
      <c r="AE683" s="282"/>
      <c r="AF683" s="261"/>
      <c r="AG683" s="31"/>
      <c r="AH683" s="32"/>
      <c r="AI683" s="42"/>
      <c r="AJ683" s="42"/>
    </row>
    <row r="684" spans="1:36" x14ac:dyDescent="0.25">
      <c r="A684" s="272"/>
      <c r="B684" s="273"/>
      <c r="C684" s="274"/>
      <c r="D684" s="272"/>
      <c r="E684" s="272"/>
      <c r="F684" s="272"/>
      <c r="G684" s="272"/>
      <c r="H684" s="272"/>
      <c r="I684" s="272"/>
      <c r="J684" s="272"/>
      <c r="K684" s="33"/>
      <c r="L684" s="33"/>
      <c r="M684" s="32"/>
      <c r="N684" s="32"/>
      <c r="O684" s="32"/>
      <c r="P684" s="33"/>
      <c r="Q684" s="32"/>
      <c r="R684" s="240"/>
      <c r="S684" s="32"/>
      <c r="T684" s="32"/>
      <c r="U684" s="250"/>
      <c r="V684" s="32"/>
      <c r="W684" s="33"/>
      <c r="X684" s="32"/>
      <c r="Y684" s="42"/>
      <c r="Z684" s="31"/>
      <c r="AA684" s="42"/>
      <c r="AB684" s="42"/>
      <c r="AC684" s="250"/>
      <c r="AD684" s="32"/>
      <c r="AE684" s="282"/>
      <c r="AF684" s="261"/>
      <c r="AG684" s="31"/>
      <c r="AH684" s="32"/>
      <c r="AI684" s="42"/>
      <c r="AJ684" s="42"/>
    </row>
    <row r="685" spans="1:36" x14ac:dyDescent="0.25">
      <c r="A685" s="272"/>
      <c r="B685" s="273"/>
      <c r="C685" s="274"/>
      <c r="D685" s="272"/>
      <c r="E685" s="272"/>
      <c r="F685" s="272"/>
      <c r="G685" s="272"/>
      <c r="H685" s="272"/>
      <c r="I685" s="272"/>
      <c r="J685" s="272"/>
      <c r="K685" s="33"/>
      <c r="L685" s="33"/>
      <c r="M685" s="32"/>
      <c r="N685" s="32"/>
      <c r="O685" s="32"/>
      <c r="P685" s="33"/>
      <c r="Q685" s="32"/>
      <c r="R685" s="240"/>
      <c r="S685" s="32"/>
      <c r="T685" s="32"/>
      <c r="U685" s="250"/>
      <c r="V685" s="32"/>
      <c r="W685" s="33"/>
      <c r="X685" s="32"/>
      <c r="Y685" s="42"/>
      <c r="Z685" s="31"/>
      <c r="AA685" s="42"/>
      <c r="AB685" s="42"/>
      <c r="AC685" s="250"/>
      <c r="AD685" s="32"/>
      <c r="AE685" s="282"/>
      <c r="AF685" s="261"/>
      <c r="AG685" s="31"/>
      <c r="AH685" s="32"/>
      <c r="AI685" s="42"/>
      <c r="AJ685" s="42"/>
    </row>
    <row r="686" spans="1:36" x14ac:dyDescent="0.25">
      <c r="A686" s="272"/>
      <c r="B686" s="273"/>
      <c r="C686" s="274"/>
      <c r="D686" s="272"/>
      <c r="E686" s="272"/>
      <c r="F686" s="272"/>
      <c r="G686" s="272"/>
      <c r="H686" s="272"/>
      <c r="I686" s="272"/>
      <c r="J686" s="272"/>
      <c r="K686" s="33"/>
      <c r="L686" s="33"/>
      <c r="M686" s="32"/>
      <c r="N686" s="32"/>
      <c r="O686" s="32"/>
      <c r="P686" s="33"/>
      <c r="Q686" s="32"/>
      <c r="R686" s="240"/>
      <c r="S686" s="32"/>
      <c r="T686" s="32"/>
      <c r="U686" s="250"/>
      <c r="V686" s="32"/>
      <c r="W686" s="33"/>
      <c r="X686" s="32"/>
      <c r="Y686" s="42"/>
      <c r="Z686" s="31"/>
      <c r="AA686" s="42"/>
      <c r="AB686" s="42"/>
      <c r="AC686" s="250"/>
      <c r="AD686" s="32"/>
      <c r="AE686" s="282"/>
      <c r="AF686" s="261"/>
      <c r="AG686" s="31"/>
      <c r="AH686" s="32"/>
      <c r="AI686" s="42"/>
      <c r="AJ686" s="42"/>
    </row>
    <row r="687" spans="1:36" x14ac:dyDescent="0.25">
      <c r="A687" s="272"/>
      <c r="B687" s="273"/>
      <c r="C687" s="274"/>
      <c r="D687" s="272"/>
      <c r="E687" s="272"/>
      <c r="F687" s="272"/>
      <c r="G687" s="272"/>
      <c r="H687" s="272"/>
      <c r="I687" s="272"/>
      <c r="J687" s="272"/>
      <c r="K687" s="33"/>
      <c r="L687" s="33"/>
      <c r="M687" s="32"/>
      <c r="N687" s="32"/>
      <c r="O687" s="32"/>
      <c r="P687" s="33"/>
      <c r="Q687" s="32"/>
      <c r="R687" s="240"/>
      <c r="S687" s="32"/>
      <c r="T687" s="32"/>
      <c r="U687" s="250"/>
      <c r="V687" s="32"/>
      <c r="W687" s="33"/>
      <c r="X687" s="32"/>
      <c r="Y687" s="42"/>
      <c r="Z687" s="31"/>
      <c r="AA687" s="42"/>
      <c r="AB687" s="42"/>
      <c r="AC687" s="250"/>
      <c r="AD687" s="32"/>
      <c r="AE687" s="282"/>
      <c r="AF687" s="261"/>
      <c r="AG687" s="31"/>
      <c r="AH687" s="32"/>
      <c r="AI687" s="42"/>
      <c r="AJ687" s="42"/>
    </row>
    <row r="688" spans="1:36" x14ac:dyDescent="0.25">
      <c r="A688" s="272"/>
      <c r="B688" s="273"/>
      <c r="C688" s="274"/>
      <c r="D688" s="272"/>
      <c r="E688" s="272"/>
      <c r="F688" s="272"/>
      <c r="G688" s="272"/>
      <c r="H688" s="272"/>
      <c r="I688" s="272"/>
      <c r="J688" s="272"/>
      <c r="K688" s="33"/>
      <c r="L688" s="33"/>
      <c r="M688" s="32"/>
      <c r="N688" s="32"/>
      <c r="O688" s="32"/>
      <c r="P688" s="33"/>
      <c r="Q688" s="32"/>
      <c r="R688" s="240"/>
      <c r="S688" s="32"/>
      <c r="T688" s="32"/>
      <c r="U688" s="250"/>
      <c r="V688" s="32"/>
      <c r="W688" s="33"/>
      <c r="X688" s="32"/>
      <c r="Y688" s="42"/>
      <c r="Z688" s="31"/>
      <c r="AA688" s="42"/>
      <c r="AB688" s="42"/>
      <c r="AC688" s="250"/>
      <c r="AD688" s="32"/>
      <c r="AE688" s="282"/>
      <c r="AF688" s="261"/>
      <c r="AG688" s="31"/>
      <c r="AH688" s="32"/>
      <c r="AI688" s="42"/>
      <c r="AJ688" s="42"/>
    </row>
    <row r="689" spans="1:36" x14ac:dyDescent="0.25">
      <c r="A689" s="272"/>
      <c r="B689" s="273"/>
      <c r="C689" s="274"/>
      <c r="D689" s="272"/>
      <c r="E689" s="272"/>
      <c r="F689" s="272"/>
      <c r="G689" s="272"/>
      <c r="H689" s="272"/>
      <c r="I689" s="272"/>
      <c r="J689" s="272"/>
      <c r="K689" s="33"/>
      <c r="L689" s="33"/>
      <c r="M689" s="32"/>
      <c r="N689" s="32"/>
      <c r="O689" s="32"/>
      <c r="P689" s="33"/>
      <c r="Q689" s="32"/>
      <c r="R689" s="240"/>
      <c r="S689" s="32"/>
      <c r="T689" s="32"/>
      <c r="U689" s="250"/>
      <c r="V689" s="32"/>
      <c r="W689" s="33"/>
      <c r="X689" s="32"/>
      <c r="Y689" s="42"/>
      <c r="Z689" s="31"/>
      <c r="AA689" s="42"/>
      <c r="AB689" s="42"/>
      <c r="AC689" s="250"/>
      <c r="AD689" s="32"/>
      <c r="AE689" s="282"/>
      <c r="AF689" s="261"/>
      <c r="AG689" s="31"/>
      <c r="AH689" s="32"/>
      <c r="AI689" s="42"/>
      <c r="AJ689" s="42"/>
    </row>
    <row r="690" spans="1:36" x14ac:dyDescent="0.25">
      <c r="A690" s="272"/>
      <c r="B690" s="273"/>
      <c r="C690" s="274"/>
      <c r="D690" s="272"/>
      <c r="E690" s="272"/>
      <c r="F690" s="272"/>
      <c r="G690" s="272"/>
      <c r="H690" s="272"/>
      <c r="I690" s="272"/>
      <c r="J690" s="272"/>
      <c r="K690" s="33"/>
      <c r="L690" s="33"/>
      <c r="M690" s="32"/>
      <c r="N690" s="32"/>
      <c r="O690" s="32"/>
      <c r="P690" s="33"/>
      <c r="Q690" s="32"/>
      <c r="R690" s="240"/>
      <c r="S690" s="32"/>
      <c r="T690" s="32"/>
      <c r="U690" s="250"/>
      <c r="V690" s="32"/>
      <c r="W690" s="33"/>
      <c r="X690" s="32"/>
      <c r="Y690" s="42"/>
      <c r="Z690" s="31"/>
      <c r="AA690" s="42"/>
      <c r="AB690" s="42"/>
      <c r="AC690" s="250"/>
      <c r="AD690" s="32"/>
      <c r="AE690" s="282"/>
      <c r="AF690" s="261"/>
      <c r="AG690" s="31"/>
      <c r="AH690" s="32"/>
      <c r="AI690" s="42"/>
      <c r="AJ690" s="42"/>
    </row>
    <row r="691" spans="1:36" x14ac:dyDescent="0.25">
      <c r="A691" s="272"/>
      <c r="B691" s="273"/>
      <c r="C691" s="274"/>
      <c r="D691" s="272"/>
      <c r="E691" s="272"/>
      <c r="F691" s="272"/>
      <c r="G691" s="272"/>
      <c r="H691" s="272"/>
      <c r="I691" s="272"/>
      <c r="J691" s="272"/>
      <c r="K691" s="33"/>
      <c r="L691" s="33"/>
      <c r="M691" s="32"/>
      <c r="N691" s="32"/>
      <c r="O691" s="32"/>
      <c r="P691" s="33"/>
      <c r="Q691" s="32"/>
      <c r="R691" s="240"/>
      <c r="S691" s="32"/>
      <c r="T691" s="32"/>
      <c r="U691" s="250"/>
      <c r="V691" s="32"/>
      <c r="W691" s="33"/>
      <c r="X691" s="32"/>
      <c r="Y691" s="42"/>
      <c r="Z691" s="31"/>
      <c r="AA691" s="42"/>
      <c r="AB691" s="42"/>
      <c r="AC691" s="250"/>
      <c r="AD691" s="32"/>
      <c r="AE691" s="282"/>
      <c r="AF691" s="261"/>
      <c r="AG691" s="31"/>
      <c r="AH691" s="32"/>
      <c r="AI691" s="42"/>
      <c r="AJ691" s="42"/>
    </row>
    <row r="692" spans="1:36" x14ac:dyDescent="0.25">
      <c r="A692" s="272"/>
      <c r="B692" s="273"/>
      <c r="C692" s="274"/>
      <c r="D692" s="272"/>
      <c r="E692" s="272"/>
      <c r="F692" s="272"/>
      <c r="G692" s="272"/>
      <c r="H692" s="272"/>
      <c r="I692" s="272"/>
      <c r="J692" s="272"/>
      <c r="K692" s="33"/>
      <c r="L692" s="33"/>
      <c r="M692" s="32"/>
      <c r="N692" s="32"/>
      <c r="O692" s="32"/>
      <c r="P692" s="33"/>
      <c r="Q692" s="32"/>
      <c r="R692" s="240"/>
      <c r="S692" s="32"/>
      <c r="T692" s="32"/>
      <c r="U692" s="250"/>
      <c r="V692" s="32"/>
      <c r="W692" s="33"/>
      <c r="X692" s="32"/>
      <c r="Y692" s="42"/>
      <c r="Z692" s="31"/>
      <c r="AA692" s="42"/>
      <c r="AB692" s="42"/>
      <c r="AC692" s="250"/>
      <c r="AD692" s="32"/>
      <c r="AE692" s="282"/>
      <c r="AF692" s="261"/>
      <c r="AG692" s="31"/>
      <c r="AH692" s="32"/>
      <c r="AI692" s="42"/>
      <c r="AJ692" s="42"/>
    </row>
    <row r="693" spans="1:36" x14ac:dyDescent="0.25">
      <c r="A693" s="272"/>
      <c r="B693" s="273"/>
      <c r="C693" s="274"/>
      <c r="D693" s="272"/>
      <c r="E693" s="272"/>
      <c r="F693" s="272"/>
      <c r="G693" s="272"/>
      <c r="H693" s="272"/>
      <c r="I693" s="272"/>
      <c r="J693" s="272"/>
      <c r="K693" s="33"/>
      <c r="L693" s="33"/>
      <c r="M693" s="32"/>
      <c r="N693" s="32"/>
      <c r="O693" s="32"/>
      <c r="P693" s="33"/>
      <c r="Q693" s="32"/>
      <c r="R693" s="240"/>
      <c r="S693" s="32"/>
      <c r="T693" s="32"/>
      <c r="U693" s="250"/>
      <c r="V693" s="32"/>
      <c r="W693" s="33"/>
      <c r="X693" s="32"/>
      <c r="Y693" s="42"/>
      <c r="Z693" s="31"/>
      <c r="AA693" s="42"/>
      <c r="AB693" s="42"/>
      <c r="AC693" s="250"/>
      <c r="AD693" s="32"/>
      <c r="AE693" s="282"/>
      <c r="AF693" s="261"/>
      <c r="AG693" s="31"/>
      <c r="AH693" s="32"/>
      <c r="AI693" s="42"/>
      <c r="AJ693" s="42"/>
    </row>
    <row r="694" spans="1:36" x14ac:dyDescent="0.25">
      <c r="A694" s="272"/>
      <c r="B694" s="273"/>
      <c r="C694" s="274"/>
      <c r="D694" s="272"/>
      <c r="E694" s="272"/>
      <c r="F694" s="272"/>
      <c r="G694" s="272"/>
      <c r="H694" s="272"/>
      <c r="I694" s="272"/>
      <c r="J694" s="272"/>
      <c r="K694" s="33"/>
      <c r="L694" s="33"/>
      <c r="M694" s="32"/>
      <c r="N694" s="32"/>
      <c r="O694" s="32"/>
      <c r="P694" s="33"/>
      <c r="Q694" s="32"/>
      <c r="R694" s="240"/>
      <c r="S694" s="32"/>
      <c r="T694" s="32"/>
      <c r="U694" s="250"/>
      <c r="V694" s="32"/>
      <c r="W694" s="33"/>
      <c r="X694" s="32"/>
      <c r="Y694" s="42"/>
      <c r="Z694" s="31"/>
      <c r="AA694" s="42"/>
      <c r="AB694" s="42"/>
      <c r="AC694" s="250"/>
      <c r="AD694" s="32"/>
      <c r="AE694" s="282"/>
      <c r="AF694" s="261"/>
      <c r="AG694" s="31"/>
      <c r="AH694" s="32"/>
      <c r="AI694" s="42"/>
      <c r="AJ694" s="42"/>
    </row>
    <row r="695" spans="1:36" x14ac:dyDescent="0.25">
      <c r="A695" s="272"/>
      <c r="B695" s="273"/>
      <c r="C695" s="274"/>
      <c r="D695" s="272"/>
      <c r="E695" s="272"/>
      <c r="F695" s="272"/>
      <c r="G695" s="272"/>
      <c r="H695" s="272"/>
      <c r="I695" s="272"/>
      <c r="J695" s="272"/>
      <c r="K695" s="33"/>
      <c r="L695" s="33"/>
      <c r="M695" s="32"/>
      <c r="N695" s="32"/>
      <c r="O695" s="32"/>
      <c r="P695" s="33"/>
      <c r="Q695" s="32"/>
      <c r="R695" s="240"/>
      <c r="S695" s="32"/>
      <c r="T695" s="32"/>
      <c r="U695" s="250"/>
      <c r="V695" s="32"/>
      <c r="W695" s="33"/>
      <c r="X695" s="32"/>
      <c r="Y695" s="42"/>
      <c r="Z695" s="31"/>
      <c r="AA695" s="42"/>
      <c r="AB695" s="42"/>
      <c r="AC695" s="250"/>
      <c r="AD695" s="32"/>
      <c r="AE695" s="282"/>
      <c r="AF695" s="261"/>
      <c r="AG695" s="31"/>
      <c r="AH695" s="32"/>
      <c r="AI695" s="42"/>
      <c r="AJ695" s="42"/>
    </row>
    <row r="696" spans="1:36" x14ac:dyDescent="0.25">
      <c r="A696" s="272"/>
      <c r="B696" s="273"/>
      <c r="C696" s="274"/>
      <c r="D696" s="272"/>
      <c r="E696" s="272"/>
      <c r="F696" s="272"/>
      <c r="G696" s="272"/>
      <c r="H696" s="272"/>
      <c r="I696" s="272"/>
      <c r="J696" s="272"/>
      <c r="K696" s="33"/>
      <c r="L696" s="33"/>
      <c r="M696" s="32"/>
      <c r="N696" s="32"/>
      <c r="O696" s="32"/>
      <c r="P696" s="33"/>
      <c r="Q696" s="32"/>
      <c r="R696" s="240"/>
      <c r="S696" s="32"/>
      <c r="T696" s="32"/>
      <c r="U696" s="250"/>
      <c r="V696" s="32"/>
      <c r="W696" s="33"/>
      <c r="X696" s="32"/>
      <c r="Y696" s="42"/>
      <c r="Z696" s="31"/>
      <c r="AA696" s="42"/>
      <c r="AB696" s="42"/>
      <c r="AC696" s="250"/>
      <c r="AD696" s="32"/>
      <c r="AE696" s="282"/>
      <c r="AF696" s="261"/>
      <c r="AG696" s="31"/>
      <c r="AH696" s="32"/>
      <c r="AI696" s="42"/>
      <c r="AJ696" s="42"/>
    </row>
    <row r="697" spans="1:36" x14ac:dyDescent="0.25">
      <c r="A697" s="272"/>
      <c r="B697" s="273"/>
      <c r="C697" s="274"/>
      <c r="D697" s="272"/>
      <c r="E697" s="272"/>
      <c r="F697" s="272"/>
      <c r="G697" s="272"/>
      <c r="H697" s="272"/>
      <c r="I697" s="272"/>
      <c r="J697" s="272"/>
      <c r="K697" s="33"/>
      <c r="L697" s="33"/>
      <c r="M697" s="32"/>
      <c r="N697" s="32"/>
      <c r="O697" s="32"/>
      <c r="P697" s="33"/>
      <c r="Q697" s="32"/>
      <c r="R697" s="240"/>
      <c r="S697" s="32"/>
      <c r="T697" s="32"/>
      <c r="U697" s="250"/>
      <c r="V697" s="32"/>
      <c r="W697" s="33"/>
      <c r="X697" s="32"/>
      <c r="Y697" s="42"/>
      <c r="Z697" s="31"/>
      <c r="AA697" s="42"/>
      <c r="AB697" s="42"/>
      <c r="AC697" s="250"/>
      <c r="AD697" s="32"/>
      <c r="AE697" s="282"/>
      <c r="AF697" s="261"/>
      <c r="AG697" s="31"/>
      <c r="AH697" s="32"/>
      <c r="AI697" s="42"/>
      <c r="AJ697" s="42"/>
    </row>
    <row r="698" spans="1:36" x14ac:dyDescent="0.25">
      <c r="A698" s="272"/>
      <c r="B698" s="273"/>
      <c r="C698" s="274"/>
      <c r="D698" s="272"/>
      <c r="E698" s="272"/>
      <c r="F698" s="272"/>
      <c r="G698" s="272"/>
      <c r="H698" s="272"/>
      <c r="I698" s="272"/>
      <c r="J698" s="272"/>
      <c r="K698" s="33"/>
      <c r="L698" s="33"/>
      <c r="M698" s="32"/>
      <c r="N698" s="32"/>
      <c r="O698" s="32"/>
      <c r="P698" s="33"/>
      <c r="Q698" s="32"/>
      <c r="R698" s="240"/>
      <c r="S698" s="32"/>
      <c r="T698" s="32"/>
      <c r="U698" s="250"/>
      <c r="V698" s="32"/>
      <c r="W698" s="33"/>
      <c r="X698" s="32"/>
      <c r="Y698" s="42"/>
      <c r="Z698" s="31"/>
      <c r="AA698" s="42"/>
      <c r="AB698" s="42"/>
      <c r="AC698" s="250"/>
      <c r="AD698" s="32"/>
      <c r="AE698" s="282"/>
      <c r="AF698" s="261"/>
      <c r="AG698" s="31"/>
      <c r="AH698" s="32"/>
      <c r="AI698" s="42"/>
      <c r="AJ698" s="42"/>
    </row>
    <row r="699" spans="1:36" x14ac:dyDescent="0.25">
      <c r="A699" s="272"/>
      <c r="B699" s="273"/>
      <c r="C699" s="274"/>
      <c r="D699" s="272"/>
      <c r="E699" s="272"/>
      <c r="F699" s="272"/>
      <c r="G699" s="272"/>
      <c r="H699" s="272"/>
      <c r="I699" s="272"/>
      <c r="J699" s="272"/>
      <c r="K699" s="33"/>
      <c r="L699" s="33"/>
      <c r="M699" s="32"/>
      <c r="N699" s="32"/>
      <c r="O699" s="32"/>
      <c r="P699" s="33"/>
      <c r="Q699" s="32"/>
      <c r="R699" s="240"/>
      <c r="S699" s="32"/>
      <c r="T699" s="32"/>
      <c r="U699" s="250"/>
      <c r="V699" s="32"/>
      <c r="W699" s="33"/>
      <c r="X699" s="32"/>
      <c r="Y699" s="42"/>
      <c r="Z699" s="31"/>
      <c r="AA699" s="42"/>
      <c r="AB699" s="42"/>
      <c r="AC699" s="250"/>
      <c r="AD699" s="32"/>
      <c r="AE699" s="282"/>
      <c r="AF699" s="261"/>
      <c r="AG699" s="31"/>
      <c r="AH699" s="32"/>
      <c r="AI699" s="42"/>
      <c r="AJ699" s="42"/>
    </row>
    <row r="700" spans="1:36" x14ac:dyDescent="0.25">
      <c r="A700" s="272"/>
      <c r="B700" s="273"/>
      <c r="C700" s="274"/>
      <c r="D700" s="272"/>
      <c r="E700" s="272"/>
      <c r="F700" s="272"/>
      <c r="G700" s="272"/>
      <c r="H700" s="272"/>
      <c r="I700" s="272"/>
      <c r="J700" s="272"/>
      <c r="K700" s="33"/>
      <c r="L700" s="33"/>
      <c r="M700" s="32"/>
      <c r="N700" s="32"/>
      <c r="O700" s="32"/>
      <c r="P700" s="33"/>
      <c r="Q700" s="32"/>
      <c r="R700" s="240"/>
      <c r="S700" s="32"/>
      <c r="T700" s="32"/>
      <c r="U700" s="250"/>
      <c r="V700" s="32"/>
      <c r="W700" s="33"/>
      <c r="X700" s="32"/>
      <c r="Y700" s="42"/>
      <c r="Z700" s="31"/>
      <c r="AA700" s="42"/>
      <c r="AB700" s="42"/>
      <c r="AC700" s="250"/>
      <c r="AD700" s="32"/>
      <c r="AE700" s="282"/>
      <c r="AF700" s="261"/>
      <c r="AG700" s="31"/>
      <c r="AH700" s="32"/>
      <c r="AI700" s="42"/>
      <c r="AJ700" s="42"/>
    </row>
    <row r="701" spans="1:36" x14ac:dyDescent="0.25">
      <c r="A701" s="272"/>
      <c r="B701" s="273"/>
      <c r="C701" s="274"/>
      <c r="D701" s="272"/>
      <c r="E701" s="272"/>
      <c r="F701" s="272"/>
      <c r="G701" s="272"/>
      <c r="H701" s="272"/>
      <c r="I701" s="272"/>
      <c r="J701" s="272"/>
      <c r="K701" s="33"/>
      <c r="L701" s="33"/>
      <c r="M701" s="32"/>
      <c r="N701" s="32"/>
      <c r="O701" s="32"/>
      <c r="P701" s="33"/>
      <c r="Q701" s="32"/>
      <c r="R701" s="240"/>
      <c r="S701" s="32"/>
      <c r="T701" s="32"/>
      <c r="U701" s="250"/>
      <c r="V701" s="32"/>
      <c r="W701" s="33"/>
      <c r="X701" s="32"/>
      <c r="Y701" s="42"/>
      <c r="Z701" s="31"/>
      <c r="AA701" s="42"/>
      <c r="AB701" s="42"/>
      <c r="AC701" s="250"/>
      <c r="AD701" s="32"/>
      <c r="AE701" s="282"/>
      <c r="AF701" s="261"/>
      <c r="AG701" s="31"/>
      <c r="AH701" s="32"/>
      <c r="AI701" s="42"/>
      <c r="AJ701" s="42"/>
    </row>
    <row r="702" spans="1:36" x14ac:dyDescent="0.25">
      <c r="A702" s="272"/>
      <c r="B702" s="273"/>
      <c r="C702" s="274"/>
      <c r="D702" s="272"/>
      <c r="E702" s="272"/>
      <c r="F702" s="272"/>
      <c r="G702" s="272"/>
      <c r="H702" s="272"/>
      <c r="I702" s="272"/>
      <c r="J702" s="272"/>
      <c r="K702" s="33"/>
      <c r="L702" s="33"/>
      <c r="M702" s="32"/>
      <c r="N702" s="32"/>
      <c r="O702" s="32"/>
      <c r="P702" s="33"/>
      <c r="Q702" s="32"/>
      <c r="R702" s="240"/>
      <c r="S702" s="32"/>
      <c r="T702" s="32"/>
      <c r="U702" s="250"/>
      <c r="V702" s="32"/>
      <c r="W702" s="33"/>
      <c r="X702" s="32"/>
      <c r="Y702" s="42"/>
      <c r="Z702" s="31"/>
      <c r="AA702" s="42"/>
      <c r="AB702" s="42"/>
      <c r="AC702" s="250"/>
      <c r="AD702" s="32"/>
      <c r="AE702" s="282"/>
      <c r="AF702" s="261"/>
      <c r="AG702" s="31"/>
      <c r="AH702" s="32"/>
      <c r="AI702" s="42"/>
      <c r="AJ702" s="42"/>
    </row>
    <row r="703" spans="1:36" x14ac:dyDescent="0.25">
      <c r="A703" s="272"/>
      <c r="B703" s="273"/>
      <c r="C703" s="274"/>
      <c r="D703" s="272"/>
      <c r="E703" s="272"/>
      <c r="F703" s="272"/>
      <c r="G703" s="272"/>
      <c r="H703" s="272"/>
      <c r="I703" s="272"/>
      <c r="J703" s="272"/>
      <c r="K703" s="33"/>
      <c r="L703" s="33"/>
      <c r="M703" s="32"/>
      <c r="N703" s="32"/>
      <c r="O703" s="32"/>
      <c r="P703" s="33"/>
      <c r="Q703" s="32"/>
      <c r="R703" s="240"/>
      <c r="S703" s="32"/>
      <c r="T703" s="32"/>
      <c r="U703" s="250"/>
      <c r="V703" s="32"/>
      <c r="W703" s="33"/>
      <c r="X703" s="32"/>
      <c r="Y703" s="42"/>
      <c r="Z703" s="31"/>
      <c r="AA703" s="42"/>
      <c r="AB703" s="42"/>
      <c r="AC703" s="250"/>
      <c r="AD703" s="32"/>
      <c r="AE703" s="282"/>
      <c r="AF703" s="261"/>
      <c r="AG703" s="31"/>
      <c r="AH703" s="32"/>
      <c r="AI703" s="42"/>
      <c r="AJ703" s="42"/>
    </row>
    <row r="704" spans="1:36" x14ac:dyDescent="0.25">
      <c r="A704" s="272"/>
      <c r="B704" s="273"/>
      <c r="C704" s="274"/>
      <c r="D704" s="272"/>
      <c r="E704" s="272"/>
      <c r="F704" s="272"/>
      <c r="G704" s="272"/>
      <c r="H704" s="272"/>
      <c r="I704" s="272"/>
      <c r="J704" s="272"/>
      <c r="K704" s="33"/>
      <c r="L704" s="33"/>
      <c r="M704" s="32"/>
      <c r="N704" s="32"/>
      <c r="O704" s="32"/>
      <c r="P704" s="33"/>
      <c r="Q704" s="32"/>
      <c r="R704" s="240"/>
      <c r="S704" s="32"/>
      <c r="T704" s="32"/>
      <c r="U704" s="250"/>
      <c r="V704" s="32"/>
      <c r="W704" s="33"/>
      <c r="X704" s="32"/>
      <c r="Y704" s="42"/>
      <c r="Z704" s="31"/>
      <c r="AA704" s="42"/>
      <c r="AB704" s="42"/>
      <c r="AC704" s="250"/>
      <c r="AD704" s="32"/>
      <c r="AE704" s="282"/>
      <c r="AF704" s="261"/>
      <c r="AG704" s="31"/>
      <c r="AH704" s="32"/>
      <c r="AI704" s="42"/>
      <c r="AJ704" s="42"/>
    </row>
    <row r="705" spans="1:36" x14ac:dyDescent="0.25">
      <c r="A705" s="272"/>
      <c r="B705" s="273"/>
      <c r="C705" s="274"/>
      <c r="D705" s="272"/>
      <c r="E705" s="272"/>
      <c r="F705" s="272"/>
      <c r="G705" s="272"/>
      <c r="H705" s="272"/>
      <c r="I705" s="272"/>
      <c r="J705" s="272"/>
      <c r="K705" s="33"/>
      <c r="L705" s="33"/>
      <c r="M705" s="32"/>
      <c r="N705" s="32"/>
      <c r="O705" s="32"/>
      <c r="P705" s="33"/>
      <c r="Q705" s="32"/>
      <c r="R705" s="240"/>
      <c r="S705" s="32"/>
      <c r="T705" s="32"/>
      <c r="U705" s="250"/>
      <c r="V705" s="32"/>
      <c r="W705" s="33"/>
      <c r="X705" s="32"/>
      <c r="Y705" s="42"/>
      <c r="Z705" s="31"/>
      <c r="AA705" s="42"/>
      <c r="AB705" s="42"/>
      <c r="AC705" s="250"/>
      <c r="AD705" s="32"/>
      <c r="AE705" s="282"/>
      <c r="AF705" s="261"/>
      <c r="AG705" s="31"/>
      <c r="AH705" s="32"/>
      <c r="AI705" s="42"/>
      <c r="AJ705" s="42"/>
    </row>
    <row r="706" spans="1:36" x14ac:dyDescent="0.25">
      <c r="A706" s="272"/>
      <c r="B706" s="273"/>
      <c r="C706" s="274"/>
      <c r="D706" s="272"/>
      <c r="E706" s="272"/>
      <c r="F706" s="272"/>
      <c r="G706" s="272"/>
      <c r="H706" s="272"/>
      <c r="I706" s="272"/>
      <c r="J706" s="272"/>
      <c r="K706" s="33"/>
      <c r="L706" s="33"/>
      <c r="M706" s="32"/>
      <c r="N706" s="32"/>
      <c r="O706" s="32"/>
      <c r="P706" s="33"/>
      <c r="Q706" s="32"/>
      <c r="R706" s="240"/>
      <c r="S706" s="32"/>
      <c r="T706" s="32"/>
      <c r="U706" s="250"/>
      <c r="V706" s="32"/>
      <c r="W706" s="33"/>
      <c r="X706" s="32"/>
      <c r="Y706" s="42"/>
      <c r="Z706" s="31"/>
      <c r="AA706" s="42"/>
      <c r="AB706" s="42"/>
      <c r="AC706" s="250"/>
      <c r="AD706" s="32"/>
      <c r="AE706" s="282"/>
      <c r="AF706" s="261"/>
      <c r="AG706" s="31"/>
      <c r="AH706" s="32"/>
      <c r="AI706" s="42"/>
      <c r="AJ706" s="42"/>
    </row>
    <row r="707" spans="1:36" x14ac:dyDescent="0.25">
      <c r="A707" s="272"/>
      <c r="B707" s="273"/>
      <c r="C707" s="274"/>
      <c r="D707" s="272"/>
      <c r="E707" s="272"/>
      <c r="F707" s="272"/>
      <c r="G707" s="272"/>
      <c r="H707" s="272"/>
      <c r="I707" s="272"/>
      <c r="J707" s="272"/>
      <c r="K707" s="33"/>
      <c r="L707" s="33"/>
      <c r="M707" s="32"/>
      <c r="N707" s="32"/>
      <c r="O707" s="32"/>
      <c r="P707" s="33"/>
      <c r="Q707" s="32"/>
      <c r="R707" s="240"/>
      <c r="S707" s="32"/>
      <c r="T707" s="32"/>
      <c r="U707" s="250"/>
      <c r="V707" s="32"/>
      <c r="W707" s="33"/>
      <c r="X707" s="32"/>
      <c r="Y707" s="42"/>
      <c r="Z707" s="31"/>
      <c r="AA707" s="42"/>
      <c r="AB707" s="42"/>
      <c r="AC707" s="250"/>
      <c r="AD707" s="32"/>
      <c r="AE707" s="282"/>
      <c r="AF707" s="261"/>
      <c r="AG707" s="31"/>
      <c r="AH707" s="32"/>
      <c r="AI707" s="42"/>
      <c r="AJ707" s="42"/>
    </row>
    <row r="708" spans="1:36" x14ac:dyDescent="0.25">
      <c r="A708" s="272"/>
      <c r="B708" s="273"/>
      <c r="C708" s="274"/>
      <c r="D708" s="272"/>
      <c r="E708" s="272"/>
      <c r="F708" s="272"/>
      <c r="G708" s="272"/>
      <c r="H708" s="272"/>
      <c r="I708" s="272"/>
      <c r="J708" s="272"/>
      <c r="K708" s="33"/>
      <c r="L708" s="33"/>
      <c r="M708" s="32"/>
      <c r="N708" s="32"/>
      <c r="O708" s="32"/>
      <c r="P708" s="33"/>
      <c r="Q708" s="32"/>
      <c r="R708" s="240"/>
      <c r="S708" s="32"/>
      <c r="T708" s="32"/>
      <c r="U708" s="250"/>
      <c r="V708" s="32"/>
      <c r="W708" s="33"/>
      <c r="X708" s="32"/>
      <c r="Y708" s="42"/>
      <c r="Z708" s="31"/>
      <c r="AA708" s="42"/>
      <c r="AB708" s="42"/>
      <c r="AC708" s="250"/>
      <c r="AD708" s="32"/>
      <c r="AE708" s="282"/>
      <c r="AF708" s="261"/>
      <c r="AG708" s="31"/>
      <c r="AH708" s="32"/>
      <c r="AI708" s="42"/>
      <c r="AJ708" s="42"/>
    </row>
    <row r="709" spans="1:36" x14ac:dyDescent="0.25">
      <c r="A709" s="272"/>
      <c r="B709" s="273"/>
      <c r="C709" s="274"/>
      <c r="D709" s="272"/>
      <c r="E709" s="272"/>
      <c r="F709" s="272"/>
      <c r="G709" s="272"/>
      <c r="H709" s="272"/>
      <c r="I709" s="272"/>
      <c r="J709" s="272"/>
      <c r="K709" s="33"/>
      <c r="L709" s="33"/>
      <c r="M709" s="32"/>
      <c r="N709" s="32"/>
      <c r="O709" s="32"/>
      <c r="P709" s="33"/>
      <c r="Q709" s="32"/>
      <c r="R709" s="240"/>
      <c r="S709" s="32"/>
      <c r="T709" s="32"/>
      <c r="U709" s="250"/>
      <c r="V709" s="32"/>
      <c r="W709" s="33"/>
      <c r="X709" s="32"/>
      <c r="Y709" s="42"/>
      <c r="Z709" s="31"/>
      <c r="AA709" s="42"/>
      <c r="AB709" s="42"/>
      <c r="AC709" s="250"/>
      <c r="AD709" s="32"/>
      <c r="AE709" s="282"/>
      <c r="AF709" s="261"/>
      <c r="AG709" s="31"/>
      <c r="AH709" s="32"/>
      <c r="AI709" s="42"/>
      <c r="AJ709" s="42"/>
    </row>
    <row r="710" spans="1:36" x14ac:dyDescent="0.25">
      <c r="A710" s="272"/>
      <c r="B710" s="273"/>
      <c r="C710" s="274"/>
      <c r="D710" s="272"/>
      <c r="E710" s="272"/>
      <c r="F710" s="272"/>
      <c r="G710" s="272"/>
      <c r="H710" s="272"/>
      <c r="I710" s="272"/>
      <c r="J710" s="272"/>
      <c r="K710" s="33"/>
      <c r="L710" s="33"/>
      <c r="M710" s="32"/>
      <c r="N710" s="32"/>
      <c r="O710" s="32"/>
      <c r="P710" s="33"/>
      <c r="Q710" s="32"/>
      <c r="R710" s="240"/>
      <c r="S710" s="32"/>
      <c r="T710" s="32"/>
      <c r="U710" s="250"/>
      <c r="V710" s="32"/>
      <c r="W710" s="33"/>
      <c r="X710" s="32"/>
      <c r="Y710" s="42"/>
      <c r="Z710" s="31"/>
      <c r="AA710" s="42"/>
      <c r="AB710" s="42"/>
      <c r="AC710" s="250"/>
      <c r="AD710" s="32"/>
      <c r="AE710" s="282"/>
      <c r="AF710" s="261"/>
      <c r="AG710" s="31"/>
      <c r="AH710" s="32"/>
      <c r="AI710" s="42"/>
      <c r="AJ710" s="42"/>
    </row>
    <row r="711" spans="1:36" x14ac:dyDescent="0.25">
      <c r="A711" s="272"/>
      <c r="B711" s="273"/>
      <c r="C711" s="274"/>
      <c r="D711" s="272"/>
      <c r="E711" s="272"/>
      <c r="F711" s="272"/>
      <c r="G711" s="272"/>
      <c r="H711" s="272"/>
      <c r="I711" s="272"/>
      <c r="J711" s="272"/>
      <c r="K711" s="33"/>
      <c r="L711" s="33"/>
      <c r="M711" s="32"/>
      <c r="N711" s="32"/>
      <c r="O711" s="32"/>
      <c r="P711" s="33"/>
      <c r="Q711" s="32"/>
      <c r="R711" s="240"/>
      <c r="S711" s="32"/>
      <c r="T711" s="32"/>
      <c r="U711" s="250"/>
      <c r="V711" s="32"/>
      <c r="W711" s="33"/>
      <c r="X711" s="32"/>
      <c r="Y711" s="42"/>
      <c r="Z711" s="31"/>
      <c r="AA711" s="42"/>
      <c r="AB711" s="42"/>
      <c r="AC711" s="250"/>
      <c r="AD711" s="32"/>
      <c r="AE711" s="282"/>
      <c r="AF711" s="261"/>
      <c r="AG711" s="31"/>
      <c r="AH711" s="32"/>
      <c r="AI711" s="42"/>
      <c r="AJ711" s="42"/>
    </row>
    <row r="712" spans="1:36" x14ac:dyDescent="0.25">
      <c r="A712" s="272"/>
      <c r="B712" s="273"/>
      <c r="C712" s="274"/>
      <c r="D712" s="272"/>
      <c r="E712" s="272"/>
      <c r="F712" s="272"/>
      <c r="G712" s="272"/>
      <c r="H712" s="272"/>
      <c r="I712" s="272"/>
      <c r="J712" s="272"/>
      <c r="K712" s="33"/>
      <c r="L712" s="33"/>
      <c r="M712" s="32"/>
      <c r="N712" s="32"/>
      <c r="O712" s="32"/>
      <c r="P712" s="33"/>
      <c r="Q712" s="32"/>
      <c r="R712" s="240"/>
      <c r="S712" s="32"/>
      <c r="T712" s="32"/>
      <c r="U712" s="250"/>
      <c r="V712" s="32"/>
      <c r="W712" s="33"/>
      <c r="X712" s="32"/>
      <c r="Y712" s="42"/>
      <c r="Z712" s="31"/>
      <c r="AA712" s="42"/>
      <c r="AB712" s="42"/>
      <c r="AC712" s="250"/>
      <c r="AD712" s="32"/>
      <c r="AE712" s="282"/>
      <c r="AF712" s="261"/>
      <c r="AG712" s="31"/>
      <c r="AH712" s="32"/>
      <c r="AI712" s="42"/>
      <c r="AJ712" s="42"/>
    </row>
    <row r="713" spans="1:36" x14ac:dyDescent="0.25">
      <c r="A713" s="272"/>
      <c r="B713" s="273"/>
      <c r="C713" s="274"/>
      <c r="D713" s="272"/>
      <c r="E713" s="272"/>
      <c r="F713" s="272"/>
      <c r="G713" s="272"/>
      <c r="H713" s="272"/>
      <c r="I713" s="272"/>
      <c r="J713" s="272"/>
      <c r="K713" s="33"/>
      <c r="L713" s="33"/>
      <c r="M713" s="32"/>
      <c r="N713" s="32"/>
      <c r="O713" s="32"/>
      <c r="P713" s="33"/>
      <c r="Q713" s="32"/>
      <c r="R713" s="240"/>
      <c r="S713" s="32"/>
      <c r="T713" s="32"/>
      <c r="U713" s="250"/>
      <c r="V713" s="32"/>
      <c r="W713" s="33"/>
      <c r="X713" s="32"/>
      <c r="Y713" s="42"/>
      <c r="Z713" s="31"/>
      <c r="AA713" s="42"/>
      <c r="AB713" s="42"/>
      <c r="AC713" s="250"/>
      <c r="AD713" s="32"/>
      <c r="AE713" s="282"/>
      <c r="AF713" s="261"/>
      <c r="AG713" s="31"/>
      <c r="AH713" s="32"/>
      <c r="AI713" s="42"/>
      <c r="AJ713" s="42"/>
    </row>
    <row r="714" spans="1:36" x14ac:dyDescent="0.25">
      <c r="A714" s="272"/>
      <c r="B714" s="273"/>
      <c r="C714" s="274"/>
      <c r="D714" s="272"/>
      <c r="E714" s="272"/>
      <c r="F714" s="272"/>
      <c r="G714" s="272"/>
      <c r="H714" s="272"/>
      <c r="I714" s="272"/>
      <c r="J714" s="272"/>
      <c r="K714" s="33"/>
      <c r="L714" s="33"/>
      <c r="M714" s="32"/>
      <c r="N714" s="32"/>
      <c r="O714" s="32"/>
      <c r="P714" s="33"/>
      <c r="Q714" s="32"/>
      <c r="R714" s="240"/>
      <c r="S714" s="32"/>
      <c r="T714" s="32"/>
      <c r="U714" s="250"/>
      <c r="V714" s="32"/>
      <c r="W714" s="33"/>
      <c r="X714" s="32"/>
      <c r="Y714" s="42"/>
      <c r="Z714" s="31"/>
      <c r="AA714" s="42"/>
      <c r="AB714" s="42"/>
      <c r="AC714" s="250"/>
      <c r="AD714" s="32"/>
      <c r="AE714" s="282"/>
      <c r="AF714" s="261"/>
      <c r="AG714" s="31"/>
      <c r="AH714" s="32"/>
      <c r="AI714" s="42"/>
      <c r="AJ714" s="42"/>
    </row>
    <row r="715" spans="1:36" x14ac:dyDescent="0.25">
      <c r="A715" s="272"/>
      <c r="B715" s="273"/>
      <c r="C715" s="274"/>
      <c r="D715" s="272"/>
      <c r="E715" s="272"/>
      <c r="F715" s="272"/>
      <c r="G715" s="272"/>
      <c r="H715" s="272"/>
      <c r="I715" s="272"/>
      <c r="J715" s="272"/>
      <c r="K715" s="33"/>
      <c r="L715" s="33"/>
      <c r="M715" s="32"/>
      <c r="N715" s="32"/>
      <c r="O715" s="32"/>
      <c r="P715" s="33"/>
      <c r="Q715" s="32"/>
      <c r="R715" s="240"/>
      <c r="S715" s="32"/>
      <c r="T715" s="32"/>
      <c r="U715" s="250"/>
      <c r="V715" s="32"/>
      <c r="W715" s="33"/>
      <c r="X715" s="32"/>
      <c r="Y715" s="42"/>
      <c r="Z715" s="31"/>
      <c r="AA715" s="42"/>
      <c r="AB715" s="42"/>
      <c r="AC715" s="250"/>
      <c r="AD715" s="32"/>
      <c r="AE715" s="282"/>
      <c r="AF715" s="261"/>
      <c r="AG715" s="31"/>
      <c r="AH715" s="32"/>
      <c r="AI715" s="42"/>
      <c r="AJ715" s="42"/>
    </row>
    <row r="716" spans="1:36" x14ac:dyDescent="0.25">
      <c r="A716" s="272"/>
      <c r="B716" s="273"/>
      <c r="C716" s="274"/>
      <c r="D716" s="272"/>
      <c r="E716" s="272"/>
      <c r="F716" s="272"/>
      <c r="G716" s="272"/>
      <c r="H716" s="272"/>
      <c r="I716" s="272"/>
      <c r="J716" s="272"/>
      <c r="K716" s="33"/>
      <c r="L716" s="33"/>
      <c r="M716" s="32"/>
      <c r="N716" s="32"/>
      <c r="O716" s="32"/>
      <c r="P716" s="33"/>
      <c r="Q716" s="32"/>
      <c r="R716" s="240"/>
      <c r="S716" s="32"/>
      <c r="T716" s="32"/>
      <c r="U716" s="250"/>
      <c r="V716" s="32"/>
      <c r="W716" s="33"/>
      <c r="X716" s="32"/>
      <c r="Y716" s="42"/>
      <c r="Z716" s="31"/>
      <c r="AA716" s="42"/>
      <c r="AB716" s="42"/>
      <c r="AC716" s="250"/>
      <c r="AD716" s="32"/>
      <c r="AE716" s="282"/>
      <c r="AF716" s="261"/>
      <c r="AG716" s="31"/>
      <c r="AH716" s="32"/>
      <c r="AI716" s="42"/>
      <c r="AJ716" s="42"/>
    </row>
    <row r="717" spans="1:36" x14ac:dyDescent="0.25">
      <c r="A717" s="272"/>
      <c r="B717" s="273"/>
      <c r="C717" s="274"/>
      <c r="D717" s="272"/>
      <c r="E717" s="272"/>
      <c r="F717" s="272"/>
      <c r="G717" s="272"/>
      <c r="H717" s="272"/>
      <c r="I717" s="272"/>
      <c r="J717" s="272"/>
      <c r="K717" s="33"/>
      <c r="L717" s="33"/>
      <c r="M717" s="32"/>
      <c r="N717" s="32"/>
      <c r="O717" s="32"/>
      <c r="P717" s="33"/>
      <c r="Q717" s="32"/>
      <c r="R717" s="240"/>
      <c r="S717" s="32"/>
      <c r="T717" s="32"/>
      <c r="U717" s="250"/>
      <c r="V717" s="32"/>
      <c r="W717" s="33"/>
      <c r="X717" s="32"/>
      <c r="Y717" s="42"/>
      <c r="Z717" s="31"/>
      <c r="AA717" s="42"/>
      <c r="AB717" s="42"/>
      <c r="AC717" s="250"/>
      <c r="AD717" s="32"/>
      <c r="AE717" s="282"/>
      <c r="AF717" s="261"/>
      <c r="AG717" s="31"/>
      <c r="AH717" s="32"/>
      <c r="AI717" s="42"/>
      <c r="AJ717" s="42"/>
    </row>
    <row r="718" spans="1:36" x14ac:dyDescent="0.25">
      <c r="A718" s="272"/>
      <c r="B718" s="273"/>
      <c r="C718" s="274"/>
      <c r="D718" s="272"/>
      <c r="E718" s="272"/>
      <c r="F718" s="272"/>
      <c r="G718" s="272"/>
      <c r="H718" s="272"/>
      <c r="I718" s="272"/>
      <c r="J718" s="272"/>
      <c r="K718" s="33"/>
      <c r="L718" s="33"/>
      <c r="M718" s="32"/>
      <c r="N718" s="32"/>
      <c r="O718" s="32"/>
      <c r="P718" s="33"/>
      <c r="Q718" s="32"/>
      <c r="R718" s="240"/>
      <c r="S718" s="32"/>
      <c r="T718" s="32"/>
      <c r="U718" s="250"/>
      <c r="V718" s="32"/>
      <c r="W718" s="33"/>
      <c r="X718" s="32"/>
      <c r="Y718" s="42"/>
      <c r="Z718" s="31"/>
      <c r="AA718" s="42"/>
      <c r="AB718" s="42"/>
      <c r="AC718" s="250"/>
      <c r="AD718" s="32"/>
      <c r="AE718" s="282"/>
      <c r="AF718" s="261"/>
      <c r="AG718" s="31"/>
      <c r="AH718" s="32"/>
      <c r="AI718" s="42"/>
      <c r="AJ718" s="42"/>
    </row>
    <row r="719" spans="1:36" x14ac:dyDescent="0.25">
      <c r="A719" s="272"/>
      <c r="B719" s="273"/>
      <c r="C719" s="274"/>
      <c r="D719" s="272"/>
      <c r="E719" s="272"/>
      <c r="F719" s="272"/>
      <c r="G719" s="272"/>
      <c r="H719" s="272"/>
      <c r="I719" s="272"/>
      <c r="J719" s="272"/>
      <c r="K719" s="33"/>
      <c r="L719" s="33"/>
      <c r="M719" s="32"/>
      <c r="N719" s="32"/>
      <c r="O719" s="32"/>
      <c r="P719" s="33"/>
      <c r="Q719" s="32"/>
      <c r="R719" s="240"/>
      <c r="S719" s="32"/>
      <c r="T719" s="32"/>
      <c r="U719" s="250"/>
      <c r="V719" s="32"/>
      <c r="W719" s="33"/>
      <c r="X719" s="32"/>
      <c r="Y719" s="42"/>
      <c r="Z719" s="31"/>
      <c r="AA719" s="42"/>
      <c r="AB719" s="42"/>
      <c r="AC719" s="250"/>
      <c r="AD719" s="32"/>
      <c r="AE719" s="282"/>
      <c r="AF719" s="261"/>
      <c r="AG719" s="31"/>
      <c r="AH719" s="32"/>
      <c r="AI719" s="42"/>
      <c r="AJ719" s="42"/>
    </row>
    <row r="720" spans="1:36" x14ac:dyDescent="0.25">
      <c r="A720" s="272"/>
      <c r="B720" s="273"/>
      <c r="C720" s="274"/>
      <c r="D720" s="272"/>
      <c r="E720" s="272"/>
      <c r="F720" s="272"/>
      <c r="G720" s="272"/>
      <c r="H720" s="272"/>
      <c r="I720" s="272"/>
      <c r="J720" s="272"/>
      <c r="K720" s="33"/>
      <c r="L720" s="33"/>
      <c r="M720" s="32"/>
      <c r="N720" s="32"/>
      <c r="O720" s="32"/>
      <c r="P720" s="33"/>
      <c r="Q720" s="32"/>
      <c r="R720" s="240"/>
      <c r="S720" s="32"/>
      <c r="T720" s="32"/>
      <c r="U720" s="250"/>
      <c r="V720" s="32"/>
      <c r="W720" s="33"/>
      <c r="X720" s="32"/>
      <c r="Y720" s="42"/>
      <c r="Z720" s="31"/>
      <c r="AA720" s="42"/>
      <c r="AB720" s="42"/>
      <c r="AC720" s="250"/>
      <c r="AD720" s="32"/>
      <c r="AE720" s="282"/>
      <c r="AF720" s="261"/>
      <c r="AG720" s="31"/>
      <c r="AH720" s="32"/>
      <c r="AI720" s="42"/>
      <c r="AJ720" s="42"/>
    </row>
    <row r="721" spans="1:36" x14ac:dyDescent="0.25">
      <c r="A721" s="272"/>
      <c r="B721" s="273"/>
      <c r="C721" s="274"/>
      <c r="D721" s="272"/>
      <c r="E721" s="272"/>
      <c r="F721" s="272"/>
      <c r="G721" s="272"/>
      <c r="H721" s="272"/>
      <c r="I721" s="272"/>
      <c r="J721" s="272"/>
      <c r="K721" s="33"/>
      <c r="L721" s="33"/>
      <c r="M721" s="32"/>
      <c r="N721" s="32"/>
      <c r="O721" s="32"/>
      <c r="P721" s="33"/>
      <c r="Q721" s="32"/>
      <c r="R721" s="240"/>
      <c r="S721" s="32"/>
      <c r="T721" s="32"/>
      <c r="U721" s="250"/>
      <c r="V721" s="32"/>
      <c r="W721" s="33"/>
      <c r="X721" s="32"/>
      <c r="Y721" s="42"/>
      <c r="Z721" s="31"/>
      <c r="AA721" s="42"/>
      <c r="AB721" s="42"/>
      <c r="AC721" s="250"/>
      <c r="AD721" s="32"/>
      <c r="AE721" s="282"/>
      <c r="AF721" s="261"/>
      <c r="AG721" s="31"/>
      <c r="AH721" s="32"/>
      <c r="AI721" s="42"/>
      <c r="AJ721" s="42"/>
    </row>
    <row r="722" spans="1:36" x14ac:dyDescent="0.25">
      <c r="A722" s="272"/>
      <c r="B722" s="273"/>
      <c r="C722" s="274"/>
      <c r="D722" s="272"/>
      <c r="E722" s="272"/>
      <c r="F722" s="272"/>
      <c r="G722" s="272"/>
      <c r="H722" s="272"/>
      <c r="I722" s="272"/>
      <c r="J722" s="272"/>
      <c r="K722" s="33"/>
      <c r="L722" s="33"/>
      <c r="M722" s="32"/>
      <c r="N722" s="32"/>
      <c r="O722" s="32"/>
      <c r="P722" s="33"/>
      <c r="Q722" s="32"/>
      <c r="R722" s="240"/>
      <c r="S722" s="32"/>
      <c r="T722" s="32"/>
      <c r="U722" s="250"/>
      <c r="V722" s="32"/>
      <c r="W722" s="33"/>
      <c r="X722" s="32"/>
      <c r="Y722" s="42"/>
      <c r="Z722" s="31"/>
      <c r="AA722" s="42"/>
      <c r="AB722" s="42"/>
      <c r="AC722" s="250"/>
      <c r="AD722" s="32"/>
      <c r="AE722" s="282"/>
      <c r="AF722" s="261"/>
      <c r="AG722" s="31"/>
      <c r="AH722" s="32"/>
      <c r="AI722" s="42"/>
      <c r="AJ722" s="42"/>
    </row>
    <row r="723" spans="1:36" x14ac:dyDescent="0.25">
      <c r="A723" s="272"/>
      <c r="B723" s="273"/>
      <c r="C723" s="274"/>
      <c r="D723" s="272"/>
      <c r="E723" s="272"/>
      <c r="F723" s="272"/>
      <c r="G723" s="272"/>
      <c r="H723" s="272"/>
      <c r="I723" s="272"/>
      <c r="J723" s="272"/>
      <c r="K723" s="33"/>
      <c r="L723" s="33"/>
      <c r="M723" s="32"/>
      <c r="N723" s="32"/>
      <c r="O723" s="32"/>
      <c r="P723" s="33"/>
      <c r="Q723" s="32"/>
      <c r="R723" s="240"/>
      <c r="S723" s="32"/>
      <c r="T723" s="32"/>
      <c r="U723" s="250"/>
      <c r="V723" s="32"/>
      <c r="W723" s="33"/>
      <c r="X723" s="32"/>
      <c r="Y723" s="42"/>
      <c r="Z723" s="31"/>
      <c r="AA723" s="42"/>
      <c r="AB723" s="42"/>
      <c r="AC723" s="250"/>
      <c r="AD723" s="32"/>
      <c r="AE723" s="282"/>
      <c r="AF723" s="261"/>
      <c r="AG723" s="31"/>
      <c r="AH723" s="32"/>
      <c r="AI723" s="42"/>
      <c r="AJ723" s="42"/>
    </row>
    <row r="724" spans="1:36" x14ac:dyDescent="0.25">
      <c r="A724" s="272"/>
      <c r="B724" s="273"/>
      <c r="C724" s="274"/>
      <c r="D724" s="272"/>
      <c r="E724" s="272"/>
      <c r="F724" s="272"/>
      <c r="G724" s="272"/>
      <c r="H724" s="272"/>
      <c r="I724" s="272"/>
      <c r="J724" s="272"/>
      <c r="K724" s="33"/>
      <c r="L724" s="33"/>
      <c r="M724" s="32"/>
      <c r="N724" s="32"/>
      <c r="O724" s="32"/>
      <c r="P724" s="33"/>
      <c r="Q724" s="32"/>
      <c r="R724" s="240"/>
      <c r="S724" s="32"/>
      <c r="T724" s="32"/>
      <c r="U724" s="250"/>
      <c r="V724" s="32"/>
      <c r="W724" s="33"/>
      <c r="X724" s="32"/>
      <c r="Y724" s="42"/>
      <c r="Z724" s="31"/>
      <c r="AA724" s="42"/>
      <c r="AB724" s="42"/>
      <c r="AC724" s="250"/>
      <c r="AD724" s="32"/>
      <c r="AE724" s="282"/>
      <c r="AF724" s="261"/>
      <c r="AG724" s="31"/>
      <c r="AH724" s="32"/>
      <c r="AI724" s="42"/>
      <c r="AJ724" s="42"/>
    </row>
    <row r="725" spans="1:36" x14ac:dyDescent="0.25">
      <c r="A725" s="272"/>
      <c r="B725" s="273"/>
      <c r="C725" s="274"/>
      <c r="D725" s="272"/>
      <c r="E725" s="272"/>
      <c r="F725" s="272"/>
      <c r="G725" s="272"/>
      <c r="H725" s="272"/>
      <c r="I725" s="272"/>
      <c r="J725" s="272"/>
      <c r="K725" s="33"/>
      <c r="L725" s="33"/>
      <c r="M725" s="32"/>
      <c r="N725" s="32"/>
      <c r="O725" s="32"/>
      <c r="P725" s="33"/>
      <c r="Q725" s="32"/>
      <c r="R725" s="240"/>
      <c r="S725" s="32"/>
      <c r="T725" s="32"/>
      <c r="U725" s="250"/>
      <c r="V725" s="32"/>
      <c r="W725" s="33"/>
      <c r="X725" s="32"/>
      <c r="Y725" s="42"/>
      <c r="Z725" s="31"/>
      <c r="AA725" s="42"/>
      <c r="AB725" s="42"/>
      <c r="AC725" s="250"/>
      <c r="AD725" s="32"/>
      <c r="AE725" s="282"/>
      <c r="AF725" s="261"/>
      <c r="AG725" s="31"/>
      <c r="AH725" s="32"/>
      <c r="AI725" s="42"/>
      <c r="AJ725" s="42"/>
    </row>
    <row r="726" spans="1:36" x14ac:dyDescent="0.25">
      <c r="A726" s="272"/>
      <c r="B726" s="273"/>
      <c r="C726" s="274"/>
      <c r="D726" s="272"/>
      <c r="E726" s="272"/>
      <c r="F726" s="272"/>
      <c r="G726" s="272"/>
      <c r="H726" s="272"/>
      <c r="I726" s="272"/>
      <c r="J726" s="272"/>
      <c r="K726" s="33"/>
      <c r="L726" s="33"/>
      <c r="M726" s="32"/>
      <c r="N726" s="32"/>
      <c r="O726" s="32"/>
      <c r="P726" s="33"/>
      <c r="Q726" s="32"/>
      <c r="R726" s="240"/>
      <c r="S726" s="32"/>
      <c r="T726" s="32"/>
      <c r="U726" s="250"/>
      <c r="V726" s="32"/>
      <c r="W726" s="33"/>
      <c r="X726" s="32"/>
      <c r="Y726" s="42"/>
      <c r="Z726" s="31"/>
      <c r="AA726" s="42"/>
      <c r="AB726" s="42"/>
      <c r="AC726" s="250"/>
      <c r="AD726" s="32"/>
      <c r="AE726" s="282"/>
      <c r="AF726" s="261"/>
      <c r="AG726" s="31"/>
      <c r="AH726" s="32"/>
      <c r="AI726" s="42"/>
      <c r="AJ726" s="42"/>
    </row>
    <row r="727" spans="1:36" x14ac:dyDescent="0.25">
      <c r="A727" s="272"/>
      <c r="B727" s="273"/>
      <c r="C727" s="274"/>
      <c r="D727" s="272"/>
      <c r="E727" s="272"/>
      <c r="F727" s="272"/>
      <c r="G727" s="272"/>
      <c r="H727" s="272"/>
      <c r="I727" s="272"/>
      <c r="J727" s="272"/>
      <c r="K727" s="33"/>
      <c r="L727" s="33"/>
      <c r="M727" s="32"/>
      <c r="N727" s="32"/>
      <c r="O727" s="32"/>
      <c r="P727" s="33"/>
      <c r="Q727" s="32"/>
      <c r="R727" s="240"/>
      <c r="S727" s="32"/>
      <c r="T727" s="32"/>
      <c r="U727" s="250"/>
      <c r="V727" s="32"/>
      <c r="W727" s="33"/>
      <c r="X727" s="32"/>
      <c r="Y727" s="42"/>
      <c r="Z727" s="31"/>
      <c r="AA727" s="42"/>
      <c r="AB727" s="42"/>
      <c r="AC727" s="250"/>
      <c r="AD727" s="32"/>
      <c r="AE727" s="282"/>
      <c r="AF727" s="261"/>
      <c r="AG727" s="31"/>
      <c r="AH727" s="32"/>
      <c r="AI727" s="42"/>
      <c r="AJ727" s="42"/>
    </row>
    <row r="728" spans="1:36" x14ac:dyDescent="0.25">
      <c r="A728" s="272"/>
      <c r="B728" s="273"/>
      <c r="C728" s="274"/>
      <c r="D728" s="272"/>
      <c r="E728" s="272"/>
      <c r="F728" s="272"/>
      <c r="G728" s="272"/>
      <c r="H728" s="272"/>
      <c r="I728" s="272"/>
      <c r="J728" s="272"/>
      <c r="K728" s="33"/>
      <c r="L728" s="33"/>
      <c r="M728" s="32"/>
      <c r="N728" s="32"/>
      <c r="O728" s="32"/>
      <c r="P728" s="33"/>
      <c r="Q728" s="32"/>
      <c r="R728" s="240"/>
      <c r="S728" s="32"/>
      <c r="T728" s="32"/>
      <c r="U728" s="250"/>
      <c r="V728" s="32"/>
      <c r="W728" s="33"/>
      <c r="X728" s="32"/>
      <c r="Y728" s="42"/>
      <c r="Z728" s="31"/>
      <c r="AA728" s="42"/>
      <c r="AB728" s="42"/>
      <c r="AC728" s="250"/>
      <c r="AD728" s="32"/>
      <c r="AE728" s="282"/>
      <c r="AF728" s="261"/>
      <c r="AG728" s="31"/>
      <c r="AH728" s="32"/>
      <c r="AI728" s="42"/>
      <c r="AJ728" s="42"/>
    </row>
    <row r="729" spans="1:36" x14ac:dyDescent="0.25">
      <c r="A729" s="272"/>
      <c r="B729" s="273"/>
      <c r="C729" s="274"/>
      <c r="D729" s="272"/>
      <c r="E729" s="272"/>
      <c r="F729" s="272"/>
      <c r="G729" s="272"/>
      <c r="H729" s="272"/>
      <c r="I729" s="272"/>
      <c r="J729" s="272"/>
      <c r="K729" s="33"/>
      <c r="L729" s="33"/>
      <c r="M729" s="32"/>
      <c r="N729" s="32"/>
      <c r="O729" s="32"/>
      <c r="P729" s="33"/>
      <c r="Q729" s="32"/>
      <c r="R729" s="240"/>
      <c r="S729" s="32"/>
      <c r="T729" s="32"/>
      <c r="U729" s="250"/>
      <c r="V729" s="32"/>
      <c r="W729" s="33"/>
      <c r="X729" s="32"/>
      <c r="Y729" s="42"/>
      <c r="Z729" s="31"/>
      <c r="AA729" s="42"/>
      <c r="AB729" s="42"/>
      <c r="AC729" s="250"/>
      <c r="AD729" s="32"/>
      <c r="AE729" s="282"/>
      <c r="AF729" s="261"/>
      <c r="AG729" s="31"/>
      <c r="AH729" s="32"/>
      <c r="AI729" s="42"/>
      <c r="AJ729" s="42"/>
    </row>
    <row r="730" spans="1:36" x14ac:dyDescent="0.25">
      <c r="A730" s="272"/>
      <c r="B730" s="273"/>
      <c r="C730" s="274"/>
      <c r="D730" s="272"/>
      <c r="E730" s="272"/>
      <c r="F730" s="272"/>
      <c r="G730" s="272"/>
      <c r="H730" s="272"/>
      <c r="I730" s="272"/>
      <c r="J730" s="272"/>
      <c r="K730" s="33"/>
      <c r="L730" s="33"/>
      <c r="M730" s="32"/>
      <c r="N730" s="32"/>
      <c r="O730" s="32"/>
      <c r="P730" s="33"/>
      <c r="Q730" s="32"/>
      <c r="R730" s="240"/>
      <c r="S730" s="32"/>
      <c r="T730" s="32"/>
      <c r="U730" s="250"/>
      <c r="V730" s="32"/>
      <c r="W730" s="33"/>
      <c r="X730" s="32"/>
      <c r="Y730" s="42"/>
      <c r="Z730" s="31"/>
      <c r="AA730" s="42"/>
      <c r="AB730" s="42"/>
      <c r="AC730" s="250"/>
      <c r="AD730" s="32"/>
      <c r="AE730" s="282"/>
      <c r="AF730" s="261"/>
      <c r="AG730" s="31"/>
      <c r="AH730" s="32"/>
      <c r="AI730" s="42"/>
      <c r="AJ730" s="42"/>
    </row>
    <row r="731" spans="1:36" x14ac:dyDescent="0.25">
      <c r="A731" s="272"/>
      <c r="B731" s="273"/>
      <c r="C731" s="274"/>
      <c r="D731" s="272"/>
      <c r="E731" s="272"/>
      <c r="F731" s="272"/>
      <c r="G731" s="272"/>
      <c r="H731" s="272"/>
      <c r="I731" s="272"/>
      <c r="J731" s="272"/>
      <c r="K731" s="33"/>
      <c r="L731" s="33"/>
      <c r="M731" s="32"/>
      <c r="N731" s="32"/>
      <c r="O731" s="32"/>
      <c r="P731" s="33"/>
      <c r="Q731" s="32"/>
      <c r="R731" s="240"/>
      <c r="S731" s="32"/>
      <c r="T731" s="32"/>
      <c r="U731" s="250"/>
      <c r="V731" s="32"/>
      <c r="W731" s="33"/>
      <c r="X731" s="32"/>
      <c r="Y731" s="42"/>
      <c r="Z731" s="31"/>
      <c r="AA731" s="42"/>
      <c r="AB731" s="42"/>
      <c r="AC731" s="250"/>
      <c r="AD731" s="32"/>
      <c r="AE731" s="282"/>
      <c r="AF731" s="261"/>
      <c r="AG731" s="31"/>
      <c r="AH731" s="32"/>
      <c r="AI731" s="42"/>
      <c r="AJ731" s="42"/>
    </row>
    <row r="732" spans="1:36" x14ac:dyDescent="0.25">
      <c r="A732" s="272"/>
      <c r="B732" s="273"/>
      <c r="C732" s="274"/>
      <c r="D732" s="272"/>
      <c r="E732" s="272"/>
      <c r="F732" s="272"/>
      <c r="G732" s="272"/>
      <c r="H732" s="272"/>
      <c r="I732" s="272"/>
      <c r="J732" s="272"/>
      <c r="K732" s="33"/>
      <c r="L732" s="33"/>
      <c r="M732" s="32"/>
      <c r="N732" s="32"/>
      <c r="O732" s="32"/>
      <c r="P732" s="33"/>
      <c r="Q732" s="32"/>
      <c r="R732" s="240"/>
      <c r="S732" s="32"/>
      <c r="T732" s="32"/>
      <c r="U732" s="250"/>
      <c r="V732" s="32"/>
      <c r="W732" s="33"/>
      <c r="X732" s="32"/>
      <c r="Y732" s="42"/>
      <c r="Z732" s="31"/>
      <c r="AA732" s="42"/>
      <c r="AB732" s="42"/>
      <c r="AC732" s="250"/>
      <c r="AD732" s="32"/>
      <c r="AE732" s="282"/>
      <c r="AF732" s="261"/>
      <c r="AG732" s="31"/>
      <c r="AH732" s="32"/>
      <c r="AI732" s="42"/>
      <c r="AJ732" s="42"/>
    </row>
    <row r="733" spans="1:36" x14ac:dyDescent="0.25">
      <c r="A733" s="272"/>
      <c r="B733" s="273"/>
      <c r="C733" s="274"/>
      <c r="D733" s="272"/>
      <c r="E733" s="272"/>
      <c r="F733" s="272"/>
      <c r="G733" s="272"/>
      <c r="H733" s="272"/>
      <c r="I733" s="272"/>
      <c r="J733" s="272"/>
      <c r="K733" s="33"/>
      <c r="L733" s="33"/>
      <c r="M733" s="32"/>
      <c r="N733" s="32"/>
      <c r="O733" s="32"/>
      <c r="P733" s="33"/>
      <c r="Q733" s="32"/>
      <c r="R733" s="240"/>
      <c r="S733" s="32"/>
      <c r="T733" s="32"/>
      <c r="U733" s="250"/>
      <c r="V733" s="32"/>
      <c r="W733" s="33"/>
      <c r="X733" s="32"/>
      <c r="Y733" s="42"/>
      <c r="Z733" s="31"/>
      <c r="AA733" s="42"/>
      <c r="AB733" s="42"/>
      <c r="AC733" s="250"/>
      <c r="AD733" s="32"/>
      <c r="AE733" s="282"/>
      <c r="AF733" s="261"/>
      <c r="AG733" s="31"/>
      <c r="AH733" s="32"/>
      <c r="AI733" s="42"/>
      <c r="AJ733" s="42"/>
    </row>
    <row r="734" spans="1:36" x14ac:dyDescent="0.25">
      <c r="A734" s="272"/>
      <c r="B734" s="273"/>
      <c r="C734" s="274"/>
      <c r="D734" s="272"/>
      <c r="E734" s="272"/>
      <c r="F734" s="272"/>
      <c r="G734" s="272"/>
      <c r="H734" s="272"/>
      <c r="I734" s="272"/>
      <c r="J734" s="272"/>
      <c r="K734" s="33"/>
      <c r="L734" s="33"/>
      <c r="M734" s="32"/>
      <c r="N734" s="32"/>
      <c r="O734" s="32"/>
      <c r="P734" s="33"/>
      <c r="Q734" s="32"/>
      <c r="R734" s="240"/>
      <c r="S734" s="32"/>
      <c r="T734" s="32"/>
      <c r="U734" s="250"/>
      <c r="V734" s="32"/>
      <c r="W734" s="33"/>
      <c r="X734" s="32"/>
      <c r="Y734" s="42"/>
      <c r="Z734" s="31"/>
      <c r="AA734" s="42"/>
      <c r="AB734" s="42"/>
      <c r="AC734" s="250"/>
      <c r="AD734" s="32"/>
      <c r="AE734" s="282"/>
      <c r="AF734" s="261"/>
      <c r="AG734" s="31"/>
      <c r="AH734" s="32"/>
      <c r="AI734" s="42"/>
      <c r="AJ734" s="42"/>
    </row>
    <row r="735" spans="1:36" x14ac:dyDescent="0.25">
      <c r="A735" s="272"/>
      <c r="B735" s="273"/>
      <c r="C735" s="274"/>
      <c r="D735" s="272"/>
      <c r="E735" s="272"/>
      <c r="F735" s="272"/>
      <c r="G735" s="272"/>
      <c r="H735" s="272"/>
      <c r="I735" s="272"/>
      <c r="J735" s="272"/>
      <c r="K735" s="33"/>
      <c r="L735" s="33"/>
      <c r="M735" s="32"/>
      <c r="N735" s="32"/>
      <c r="O735" s="32"/>
      <c r="P735" s="33"/>
      <c r="Q735" s="32"/>
      <c r="R735" s="240"/>
      <c r="S735" s="32"/>
      <c r="T735" s="32"/>
      <c r="U735" s="250"/>
      <c r="V735" s="32"/>
      <c r="W735" s="33"/>
      <c r="X735" s="32"/>
      <c r="Y735" s="42"/>
      <c r="Z735" s="31"/>
      <c r="AA735" s="42"/>
      <c r="AB735" s="42"/>
      <c r="AC735" s="250"/>
      <c r="AD735" s="32"/>
      <c r="AE735" s="282"/>
      <c r="AF735" s="261"/>
      <c r="AG735" s="31"/>
      <c r="AH735" s="32"/>
      <c r="AI735" s="42"/>
      <c r="AJ735" s="42"/>
    </row>
    <row r="736" spans="1:36" x14ac:dyDescent="0.25">
      <c r="A736" s="272"/>
      <c r="B736" s="273"/>
      <c r="C736" s="274"/>
      <c r="D736" s="272"/>
      <c r="E736" s="272"/>
      <c r="F736" s="272"/>
      <c r="G736" s="272"/>
      <c r="H736" s="272"/>
      <c r="I736" s="272"/>
      <c r="J736" s="272"/>
      <c r="K736" s="33"/>
      <c r="L736" s="33"/>
      <c r="M736" s="32"/>
      <c r="N736" s="32"/>
      <c r="O736" s="32"/>
      <c r="P736" s="33"/>
      <c r="Q736" s="32"/>
      <c r="R736" s="240"/>
      <c r="S736" s="32"/>
      <c r="T736" s="32"/>
      <c r="U736" s="250"/>
      <c r="V736" s="32"/>
      <c r="W736" s="33"/>
      <c r="X736" s="32"/>
      <c r="Y736" s="42"/>
      <c r="Z736" s="31"/>
      <c r="AA736" s="42"/>
      <c r="AB736" s="42"/>
      <c r="AC736" s="250"/>
      <c r="AD736" s="32"/>
      <c r="AE736" s="282"/>
      <c r="AF736" s="261"/>
      <c r="AG736" s="31"/>
      <c r="AH736" s="32"/>
      <c r="AI736" s="42"/>
      <c r="AJ736" s="42"/>
    </row>
    <row r="737" spans="1:36" x14ac:dyDescent="0.25">
      <c r="A737" s="272"/>
      <c r="B737" s="273"/>
      <c r="C737" s="274"/>
      <c r="D737" s="272"/>
      <c r="E737" s="272"/>
      <c r="F737" s="272"/>
      <c r="G737" s="272"/>
      <c r="H737" s="272"/>
      <c r="I737" s="272"/>
      <c r="J737" s="272"/>
      <c r="K737" s="33"/>
      <c r="L737" s="33"/>
      <c r="M737" s="32"/>
      <c r="N737" s="32"/>
      <c r="O737" s="32"/>
      <c r="P737" s="33"/>
      <c r="Q737" s="32"/>
      <c r="R737" s="240"/>
      <c r="S737" s="32"/>
      <c r="T737" s="32"/>
      <c r="U737" s="250"/>
      <c r="V737" s="32"/>
      <c r="W737" s="33"/>
      <c r="X737" s="32"/>
      <c r="Y737" s="42"/>
      <c r="Z737" s="31"/>
      <c r="AA737" s="42"/>
      <c r="AB737" s="42"/>
      <c r="AC737" s="250"/>
      <c r="AD737" s="32"/>
      <c r="AE737" s="282"/>
      <c r="AF737" s="261"/>
      <c r="AG737" s="31"/>
      <c r="AH737" s="32"/>
      <c r="AI737" s="42"/>
      <c r="AJ737" s="42"/>
    </row>
    <row r="738" spans="1:36" x14ac:dyDescent="0.25">
      <c r="A738" s="272"/>
      <c r="B738" s="273"/>
      <c r="C738" s="274"/>
      <c r="D738" s="272"/>
      <c r="E738" s="272"/>
      <c r="F738" s="272"/>
      <c r="G738" s="272"/>
      <c r="H738" s="272"/>
      <c r="I738" s="272"/>
      <c r="J738" s="272"/>
      <c r="K738" s="33"/>
      <c r="L738" s="33"/>
      <c r="M738" s="32"/>
      <c r="N738" s="32"/>
      <c r="O738" s="32"/>
      <c r="P738" s="33"/>
      <c r="Q738" s="32"/>
      <c r="R738" s="240"/>
      <c r="S738" s="32"/>
      <c r="T738" s="32"/>
      <c r="U738" s="250"/>
      <c r="V738" s="32"/>
      <c r="W738" s="33"/>
      <c r="X738" s="32"/>
      <c r="Y738" s="42"/>
      <c r="Z738" s="31"/>
      <c r="AA738" s="42"/>
      <c r="AB738" s="42"/>
      <c r="AC738" s="250"/>
      <c r="AD738" s="32"/>
      <c r="AE738" s="282"/>
      <c r="AF738" s="261"/>
      <c r="AG738" s="31"/>
      <c r="AH738" s="32"/>
      <c r="AI738" s="42"/>
      <c r="AJ738" s="42"/>
    </row>
    <row r="739" spans="1:36" x14ac:dyDescent="0.25">
      <c r="A739" s="272"/>
      <c r="B739" s="273"/>
      <c r="C739" s="274"/>
      <c r="D739" s="272"/>
      <c r="E739" s="272"/>
      <c r="F739" s="272"/>
      <c r="G739" s="272"/>
      <c r="H739" s="272"/>
      <c r="I739" s="272"/>
      <c r="J739" s="272"/>
      <c r="K739" s="33"/>
      <c r="L739" s="33"/>
      <c r="M739" s="32"/>
      <c r="N739" s="32"/>
      <c r="O739" s="32"/>
      <c r="P739" s="33"/>
      <c r="Q739" s="32"/>
      <c r="R739" s="240"/>
      <c r="S739" s="32"/>
      <c r="T739" s="32"/>
      <c r="U739" s="250"/>
      <c r="V739" s="32"/>
      <c r="W739" s="33"/>
      <c r="X739" s="32"/>
      <c r="Y739" s="42"/>
      <c r="Z739" s="31"/>
      <c r="AA739" s="42"/>
      <c r="AB739" s="42"/>
      <c r="AC739" s="250"/>
      <c r="AD739" s="32"/>
      <c r="AE739" s="282"/>
      <c r="AF739" s="261"/>
      <c r="AG739" s="31"/>
      <c r="AH739" s="32"/>
      <c r="AI739" s="42"/>
      <c r="AJ739" s="42"/>
    </row>
    <row r="740" spans="1:36" x14ac:dyDescent="0.25">
      <c r="A740" s="272"/>
      <c r="B740" s="273"/>
      <c r="C740" s="274"/>
      <c r="D740" s="272"/>
      <c r="E740" s="272"/>
      <c r="F740" s="272"/>
      <c r="G740" s="272"/>
      <c r="H740" s="272"/>
      <c r="I740" s="272"/>
      <c r="J740" s="272"/>
      <c r="K740" s="33"/>
      <c r="L740" s="33"/>
      <c r="M740" s="32"/>
      <c r="N740" s="32"/>
      <c r="O740" s="32"/>
      <c r="P740" s="33"/>
      <c r="Q740" s="32"/>
      <c r="R740" s="240"/>
      <c r="S740" s="32"/>
      <c r="T740" s="32"/>
      <c r="U740" s="250"/>
      <c r="V740" s="32"/>
      <c r="W740" s="33"/>
      <c r="X740" s="32"/>
      <c r="Y740" s="42"/>
      <c r="Z740" s="31"/>
      <c r="AA740" s="42"/>
      <c r="AB740" s="42"/>
      <c r="AC740" s="250"/>
      <c r="AD740" s="32"/>
      <c r="AE740" s="282"/>
      <c r="AF740" s="261"/>
      <c r="AG740" s="31"/>
      <c r="AH740" s="32"/>
      <c r="AI740" s="42"/>
      <c r="AJ740" s="42"/>
    </row>
    <row r="741" spans="1:36" x14ac:dyDescent="0.25">
      <c r="A741" s="272"/>
      <c r="B741" s="273"/>
      <c r="C741" s="274"/>
      <c r="D741" s="272"/>
      <c r="E741" s="272"/>
      <c r="F741" s="272"/>
      <c r="G741" s="272"/>
      <c r="H741" s="272"/>
      <c r="I741" s="272"/>
      <c r="J741" s="272"/>
      <c r="K741" s="33"/>
      <c r="L741" s="33"/>
      <c r="M741" s="32"/>
      <c r="N741" s="32"/>
      <c r="O741" s="32"/>
      <c r="P741" s="33"/>
      <c r="Q741" s="32"/>
      <c r="R741" s="240"/>
      <c r="S741" s="32"/>
      <c r="T741" s="32"/>
      <c r="U741" s="250"/>
      <c r="V741" s="32"/>
      <c r="W741" s="33"/>
      <c r="X741" s="32"/>
      <c r="Y741" s="42"/>
      <c r="Z741" s="31"/>
      <c r="AA741" s="42"/>
      <c r="AB741" s="42"/>
      <c r="AC741" s="250"/>
      <c r="AD741" s="32"/>
      <c r="AE741" s="282"/>
      <c r="AF741" s="261"/>
      <c r="AG741" s="31"/>
      <c r="AH741" s="32"/>
      <c r="AI741" s="42"/>
      <c r="AJ741" s="42"/>
    </row>
    <row r="742" spans="1:36" x14ac:dyDescent="0.25">
      <c r="A742" s="272"/>
      <c r="B742" s="273"/>
      <c r="C742" s="274"/>
      <c r="D742" s="272"/>
      <c r="E742" s="272"/>
      <c r="F742" s="272"/>
      <c r="G742" s="272"/>
      <c r="H742" s="272"/>
      <c r="I742" s="272"/>
      <c r="J742" s="272"/>
      <c r="K742" s="33"/>
      <c r="L742" s="33"/>
      <c r="M742" s="32"/>
      <c r="N742" s="32"/>
      <c r="O742" s="32"/>
      <c r="P742" s="33"/>
      <c r="Q742" s="32"/>
      <c r="R742" s="240"/>
      <c r="S742" s="32"/>
      <c r="T742" s="32"/>
      <c r="U742" s="250"/>
      <c r="V742" s="32"/>
      <c r="W742" s="33"/>
      <c r="X742" s="32"/>
      <c r="Y742" s="42"/>
      <c r="Z742" s="31"/>
      <c r="AA742" s="42"/>
      <c r="AB742" s="42"/>
      <c r="AC742" s="250"/>
      <c r="AD742" s="32"/>
      <c r="AE742" s="282"/>
      <c r="AF742" s="261"/>
      <c r="AG742" s="31"/>
      <c r="AH742" s="32"/>
      <c r="AI742" s="42"/>
      <c r="AJ742" s="42"/>
    </row>
    <row r="743" spans="1:36" x14ac:dyDescent="0.25">
      <c r="A743" s="272"/>
      <c r="B743" s="273"/>
      <c r="C743" s="274"/>
      <c r="D743" s="272"/>
      <c r="E743" s="272"/>
      <c r="F743" s="272"/>
      <c r="G743" s="272"/>
      <c r="H743" s="272"/>
      <c r="I743" s="272"/>
      <c r="J743" s="272"/>
      <c r="K743" s="33"/>
      <c r="L743" s="33"/>
      <c r="M743" s="32"/>
      <c r="N743" s="32"/>
      <c r="O743" s="32"/>
      <c r="P743" s="33"/>
      <c r="Q743" s="32"/>
      <c r="R743" s="240"/>
      <c r="S743" s="32"/>
      <c r="T743" s="32"/>
      <c r="U743" s="250"/>
      <c r="V743" s="32"/>
      <c r="W743" s="33"/>
      <c r="X743" s="32"/>
      <c r="Y743" s="42"/>
      <c r="Z743" s="31"/>
      <c r="AA743" s="42"/>
      <c r="AB743" s="42"/>
      <c r="AC743" s="250"/>
      <c r="AD743" s="32"/>
      <c r="AE743" s="282"/>
      <c r="AF743" s="261"/>
      <c r="AG743" s="31"/>
      <c r="AH743" s="32"/>
      <c r="AI743" s="42"/>
      <c r="AJ743" s="42"/>
    </row>
    <row r="744" spans="1:36" x14ac:dyDescent="0.25">
      <c r="A744" s="272"/>
      <c r="B744" s="273"/>
      <c r="C744" s="274"/>
      <c r="D744" s="272"/>
      <c r="E744" s="272"/>
      <c r="F744" s="272"/>
      <c r="G744" s="272"/>
      <c r="H744" s="272"/>
      <c r="I744" s="272"/>
      <c r="J744" s="272"/>
      <c r="K744" s="33"/>
      <c r="L744" s="33"/>
      <c r="M744" s="32"/>
      <c r="N744" s="32"/>
      <c r="O744" s="32"/>
      <c r="P744" s="33"/>
      <c r="Q744" s="32"/>
      <c r="R744" s="240"/>
      <c r="S744" s="32"/>
      <c r="T744" s="32"/>
      <c r="U744" s="250"/>
      <c r="V744" s="32"/>
      <c r="W744" s="33"/>
      <c r="X744" s="32"/>
      <c r="Y744" s="42"/>
      <c r="Z744" s="31"/>
      <c r="AA744" s="42"/>
      <c r="AB744" s="42"/>
      <c r="AC744" s="250"/>
      <c r="AD744" s="32"/>
      <c r="AE744" s="282"/>
      <c r="AF744" s="261"/>
      <c r="AG744" s="31"/>
      <c r="AH744" s="32"/>
      <c r="AI744" s="42"/>
      <c r="AJ744" s="42"/>
    </row>
    <row r="745" spans="1:36" x14ac:dyDescent="0.25">
      <c r="A745" s="272"/>
      <c r="B745" s="273"/>
      <c r="C745" s="274"/>
      <c r="D745" s="272"/>
      <c r="E745" s="272"/>
      <c r="F745" s="272"/>
      <c r="G745" s="272"/>
      <c r="H745" s="272"/>
      <c r="I745" s="272"/>
      <c r="J745" s="272"/>
      <c r="K745" s="33"/>
      <c r="L745" s="33"/>
      <c r="M745" s="32"/>
      <c r="N745" s="32"/>
      <c r="O745" s="32"/>
      <c r="P745" s="33"/>
      <c r="Q745" s="32"/>
      <c r="R745" s="240"/>
      <c r="S745" s="32"/>
      <c r="T745" s="32"/>
      <c r="U745" s="250"/>
      <c r="V745" s="32"/>
      <c r="W745" s="33"/>
      <c r="X745" s="32"/>
      <c r="Y745" s="42"/>
      <c r="Z745" s="31"/>
      <c r="AA745" s="42"/>
      <c r="AB745" s="42"/>
      <c r="AC745" s="250"/>
      <c r="AD745" s="32"/>
      <c r="AE745" s="282"/>
      <c r="AF745" s="261"/>
      <c r="AG745" s="31"/>
      <c r="AH745" s="32"/>
      <c r="AI745" s="42"/>
      <c r="AJ745" s="42"/>
    </row>
    <row r="746" spans="1:36" x14ac:dyDescent="0.25">
      <c r="A746" s="272"/>
      <c r="B746" s="273"/>
      <c r="C746" s="274"/>
      <c r="D746" s="272"/>
      <c r="E746" s="272"/>
      <c r="F746" s="272"/>
      <c r="G746" s="272"/>
      <c r="H746" s="272"/>
      <c r="I746" s="272"/>
      <c r="J746" s="272"/>
      <c r="K746" s="33"/>
      <c r="L746" s="33"/>
      <c r="M746" s="32"/>
      <c r="N746" s="32"/>
      <c r="O746" s="32"/>
      <c r="P746" s="33"/>
      <c r="Q746" s="32"/>
      <c r="R746" s="240"/>
      <c r="S746" s="32"/>
      <c r="T746" s="32"/>
      <c r="U746" s="250"/>
      <c r="V746" s="32"/>
      <c r="W746" s="33"/>
      <c r="X746" s="32"/>
      <c r="Y746" s="42"/>
      <c r="Z746" s="31"/>
      <c r="AA746" s="42"/>
      <c r="AB746" s="42"/>
      <c r="AC746" s="250"/>
      <c r="AD746" s="32"/>
      <c r="AE746" s="282"/>
      <c r="AF746" s="261"/>
      <c r="AG746" s="31"/>
      <c r="AH746" s="32"/>
      <c r="AI746" s="42"/>
      <c r="AJ746" s="42"/>
    </row>
    <row r="747" spans="1:36" x14ac:dyDescent="0.25">
      <c r="A747" s="272"/>
      <c r="B747" s="273"/>
      <c r="C747" s="274"/>
      <c r="D747" s="272"/>
      <c r="E747" s="272"/>
      <c r="F747" s="272"/>
      <c r="G747" s="272"/>
      <c r="H747" s="272"/>
      <c r="I747" s="272"/>
      <c r="J747" s="272"/>
      <c r="K747" s="33"/>
      <c r="L747" s="33"/>
      <c r="M747" s="32"/>
      <c r="N747" s="32"/>
      <c r="O747" s="32"/>
      <c r="P747" s="33"/>
      <c r="Q747" s="32"/>
      <c r="R747" s="240"/>
      <c r="S747" s="32"/>
      <c r="T747" s="32"/>
      <c r="U747" s="250"/>
      <c r="V747" s="32"/>
      <c r="W747" s="33"/>
      <c r="X747" s="32"/>
      <c r="Y747" s="42"/>
      <c r="Z747" s="31"/>
      <c r="AA747" s="42"/>
      <c r="AB747" s="42"/>
      <c r="AC747" s="250"/>
      <c r="AD747" s="32"/>
      <c r="AE747" s="282"/>
      <c r="AF747" s="261"/>
      <c r="AG747" s="31"/>
      <c r="AH747" s="32"/>
      <c r="AI747" s="42"/>
      <c r="AJ747" s="42"/>
    </row>
    <row r="748" spans="1:36" x14ac:dyDescent="0.25">
      <c r="A748" s="272"/>
      <c r="B748" s="273"/>
      <c r="C748" s="274"/>
      <c r="D748" s="272"/>
      <c r="E748" s="272"/>
      <c r="F748" s="272"/>
      <c r="G748" s="272"/>
      <c r="H748" s="272"/>
      <c r="I748" s="272"/>
      <c r="J748" s="272"/>
      <c r="K748" s="33"/>
      <c r="L748" s="33"/>
      <c r="M748" s="32"/>
      <c r="N748" s="32"/>
      <c r="O748" s="32"/>
      <c r="P748" s="33"/>
      <c r="Q748" s="32"/>
      <c r="R748" s="240"/>
      <c r="S748" s="32"/>
      <c r="T748" s="32"/>
      <c r="U748" s="250"/>
      <c r="V748" s="32"/>
      <c r="W748" s="33"/>
      <c r="X748" s="32"/>
      <c r="Y748" s="42"/>
      <c r="Z748" s="31"/>
      <c r="AA748" s="42"/>
      <c r="AB748" s="42"/>
      <c r="AC748" s="250"/>
      <c r="AD748" s="32"/>
      <c r="AE748" s="282"/>
      <c r="AF748" s="261"/>
      <c r="AG748" s="31"/>
      <c r="AH748" s="32"/>
      <c r="AI748" s="42"/>
      <c r="AJ748" s="42"/>
    </row>
    <row r="749" spans="1:36" x14ac:dyDescent="0.25">
      <c r="A749" s="272"/>
      <c r="B749" s="273"/>
      <c r="C749" s="274"/>
      <c r="D749" s="272"/>
      <c r="E749" s="272"/>
      <c r="F749" s="272"/>
      <c r="G749" s="272"/>
      <c r="H749" s="272"/>
      <c r="I749" s="272"/>
      <c r="J749" s="272"/>
      <c r="K749" s="33"/>
      <c r="L749" s="33"/>
      <c r="M749" s="32"/>
      <c r="N749" s="32"/>
      <c r="O749" s="32"/>
      <c r="P749" s="33"/>
      <c r="Q749" s="32"/>
      <c r="R749" s="240"/>
      <c r="S749" s="32"/>
      <c r="T749" s="32"/>
      <c r="U749" s="250"/>
      <c r="V749" s="32"/>
      <c r="W749" s="33"/>
      <c r="X749" s="32"/>
      <c r="Y749" s="42"/>
      <c r="Z749" s="31"/>
      <c r="AA749" s="42"/>
      <c r="AB749" s="42"/>
      <c r="AC749" s="250"/>
      <c r="AD749" s="32"/>
      <c r="AE749" s="282"/>
      <c r="AF749" s="261"/>
      <c r="AG749" s="31"/>
      <c r="AH749" s="32"/>
      <c r="AI749" s="42"/>
      <c r="AJ749" s="42"/>
    </row>
    <row r="750" spans="1:36" x14ac:dyDescent="0.25">
      <c r="A750" s="272"/>
      <c r="B750" s="273"/>
      <c r="C750" s="274"/>
      <c r="D750" s="272"/>
      <c r="E750" s="272"/>
      <c r="F750" s="272"/>
      <c r="G750" s="272"/>
      <c r="H750" s="272"/>
      <c r="I750" s="272"/>
      <c r="J750" s="272"/>
      <c r="K750" s="33"/>
      <c r="L750" s="33"/>
      <c r="M750" s="32"/>
      <c r="N750" s="32"/>
      <c r="O750" s="32"/>
      <c r="P750" s="33"/>
      <c r="Q750" s="32"/>
      <c r="R750" s="240"/>
      <c r="S750" s="32"/>
      <c r="T750" s="32"/>
      <c r="U750" s="250"/>
      <c r="V750" s="32"/>
      <c r="W750" s="33"/>
      <c r="X750" s="32"/>
      <c r="Y750" s="42"/>
      <c r="Z750" s="31"/>
      <c r="AA750" s="42"/>
      <c r="AB750" s="42"/>
      <c r="AC750" s="250"/>
      <c r="AD750" s="32"/>
      <c r="AE750" s="282"/>
      <c r="AF750" s="261"/>
      <c r="AG750" s="31"/>
      <c r="AH750" s="32"/>
      <c r="AI750" s="42"/>
      <c r="AJ750" s="42"/>
    </row>
    <row r="751" spans="1:36" x14ac:dyDescent="0.25">
      <c r="A751" s="272"/>
      <c r="B751" s="273"/>
      <c r="C751" s="274"/>
      <c r="D751" s="272"/>
      <c r="E751" s="272"/>
      <c r="F751" s="272"/>
      <c r="G751" s="272"/>
      <c r="H751" s="272"/>
      <c r="I751" s="272"/>
      <c r="J751" s="272"/>
      <c r="K751" s="33"/>
      <c r="L751" s="33"/>
      <c r="M751" s="32"/>
      <c r="N751" s="32"/>
      <c r="O751" s="32"/>
      <c r="P751" s="33"/>
      <c r="Q751" s="32"/>
      <c r="R751" s="240"/>
      <c r="S751" s="32"/>
      <c r="T751" s="32"/>
      <c r="U751" s="250"/>
      <c r="V751" s="32"/>
      <c r="W751" s="33"/>
      <c r="X751" s="32"/>
      <c r="Y751" s="42"/>
      <c r="Z751" s="31"/>
      <c r="AA751" s="42"/>
      <c r="AB751" s="42"/>
      <c r="AC751" s="250"/>
      <c r="AD751" s="32"/>
      <c r="AE751" s="282"/>
      <c r="AF751" s="261"/>
      <c r="AG751" s="31"/>
      <c r="AH751" s="32"/>
      <c r="AI751" s="42"/>
      <c r="AJ751" s="42"/>
    </row>
    <row r="752" spans="1:36" x14ac:dyDescent="0.25">
      <c r="A752" s="272"/>
      <c r="B752" s="273"/>
      <c r="C752" s="274"/>
      <c r="D752" s="272"/>
      <c r="E752" s="272"/>
      <c r="F752" s="272"/>
      <c r="G752" s="272"/>
      <c r="H752" s="272"/>
      <c r="I752" s="272"/>
      <c r="J752" s="272"/>
      <c r="K752" s="33"/>
      <c r="L752" s="33"/>
      <c r="M752" s="32"/>
      <c r="N752" s="32"/>
      <c r="O752" s="32"/>
      <c r="P752" s="33"/>
      <c r="Q752" s="32"/>
      <c r="R752" s="240"/>
      <c r="S752" s="32"/>
      <c r="T752" s="32"/>
      <c r="U752" s="250"/>
      <c r="V752" s="32"/>
      <c r="W752" s="33"/>
      <c r="X752" s="32"/>
      <c r="Y752" s="42"/>
      <c r="Z752" s="31"/>
      <c r="AA752" s="42"/>
      <c r="AB752" s="42"/>
      <c r="AC752" s="250"/>
      <c r="AD752" s="32"/>
      <c r="AE752" s="282"/>
      <c r="AF752" s="261"/>
      <c r="AG752" s="31"/>
      <c r="AH752" s="32"/>
      <c r="AI752" s="42"/>
      <c r="AJ752" s="42"/>
    </row>
    <row r="753" spans="1:36" x14ac:dyDescent="0.25">
      <c r="A753" s="272"/>
      <c r="B753" s="273"/>
      <c r="C753" s="274"/>
      <c r="D753" s="272"/>
      <c r="E753" s="272"/>
      <c r="F753" s="272"/>
      <c r="G753" s="272"/>
      <c r="H753" s="272"/>
      <c r="I753" s="272"/>
      <c r="J753" s="272"/>
      <c r="K753" s="33"/>
      <c r="L753" s="33"/>
      <c r="M753" s="32"/>
      <c r="N753" s="32"/>
      <c r="O753" s="32"/>
      <c r="P753" s="33"/>
      <c r="Q753" s="32"/>
      <c r="R753" s="240"/>
      <c r="S753" s="32"/>
      <c r="T753" s="32"/>
      <c r="U753" s="250"/>
      <c r="V753" s="32"/>
      <c r="W753" s="33"/>
      <c r="X753" s="32"/>
      <c r="Y753" s="42"/>
      <c r="Z753" s="31"/>
      <c r="AA753" s="42"/>
      <c r="AB753" s="42"/>
      <c r="AC753" s="250"/>
      <c r="AD753" s="32"/>
      <c r="AE753" s="282"/>
      <c r="AF753" s="261"/>
      <c r="AG753" s="31"/>
      <c r="AH753" s="32"/>
      <c r="AI753" s="42"/>
      <c r="AJ753" s="42"/>
    </row>
    <row r="754" spans="1:36" x14ac:dyDescent="0.25">
      <c r="A754" s="272"/>
      <c r="B754" s="273"/>
      <c r="C754" s="274"/>
      <c r="D754" s="272"/>
      <c r="E754" s="272"/>
      <c r="F754" s="272"/>
      <c r="G754" s="272"/>
      <c r="H754" s="272"/>
      <c r="I754" s="272"/>
      <c r="J754" s="272"/>
      <c r="K754" s="33"/>
      <c r="L754" s="33"/>
      <c r="M754" s="32"/>
      <c r="N754" s="32"/>
      <c r="O754" s="32"/>
      <c r="P754" s="33"/>
      <c r="Q754" s="32"/>
      <c r="R754" s="240"/>
      <c r="S754" s="32"/>
      <c r="T754" s="32"/>
      <c r="U754" s="250"/>
      <c r="V754" s="32"/>
      <c r="W754" s="33"/>
      <c r="X754" s="32"/>
      <c r="Y754" s="42"/>
      <c r="Z754" s="31"/>
      <c r="AA754" s="42"/>
      <c r="AB754" s="42"/>
      <c r="AC754" s="250"/>
      <c r="AD754" s="32"/>
      <c r="AE754" s="282"/>
      <c r="AF754" s="261"/>
      <c r="AG754" s="31"/>
      <c r="AH754" s="32"/>
      <c r="AI754" s="42"/>
      <c r="AJ754" s="42"/>
    </row>
    <row r="755" spans="1:36" x14ac:dyDescent="0.25">
      <c r="A755" s="272"/>
      <c r="B755" s="273"/>
      <c r="C755" s="274"/>
      <c r="D755" s="272"/>
      <c r="E755" s="272"/>
      <c r="F755" s="272"/>
      <c r="G755" s="272"/>
      <c r="H755" s="272"/>
      <c r="I755" s="272"/>
      <c r="J755" s="272"/>
      <c r="K755" s="33"/>
      <c r="L755" s="33"/>
      <c r="M755" s="32"/>
      <c r="N755" s="32"/>
      <c r="O755" s="32"/>
      <c r="P755" s="33"/>
      <c r="Q755" s="32"/>
      <c r="R755" s="240"/>
      <c r="S755" s="32"/>
      <c r="T755" s="32"/>
      <c r="U755" s="250"/>
      <c r="V755" s="32"/>
      <c r="W755" s="33"/>
      <c r="X755" s="32"/>
      <c r="Y755" s="42"/>
      <c r="Z755" s="31"/>
      <c r="AA755" s="42"/>
      <c r="AB755" s="42"/>
      <c r="AC755" s="250"/>
      <c r="AD755" s="32"/>
      <c r="AE755" s="282"/>
      <c r="AF755" s="261"/>
      <c r="AG755" s="31"/>
      <c r="AH755" s="32"/>
      <c r="AI755" s="42"/>
      <c r="AJ755" s="42"/>
    </row>
    <row r="756" spans="1:36" x14ac:dyDescent="0.25">
      <c r="A756" s="272"/>
      <c r="B756" s="273"/>
      <c r="C756" s="274"/>
      <c r="D756" s="272"/>
      <c r="E756" s="272"/>
      <c r="F756" s="272"/>
      <c r="G756" s="272"/>
      <c r="H756" s="272"/>
      <c r="I756" s="272"/>
      <c r="J756" s="272"/>
      <c r="K756" s="33"/>
      <c r="L756" s="33"/>
      <c r="M756" s="32"/>
      <c r="N756" s="32"/>
      <c r="O756" s="32"/>
      <c r="P756" s="33"/>
      <c r="Q756" s="32"/>
      <c r="R756" s="240"/>
      <c r="S756" s="32"/>
      <c r="T756" s="32"/>
      <c r="U756" s="250"/>
      <c r="V756" s="32"/>
      <c r="W756" s="33"/>
      <c r="X756" s="32"/>
      <c r="Y756" s="42"/>
      <c r="Z756" s="31"/>
      <c r="AA756" s="42"/>
      <c r="AB756" s="42"/>
      <c r="AC756" s="250"/>
      <c r="AD756" s="32"/>
      <c r="AE756" s="282"/>
      <c r="AF756" s="261"/>
      <c r="AG756" s="31"/>
      <c r="AH756" s="32"/>
      <c r="AI756" s="42"/>
      <c r="AJ756" s="42"/>
    </row>
    <row r="757" spans="1:36" x14ac:dyDescent="0.25">
      <c r="A757" s="272"/>
      <c r="B757" s="273"/>
      <c r="C757" s="274"/>
      <c r="D757" s="272"/>
      <c r="E757" s="272"/>
      <c r="F757" s="272"/>
      <c r="G757" s="272"/>
      <c r="H757" s="272"/>
      <c r="I757" s="272"/>
      <c r="J757" s="272"/>
      <c r="K757" s="33"/>
      <c r="L757" s="33"/>
      <c r="M757" s="32"/>
      <c r="N757" s="32"/>
      <c r="O757" s="32"/>
      <c r="P757" s="33"/>
      <c r="Q757" s="32"/>
      <c r="R757" s="240"/>
      <c r="S757" s="32"/>
      <c r="T757" s="32"/>
      <c r="U757" s="250"/>
      <c r="V757" s="32"/>
      <c r="W757" s="33"/>
      <c r="X757" s="32"/>
      <c r="Y757" s="42"/>
      <c r="Z757" s="31"/>
      <c r="AA757" s="42"/>
      <c r="AB757" s="42"/>
      <c r="AC757" s="250"/>
      <c r="AD757" s="32"/>
      <c r="AE757" s="282"/>
      <c r="AF757" s="261"/>
      <c r="AG757" s="31"/>
      <c r="AH757" s="32"/>
      <c r="AI757" s="42"/>
      <c r="AJ757" s="42"/>
    </row>
    <row r="758" spans="1:36" x14ac:dyDescent="0.25">
      <c r="A758" s="272"/>
      <c r="B758" s="273"/>
      <c r="C758" s="274"/>
      <c r="D758" s="272"/>
      <c r="E758" s="272"/>
      <c r="F758" s="272"/>
      <c r="G758" s="272"/>
      <c r="H758" s="272"/>
      <c r="I758" s="272"/>
      <c r="J758" s="272"/>
      <c r="K758" s="33"/>
      <c r="L758" s="33"/>
      <c r="M758" s="32"/>
      <c r="N758" s="32"/>
      <c r="O758" s="32"/>
      <c r="P758" s="33"/>
      <c r="Q758" s="32"/>
      <c r="R758" s="240"/>
      <c r="S758" s="32"/>
      <c r="T758" s="32"/>
      <c r="U758" s="250"/>
      <c r="V758" s="32"/>
      <c r="W758" s="33"/>
      <c r="X758" s="32"/>
      <c r="Y758" s="42"/>
      <c r="Z758" s="31"/>
      <c r="AA758" s="42"/>
      <c r="AB758" s="42"/>
      <c r="AC758" s="250"/>
      <c r="AD758" s="32"/>
      <c r="AE758" s="282"/>
      <c r="AF758" s="261"/>
      <c r="AG758" s="31"/>
      <c r="AH758" s="32"/>
      <c r="AI758" s="42"/>
      <c r="AJ758" s="42"/>
    </row>
    <row r="759" spans="1:36" x14ac:dyDescent="0.25">
      <c r="A759" s="272"/>
      <c r="B759" s="273"/>
      <c r="C759" s="274"/>
      <c r="D759" s="272"/>
      <c r="E759" s="272"/>
      <c r="F759" s="272"/>
      <c r="G759" s="272"/>
      <c r="H759" s="272"/>
      <c r="I759" s="272"/>
      <c r="J759" s="272"/>
      <c r="K759" s="33"/>
      <c r="L759" s="33"/>
      <c r="M759" s="32"/>
      <c r="N759" s="32"/>
      <c r="O759" s="32"/>
      <c r="P759" s="33"/>
      <c r="Q759" s="32"/>
      <c r="R759" s="240"/>
      <c r="S759" s="32"/>
      <c r="T759" s="32"/>
      <c r="U759" s="250"/>
      <c r="V759" s="32"/>
      <c r="W759" s="33"/>
      <c r="X759" s="32"/>
      <c r="Y759" s="42"/>
      <c r="Z759" s="31"/>
      <c r="AA759" s="42"/>
      <c r="AB759" s="42"/>
      <c r="AC759" s="250"/>
      <c r="AD759" s="32"/>
      <c r="AE759" s="282"/>
      <c r="AF759" s="261"/>
      <c r="AG759" s="31"/>
      <c r="AH759" s="32"/>
      <c r="AI759" s="42"/>
      <c r="AJ759" s="42"/>
    </row>
    <row r="760" spans="1:36" x14ac:dyDescent="0.25">
      <c r="A760" s="272"/>
      <c r="B760" s="273"/>
      <c r="C760" s="274"/>
      <c r="D760" s="272"/>
      <c r="E760" s="272"/>
      <c r="F760" s="272"/>
      <c r="G760" s="272"/>
      <c r="H760" s="272"/>
      <c r="I760" s="272"/>
      <c r="J760" s="272"/>
      <c r="K760" s="33"/>
      <c r="L760" s="33"/>
      <c r="M760" s="32"/>
      <c r="N760" s="32"/>
      <c r="O760" s="32"/>
      <c r="P760" s="33"/>
      <c r="Q760" s="32"/>
      <c r="R760" s="240"/>
      <c r="S760" s="32"/>
      <c r="T760" s="32"/>
      <c r="U760" s="250"/>
      <c r="V760" s="32"/>
      <c r="W760" s="33"/>
      <c r="X760" s="32"/>
      <c r="Y760" s="42"/>
      <c r="Z760" s="31"/>
      <c r="AA760" s="42"/>
      <c r="AB760" s="42"/>
      <c r="AC760" s="250"/>
      <c r="AD760" s="32"/>
      <c r="AE760" s="282"/>
      <c r="AF760" s="261"/>
      <c r="AG760" s="31"/>
      <c r="AH760" s="32"/>
      <c r="AI760" s="42"/>
      <c r="AJ760" s="42"/>
    </row>
    <row r="761" spans="1:36" x14ac:dyDescent="0.25">
      <c r="A761" s="272"/>
      <c r="B761" s="273"/>
      <c r="C761" s="274"/>
      <c r="D761" s="272"/>
      <c r="E761" s="272"/>
      <c r="F761" s="272"/>
      <c r="G761" s="272"/>
      <c r="H761" s="272"/>
      <c r="I761" s="272"/>
      <c r="J761" s="272"/>
      <c r="K761" s="33"/>
      <c r="L761" s="33"/>
      <c r="M761" s="32"/>
      <c r="N761" s="32"/>
      <c r="O761" s="32"/>
      <c r="P761" s="33"/>
      <c r="Q761" s="32"/>
      <c r="R761" s="240"/>
      <c r="S761" s="32"/>
      <c r="T761" s="32"/>
      <c r="U761" s="250"/>
      <c r="V761" s="32"/>
      <c r="W761" s="33"/>
      <c r="X761" s="32"/>
      <c r="Y761" s="42"/>
      <c r="Z761" s="31"/>
      <c r="AA761" s="42"/>
      <c r="AB761" s="42"/>
      <c r="AC761" s="250"/>
      <c r="AD761" s="32"/>
      <c r="AE761" s="282"/>
      <c r="AF761" s="261"/>
      <c r="AG761" s="31"/>
      <c r="AH761" s="32"/>
      <c r="AI761" s="42"/>
      <c r="AJ761" s="42"/>
    </row>
    <row r="762" spans="1:36" x14ac:dyDescent="0.25">
      <c r="A762" s="272"/>
      <c r="B762" s="273"/>
      <c r="C762" s="274"/>
      <c r="D762" s="272"/>
      <c r="E762" s="272"/>
      <c r="F762" s="272"/>
      <c r="G762" s="272"/>
      <c r="H762" s="272"/>
      <c r="I762" s="272"/>
      <c r="J762" s="272"/>
      <c r="K762" s="33"/>
      <c r="L762" s="33"/>
      <c r="M762" s="32"/>
      <c r="N762" s="32"/>
      <c r="O762" s="32"/>
      <c r="P762" s="33"/>
      <c r="Q762" s="32"/>
      <c r="R762" s="240"/>
      <c r="S762" s="32"/>
      <c r="T762" s="32"/>
      <c r="U762" s="250"/>
      <c r="V762" s="32"/>
      <c r="W762" s="33"/>
      <c r="X762" s="32"/>
      <c r="Y762" s="42"/>
      <c r="Z762" s="31"/>
      <c r="AA762" s="42"/>
      <c r="AB762" s="42"/>
      <c r="AC762" s="250"/>
      <c r="AD762" s="32"/>
      <c r="AE762" s="282"/>
      <c r="AF762" s="261"/>
      <c r="AG762" s="31"/>
      <c r="AH762" s="32"/>
      <c r="AI762" s="42"/>
      <c r="AJ762" s="42"/>
    </row>
    <row r="763" spans="1:36" x14ac:dyDescent="0.25">
      <c r="A763" s="272"/>
      <c r="B763" s="273"/>
      <c r="C763" s="274"/>
      <c r="D763" s="272"/>
      <c r="E763" s="272"/>
      <c r="F763" s="272"/>
      <c r="G763" s="272"/>
      <c r="H763" s="272"/>
      <c r="I763" s="272"/>
      <c r="J763" s="272"/>
      <c r="K763" s="33"/>
      <c r="L763" s="33"/>
      <c r="M763" s="32"/>
      <c r="N763" s="32"/>
      <c r="O763" s="32"/>
      <c r="P763" s="33"/>
      <c r="Q763" s="32"/>
      <c r="R763" s="240"/>
      <c r="S763" s="32"/>
      <c r="T763" s="32"/>
      <c r="U763" s="250"/>
      <c r="V763" s="32"/>
      <c r="W763" s="33"/>
      <c r="X763" s="32"/>
      <c r="Y763" s="42"/>
      <c r="Z763" s="31"/>
      <c r="AA763" s="42"/>
      <c r="AB763" s="42"/>
      <c r="AC763" s="250"/>
      <c r="AD763" s="32"/>
      <c r="AE763" s="282"/>
      <c r="AF763" s="261"/>
      <c r="AG763" s="31"/>
      <c r="AH763" s="32"/>
      <c r="AI763" s="42"/>
      <c r="AJ763" s="42"/>
    </row>
    <row r="764" spans="1:36" x14ac:dyDescent="0.25">
      <c r="A764" s="272"/>
      <c r="B764" s="273"/>
      <c r="C764" s="274"/>
      <c r="D764" s="272"/>
      <c r="E764" s="272"/>
      <c r="F764" s="272"/>
      <c r="G764" s="272"/>
      <c r="H764" s="272"/>
      <c r="I764" s="272"/>
      <c r="J764" s="272"/>
      <c r="K764" s="33"/>
      <c r="L764" s="33"/>
      <c r="M764" s="32"/>
      <c r="N764" s="32"/>
      <c r="O764" s="32"/>
      <c r="P764" s="33"/>
      <c r="Q764" s="32"/>
      <c r="R764" s="240"/>
      <c r="S764" s="32"/>
      <c r="T764" s="32"/>
      <c r="U764" s="250"/>
      <c r="V764" s="32"/>
      <c r="W764" s="33"/>
      <c r="X764" s="32"/>
      <c r="Y764" s="42"/>
      <c r="Z764" s="31"/>
      <c r="AA764" s="42"/>
      <c r="AB764" s="42"/>
      <c r="AC764" s="250"/>
      <c r="AD764" s="32"/>
      <c r="AE764" s="282"/>
      <c r="AF764" s="261"/>
      <c r="AG764" s="31"/>
      <c r="AH764" s="32"/>
      <c r="AI764" s="42"/>
      <c r="AJ764" s="42"/>
    </row>
  </sheetData>
  <sheetProtection algorithmName="SHA-512" hashValue="flrqkf6m5Z0+2EKbZV820WOUIzeyfF6Kl6XMnZsv8+JtcSaZjINh9GdZs6qtmretEOsDwztg69wsevqZe8zBRw==" saltValue="BRnTAhz6bYF/BrLUKXg3+Q==" spinCount="100000" sheet="1" objects="1" scenarios="1"/>
  <phoneticPr fontId="6" type="noConversion"/>
  <hyperlinks>
    <hyperlink ref="I3:J3" location="Instructions!A1" display="Return to Menu"/>
  </hyperlinks>
  <pageMargins left="0.75" right="0.75" top="1" bottom="1" header="0.5" footer="0.5"/>
  <pageSetup paperSize="9" orientation="portrait" verticalDpi="1200"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indexed="49"/>
  </sheetPr>
  <dimension ref="A1:J759"/>
  <sheetViews>
    <sheetView zoomScale="85" workbookViewId="0">
      <selection activeCell="O20" sqref="O20"/>
    </sheetView>
  </sheetViews>
  <sheetFormatPr defaultRowHeight="13.2" x14ac:dyDescent="0.25"/>
  <cols>
    <col min="2" max="2" width="10.44140625" customWidth="1"/>
  </cols>
  <sheetData>
    <row r="1" spans="1:10" ht="15.6" x14ac:dyDescent="0.3">
      <c r="A1" s="56" t="s">
        <v>758</v>
      </c>
    </row>
    <row r="2" spans="1:10" ht="16.8" x14ac:dyDescent="0.3">
      <c r="A2" s="80" t="s">
        <v>94</v>
      </c>
      <c r="B2" s="81" t="str">
        <f>Weather_Site!D2</f>
        <v>Nicholson Street Melbourne</v>
      </c>
      <c r="C2" s="81"/>
      <c r="D2" s="81"/>
      <c r="E2" s="81"/>
      <c r="H2" s="170" t="s">
        <v>202</v>
      </c>
      <c r="I2" s="169"/>
    </row>
    <row r="4" spans="1:10" x14ac:dyDescent="0.25">
      <c r="A4" s="280" t="s">
        <v>260</v>
      </c>
      <c r="B4" s="280"/>
      <c r="C4" s="178">
        <v>6</v>
      </c>
      <c r="D4" s="34"/>
    </row>
    <row r="5" spans="1:10" x14ac:dyDescent="0.25">
      <c r="A5" s="35" t="s">
        <v>89</v>
      </c>
      <c r="B5" s="35"/>
      <c r="C5" s="35">
        <f>Weather_Site!D6</f>
        <v>0</v>
      </c>
      <c r="D5" s="34"/>
    </row>
    <row r="8" spans="1:10" ht="66" x14ac:dyDescent="0.25">
      <c r="A8" s="26" t="s">
        <v>28</v>
      </c>
      <c r="B8" s="26" t="s">
        <v>32</v>
      </c>
      <c r="C8" s="26" t="s">
        <v>27</v>
      </c>
      <c r="D8" s="26" t="s">
        <v>18</v>
      </c>
      <c r="E8" s="26" t="s">
        <v>19</v>
      </c>
      <c r="F8" s="26" t="s">
        <v>24</v>
      </c>
      <c r="G8" s="26" t="s">
        <v>20</v>
      </c>
      <c r="H8" s="57" t="s">
        <v>113</v>
      </c>
      <c r="I8" s="57" t="s">
        <v>90</v>
      </c>
      <c r="J8" s="57" t="s">
        <v>91</v>
      </c>
    </row>
    <row r="9" spans="1:10" x14ac:dyDescent="0.25">
      <c r="A9" s="29" t="str">
        <f>Weather_Site!A12</f>
        <v>Sun</v>
      </c>
      <c r="B9" s="74">
        <f>Weather_Site!B12</f>
        <v>44549</v>
      </c>
      <c r="C9" s="75">
        <f>Weather_Site!C12</f>
        <v>0.16666666666666666</v>
      </c>
      <c r="D9" s="29">
        <f>Weather_Site!D12</f>
        <v>23.9</v>
      </c>
      <c r="E9" s="29">
        <f>Weather_Site!E12</f>
        <v>24.2</v>
      </c>
      <c r="F9" s="29">
        <f>Weather_Site!F12</f>
        <v>36</v>
      </c>
      <c r="G9" s="29">
        <f>Weather_Site!G12</f>
        <v>16</v>
      </c>
      <c r="H9" s="27">
        <f>IF(Weather_Site!M12&lt;180,Weather_Site!M12+180,Weather_Site!M12-180)</f>
        <v>216</v>
      </c>
      <c r="I9" s="42">
        <f>274*(G9/1.7)^1.05*EXP(-0.11*$C$4)</f>
        <v>1490.9765711465732</v>
      </c>
      <c r="J9" s="42">
        <f>I9*EXP(0.069*$C$5)</f>
        <v>1490.9765711465732</v>
      </c>
    </row>
    <row r="10" spans="1:10" x14ac:dyDescent="0.25">
      <c r="A10" s="29" t="str">
        <f>Weather_Site!A13</f>
        <v>Sun</v>
      </c>
      <c r="B10" s="74">
        <f>Weather_Site!B13</f>
        <v>44549</v>
      </c>
      <c r="C10" s="75">
        <f>Weather_Site!C13</f>
        <v>0.20833333333333334</v>
      </c>
      <c r="D10" s="29">
        <f>Weather_Site!D13</f>
        <v>23.6</v>
      </c>
      <c r="E10" s="29">
        <f>Weather_Site!E13</f>
        <v>24.4</v>
      </c>
      <c r="F10" s="29">
        <f>Weather_Site!F13</f>
        <v>312</v>
      </c>
      <c r="G10" s="29">
        <f>Weather_Site!G13</f>
        <v>13</v>
      </c>
      <c r="H10" s="27">
        <f>IF(Weather_Site!M13&lt;180,Weather_Site!M13+180,Weather_Site!M13-180)</f>
        <v>132</v>
      </c>
      <c r="I10" s="42">
        <f t="shared" ref="I10:I13" si="0">274*(G10/1.7)^1.05*EXP(-0.11*$C$4)</f>
        <v>1198.9066172194846</v>
      </c>
      <c r="J10" s="42">
        <f t="shared" ref="J10:J13" si="1">I10*EXP(0.069*$C$5)</f>
        <v>1198.9066172194846</v>
      </c>
    </row>
    <row r="11" spans="1:10" x14ac:dyDescent="0.25">
      <c r="A11" s="29" t="str">
        <f>Weather_Site!A14</f>
        <v>Sun</v>
      </c>
      <c r="B11" s="74">
        <f>Weather_Site!B14</f>
        <v>44549</v>
      </c>
      <c r="C11" s="75">
        <f>Weather_Site!C14</f>
        <v>0.25</v>
      </c>
      <c r="D11" s="29">
        <f>Weather_Site!D14</f>
        <v>22.7</v>
      </c>
      <c r="E11" s="29">
        <f>Weather_Site!E14</f>
        <v>27.3</v>
      </c>
      <c r="F11" s="29">
        <f>Weather_Site!F14</f>
        <v>336</v>
      </c>
      <c r="G11" s="29">
        <f>Weather_Site!G14</f>
        <v>16</v>
      </c>
      <c r="H11" s="27">
        <f>IF(Weather_Site!M14&lt;180,Weather_Site!M14+180,Weather_Site!M14-180)</f>
        <v>156</v>
      </c>
      <c r="I11" s="42">
        <f t="shared" si="0"/>
        <v>1490.9765711465732</v>
      </c>
      <c r="J11" s="42">
        <f t="shared" si="1"/>
        <v>1490.9765711465732</v>
      </c>
    </row>
    <row r="12" spans="1:10" x14ac:dyDescent="0.25">
      <c r="A12" s="29" t="str">
        <f>Weather_Site!A15</f>
        <v>Sun</v>
      </c>
      <c r="B12" s="74">
        <f>Weather_Site!B15</f>
        <v>44549</v>
      </c>
      <c r="C12" s="75">
        <f>Weather_Site!C15</f>
        <v>0.29166666666666669</v>
      </c>
      <c r="D12" s="29">
        <f>Weather_Site!D15</f>
        <v>23</v>
      </c>
      <c r="E12" s="29">
        <f>Weather_Site!E15</f>
        <v>28.2</v>
      </c>
      <c r="F12" s="29">
        <f>Weather_Site!F15</f>
        <v>2</v>
      </c>
      <c r="G12" s="29">
        <f>Weather_Site!G15</f>
        <v>25</v>
      </c>
      <c r="H12" s="27">
        <f>IF(Weather_Site!M15&lt;180,Weather_Site!M15+180,Weather_Site!M15-180)</f>
        <v>182</v>
      </c>
      <c r="I12" s="42">
        <f t="shared" si="0"/>
        <v>2382.2198901132897</v>
      </c>
      <c r="J12" s="42">
        <f t="shared" si="1"/>
        <v>2382.2198901132897</v>
      </c>
    </row>
    <row r="13" spans="1:10" x14ac:dyDescent="0.25">
      <c r="A13" s="29" t="str">
        <f>Weather_Site!A16</f>
        <v>Sun</v>
      </c>
      <c r="B13" s="74">
        <f>Weather_Site!B16</f>
        <v>44549</v>
      </c>
      <c r="C13" s="75">
        <f>Weather_Site!C16</f>
        <v>0.33333333333333331</v>
      </c>
      <c r="D13" s="29">
        <f>Weather_Site!D16</f>
        <v>25.3</v>
      </c>
      <c r="E13" s="29">
        <f>Weather_Site!E16</f>
        <v>26</v>
      </c>
      <c r="F13" s="29">
        <f>Weather_Site!F16</f>
        <v>0</v>
      </c>
      <c r="G13" s="29">
        <f>Weather_Site!G16</f>
        <v>32</v>
      </c>
      <c r="H13" s="27">
        <f>IF(Weather_Site!M16&lt;180,Weather_Site!M16+180,Weather_Site!M16-180)</f>
        <v>180</v>
      </c>
      <c r="I13" s="42">
        <f t="shared" si="0"/>
        <v>3087.1114927546705</v>
      </c>
      <c r="J13" s="42">
        <f t="shared" si="1"/>
        <v>3087.1114927546705</v>
      </c>
    </row>
    <row r="14" spans="1:10" x14ac:dyDescent="0.25">
      <c r="A14" s="50"/>
      <c r="B14" s="76"/>
      <c r="C14" s="77"/>
      <c r="D14" s="50"/>
      <c r="E14" s="50"/>
      <c r="F14" s="50"/>
      <c r="G14" s="50"/>
      <c r="H14" s="48"/>
      <c r="I14" s="53"/>
      <c r="J14" s="53"/>
    </row>
    <row r="15" spans="1:10" x14ac:dyDescent="0.25">
      <c r="A15" s="50"/>
      <c r="B15" s="76"/>
      <c r="C15" s="77"/>
      <c r="D15" s="50"/>
      <c r="E15" s="50"/>
      <c r="F15" s="50"/>
      <c r="G15" s="50"/>
      <c r="H15" s="48"/>
      <c r="I15" s="53"/>
      <c r="J15" s="53"/>
    </row>
    <row r="16" spans="1:10" x14ac:dyDescent="0.25">
      <c r="A16" s="50"/>
      <c r="B16" s="76"/>
      <c r="C16" s="77"/>
      <c r="D16" s="50"/>
      <c r="E16" s="50"/>
      <c r="F16" s="50"/>
      <c r="G16" s="50"/>
      <c r="H16" s="48"/>
      <c r="I16" s="53"/>
      <c r="J16" s="53"/>
    </row>
    <row r="17" spans="1:10" x14ac:dyDescent="0.25">
      <c r="A17" s="50"/>
      <c r="B17" s="76"/>
      <c r="C17" s="77"/>
      <c r="D17" s="50"/>
      <c r="E17" s="50"/>
      <c r="F17" s="50"/>
      <c r="G17" s="50"/>
      <c r="H17" s="48"/>
      <c r="I17" s="53"/>
      <c r="J17" s="53"/>
    </row>
    <row r="18" spans="1:10" x14ac:dyDescent="0.25">
      <c r="A18" s="50"/>
      <c r="B18" s="76"/>
      <c r="C18" s="77"/>
      <c r="D18" s="50"/>
      <c r="E18" s="50"/>
      <c r="F18" s="50"/>
      <c r="G18" s="50"/>
      <c r="H18" s="48"/>
      <c r="I18" s="53"/>
      <c r="J18" s="53"/>
    </row>
    <row r="19" spans="1:10" x14ac:dyDescent="0.25">
      <c r="A19" s="29"/>
      <c r="B19" s="74"/>
      <c r="C19" s="75"/>
      <c r="D19" s="29"/>
      <c r="E19" s="29"/>
      <c r="F19" s="29"/>
      <c r="G19" s="29"/>
      <c r="H19" s="27"/>
      <c r="I19" s="42"/>
      <c r="J19" s="42"/>
    </row>
    <row r="20" spans="1:10" x14ac:dyDescent="0.25">
      <c r="A20" s="29"/>
      <c r="B20" s="74"/>
      <c r="C20" s="75"/>
      <c r="D20" s="29"/>
      <c r="E20" s="29"/>
      <c r="F20" s="29"/>
      <c r="G20" s="29"/>
      <c r="H20" s="27"/>
      <c r="I20" s="42"/>
      <c r="J20" s="42"/>
    </row>
    <row r="21" spans="1:10" x14ac:dyDescent="0.25">
      <c r="A21" s="29"/>
      <c r="B21" s="74"/>
      <c r="C21" s="75"/>
      <c r="D21" s="29"/>
      <c r="E21" s="29"/>
      <c r="F21" s="29"/>
      <c r="G21" s="29"/>
      <c r="H21" s="27"/>
      <c r="I21" s="42"/>
      <c r="J21" s="42"/>
    </row>
    <row r="22" spans="1:10" x14ac:dyDescent="0.25">
      <c r="A22" s="29"/>
      <c r="B22" s="74"/>
      <c r="C22" s="75"/>
      <c r="D22" s="29"/>
      <c r="E22" s="29"/>
      <c r="F22" s="29"/>
      <c r="G22" s="29"/>
      <c r="H22" s="27"/>
      <c r="I22" s="42"/>
      <c r="J22" s="42"/>
    </row>
    <row r="23" spans="1:10" x14ac:dyDescent="0.25">
      <c r="A23" s="29"/>
      <c r="B23" s="74"/>
      <c r="C23" s="75"/>
      <c r="D23" s="29"/>
      <c r="E23" s="29"/>
      <c r="F23" s="29"/>
      <c r="G23" s="29"/>
      <c r="H23" s="27"/>
      <c r="I23" s="42"/>
      <c r="J23" s="42"/>
    </row>
    <row r="24" spans="1:10" x14ac:dyDescent="0.25">
      <c r="A24" s="50"/>
      <c r="B24" s="76"/>
      <c r="C24" s="77"/>
      <c r="D24" s="50"/>
      <c r="E24" s="50"/>
      <c r="F24" s="50"/>
      <c r="G24" s="50"/>
      <c r="H24" s="48"/>
      <c r="I24" s="53"/>
      <c r="J24" s="53"/>
    </row>
    <row r="25" spans="1:10" x14ac:dyDescent="0.25">
      <c r="A25" s="50"/>
      <c r="B25" s="76"/>
      <c r="C25" s="77"/>
      <c r="D25" s="50"/>
      <c r="E25" s="50"/>
      <c r="F25" s="50"/>
      <c r="G25" s="50"/>
      <c r="H25" s="48"/>
      <c r="I25" s="53"/>
      <c r="J25" s="53"/>
    </row>
    <row r="26" spans="1:10" x14ac:dyDescent="0.25">
      <c r="A26" s="50"/>
      <c r="B26" s="76"/>
      <c r="C26" s="77"/>
      <c r="D26" s="50"/>
      <c r="E26" s="50"/>
      <c r="F26" s="50"/>
      <c r="G26" s="50"/>
      <c r="H26" s="48"/>
      <c r="I26" s="53"/>
      <c r="J26" s="53"/>
    </row>
    <row r="27" spans="1:10" x14ac:dyDescent="0.25">
      <c r="A27" s="50"/>
      <c r="B27" s="76"/>
      <c r="C27" s="77"/>
      <c r="D27" s="50"/>
      <c r="E27" s="50"/>
      <c r="F27" s="50"/>
      <c r="G27" s="50"/>
      <c r="H27" s="48"/>
      <c r="I27" s="53"/>
      <c r="J27" s="53"/>
    </row>
    <row r="28" spans="1:10" x14ac:dyDescent="0.25">
      <c r="A28" s="50"/>
      <c r="B28" s="76"/>
      <c r="C28" s="77"/>
      <c r="D28" s="50"/>
      <c r="E28" s="50"/>
      <c r="F28" s="50"/>
      <c r="G28" s="50"/>
      <c r="H28" s="48"/>
      <c r="I28" s="53"/>
      <c r="J28" s="53"/>
    </row>
    <row r="29" spans="1:10" x14ac:dyDescent="0.25">
      <c r="A29" s="29"/>
      <c r="B29" s="74"/>
      <c r="C29" s="75"/>
      <c r="D29" s="29"/>
      <c r="E29" s="29"/>
      <c r="F29" s="29"/>
      <c r="G29" s="29"/>
      <c r="H29" s="27"/>
      <c r="I29" s="42"/>
      <c r="J29" s="42"/>
    </row>
    <row r="30" spans="1:10" x14ac:dyDescent="0.25">
      <c r="A30" s="29"/>
      <c r="B30" s="74"/>
      <c r="C30" s="75"/>
      <c r="D30" s="29"/>
      <c r="E30" s="29"/>
      <c r="F30" s="29"/>
      <c r="G30" s="29"/>
      <c r="H30" s="27"/>
      <c r="I30" s="42"/>
      <c r="J30" s="42"/>
    </row>
    <row r="31" spans="1:10" x14ac:dyDescent="0.25">
      <c r="A31" s="29"/>
      <c r="B31" s="74"/>
      <c r="C31" s="75"/>
      <c r="D31" s="29"/>
      <c r="E31" s="29"/>
      <c r="F31" s="29"/>
      <c r="G31" s="29"/>
      <c r="H31" s="27"/>
      <c r="I31" s="42"/>
      <c r="J31" s="42"/>
    </row>
    <row r="32" spans="1:10" x14ac:dyDescent="0.25">
      <c r="A32" s="29"/>
      <c r="B32" s="74"/>
      <c r="C32" s="75"/>
      <c r="D32" s="29"/>
      <c r="E32" s="29"/>
      <c r="F32" s="29"/>
      <c r="G32" s="29"/>
      <c r="H32" s="27"/>
      <c r="I32" s="42"/>
      <c r="J32" s="42"/>
    </row>
    <row r="33" spans="1:10" x14ac:dyDescent="0.25">
      <c r="A33" s="29"/>
      <c r="B33" s="74"/>
      <c r="C33" s="75"/>
      <c r="D33" s="29"/>
      <c r="E33" s="29"/>
      <c r="F33" s="29"/>
      <c r="G33" s="29"/>
      <c r="H33" s="27"/>
      <c r="I33" s="42"/>
      <c r="J33" s="42"/>
    </row>
    <row r="34" spans="1:10" x14ac:dyDescent="0.25">
      <c r="A34" s="50"/>
      <c r="B34" s="76"/>
      <c r="C34" s="77"/>
      <c r="D34" s="50"/>
      <c r="E34" s="50"/>
      <c r="F34" s="50"/>
      <c r="G34" s="50"/>
      <c r="H34" s="48"/>
      <c r="I34" s="53"/>
      <c r="J34" s="53"/>
    </row>
    <row r="35" spans="1:10" x14ac:dyDescent="0.25">
      <c r="A35" s="50"/>
      <c r="B35" s="76"/>
      <c r="C35" s="77"/>
      <c r="D35" s="50"/>
      <c r="E35" s="50"/>
      <c r="F35" s="50"/>
      <c r="G35" s="50"/>
      <c r="H35" s="48"/>
      <c r="I35" s="53"/>
      <c r="J35" s="53"/>
    </row>
    <row r="36" spans="1:10" x14ac:dyDescent="0.25">
      <c r="A36" s="50"/>
      <c r="B36" s="76"/>
      <c r="C36" s="77"/>
      <c r="D36" s="50"/>
      <c r="E36" s="50"/>
      <c r="F36" s="50"/>
      <c r="G36" s="50"/>
      <c r="H36" s="48"/>
      <c r="I36" s="53"/>
      <c r="J36" s="53"/>
    </row>
    <row r="37" spans="1:10" x14ac:dyDescent="0.25">
      <c r="A37" s="50"/>
      <c r="B37" s="76"/>
      <c r="C37" s="77"/>
      <c r="D37" s="50"/>
      <c r="E37" s="50"/>
      <c r="F37" s="50"/>
      <c r="G37" s="50"/>
      <c r="H37" s="48"/>
      <c r="I37" s="53"/>
      <c r="J37" s="53"/>
    </row>
    <row r="38" spans="1:10" x14ac:dyDescent="0.25">
      <c r="A38" s="50"/>
      <c r="B38" s="76"/>
      <c r="C38" s="77"/>
      <c r="D38" s="50"/>
      <c r="E38" s="50"/>
      <c r="F38" s="50"/>
      <c r="G38" s="50"/>
      <c r="H38" s="48"/>
      <c r="I38" s="53"/>
      <c r="J38" s="53"/>
    </row>
    <row r="39" spans="1:10" x14ac:dyDescent="0.25">
      <c r="A39" s="29"/>
      <c r="B39" s="74"/>
      <c r="C39" s="75"/>
      <c r="D39" s="29"/>
      <c r="E39" s="29"/>
      <c r="F39" s="29"/>
      <c r="G39" s="29"/>
      <c r="H39" s="27"/>
      <c r="I39" s="42"/>
      <c r="J39" s="42"/>
    </row>
    <row r="40" spans="1:10" x14ac:dyDescent="0.25">
      <c r="A40" s="29"/>
      <c r="B40" s="74"/>
      <c r="C40" s="75"/>
      <c r="D40" s="29"/>
      <c r="E40" s="29"/>
      <c r="F40" s="29"/>
      <c r="G40" s="29"/>
      <c r="H40" s="27"/>
      <c r="I40" s="42"/>
      <c r="J40" s="42"/>
    </row>
    <row r="41" spans="1:10" x14ac:dyDescent="0.25">
      <c r="A41" s="29"/>
      <c r="B41" s="74"/>
      <c r="C41" s="75"/>
      <c r="D41" s="29"/>
      <c r="E41" s="29"/>
      <c r="F41" s="29"/>
      <c r="G41" s="29"/>
      <c r="H41" s="27"/>
      <c r="I41" s="42"/>
      <c r="J41" s="42"/>
    </row>
    <row r="42" spans="1:10" x14ac:dyDescent="0.25">
      <c r="A42" s="29"/>
      <c r="B42" s="74"/>
      <c r="C42" s="75"/>
      <c r="D42" s="29"/>
      <c r="E42" s="29"/>
      <c r="F42" s="29"/>
      <c r="G42" s="29"/>
      <c r="H42" s="27"/>
      <c r="I42" s="42"/>
      <c r="J42" s="42"/>
    </row>
    <row r="43" spans="1:10" x14ac:dyDescent="0.25">
      <c r="A43" s="29"/>
      <c r="B43" s="74"/>
      <c r="C43" s="75"/>
      <c r="D43" s="29"/>
      <c r="E43" s="29"/>
      <c r="F43" s="29"/>
      <c r="G43" s="29"/>
      <c r="H43" s="27"/>
      <c r="I43" s="42"/>
      <c r="J43" s="42"/>
    </row>
    <row r="44" spans="1:10" x14ac:dyDescent="0.25">
      <c r="A44" s="50"/>
      <c r="B44" s="76"/>
      <c r="C44" s="77"/>
      <c r="D44" s="50"/>
      <c r="E44" s="50"/>
      <c r="F44" s="50"/>
      <c r="G44" s="50"/>
      <c r="H44" s="48"/>
      <c r="I44" s="53"/>
      <c r="J44" s="53"/>
    </row>
    <row r="45" spans="1:10" x14ac:dyDescent="0.25">
      <c r="A45" s="50"/>
      <c r="B45" s="76"/>
      <c r="C45" s="77"/>
      <c r="D45" s="50"/>
      <c r="E45" s="50"/>
      <c r="F45" s="50"/>
      <c r="G45" s="50"/>
      <c r="H45" s="48"/>
      <c r="I45" s="53"/>
      <c r="J45" s="53"/>
    </row>
    <row r="46" spans="1:10" x14ac:dyDescent="0.25">
      <c r="A46" s="50"/>
      <c r="B46" s="76"/>
      <c r="C46" s="77"/>
      <c r="D46" s="50"/>
      <c r="E46" s="50"/>
      <c r="F46" s="50"/>
      <c r="G46" s="50"/>
      <c r="H46" s="48"/>
      <c r="I46" s="53"/>
      <c r="J46" s="53"/>
    </row>
    <row r="47" spans="1:10" x14ac:dyDescent="0.25">
      <c r="A47" s="50"/>
      <c r="B47" s="76"/>
      <c r="C47" s="77"/>
      <c r="D47" s="50"/>
      <c r="E47" s="50"/>
      <c r="F47" s="50"/>
      <c r="G47" s="50"/>
      <c r="H47" s="48"/>
      <c r="I47" s="53"/>
      <c r="J47" s="53"/>
    </row>
    <row r="48" spans="1:10" x14ac:dyDescent="0.25">
      <c r="A48" s="50"/>
      <c r="B48" s="76"/>
      <c r="C48" s="77"/>
      <c r="D48" s="50"/>
      <c r="E48" s="50"/>
      <c r="F48" s="50"/>
      <c r="G48" s="50"/>
      <c r="H48" s="48"/>
      <c r="I48" s="53"/>
      <c r="J48" s="53"/>
    </row>
    <row r="49" spans="1:10" x14ac:dyDescent="0.25">
      <c r="A49" s="29"/>
      <c r="B49" s="74"/>
      <c r="C49" s="75"/>
      <c r="D49" s="29"/>
      <c r="E49" s="29"/>
      <c r="F49" s="29"/>
      <c r="G49" s="29"/>
      <c r="H49" s="27"/>
      <c r="I49" s="42"/>
      <c r="J49" s="42"/>
    </row>
    <row r="50" spans="1:10" x14ac:dyDescent="0.25">
      <c r="A50" s="29"/>
      <c r="B50" s="74"/>
      <c r="C50" s="75"/>
      <c r="D50" s="29"/>
      <c r="E50" s="29"/>
      <c r="F50" s="29"/>
      <c r="G50" s="29"/>
      <c r="H50" s="27"/>
      <c r="I50" s="42"/>
      <c r="J50" s="42"/>
    </row>
    <row r="51" spans="1:10" x14ac:dyDescent="0.25">
      <c r="A51" s="29"/>
      <c r="B51" s="74"/>
      <c r="C51" s="75"/>
      <c r="D51" s="29"/>
      <c r="E51" s="29"/>
      <c r="F51" s="29"/>
      <c r="G51" s="29"/>
      <c r="H51" s="27"/>
      <c r="I51" s="42"/>
      <c r="J51" s="42"/>
    </row>
    <row r="52" spans="1:10" x14ac:dyDescent="0.25">
      <c r="A52" s="29"/>
      <c r="B52" s="74"/>
      <c r="C52" s="75"/>
      <c r="D52" s="29"/>
      <c r="E52" s="29"/>
      <c r="F52" s="29"/>
      <c r="G52" s="29"/>
      <c r="H52" s="27"/>
      <c r="I52" s="42"/>
      <c r="J52" s="42"/>
    </row>
    <row r="53" spans="1:10" x14ac:dyDescent="0.25">
      <c r="A53" s="29"/>
      <c r="B53" s="74"/>
      <c r="C53" s="75"/>
      <c r="D53" s="29"/>
      <c r="E53" s="29"/>
      <c r="F53" s="29"/>
      <c r="G53" s="29"/>
      <c r="H53" s="27"/>
      <c r="I53" s="42"/>
      <c r="J53" s="42"/>
    </row>
    <row r="54" spans="1:10" x14ac:dyDescent="0.25">
      <c r="A54" s="50"/>
      <c r="B54" s="76"/>
      <c r="C54" s="77"/>
      <c r="D54" s="50"/>
      <c r="E54" s="50"/>
      <c r="F54" s="50"/>
      <c r="G54" s="50"/>
      <c r="H54" s="48"/>
      <c r="I54" s="53"/>
      <c r="J54" s="53"/>
    </row>
    <row r="55" spans="1:10" x14ac:dyDescent="0.25">
      <c r="A55" s="50"/>
      <c r="B55" s="76"/>
      <c r="C55" s="77"/>
      <c r="D55" s="50"/>
      <c r="E55" s="50"/>
      <c r="F55" s="50"/>
      <c r="G55" s="50"/>
      <c r="H55" s="48"/>
      <c r="I55" s="53"/>
      <c r="J55" s="53"/>
    </row>
    <row r="56" spans="1:10" x14ac:dyDescent="0.25">
      <c r="A56" s="50"/>
      <c r="B56" s="76"/>
      <c r="C56" s="77"/>
      <c r="D56" s="50"/>
      <c r="E56" s="50"/>
      <c r="F56" s="50"/>
      <c r="G56" s="50"/>
      <c r="H56" s="48"/>
      <c r="I56" s="53"/>
      <c r="J56" s="53"/>
    </row>
    <row r="57" spans="1:10" x14ac:dyDescent="0.25">
      <c r="A57" s="50"/>
      <c r="B57" s="76"/>
      <c r="C57" s="77"/>
      <c r="D57" s="50"/>
      <c r="E57" s="50"/>
      <c r="F57" s="50"/>
      <c r="G57" s="50"/>
      <c r="H57" s="48"/>
      <c r="I57" s="53"/>
      <c r="J57" s="53"/>
    </row>
    <row r="58" spans="1:10" x14ac:dyDescent="0.25">
      <c r="A58" s="50"/>
      <c r="B58" s="76"/>
      <c r="C58" s="77"/>
      <c r="D58" s="50"/>
      <c r="E58" s="50"/>
      <c r="F58" s="50"/>
      <c r="G58" s="50"/>
      <c r="H58" s="48"/>
      <c r="I58" s="53"/>
      <c r="J58" s="53"/>
    </row>
    <row r="59" spans="1:10" x14ac:dyDescent="0.25">
      <c r="A59" s="29"/>
      <c r="B59" s="74"/>
      <c r="C59" s="75"/>
      <c r="D59" s="29"/>
      <c r="E59" s="29"/>
      <c r="F59" s="29"/>
      <c r="G59" s="29"/>
      <c r="H59" s="27"/>
      <c r="I59" s="42"/>
      <c r="J59" s="42"/>
    </row>
    <row r="60" spans="1:10" x14ac:dyDescent="0.25">
      <c r="A60" s="29"/>
      <c r="B60" s="74"/>
      <c r="C60" s="75"/>
      <c r="D60" s="29"/>
      <c r="E60" s="29"/>
      <c r="F60" s="29"/>
      <c r="G60" s="29"/>
      <c r="H60" s="27"/>
      <c r="I60" s="42"/>
      <c r="J60" s="42"/>
    </row>
    <row r="61" spans="1:10" x14ac:dyDescent="0.25">
      <c r="A61" s="29"/>
      <c r="B61" s="74"/>
      <c r="C61" s="75"/>
      <c r="D61" s="29"/>
      <c r="E61" s="29"/>
      <c r="F61" s="29"/>
      <c r="G61" s="29"/>
      <c r="H61" s="27"/>
      <c r="I61" s="42"/>
      <c r="J61" s="42"/>
    </row>
    <row r="62" spans="1:10" x14ac:dyDescent="0.25">
      <c r="A62" s="29"/>
      <c r="B62" s="74"/>
      <c r="C62" s="75"/>
      <c r="D62" s="29"/>
      <c r="E62" s="29"/>
      <c r="F62" s="29"/>
      <c r="G62" s="29"/>
      <c r="H62" s="27"/>
      <c r="I62" s="42"/>
      <c r="J62" s="42"/>
    </row>
    <row r="63" spans="1:10" x14ac:dyDescent="0.25">
      <c r="A63" s="29"/>
      <c r="B63" s="74"/>
      <c r="C63" s="75"/>
      <c r="D63" s="29"/>
      <c r="E63" s="29"/>
      <c r="F63" s="29"/>
      <c r="G63" s="29"/>
      <c r="H63" s="27"/>
      <c r="I63" s="42"/>
      <c r="J63" s="42"/>
    </row>
    <row r="64" spans="1:10" x14ac:dyDescent="0.25">
      <c r="A64" s="50"/>
      <c r="B64" s="76"/>
      <c r="C64" s="77"/>
      <c r="D64" s="50"/>
      <c r="E64" s="50"/>
      <c r="F64" s="50"/>
      <c r="G64" s="50"/>
      <c r="H64" s="48"/>
      <c r="I64" s="53"/>
      <c r="J64" s="53"/>
    </row>
    <row r="65" spans="1:10" x14ac:dyDescent="0.25">
      <c r="A65" s="50"/>
      <c r="B65" s="76"/>
      <c r="C65" s="77"/>
      <c r="D65" s="50"/>
      <c r="E65" s="50"/>
      <c r="F65" s="50"/>
      <c r="G65" s="50"/>
      <c r="H65" s="48"/>
      <c r="I65" s="53"/>
      <c r="J65" s="53"/>
    </row>
    <row r="66" spans="1:10" x14ac:dyDescent="0.25">
      <c r="A66" s="50"/>
      <c r="B66" s="76"/>
      <c r="C66" s="77"/>
      <c r="D66" s="50"/>
      <c r="E66" s="50"/>
      <c r="F66" s="50"/>
      <c r="G66" s="50"/>
      <c r="H66" s="48"/>
      <c r="I66" s="53"/>
      <c r="J66" s="53"/>
    </row>
    <row r="67" spans="1:10" x14ac:dyDescent="0.25">
      <c r="A67" s="50"/>
      <c r="B67" s="76"/>
      <c r="C67" s="77"/>
      <c r="D67" s="50"/>
      <c r="E67" s="50"/>
      <c r="F67" s="50"/>
      <c r="G67" s="50"/>
      <c r="H67" s="48"/>
      <c r="I67" s="53"/>
      <c r="J67" s="53"/>
    </row>
    <row r="68" spans="1:10" x14ac:dyDescent="0.25">
      <c r="A68" s="50"/>
      <c r="B68" s="76"/>
      <c r="C68" s="77"/>
      <c r="D68" s="50"/>
      <c r="E68" s="50"/>
      <c r="F68" s="50"/>
      <c r="G68" s="50"/>
      <c r="H68" s="48"/>
      <c r="I68" s="53"/>
      <c r="J68" s="53"/>
    </row>
    <row r="69" spans="1:10" x14ac:dyDescent="0.25">
      <c r="A69" s="29"/>
      <c r="B69" s="74"/>
      <c r="C69" s="75"/>
      <c r="D69" s="29"/>
      <c r="E69" s="29"/>
      <c r="F69" s="29"/>
      <c r="G69" s="29"/>
      <c r="H69" s="27"/>
      <c r="I69" s="42"/>
      <c r="J69" s="42"/>
    </row>
    <row r="70" spans="1:10" x14ac:dyDescent="0.25">
      <c r="A70" s="29"/>
      <c r="B70" s="74"/>
      <c r="C70" s="75"/>
      <c r="D70" s="29"/>
      <c r="E70" s="29"/>
      <c r="F70" s="29"/>
      <c r="G70" s="29"/>
      <c r="H70" s="27"/>
      <c r="I70" s="42"/>
      <c r="J70" s="42"/>
    </row>
    <row r="71" spans="1:10" x14ac:dyDescent="0.25">
      <c r="A71" s="29"/>
      <c r="B71" s="74"/>
      <c r="C71" s="75"/>
      <c r="D71" s="29"/>
      <c r="E71" s="29"/>
      <c r="F71" s="29"/>
      <c r="G71" s="29"/>
      <c r="H71" s="27"/>
      <c r="I71" s="42"/>
      <c r="J71" s="42"/>
    </row>
    <row r="72" spans="1:10" x14ac:dyDescent="0.25">
      <c r="A72" s="29"/>
      <c r="B72" s="74"/>
      <c r="C72" s="75"/>
      <c r="D72" s="29"/>
      <c r="E72" s="29"/>
      <c r="F72" s="29"/>
      <c r="G72" s="29"/>
      <c r="H72" s="27"/>
      <c r="I72" s="42"/>
      <c r="J72" s="42"/>
    </row>
    <row r="73" spans="1:10" x14ac:dyDescent="0.25">
      <c r="A73" s="29"/>
      <c r="B73" s="74"/>
      <c r="C73" s="75"/>
      <c r="D73" s="29"/>
      <c r="E73" s="29"/>
      <c r="F73" s="29"/>
      <c r="G73" s="29"/>
      <c r="H73" s="27"/>
      <c r="I73" s="42"/>
      <c r="J73" s="42"/>
    </row>
    <row r="74" spans="1:10" x14ac:dyDescent="0.25">
      <c r="A74" s="50"/>
      <c r="B74" s="76"/>
      <c r="C74" s="77"/>
      <c r="D74" s="50"/>
      <c r="E74" s="50"/>
      <c r="F74" s="50"/>
      <c r="G74" s="50"/>
      <c r="H74" s="48"/>
      <c r="I74" s="53"/>
      <c r="J74" s="53"/>
    </row>
    <row r="75" spans="1:10" x14ac:dyDescent="0.25">
      <c r="A75" s="50"/>
      <c r="B75" s="76"/>
      <c r="C75" s="77"/>
      <c r="D75" s="50"/>
      <c r="E75" s="50"/>
      <c r="F75" s="50"/>
      <c r="G75" s="50"/>
      <c r="H75" s="48"/>
      <c r="I75" s="53"/>
      <c r="J75" s="53"/>
    </row>
    <row r="76" spans="1:10" x14ac:dyDescent="0.25">
      <c r="A76" s="50"/>
      <c r="B76" s="76"/>
      <c r="C76" s="77"/>
      <c r="D76" s="50"/>
      <c r="E76" s="50"/>
      <c r="F76" s="50"/>
      <c r="G76" s="50"/>
      <c r="H76" s="48"/>
      <c r="I76" s="53"/>
      <c r="J76" s="53"/>
    </row>
    <row r="77" spans="1:10" x14ac:dyDescent="0.25">
      <c r="A77" s="50"/>
      <c r="B77" s="76"/>
      <c r="C77" s="77"/>
      <c r="D77" s="50"/>
      <c r="E77" s="50"/>
      <c r="F77" s="50"/>
      <c r="G77" s="50"/>
      <c r="H77" s="48"/>
      <c r="I77" s="53"/>
      <c r="J77" s="53"/>
    </row>
    <row r="78" spans="1:10" x14ac:dyDescent="0.25">
      <c r="A78" s="50"/>
      <c r="B78" s="76"/>
      <c r="C78" s="77"/>
      <c r="D78" s="50"/>
      <c r="E78" s="50"/>
      <c r="F78" s="50"/>
      <c r="G78" s="50"/>
      <c r="H78" s="48"/>
      <c r="I78" s="53"/>
      <c r="J78" s="53"/>
    </row>
    <row r="79" spans="1:10" x14ac:dyDescent="0.25">
      <c r="A79" s="29"/>
      <c r="B79" s="74"/>
      <c r="C79" s="75"/>
      <c r="D79" s="29"/>
      <c r="E79" s="29"/>
      <c r="F79" s="29"/>
      <c r="G79" s="29"/>
      <c r="H79" s="27"/>
      <c r="I79" s="42"/>
      <c r="J79" s="42"/>
    </row>
    <row r="80" spans="1:10" x14ac:dyDescent="0.25">
      <c r="A80" s="29"/>
      <c r="B80" s="74"/>
      <c r="C80" s="75"/>
      <c r="D80" s="29"/>
      <c r="E80" s="29"/>
      <c r="F80" s="29"/>
      <c r="G80" s="29"/>
      <c r="H80" s="27"/>
      <c r="I80" s="42"/>
      <c r="J80" s="42"/>
    </row>
    <row r="81" spans="1:10" x14ac:dyDescent="0.25">
      <c r="A81" s="29"/>
      <c r="B81" s="74"/>
      <c r="C81" s="75"/>
      <c r="D81" s="29"/>
      <c r="E81" s="29"/>
      <c r="F81" s="29"/>
      <c r="G81" s="29"/>
      <c r="H81" s="27"/>
      <c r="I81" s="42"/>
      <c r="J81" s="42"/>
    </row>
    <row r="82" spans="1:10" x14ac:dyDescent="0.25">
      <c r="A82" s="29"/>
      <c r="B82" s="74"/>
      <c r="C82" s="75"/>
      <c r="D82" s="29"/>
      <c r="E82" s="29"/>
      <c r="F82" s="29"/>
      <c r="G82" s="29"/>
      <c r="H82" s="27"/>
      <c r="I82" s="42"/>
      <c r="J82" s="42"/>
    </row>
    <row r="83" spans="1:10" x14ac:dyDescent="0.25">
      <c r="A83" s="29"/>
      <c r="B83" s="74"/>
      <c r="C83" s="75"/>
      <c r="D83" s="29"/>
      <c r="E83" s="29"/>
      <c r="F83" s="29"/>
      <c r="G83" s="29"/>
      <c r="H83" s="27"/>
      <c r="I83" s="42"/>
      <c r="J83" s="42"/>
    </row>
    <row r="84" spans="1:10" x14ac:dyDescent="0.25">
      <c r="A84" s="50"/>
      <c r="B84" s="76"/>
      <c r="C84" s="77"/>
      <c r="D84" s="50"/>
      <c r="E84" s="50"/>
      <c r="F84" s="50"/>
      <c r="G84" s="50"/>
      <c r="H84" s="48"/>
      <c r="I84" s="53"/>
      <c r="J84" s="53"/>
    </row>
    <row r="85" spans="1:10" x14ac:dyDescent="0.25">
      <c r="A85" s="50"/>
      <c r="B85" s="76"/>
      <c r="C85" s="77"/>
      <c r="D85" s="50"/>
      <c r="E85" s="50"/>
      <c r="F85" s="50"/>
      <c r="G85" s="50"/>
      <c r="H85" s="48"/>
      <c r="I85" s="53"/>
      <c r="J85" s="53"/>
    </row>
    <row r="86" spans="1:10" x14ac:dyDescent="0.25">
      <c r="A86" s="50"/>
      <c r="B86" s="76"/>
      <c r="C86" s="77"/>
      <c r="D86" s="50"/>
      <c r="E86" s="50"/>
      <c r="F86" s="50"/>
      <c r="G86" s="50"/>
      <c r="H86" s="48"/>
      <c r="I86" s="53"/>
      <c r="J86" s="53"/>
    </row>
    <row r="87" spans="1:10" x14ac:dyDescent="0.25">
      <c r="A87" s="50"/>
      <c r="B87" s="76"/>
      <c r="C87" s="77"/>
      <c r="D87" s="50"/>
      <c r="E87" s="50"/>
      <c r="F87" s="50"/>
      <c r="G87" s="50"/>
      <c r="H87" s="48"/>
      <c r="I87" s="53"/>
      <c r="J87" s="53"/>
    </row>
    <row r="88" spans="1:10" x14ac:dyDescent="0.25">
      <c r="A88" s="50"/>
      <c r="B88" s="76"/>
      <c r="C88" s="77"/>
      <c r="D88" s="50"/>
      <c r="E88" s="50"/>
      <c r="F88" s="50"/>
      <c r="G88" s="50"/>
      <c r="H88" s="48"/>
      <c r="I88" s="53"/>
      <c r="J88" s="53"/>
    </row>
    <row r="89" spans="1:10" x14ac:dyDescent="0.25">
      <c r="A89" s="29"/>
      <c r="B89" s="74"/>
      <c r="C89" s="75"/>
      <c r="D89" s="29"/>
      <c r="E89" s="29"/>
      <c r="F89" s="29"/>
      <c r="G89" s="29"/>
      <c r="H89" s="27"/>
      <c r="I89" s="42"/>
      <c r="J89" s="42"/>
    </row>
    <row r="90" spans="1:10" x14ac:dyDescent="0.25">
      <c r="A90" s="29"/>
      <c r="B90" s="74"/>
      <c r="C90" s="75"/>
      <c r="D90" s="29"/>
      <c r="E90" s="29"/>
      <c r="F90" s="29"/>
      <c r="G90" s="29"/>
      <c r="H90" s="27"/>
      <c r="I90" s="42"/>
      <c r="J90" s="42"/>
    </row>
    <row r="91" spans="1:10" x14ac:dyDescent="0.25">
      <c r="A91" s="29"/>
      <c r="B91" s="74"/>
      <c r="C91" s="75"/>
      <c r="D91" s="29"/>
      <c r="E91" s="29"/>
      <c r="F91" s="29"/>
      <c r="G91" s="29"/>
      <c r="H91" s="27"/>
      <c r="I91" s="42"/>
      <c r="J91" s="42"/>
    </row>
    <row r="92" spans="1:10" x14ac:dyDescent="0.25">
      <c r="A92" s="29"/>
      <c r="B92" s="74"/>
      <c r="C92" s="75"/>
      <c r="D92" s="29"/>
      <c r="E92" s="29"/>
      <c r="F92" s="29"/>
      <c r="G92" s="29"/>
      <c r="H92" s="27"/>
      <c r="I92" s="42"/>
      <c r="J92" s="42"/>
    </row>
    <row r="93" spans="1:10" x14ac:dyDescent="0.25">
      <c r="A93" s="29"/>
      <c r="B93" s="74"/>
      <c r="C93" s="75"/>
      <c r="D93" s="29"/>
      <c r="E93" s="29"/>
      <c r="F93" s="29"/>
      <c r="G93" s="29"/>
      <c r="H93" s="27"/>
      <c r="I93" s="42"/>
      <c r="J93" s="42"/>
    </row>
    <row r="94" spans="1:10" x14ac:dyDescent="0.25">
      <c r="A94" s="50"/>
      <c r="B94" s="76"/>
      <c r="C94" s="77"/>
      <c r="D94" s="50"/>
      <c r="E94" s="50"/>
      <c r="F94" s="50"/>
      <c r="G94" s="50"/>
      <c r="H94" s="48"/>
      <c r="I94" s="53"/>
      <c r="J94" s="53"/>
    </row>
    <row r="95" spans="1:10" x14ac:dyDescent="0.25">
      <c r="A95" s="50"/>
      <c r="B95" s="76"/>
      <c r="C95" s="77"/>
      <c r="D95" s="50"/>
      <c r="E95" s="50"/>
      <c r="F95" s="50"/>
      <c r="G95" s="50"/>
      <c r="H95" s="48"/>
      <c r="I95" s="53"/>
      <c r="J95" s="53"/>
    </row>
    <row r="96" spans="1:10" x14ac:dyDescent="0.25">
      <c r="A96" s="50"/>
      <c r="B96" s="76"/>
      <c r="C96" s="77"/>
      <c r="D96" s="50"/>
      <c r="E96" s="50"/>
      <c r="F96" s="50"/>
      <c r="G96" s="50"/>
      <c r="H96" s="48"/>
      <c r="I96" s="53"/>
      <c r="J96" s="53"/>
    </row>
    <row r="97" spans="1:10" x14ac:dyDescent="0.25">
      <c r="A97" s="50"/>
      <c r="B97" s="76"/>
      <c r="C97" s="77"/>
      <c r="D97" s="50"/>
      <c r="E97" s="50"/>
      <c r="F97" s="50"/>
      <c r="G97" s="50"/>
      <c r="H97" s="48"/>
      <c r="I97" s="53"/>
      <c r="J97" s="53"/>
    </row>
    <row r="98" spans="1:10" x14ac:dyDescent="0.25">
      <c r="A98" s="50"/>
      <c r="B98" s="76"/>
      <c r="C98" s="77"/>
      <c r="D98" s="50"/>
      <c r="E98" s="50"/>
      <c r="F98" s="50"/>
      <c r="G98" s="50"/>
      <c r="H98" s="48"/>
      <c r="I98" s="53"/>
      <c r="J98" s="53"/>
    </row>
    <row r="99" spans="1:10" x14ac:dyDescent="0.25">
      <c r="A99" s="29"/>
      <c r="B99" s="74"/>
      <c r="C99" s="75"/>
      <c r="D99" s="29"/>
      <c r="E99" s="29"/>
      <c r="F99" s="29"/>
      <c r="G99" s="29"/>
      <c r="H99" s="27"/>
      <c r="I99" s="42"/>
      <c r="J99" s="42"/>
    </row>
    <row r="100" spans="1:10" x14ac:dyDescent="0.25">
      <c r="A100" s="29"/>
      <c r="B100" s="74"/>
      <c r="C100" s="75"/>
      <c r="D100" s="29"/>
      <c r="E100" s="29"/>
      <c r="F100" s="29"/>
      <c r="G100" s="29"/>
      <c r="H100" s="27"/>
      <c r="I100" s="42"/>
      <c r="J100" s="42"/>
    </row>
    <row r="101" spans="1:10" x14ac:dyDescent="0.25">
      <c r="A101" s="29"/>
      <c r="B101" s="74"/>
      <c r="C101" s="75"/>
      <c r="D101" s="29"/>
      <c r="E101" s="29"/>
      <c r="F101" s="29"/>
      <c r="G101" s="29"/>
      <c r="H101" s="27"/>
      <c r="I101" s="42"/>
      <c r="J101" s="42"/>
    </row>
    <row r="102" spans="1:10" x14ac:dyDescent="0.25">
      <c r="A102" s="29"/>
      <c r="B102" s="74"/>
      <c r="C102" s="75"/>
      <c r="D102" s="29"/>
      <c r="E102" s="29"/>
      <c r="F102" s="29"/>
      <c r="G102" s="29"/>
      <c r="H102" s="27"/>
      <c r="I102" s="42"/>
      <c r="J102" s="42"/>
    </row>
    <row r="103" spans="1:10" x14ac:dyDescent="0.25">
      <c r="A103" s="29"/>
      <c r="B103" s="74"/>
      <c r="C103" s="75"/>
      <c r="D103" s="29"/>
      <c r="E103" s="29"/>
      <c r="F103" s="29"/>
      <c r="G103" s="29"/>
      <c r="H103" s="27"/>
      <c r="I103" s="42"/>
      <c r="J103" s="42"/>
    </row>
    <row r="104" spans="1:10" x14ac:dyDescent="0.25">
      <c r="A104" s="50"/>
      <c r="B104" s="76"/>
      <c r="C104" s="77"/>
      <c r="D104" s="50"/>
      <c r="E104" s="50"/>
      <c r="F104" s="50"/>
      <c r="G104" s="50"/>
      <c r="H104" s="48"/>
      <c r="I104" s="53"/>
      <c r="J104" s="53"/>
    </row>
    <row r="105" spans="1:10" x14ac:dyDescent="0.25">
      <c r="A105" s="50"/>
      <c r="B105" s="76"/>
      <c r="C105" s="77"/>
      <c r="D105" s="50"/>
      <c r="E105" s="50"/>
      <c r="F105" s="50"/>
      <c r="G105" s="50"/>
      <c r="H105" s="48"/>
      <c r="I105" s="53"/>
      <c r="J105" s="53"/>
    </row>
    <row r="106" spans="1:10" x14ac:dyDescent="0.25">
      <c r="A106" s="50"/>
      <c r="B106" s="76"/>
      <c r="C106" s="77"/>
      <c r="D106" s="50"/>
      <c r="E106" s="50"/>
      <c r="F106" s="50"/>
      <c r="G106" s="50"/>
      <c r="H106" s="48"/>
      <c r="I106" s="53"/>
      <c r="J106" s="53"/>
    </row>
    <row r="107" spans="1:10" x14ac:dyDescent="0.25">
      <c r="A107" s="50"/>
      <c r="B107" s="76"/>
      <c r="C107" s="77"/>
      <c r="D107" s="50"/>
      <c r="E107" s="50"/>
      <c r="F107" s="50"/>
      <c r="G107" s="50"/>
      <c r="H107" s="48"/>
      <c r="I107" s="53"/>
      <c r="J107" s="53"/>
    </row>
    <row r="108" spans="1:10" x14ac:dyDescent="0.25">
      <c r="A108" s="50"/>
      <c r="B108" s="76"/>
      <c r="C108" s="77"/>
      <c r="D108" s="50"/>
      <c r="E108" s="50"/>
      <c r="F108" s="50"/>
      <c r="G108" s="50"/>
      <c r="H108" s="48"/>
      <c r="I108" s="53"/>
      <c r="J108" s="53"/>
    </row>
    <row r="109" spans="1:10" x14ac:dyDescent="0.25">
      <c r="A109" s="29"/>
      <c r="B109" s="74"/>
      <c r="C109" s="75"/>
      <c r="D109" s="29"/>
      <c r="E109" s="29"/>
      <c r="F109" s="29"/>
      <c r="G109" s="29"/>
      <c r="H109" s="27"/>
      <c r="I109" s="42"/>
      <c r="J109" s="42"/>
    </row>
    <row r="110" spans="1:10" x14ac:dyDescent="0.25">
      <c r="A110" s="29"/>
      <c r="B110" s="74"/>
      <c r="C110" s="75"/>
      <c r="D110" s="29"/>
      <c r="E110" s="29"/>
      <c r="F110" s="29"/>
      <c r="G110" s="29"/>
      <c r="H110" s="27"/>
      <c r="I110" s="42"/>
      <c r="J110" s="42"/>
    </row>
    <row r="111" spans="1:10" x14ac:dyDescent="0.25">
      <c r="A111" s="29"/>
      <c r="B111" s="74"/>
      <c r="C111" s="75"/>
      <c r="D111" s="29"/>
      <c r="E111" s="29"/>
      <c r="F111" s="29"/>
      <c r="G111" s="29"/>
      <c r="H111" s="27"/>
      <c r="I111" s="42"/>
      <c r="J111" s="42"/>
    </row>
    <row r="112" spans="1:10" x14ac:dyDescent="0.25">
      <c r="A112" s="29"/>
      <c r="B112" s="74"/>
      <c r="C112" s="75"/>
      <c r="D112" s="29"/>
      <c r="E112" s="29"/>
      <c r="F112" s="29"/>
      <c r="G112" s="29"/>
      <c r="H112" s="27"/>
      <c r="I112" s="42"/>
      <c r="J112" s="42"/>
    </row>
    <row r="113" spans="1:10" x14ac:dyDescent="0.25">
      <c r="A113" s="29"/>
      <c r="B113" s="74"/>
      <c r="C113" s="75"/>
      <c r="D113" s="29"/>
      <c r="E113" s="29"/>
      <c r="F113" s="29"/>
      <c r="G113" s="29"/>
      <c r="H113" s="27"/>
      <c r="I113" s="42"/>
      <c r="J113" s="42"/>
    </row>
    <row r="114" spans="1:10" x14ac:dyDescent="0.25">
      <c r="A114" s="50"/>
      <c r="B114" s="76"/>
      <c r="C114" s="77"/>
      <c r="D114" s="50"/>
      <c r="E114" s="50"/>
      <c r="F114" s="50"/>
      <c r="G114" s="50"/>
      <c r="H114" s="48"/>
      <c r="I114" s="53"/>
      <c r="J114" s="53"/>
    </row>
    <row r="115" spans="1:10" x14ac:dyDescent="0.25">
      <c r="A115" s="50"/>
      <c r="B115" s="76"/>
      <c r="C115" s="77"/>
      <c r="D115" s="50"/>
      <c r="E115" s="50"/>
      <c r="F115" s="50"/>
      <c r="G115" s="50"/>
      <c r="H115" s="48"/>
      <c r="I115" s="53"/>
      <c r="J115" s="53"/>
    </row>
    <row r="116" spans="1:10" x14ac:dyDescent="0.25">
      <c r="A116" s="50"/>
      <c r="B116" s="76"/>
      <c r="C116" s="77"/>
      <c r="D116" s="50"/>
      <c r="E116" s="50"/>
      <c r="F116" s="50"/>
      <c r="G116" s="50"/>
      <c r="H116" s="48"/>
      <c r="I116" s="53"/>
      <c r="J116" s="53"/>
    </row>
    <row r="117" spans="1:10" x14ac:dyDescent="0.25">
      <c r="A117" s="50"/>
      <c r="B117" s="76"/>
      <c r="C117" s="77"/>
      <c r="D117" s="50"/>
      <c r="E117" s="50"/>
      <c r="F117" s="50"/>
      <c r="G117" s="50"/>
      <c r="H117" s="48"/>
      <c r="I117" s="53"/>
      <c r="J117" s="53"/>
    </row>
    <row r="118" spans="1:10" x14ac:dyDescent="0.25">
      <c r="A118" s="50"/>
      <c r="B118" s="76"/>
      <c r="C118" s="77"/>
      <c r="D118" s="50"/>
      <c r="E118" s="50"/>
      <c r="F118" s="50"/>
      <c r="G118" s="50"/>
      <c r="H118" s="48"/>
      <c r="I118" s="53"/>
      <c r="J118" s="53"/>
    </row>
    <row r="119" spans="1:10" x14ac:dyDescent="0.25">
      <c r="A119" s="29"/>
      <c r="B119" s="74"/>
      <c r="C119" s="75"/>
      <c r="D119" s="29"/>
      <c r="E119" s="29"/>
      <c r="F119" s="29"/>
      <c r="G119" s="29"/>
      <c r="H119" s="27"/>
      <c r="I119" s="42"/>
      <c r="J119" s="42"/>
    </row>
    <row r="120" spans="1:10" x14ac:dyDescent="0.25">
      <c r="A120" s="29"/>
      <c r="B120" s="74"/>
      <c r="C120" s="75"/>
      <c r="D120" s="29"/>
      <c r="E120" s="29"/>
      <c r="F120" s="29"/>
      <c r="G120" s="29"/>
      <c r="H120" s="27"/>
      <c r="I120" s="42"/>
      <c r="J120" s="42"/>
    </row>
    <row r="121" spans="1:10" x14ac:dyDescent="0.25">
      <c r="A121" s="29"/>
      <c r="B121" s="74"/>
      <c r="C121" s="75"/>
      <c r="D121" s="29"/>
      <c r="E121" s="29"/>
      <c r="F121" s="29"/>
      <c r="G121" s="29"/>
      <c r="H121" s="27"/>
      <c r="I121" s="42"/>
      <c r="J121" s="42"/>
    </row>
    <row r="122" spans="1:10" x14ac:dyDescent="0.25">
      <c r="A122" s="29"/>
      <c r="B122" s="74"/>
      <c r="C122" s="75"/>
      <c r="D122" s="29"/>
      <c r="E122" s="29"/>
      <c r="F122" s="29"/>
      <c r="G122" s="29"/>
      <c r="H122" s="27"/>
      <c r="I122" s="42"/>
      <c r="J122" s="42"/>
    </row>
    <row r="123" spans="1:10" x14ac:dyDescent="0.25">
      <c r="A123" s="29"/>
      <c r="B123" s="74"/>
      <c r="C123" s="75"/>
      <c r="D123" s="29"/>
      <c r="E123" s="29"/>
      <c r="F123" s="29"/>
      <c r="G123" s="29"/>
      <c r="H123" s="27"/>
      <c r="I123" s="42"/>
      <c r="J123" s="42"/>
    </row>
    <row r="124" spans="1:10" x14ac:dyDescent="0.25">
      <c r="A124" s="50"/>
      <c r="B124" s="76"/>
      <c r="C124" s="77"/>
      <c r="D124" s="50"/>
      <c r="E124" s="50"/>
      <c r="F124" s="50"/>
      <c r="G124" s="50"/>
      <c r="H124" s="48"/>
      <c r="I124" s="53"/>
      <c r="J124" s="53"/>
    </row>
    <row r="125" spans="1:10" x14ac:dyDescent="0.25">
      <c r="A125" s="50"/>
      <c r="B125" s="76"/>
      <c r="C125" s="77"/>
      <c r="D125" s="50"/>
      <c r="E125" s="50"/>
      <c r="F125" s="50"/>
      <c r="G125" s="50"/>
      <c r="H125" s="48"/>
      <c r="I125" s="53"/>
      <c r="J125" s="53"/>
    </row>
    <row r="126" spans="1:10" x14ac:dyDescent="0.25">
      <c r="A126" s="50"/>
      <c r="B126" s="76"/>
      <c r="C126" s="77"/>
      <c r="D126" s="50"/>
      <c r="E126" s="50"/>
      <c r="F126" s="50"/>
      <c r="G126" s="50"/>
      <c r="H126" s="48"/>
      <c r="I126" s="53"/>
      <c r="J126" s="53"/>
    </row>
    <row r="127" spans="1:10" x14ac:dyDescent="0.25">
      <c r="A127" s="50"/>
      <c r="B127" s="76"/>
      <c r="C127" s="77"/>
      <c r="D127" s="50"/>
      <c r="E127" s="50"/>
      <c r="F127" s="50"/>
      <c r="G127" s="50"/>
      <c r="H127" s="48"/>
      <c r="I127" s="53"/>
      <c r="J127" s="53"/>
    </row>
    <row r="128" spans="1:10" x14ac:dyDescent="0.25">
      <c r="A128" s="50"/>
      <c r="B128" s="76"/>
      <c r="C128" s="77"/>
      <c r="D128" s="50"/>
      <c r="E128" s="50"/>
      <c r="F128" s="50"/>
      <c r="G128" s="50"/>
      <c r="H128" s="48"/>
      <c r="I128" s="53"/>
      <c r="J128" s="53"/>
    </row>
    <row r="129" spans="1:10" x14ac:dyDescent="0.25">
      <c r="A129" s="29"/>
      <c r="B129" s="74"/>
      <c r="C129" s="75"/>
      <c r="D129" s="29"/>
      <c r="E129" s="29"/>
      <c r="F129" s="29"/>
      <c r="G129" s="29"/>
      <c r="H129" s="27"/>
      <c r="I129" s="42"/>
      <c r="J129" s="42"/>
    </row>
    <row r="130" spans="1:10" x14ac:dyDescent="0.25">
      <c r="A130" s="29"/>
      <c r="B130" s="74"/>
      <c r="C130" s="75"/>
      <c r="D130" s="29"/>
      <c r="E130" s="29"/>
      <c r="F130" s="29"/>
      <c r="G130" s="29"/>
      <c r="H130" s="27"/>
      <c r="I130" s="42"/>
      <c r="J130" s="42"/>
    </row>
    <row r="131" spans="1:10" x14ac:dyDescent="0.25">
      <c r="A131" s="29"/>
      <c r="B131" s="74"/>
      <c r="C131" s="75"/>
      <c r="D131" s="29"/>
      <c r="E131" s="29"/>
      <c r="F131" s="29"/>
      <c r="G131" s="29"/>
      <c r="H131" s="27"/>
      <c r="I131" s="42"/>
      <c r="J131" s="42"/>
    </row>
    <row r="132" spans="1:10" x14ac:dyDescent="0.25">
      <c r="A132" s="29"/>
      <c r="B132" s="74"/>
      <c r="C132" s="75"/>
      <c r="D132" s="29"/>
      <c r="E132" s="29"/>
      <c r="F132" s="29"/>
      <c r="G132" s="29"/>
      <c r="H132" s="27"/>
      <c r="I132" s="42"/>
      <c r="J132" s="42"/>
    </row>
    <row r="133" spans="1:10" x14ac:dyDescent="0.25">
      <c r="A133" s="29"/>
      <c r="B133" s="74"/>
      <c r="C133" s="75"/>
      <c r="D133" s="29"/>
      <c r="E133" s="29"/>
      <c r="F133" s="29"/>
      <c r="G133" s="29"/>
      <c r="H133" s="27"/>
      <c r="I133" s="42"/>
      <c r="J133" s="42"/>
    </row>
    <row r="134" spans="1:10" x14ac:dyDescent="0.25">
      <c r="A134" s="50"/>
      <c r="B134" s="76"/>
      <c r="C134" s="77"/>
      <c r="D134" s="50"/>
      <c r="E134" s="50"/>
      <c r="F134" s="50"/>
      <c r="G134" s="50"/>
      <c r="H134" s="48"/>
      <c r="I134" s="53"/>
      <c r="J134" s="53"/>
    </row>
    <row r="135" spans="1:10" x14ac:dyDescent="0.25">
      <c r="A135" s="50"/>
      <c r="B135" s="76"/>
      <c r="C135" s="77"/>
      <c r="D135" s="50"/>
      <c r="E135" s="50"/>
      <c r="F135" s="50"/>
      <c r="G135" s="50"/>
      <c r="H135" s="48"/>
      <c r="I135" s="53"/>
      <c r="J135" s="53"/>
    </row>
    <row r="136" spans="1:10" x14ac:dyDescent="0.25">
      <c r="A136" s="50"/>
      <c r="B136" s="76"/>
      <c r="C136" s="77"/>
      <c r="D136" s="50"/>
      <c r="E136" s="50"/>
      <c r="F136" s="50"/>
      <c r="G136" s="50"/>
      <c r="H136" s="48"/>
      <c r="I136" s="53"/>
      <c r="J136" s="53"/>
    </row>
    <row r="137" spans="1:10" x14ac:dyDescent="0.25">
      <c r="A137" s="50"/>
      <c r="B137" s="76"/>
      <c r="C137" s="77"/>
      <c r="D137" s="50"/>
      <c r="E137" s="50"/>
      <c r="F137" s="50"/>
      <c r="G137" s="50"/>
      <c r="H137" s="48"/>
      <c r="I137" s="53"/>
      <c r="J137" s="53"/>
    </row>
    <row r="138" spans="1:10" x14ac:dyDescent="0.25">
      <c r="A138" s="50"/>
      <c r="B138" s="76"/>
      <c r="C138" s="77"/>
      <c r="D138" s="50"/>
      <c r="E138" s="50"/>
      <c r="F138" s="50"/>
      <c r="G138" s="50"/>
      <c r="H138" s="48"/>
      <c r="I138" s="53"/>
      <c r="J138" s="53"/>
    </row>
    <row r="139" spans="1:10" x14ac:dyDescent="0.25">
      <c r="A139" s="29"/>
      <c r="B139" s="74"/>
      <c r="C139" s="75"/>
      <c r="D139" s="29"/>
      <c r="E139" s="29"/>
      <c r="F139" s="29"/>
      <c r="G139" s="29"/>
      <c r="H139" s="27"/>
      <c r="I139" s="42"/>
      <c r="J139" s="42"/>
    </row>
    <row r="140" spans="1:10" x14ac:dyDescent="0.25">
      <c r="A140" s="29"/>
      <c r="B140" s="74"/>
      <c r="C140" s="75"/>
      <c r="D140" s="29"/>
      <c r="E140" s="29"/>
      <c r="F140" s="29"/>
      <c r="G140" s="29"/>
      <c r="H140" s="27"/>
      <c r="I140" s="42"/>
      <c r="J140" s="42"/>
    </row>
    <row r="141" spans="1:10" x14ac:dyDescent="0.25">
      <c r="A141" s="29"/>
      <c r="B141" s="74"/>
      <c r="C141" s="75"/>
      <c r="D141" s="29"/>
      <c r="E141" s="29"/>
      <c r="F141" s="29"/>
      <c r="G141" s="29"/>
      <c r="H141" s="27"/>
      <c r="I141" s="42"/>
      <c r="J141" s="42"/>
    </row>
    <row r="142" spans="1:10" x14ac:dyDescent="0.25">
      <c r="A142" s="29"/>
      <c r="B142" s="74"/>
      <c r="C142" s="75"/>
      <c r="D142" s="29"/>
      <c r="E142" s="29"/>
      <c r="F142" s="29"/>
      <c r="G142" s="29"/>
      <c r="H142" s="27"/>
      <c r="I142" s="42"/>
      <c r="J142" s="42"/>
    </row>
    <row r="143" spans="1:10" x14ac:dyDescent="0.25">
      <c r="A143" s="29"/>
      <c r="B143" s="74"/>
      <c r="C143" s="75"/>
      <c r="D143" s="29"/>
      <c r="E143" s="29"/>
      <c r="F143" s="29"/>
      <c r="G143" s="29"/>
      <c r="H143" s="27"/>
      <c r="I143" s="42"/>
      <c r="J143" s="42"/>
    </row>
    <row r="144" spans="1:10" x14ac:dyDescent="0.25">
      <c r="A144" s="50"/>
      <c r="B144" s="76"/>
      <c r="C144" s="77"/>
      <c r="D144" s="50"/>
      <c r="E144" s="50"/>
      <c r="F144" s="50"/>
      <c r="G144" s="50"/>
      <c r="H144" s="48"/>
      <c r="I144" s="53"/>
      <c r="J144" s="53"/>
    </row>
    <row r="145" spans="1:10" x14ac:dyDescent="0.25">
      <c r="A145" s="50"/>
      <c r="B145" s="76"/>
      <c r="C145" s="77"/>
      <c r="D145" s="50"/>
      <c r="E145" s="50"/>
      <c r="F145" s="50"/>
      <c r="G145" s="50"/>
      <c r="H145" s="48"/>
      <c r="I145" s="53"/>
      <c r="J145" s="53"/>
    </row>
    <row r="146" spans="1:10" x14ac:dyDescent="0.25">
      <c r="A146" s="50"/>
      <c r="B146" s="76"/>
      <c r="C146" s="77"/>
      <c r="D146" s="50"/>
      <c r="E146" s="50"/>
      <c r="F146" s="50"/>
      <c r="G146" s="50"/>
      <c r="H146" s="48"/>
      <c r="I146" s="53"/>
      <c r="J146" s="53"/>
    </row>
    <row r="147" spans="1:10" x14ac:dyDescent="0.25">
      <c r="A147" s="50"/>
      <c r="B147" s="76"/>
      <c r="C147" s="77"/>
      <c r="D147" s="50"/>
      <c r="E147" s="50"/>
      <c r="F147" s="50"/>
      <c r="G147" s="50"/>
      <c r="H147" s="48"/>
      <c r="I147" s="53"/>
      <c r="J147" s="53"/>
    </row>
    <row r="148" spans="1:10" x14ac:dyDescent="0.25">
      <c r="A148" s="50"/>
      <c r="B148" s="76"/>
      <c r="C148" s="77"/>
      <c r="D148" s="50"/>
      <c r="E148" s="50"/>
      <c r="F148" s="50"/>
      <c r="G148" s="50"/>
      <c r="H148" s="48"/>
      <c r="I148" s="53"/>
      <c r="J148" s="53"/>
    </row>
    <row r="149" spans="1:10" x14ac:dyDescent="0.25">
      <c r="A149" s="29"/>
      <c r="B149" s="74"/>
      <c r="C149" s="75"/>
      <c r="D149" s="29"/>
      <c r="E149" s="29"/>
      <c r="F149" s="29"/>
      <c r="G149" s="29"/>
      <c r="H149" s="27"/>
      <c r="I149" s="42"/>
      <c r="J149" s="42"/>
    </row>
    <row r="150" spans="1:10" x14ac:dyDescent="0.25">
      <c r="A150" s="29"/>
      <c r="B150" s="74"/>
      <c r="C150" s="75"/>
      <c r="D150" s="29"/>
      <c r="E150" s="29"/>
      <c r="F150" s="29"/>
      <c r="G150" s="29"/>
      <c r="H150" s="27"/>
      <c r="I150" s="42"/>
      <c r="J150" s="42"/>
    </row>
    <row r="151" spans="1:10" x14ac:dyDescent="0.25">
      <c r="A151" s="29"/>
      <c r="B151" s="74"/>
      <c r="C151" s="75"/>
      <c r="D151" s="29"/>
      <c r="E151" s="29"/>
      <c r="F151" s="29"/>
      <c r="G151" s="29"/>
      <c r="H151" s="27"/>
      <c r="I151" s="42"/>
      <c r="J151" s="42"/>
    </row>
    <row r="152" spans="1:10" x14ac:dyDescent="0.25">
      <c r="A152" s="29"/>
      <c r="B152" s="74"/>
      <c r="C152" s="75"/>
      <c r="D152" s="29"/>
      <c r="E152" s="29"/>
      <c r="F152" s="29"/>
      <c r="G152" s="29"/>
      <c r="H152" s="27"/>
      <c r="I152" s="42"/>
      <c r="J152" s="42"/>
    </row>
    <row r="153" spans="1:10" x14ac:dyDescent="0.25">
      <c r="A153" s="29"/>
      <c r="B153" s="74"/>
      <c r="C153" s="75"/>
      <c r="D153" s="29"/>
      <c r="E153" s="29"/>
      <c r="F153" s="29"/>
      <c r="G153" s="29"/>
      <c r="H153" s="27"/>
      <c r="I153" s="42"/>
      <c r="J153" s="42"/>
    </row>
    <row r="154" spans="1:10" x14ac:dyDescent="0.25">
      <c r="A154" s="50"/>
      <c r="B154" s="76"/>
      <c r="C154" s="77"/>
      <c r="D154" s="50"/>
      <c r="E154" s="50"/>
      <c r="F154" s="50"/>
      <c r="G154" s="50"/>
      <c r="H154" s="48"/>
      <c r="I154" s="53"/>
      <c r="J154" s="53"/>
    </row>
    <row r="155" spans="1:10" x14ac:dyDescent="0.25">
      <c r="A155" s="50"/>
      <c r="B155" s="76"/>
      <c r="C155" s="77"/>
      <c r="D155" s="50"/>
      <c r="E155" s="50"/>
      <c r="F155" s="50"/>
      <c r="G155" s="50"/>
      <c r="H155" s="48"/>
      <c r="I155" s="53"/>
      <c r="J155" s="53"/>
    </row>
    <row r="156" spans="1:10" x14ac:dyDescent="0.25">
      <c r="A156" s="50"/>
      <c r="B156" s="76"/>
      <c r="C156" s="77"/>
      <c r="D156" s="50"/>
      <c r="E156" s="50"/>
      <c r="F156" s="50"/>
      <c r="G156" s="50"/>
      <c r="H156" s="48"/>
      <c r="I156" s="53"/>
      <c r="J156" s="53"/>
    </row>
    <row r="157" spans="1:10" x14ac:dyDescent="0.25">
      <c r="A157" s="50"/>
      <c r="B157" s="76"/>
      <c r="C157" s="77"/>
      <c r="D157" s="50"/>
      <c r="E157" s="50"/>
      <c r="F157" s="50"/>
      <c r="G157" s="50"/>
      <c r="H157" s="48"/>
      <c r="I157" s="53"/>
      <c r="J157" s="53"/>
    </row>
    <row r="158" spans="1:10" x14ac:dyDescent="0.25">
      <c r="A158" s="50"/>
      <c r="B158" s="76"/>
      <c r="C158" s="77"/>
      <c r="D158" s="50"/>
      <c r="E158" s="50"/>
      <c r="F158" s="50"/>
      <c r="G158" s="50"/>
      <c r="H158" s="48"/>
      <c r="I158" s="53"/>
      <c r="J158" s="53"/>
    </row>
    <row r="159" spans="1:10" x14ac:dyDescent="0.25">
      <c r="A159" s="29"/>
      <c r="B159" s="74"/>
      <c r="C159" s="75"/>
      <c r="D159" s="29"/>
      <c r="E159" s="29"/>
      <c r="F159" s="29"/>
      <c r="G159" s="29"/>
      <c r="H159" s="27"/>
      <c r="I159" s="42"/>
      <c r="J159" s="42"/>
    </row>
    <row r="160" spans="1:10" x14ac:dyDescent="0.25">
      <c r="A160" s="29"/>
      <c r="B160" s="74"/>
      <c r="C160" s="75"/>
      <c r="D160" s="29"/>
      <c r="E160" s="29"/>
      <c r="F160" s="29"/>
      <c r="G160" s="29"/>
      <c r="H160" s="27"/>
      <c r="I160" s="42"/>
      <c r="J160" s="42"/>
    </row>
    <row r="161" spans="1:10" x14ac:dyDescent="0.25">
      <c r="A161" s="29"/>
      <c r="B161" s="74"/>
      <c r="C161" s="75"/>
      <c r="D161" s="29"/>
      <c r="E161" s="29"/>
      <c r="F161" s="29"/>
      <c r="G161" s="29"/>
      <c r="H161" s="27"/>
      <c r="I161" s="42"/>
      <c r="J161" s="42"/>
    </row>
    <row r="162" spans="1:10" x14ac:dyDescent="0.25">
      <c r="A162" s="29"/>
      <c r="B162" s="74"/>
      <c r="C162" s="75"/>
      <c r="D162" s="29"/>
      <c r="E162" s="29"/>
      <c r="F162" s="29"/>
      <c r="G162" s="29"/>
      <c r="H162" s="27"/>
      <c r="I162" s="42"/>
      <c r="J162" s="42"/>
    </row>
    <row r="163" spans="1:10" x14ac:dyDescent="0.25">
      <c r="A163" s="29"/>
      <c r="B163" s="74"/>
      <c r="C163" s="75"/>
      <c r="D163" s="29"/>
      <c r="E163" s="29"/>
      <c r="F163" s="29"/>
      <c r="G163" s="29"/>
      <c r="H163" s="27"/>
      <c r="I163" s="42"/>
      <c r="J163" s="42"/>
    </row>
    <row r="164" spans="1:10" x14ac:dyDescent="0.25">
      <c r="A164" s="50"/>
      <c r="B164" s="76"/>
      <c r="C164" s="77"/>
      <c r="D164" s="50"/>
      <c r="E164" s="50"/>
      <c r="F164" s="50"/>
      <c r="G164" s="50"/>
      <c r="H164" s="48"/>
      <c r="I164" s="53"/>
      <c r="J164" s="53"/>
    </row>
    <row r="165" spans="1:10" x14ac:dyDescent="0.25">
      <c r="A165" s="50"/>
      <c r="B165" s="76"/>
      <c r="C165" s="77"/>
      <c r="D165" s="50"/>
      <c r="E165" s="50"/>
      <c r="F165" s="50"/>
      <c r="G165" s="50"/>
      <c r="H165" s="48"/>
      <c r="I165" s="53"/>
      <c r="J165" s="53"/>
    </row>
    <row r="166" spans="1:10" x14ac:dyDescent="0.25">
      <c r="A166" s="50"/>
      <c r="B166" s="76"/>
      <c r="C166" s="77"/>
      <c r="D166" s="50"/>
      <c r="E166" s="50"/>
      <c r="F166" s="50"/>
      <c r="G166" s="50"/>
      <c r="H166" s="48"/>
      <c r="I166" s="53"/>
      <c r="J166" s="53"/>
    </row>
    <row r="167" spans="1:10" x14ac:dyDescent="0.25">
      <c r="A167" s="50"/>
      <c r="B167" s="76"/>
      <c r="C167" s="77"/>
      <c r="D167" s="50"/>
      <c r="E167" s="50"/>
      <c r="F167" s="50"/>
      <c r="G167" s="50"/>
      <c r="H167" s="48"/>
      <c r="I167" s="53"/>
      <c r="J167" s="53"/>
    </row>
    <row r="168" spans="1:10" x14ac:dyDescent="0.25">
      <c r="A168" s="50"/>
      <c r="B168" s="76"/>
      <c r="C168" s="77"/>
      <c r="D168" s="50"/>
      <c r="E168" s="50"/>
      <c r="F168" s="50"/>
      <c r="G168" s="50"/>
      <c r="H168" s="48"/>
      <c r="I168" s="53"/>
      <c r="J168" s="53"/>
    </row>
    <row r="169" spans="1:10" x14ac:dyDescent="0.25">
      <c r="A169" s="29"/>
      <c r="B169" s="74"/>
      <c r="C169" s="75"/>
      <c r="D169" s="29"/>
      <c r="E169" s="29"/>
      <c r="F169" s="29"/>
      <c r="G169" s="29"/>
      <c r="H169" s="27"/>
      <c r="I169" s="42"/>
      <c r="J169" s="42"/>
    </row>
    <row r="170" spans="1:10" x14ac:dyDescent="0.25">
      <c r="A170" s="29"/>
      <c r="B170" s="74"/>
      <c r="C170" s="75"/>
      <c r="D170" s="29"/>
      <c r="E170" s="29"/>
      <c r="F170" s="29"/>
      <c r="G170" s="29"/>
      <c r="H170" s="27"/>
      <c r="I170" s="42"/>
      <c r="J170" s="42"/>
    </row>
    <row r="171" spans="1:10" x14ac:dyDescent="0.25">
      <c r="A171" s="29"/>
      <c r="B171" s="74"/>
      <c r="C171" s="75"/>
      <c r="D171" s="29"/>
      <c r="E171" s="29"/>
      <c r="F171" s="29"/>
      <c r="G171" s="29"/>
      <c r="H171" s="27"/>
      <c r="I171" s="42"/>
      <c r="J171" s="42"/>
    </row>
    <row r="172" spans="1:10" x14ac:dyDescent="0.25">
      <c r="A172" s="29"/>
      <c r="B172" s="74"/>
      <c r="C172" s="75"/>
      <c r="D172" s="29"/>
      <c r="E172" s="29"/>
      <c r="F172" s="29"/>
      <c r="G172" s="29"/>
      <c r="H172" s="27"/>
      <c r="I172" s="42"/>
      <c r="J172" s="42"/>
    </row>
    <row r="173" spans="1:10" x14ac:dyDescent="0.25">
      <c r="A173" s="29"/>
      <c r="B173" s="74"/>
      <c r="C173" s="75"/>
      <c r="D173" s="29"/>
      <c r="E173" s="29"/>
      <c r="F173" s="29"/>
      <c r="G173" s="29"/>
      <c r="H173" s="27"/>
      <c r="I173" s="42"/>
      <c r="J173" s="42"/>
    </row>
    <row r="174" spans="1:10" x14ac:dyDescent="0.25">
      <c r="A174" s="50"/>
      <c r="B174" s="76"/>
      <c r="C174" s="77"/>
      <c r="D174" s="50"/>
      <c r="E174" s="50"/>
      <c r="F174" s="50"/>
      <c r="G174" s="50"/>
      <c r="H174" s="48"/>
      <c r="I174" s="53"/>
      <c r="J174" s="53"/>
    </row>
    <row r="175" spans="1:10" x14ac:dyDescent="0.25">
      <c r="A175" s="50"/>
      <c r="B175" s="76"/>
      <c r="C175" s="77"/>
      <c r="D175" s="50"/>
      <c r="E175" s="50"/>
      <c r="F175" s="50"/>
      <c r="G175" s="50"/>
      <c r="H175" s="48"/>
      <c r="I175" s="53"/>
      <c r="J175" s="53"/>
    </row>
    <row r="176" spans="1:10" x14ac:dyDescent="0.25">
      <c r="A176" s="50"/>
      <c r="B176" s="76"/>
      <c r="C176" s="77"/>
      <c r="D176" s="50"/>
      <c r="E176" s="50"/>
      <c r="F176" s="50"/>
      <c r="G176" s="50"/>
      <c r="H176" s="48"/>
      <c r="I176" s="53"/>
      <c r="J176" s="53"/>
    </row>
    <row r="177" spans="1:10" x14ac:dyDescent="0.25">
      <c r="A177" s="50"/>
      <c r="B177" s="76"/>
      <c r="C177" s="77"/>
      <c r="D177" s="50"/>
      <c r="E177" s="50"/>
      <c r="F177" s="50"/>
      <c r="G177" s="50"/>
      <c r="H177" s="48"/>
      <c r="I177" s="53"/>
      <c r="J177" s="53"/>
    </row>
    <row r="178" spans="1:10" x14ac:dyDescent="0.25">
      <c r="A178" s="50"/>
      <c r="B178" s="76"/>
      <c r="C178" s="77"/>
      <c r="D178" s="50"/>
      <c r="E178" s="50"/>
      <c r="F178" s="50"/>
      <c r="G178" s="50"/>
      <c r="H178" s="48"/>
      <c r="I178" s="53"/>
      <c r="J178" s="53"/>
    </row>
    <row r="179" spans="1:10" x14ac:dyDescent="0.25">
      <c r="A179" s="29"/>
      <c r="B179" s="74"/>
      <c r="C179" s="75"/>
      <c r="D179" s="29"/>
      <c r="E179" s="29"/>
      <c r="F179" s="29"/>
      <c r="G179" s="29"/>
      <c r="H179" s="27"/>
      <c r="I179" s="42"/>
      <c r="J179" s="42"/>
    </row>
    <row r="180" spans="1:10" x14ac:dyDescent="0.25">
      <c r="A180" s="29"/>
      <c r="B180" s="74"/>
      <c r="C180" s="75"/>
      <c r="D180" s="29"/>
      <c r="E180" s="29"/>
      <c r="F180" s="29"/>
      <c r="G180" s="29"/>
      <c r="H180" s="27"/>
      <c r="I180" s="42"/>
      <c r="J180" s="42"/>
    </row>
    <row r="181" spans="1:10" x14ac:dyDescent="0.25">
      <c r="A181" s="29"/>
      <c r="B181" s="74"/>
      <c r="C181" s="75"/>
      <c r="D181" s="29"/>
      <c r="E181" s="29"/>
      <c r="F181" s="29"/>
      <c r="G181" s="29"/>
      <c r="H181" s="27"/>
      <c r="I181" s="42"/>
      <c r="J181" s="42"/>
    </row>
    <row r="182" spans="1:10" x14ac:dyDescent="0.25">
      <c r="A182" s="29"/>
      <c r="B182" s="74"/>
      <c r="C182" s="75"/>
      <c r="D182" s="29"/>
      <c r="E182" s="29"/>
      <c r="F182" s="29"/>
      <c r="G182" s="29"/>
      <c r="H182" s="27"/>
      <c r="I182" s="42"/>
      <c r="J182" s="42"/>
    </row>
    <row r="183" spans="1:10" x14ac:dyDescent="0.25">
      <c r="A183" s="29"/>
      <c r="B183" s="74"/>
      <c r="C183" s="75"/>
      <c r="D183" s="29"/>
      <c r="E183" s="29"/>
      <c r="F183" s="29"/>
      <c r="G183" s="29"/>
      <c r="H183" s="27"/>
      <c r="I183" s="42"/>
      <c r="J183" s="42"/>
    </row>
    <row r="184" spans="1:10" x14ac:dyDescent="0.25">
      <c r="A184" s="50"/>
      <c r="B184" s="76"/>
      <c r="C184" s="77"/>
      <c r="D184" s="50"/>
      <c r="E184" s="50"/>
      <c r="F184" s="50"/>
      <c r="G184" s="50"/>
      <c r="H184" s="48"/>
      <c r="I184" s="53"/>
      <c r="J184" s="53"/>
    </row>
    <row r="185" spans="1:10" x14ac:dyDescent="0.25">
      <c r="A185" s="50"/>
      <c r="B185" s="76"/>
      <c r="C185" s="77"/>
      <c r="D185" s="50"/>
      <c r="E185" s="50"/>
      <c r="F185" s="50"/>
      <c r="G185" s="50"/>
      <c r="H185" s="48"/>
      <c r="I185" s="53"/>
      <c r="J185" s="53"/>
    </row>
    <row r="186" spans="1:10" x14ac:dyDescent="0.25">
      <c r="A186" s="50"/>
      <c r="B186" s="76"/>
      <c r="C186" s="77"/>
      <c r="D186" s="50"/>
      <c r="E186" s="50"/>
      <c r="F186" s="50"/>
      <c r="G186" s="50"/>
      <c r="H186" s="48"/>
      <c r="I186" s="53"/>
      <c r="J186" s="53"/>
    </row>
    <row r="187" spans="1:10" x14ac:dyDescent="0.25">
      <c r="A187" s="50"/>
      <c r="B187" s="76"/>
      <c r="C187" s="77"/>
      <c r="D187" s="50"/>
      <c r="E187" s="50"/>
      <c r="F187" s="50"/>
      <c r="G187" s="50"/>
      <c r="H187" s="48"/>
      <c r="I187" s="53"/>
      <c r="J187" s="53"/>
    </row>
    <row r="188" spans="1:10" x14ac:dyDescent="0.25">
      <c r="A188" s="50"/>
      <c r="B188" s="76"/>
      <c r="C188" s="77"/>
      <c r="D188" s="50"/>
      <c r="E188" s="50"/>
      <c r="F188" s="50"/>
      <c r="G188" s="50"/>
      <c r="H188" s="48"/>
      <c r="I188" s="53"/>
      <c r="J188" s="53"/>
    </row>
    <row r="189" spans="1:10" x14ac:dyDescent="0.25">
      <c r="A189" s="29"/>
      <c r="B189" s="74"/>
      <c r="C189" s="75"/>
      <c r="D189" s="29"/>
      <c r="E189" s="29"/>
      <c r="F189" s="29"/>
      <c r="G189" s="29"/>
      <c r="H189" s="27"/>
      <c r="I189" s="42"/>
      <c r="J189" s="42"/>
    </row>
    <row r="190" spans="1:10" x14ac:dyDescent="0.25">
      <c r="A190" s="29"/>
      <c r="B190" s="74"/>
      <c r="C190" s="75"/>
      <c r="D190" s="29"/>
      <c r="E190" s="29"/>
      <c r="F190" s="29"/>
      <c r="G190" s="29"/>
      <c r="H190" s="27"/>
      <c r="I190" s="42"/>
      <c r="J190" s="42"/>
    </row>
    <row r="191" spans="1:10" x14ac:dyDescent="0.25">
      <c r="A191" s="29"/>
      <c r="B191" s="74"/>
      <c r="C191" s="75"/>
      <c r="D191" s="29"/>
      <c r="E191" s="29"/>
      <c r="F191" s="29"/>
      <c r="G191" s="29"/>
      <c r="H191" s="27"/>
      <c r="I191" s="42"/>
      <c r="J191" s="42"/>
    </row>
    <row r="192" spans="1:10" x14ac:dyDescent="0.25">
      <c r="A192" s="29"/>
      <c r="B192" s="74"/>
      <c r="C192" s="75"/>
      <c r="D192" s="29"/>
      <c r="E192" s="29"/>
      <c r="F192" s="29"/>
      <c r="G192" s="29"/>
      <c r="H192" s="27"/>
      <c r="I192" s="42"/>
      <c r="J192" s="42"/>
    </row>
    <row r="193" spans="1:10" x14ac:dyDescent="0.25">
      <c r="A193" s="29"/>
      <c r="B193" s="74"/>
      <c r="C193" s="75"/>
      <c r="D193" s="29"/>
      <c r="E193" s="29"/>
      <c r="F193" s="29"/>
      <c r="G193" s="29"/>
      <c r="H193" s="27"/>
      <c r="I193" s="42"/>
      <c r="J193" s="42"/>
    </row>
    <row r="194" spans="1:10" x14ac:dyDescent="0.25">
      <c r="A194" s="50"/>
      <c r="B194" s="76"/>
      <c r="C194" s="77"/>
      <c r="D194" s="50"/>
      <c r="E194" s="50"/>
      <c r="F194" s="50"/>
      <c r="G194" s="50"/>
      <c r="H194" s="48"/>
      <c r="I194" s="53"/>
      <c r="J194" s="53"/>
    </row>
    <row r="195" spans="1:10" x14ac:dyDescent="0.25">
      <c r="A195" s="50"/>
      <c r="B195" s="76"/>
      <c r="C195" s="77"/>
      <c r="D195" s="50"/>
      <c r="E195" s="50"/>
      <c r="F195" s="50"/>
      <c r="G195" s="50"/>
      <c r="H195" s="48"/>
      <c r="I195" s="53"/>
      <c r="J195" s="53"/>
    </row>
    <row r="196" spans="1:10" x14ac:dyDescent="0.25">
      <c r="A196" s="50"/>
      <c r="B196" s="76"/>
      <c r="C196" s="77"/>
      <c r="D196" s="50"/>
      <c r="E196" s="50"/>
      <c r="F196" s="50"/>
      <c r="G196" s="50"/>
      <c r="H196" s="48"/>
      <c r="I196" s="53"/>
      <c r="J196" s="53"/>
    </row>
    <row r="197" spans="1:10" x14ac:dyDescent="0.25">
      <c r="A197" s="50"/>
      <c r="B197" s="76"/>
      <c r="C197" s="77"/>
      <c r="D197" s="50"/>
      <c r="E197" s="50"/>
      <c r="F197" s="50"/>
      <c r="G197" s="50"/>
      <c r="H197" s="48"/>
      <c r="I197" s="53"/>
      <c r="J197" s="53"/>
    </row>
    <row r="198" spans="1:10" x14ac:dyDescent="0.25">
      <c r="A198" s="50"/>
      <c r="B198" s="76"/>
      <c r="C198" s="77"/>
      <c r="D198" s="50"/>
      <c r="E198" s="50"/>
      <c r="F198" s="50"/>
      <c r="G198" s="50"/>
      <c r="H198" s="48"/>
      <c r="I198" s="53"/>
      <c r="J198" s="53"/>
    </row>
    <row r="199" spans="1:10" x14ac:dyDescent="0.25">
      <c r="A199" s="29"/>
      <c r="B199" s="74"/>
      <c r="C199" s="75"/>
      <c r="D199" s="29"/>
      <c r="E199" s="29"/>
      <c r="F199" s="29"/>
      <c r="G199" s="29"/>
      <c r="H199" s="27"/>
      <c r="I199" s="42"/>
      <c r="J199" s="42"/>
    </row>
    <row r="200" spans="1:10" x14ac:dyDescent="0.25">
      <c r="A200" s="29"/>
      <c r="B200" s="74"/>
      <c r="C200" s="75"/>
      <c r="D200" s="29"/>
      <c r="E200" s="29"/>
      <c r="F200" s="29"/>
      <c r="G200" s="29"/>
      <c r="H200" s="27"/>
      <c r="I200" s="42"/>
      <c r="J200" s="42"/>
    </row>
    <row r="201" spans="1:10" x14ac:dyDescent="0.25">
      <c r="A201" s="29"/>
      <c r="B201" s="74"/>
      <c r="C201" s="75"/>
      <c r="D201" s="29"/>
      <c r="E201" s="29"/>
      <c r="F201" s="29"/>
      <c r="G201" s="29"/>
      <c r="H201" s="27"/>
      <c r="I201" s="42"/>
      <c r="J201" s="42"/>
    </row>
    <row r="202" spans="1:10" x14ac:dyDescent="0.25">
      <c r="A202" s="29"/>
      <c r="B202" s="74"/>
      <c r="C202" s="75"/>
      <c r="D202" s="29"/>
      <c r="E202" s="29"/>
      <c r="F202" s="29"/>
      <c r="G202" s="29"/>
      <c r="H202" s="27"/>
      <c r="I202" s="42"/>
      <c r="J202" s="42"/>
    </row>
    <row r="203" spans="1:10" x14ac:dyDescent="0.25">
      <c r="A203" s="29"/>
      <c r="B203" s="74"/>
      <c r="C203" s="75"/>
      <c r="D203" s="29"/>
      <c r="E203" s="29"/>
      <c r="F203" s="29"/>
      <c r="G203" s="29"/>
      <c r="H203" s="27"/>
      <c r="I203" s="42"/>
      <c r="J203" s="42"/>
    </row>
    <row r="204" spans="1:10" x14ac:dyDescent="0.25">
      <c r="A204" s="29"/>
      <c r="B204" s="74"/>
      <c r="C204" s="75"/>
      <c r="D204" s="29"/>
      <c r="E204" s="29"/>
      <c r="F204" s="29"/>
      <c r="G204" s="29"/>
      <c r="H204" s="27"/>
      <c r="I204" s="42"/>
      <c r="J204" s="42"/>
    </row>
    <row r="205" spans="1:10" x14ac:dyDescent="0.25">
      <c r="A205" s="29"/>
      <c r="B205" s="74"/>
      <c r="C205" s="75"/>
      <c r="D205" s="29"/>
      <c r="E205" s="29"/>
      <c r="F205" s="29"/>
      <c r="G205" s="29"/>
      <c r="H205" s="27"/>
      <c r="I205" s="42"/>
      <c r="J205" s="42"/>
    </row>
    <row r="206" spans="1:10" x14ac:dyDescent="0.25">
      <c r="A206" s="29"/>
      <c r="B206" s="74"/>
      <c r="C206" s="75"/>
      <c r="D206" s="29"/>
      <c r="E206" s="29"/>
      <c r="F206" s="29"/>
      <c r="G206" s="29"/>
      <c r="H206" s="27"/>
      <c r="I206" s="42"/>
      <c r="J206" s="42"/>
    </row>
    <row r="207" spans="1:10" x14ac:dyDescent="0.25">
      <c r="A207" s="29"/>
      <c r="B207" s="74"/>
      <c r="C207" s="75"/>
      <c r="D207" s="29"/>
      <c r="E207" s="29"/>
      <c r="F207" s="29"/>
      <c r="G207" s="29"/>
      <c r="H207" s="27"/>
      <c r="I207" s="42"/>
      <c r="J207" s="42"/>
    </row>
    <row r="208" spans="1:10" x14ac:dyDescent="0.25">
      <c r="A208" s="29"/>
      <c r="B208" s="74"/>
      <c r="C208" s="75"/>
      <c r="D208" s="29"/>
      <c r="E208" s="29"/>
      <c r="F208" s="29"/>
      <c r="G208" s="29"/>
      <c r="H208" s="27"/>
      <c r="I208" s="42"/>
      <c r="J208" s="42"/>
    </row>
    <row r="209" spans="1:10" x14ac:dyDescent="0.25">
      <c r="A209" s="29"/>
      <c r="B209" s="74"/>
      <c r="C209" s="75"/>
      <c r="D209" s="29"/>
      <c r="E209" s="29"/>
      <c r="F209" s="29"/>
      <c r="G209" s="29"/>
      <c r="H209" s="27"/>
      <c r="I209" s="42"/>
      <c r="J209" s="42"/>
    </row>
    <row r="210" spans="1:10" x14ac:dyDescent="0.25">
      <c r="A210" s="29"/>
      <c r="B210" s="74"/>
      <c r="C210" s="75"/>
      <c r="D210" s="29"/>
      <c r="E210" s="29"/>
      <c r="F210" s="29"/>
      <c r="G210" s="29"/>
      <c r="H210" s="27"/>
      <c r="I210" s="42"/>
      <c r="J210" s="42"/>
    </row>
    <row r="211" spans="1:10" x14ac:dyDescent="0.25">
      <c r="A211" s="29"/>
      <c r="B211" s="74"/>
      <c r="C211" s="75"/>
      <c r="D211" s="29"/>
      <c r="E211" s="29"/>
      <c r="F211" s="29"/>
      <c r="G211" s="29"/>
      <c r="H211" s="27"/>
      <c r="I211" s="42"/>
      <c r="J211" s="42"/>
    </row>
    <row r="212" spans="1:10" x14ac:dyDescent="0.25">
      <c r="A212" s="29"/>
      <c r="B212" s="74"/>
      <c r="C212" s="75"/>
      <c r="D212" s="29"/>
      <c r="E212" s="29"/>
      <c r="F212" s="29"/>
      <c r="G212" s="29"/>
      <c r="H212" s="27"/>
      <c r="I212" s="42"/>
      <c r="J212" s="42"/>
    </row>
    <row r="213" spans="1:10" x14ac:dyDescent="0.25">
      <c r="A213" s="29"/>
      <c r="B213" s="74"/>
      <c r="C213" s="75"/>
      <c r="D213" s="29"/>
      <c r="E213" s="29"/>
      <c r="F213" s="29"/>
      <c r="G213" s="29"/>
      <c r="H213" s="27"/>
      <c r="I213" s="42"/>
      <c r="J213" s="42"/>
    </row>
    <row r="214" spans="1:10" x14ac:dyDescent="0.25">
      <c r="A214" s="29"/>
      <c r="B214" s="74"/>
      <c r="C214" s="75"/>
      <c r="D214" s="29"/>
      <c r="E214" s="29"/>
      <c r="F214" s="29"/>
      <c r="G214" s="29"/>
      <c r="H214" s="27"/>
      <c r="I214" s="42"/>
      <c r="J214" s="42"/>
    </row>
    <row r="215" spans="1:10" x14ac:dyDescent="0.25">
      <c r="A215" s="29"/>
      <c r="B215" s="74"/>
      <c r="C215" s="75"/>
      <c r="D215" s="29"/>
      <c r="E215" s="29"/>
      <c r="F215" s="29"/>
      <c r="G215" s="29"/>
      <c r="H215" s="27"/>
      <c r="I215" s="42"/>
      <c r="J215" s="42"/>
    </row>
    <row r="216" spans="1:10" x14ac:dyDescent="0.25">
      <c r="A216" s="29"/>
      <c r="B216" s="74"/>
      <c r="C216" s="75"/>
      <c r="D216" s="29"/>
      <c r="E216" s="29"/>
      <c r="F216" s="29"/>
      <c r="G216" s="29"/>
      <c r="H216" s="27"/>
      <c r="I216" s="42"/>
      <c r="J216" s="42"/>
    </row>
    <row r="217" spans="1:10" x14ac:dyDescent="0.25">
      <c r="A217" s="29"/>
      <c r="B217" s="74"/>
      <c r="C217" s="75"/>
      <c r="D217" s="29"/>
      <c r="E217" s="29"/>
      <c r="F217" s="29"/>
      <c r="G217" s="29"/>
      <c r="H217" s="27"/>
      <c r="I217" s="42"/>
      <c r="J217" s="42"/>
    </row>
    <row r="218" spans="1:10" x14ac:dyDescent="0.25">
      <c r="A218" s="29"/>
      <c r="B218" s="74"/>
      <c r="C218" s="75"/>
      <c r="D218" s="29"/>
      <c r="E218" s="29"/>
      <c r="F218" s="29"/>
      <c r="G218" s="29"/>
      <c r="H218" s="27"/>
      <c r="I218" s="42"/>
      <c r="J218" s="42"/>
    </row>
    <row r="219" spans="1:10" x14ac:dyDescent="0.25">
      <c r="A219" s="29"/>
      <c r="B219" s="74"/>
      <c r="C219" s="75"/>
      <c r="D219" s="29"/>
      <c r="E219" s="29"/>
      <c r="F219" s="29"/>
      <c r="G219" s="29"/>
      <c r="H219" s="27"/>
      <c r="I219" s="42"/>
      <c r="J219" s="42"/>
    </row>
    <row r="220" spans="1:10" x14ac:dyDescent="0.25">
      <c r="A220" s="29"/>
      <c r="B220" s="74"/>
      <c r="C220" s="75"/>
      <c r="D220" s="29"/>
      <c r="E220" s="29"/>
      <c r="F220" s="29"/>
      <c r="G220" s="29"/>
      <c r="H220" s="27"/>
      <c r="I220" s="42"/>
      <c r="J220" s="42"/>
    </row>
    <row r="221" spans="1:10" x14ac:dyDescent="0.25">
      <c r="A221" s="29"/>
      <c r="B221" s="74"/>
      <c r="C221" s="75"/>
      <c r="D221" s="29"/>
      <c r="E221" s="29"/>
      <c r="F221" s="29"/>
      <c r="G221" s="29"/>
      <c r="H221" s="27"/>
      <c r="I221" s="42"/>
      <c r="J221" s="42"/>
    </row>
    <row r="222" spans="1:10" x14ac:dyDescent="0.25">
      <c r="A222" s="29"/>
      <c r="B222" s="74"/>
      <c r="C222" s="75"/>
      <c r="D222" s="29"/>
      <c r="E222" s="29"/>
      <c r="F222" s="29"/>
      <c r="G222" s="29"/>
      <c r="H222" s="27"/>
      <c r="I222" s="42"/>
      <c r="J222" s="42"/>
    </row>
    <row r="223" spans="1:10" x14ac:dyDescent="0.25">
      <c r="A223" s="29"/>
      <c r="B223" s="74"/>
      <c r="C223" s="75"/>
      <c r="D223" s="29"/>
      <c r="E223" s="29"/>
      <c r="F223" s="29"/>
      <c r="G223" s="29"/>
      <c r="H223" s="27"/>
      <c r="I223" s="42"/>
      <c r="J223" s="42"/>
    </row>
    <row r="224" spans="1:10" x14ac:dyDescent="0.25">
      <c r="A224" s="29"/>
      <c r="B224" s="74"/>
      <c r="C224" s="75"/>
      <c r="D224" s="29"/>
      <c r="E224" s="29"/>
      <c r="F224" s="29"/>
      <c r="G224" s="29"/>
      <c r="H224" s="27"/>
      <c r="I224" s="42"/>
      <c r="J224" s="42"/>
    </row>
    <row r="225" spans="1:10" x14ac:dyDescent="0.25">
      <c r="A225" s="29"/>
      <c r="B225" s="74"/>
      <c r="C225" s="75"/>
      <c r="D225" s="29"/>
      <c r="E225" s="29"/>
      <c r="F225" s="29"/>
      <c r="G225" s="29"/>
      <c r="H225" s="27"/>
      <c r="I225" s="42"/>
      <c r="J225" s="42"/>
    </row>
    <row r="226" spans="1:10" x14ac:dyDescent="0.25">
      <c r="A226" s="29"/>
      <c r="B226" s="74"/>
      <c r="C226" s="75"/>
      <c r="D226" s="29"/>
      <c r="E226" s="29"/>
      <c r="F226" s="29"/>
      <c r="G226" s="29"/>
      <c r="H226" s="27"/>
      <c r="I226" s="42"/>
      <c r="J226" s="42"/>
    </row>
    <row r="227" spans="1:10" x14ac:dyDescent="0.25">
      <c r="A227" s="29"/>
      <c r="B227" s="74"/>
      <c r="C227" s="75"/>
      <c r="D227" s="29"/>
      <c r="E227" s="29"/>
      <c r="F227" s="29"/>
      <c r="G227" s="29"/>
      <c r="H227" s="27"/>
      <c r="I227" s="42"/>
      <c r="J227" s="42"/>
    </row>
    <row r="228" spans="1:10" x14ac:dyDescent="0.25">
      <c r="A228" s="29"/>
      <c r="B228" s="74"/>
      <c r="C228" s="75"/>
      <c r="D228" s="29"/>
      <c r="E228" s="29"/>
      <c r="F228" s="29"/>
      <c r="G228" s="29"/>
      <c r="H228" s="27"/>
      <c r="I228" s="42"/>
      <c r="J228" s="42"/>
    </row>
    <row r="229" spans="1:10" x14ac:dyDescent="0.25">
      <c r="A229" s="29"/>
      <c r="B229" s="74"/>
      <c r="C229" s="75"/>
      <c r="D229" s="29"/>
      <c r="E229" s="29"/>
      <c r="F229" s="29"/>
      <c r="G229" s="29"/>
      <c r="H229" s="27"/>
      <c r="I229" s="42"/>
      <c r="J229" s="42"/>
    </row>
    <row r="230" spans="1:10" x14ac:dyDescent="0.25">
      <c r="A230" s="29"/>
      <c r="B230" s="74"/>
      <c r="C230" s="75"/>
      <c r="D230" s="29"/>
      <c r="E230" s="29"/>
      <c r="F230" s="29"/>
      <c r="G230" s="29"/>
      <c r="H230" s="27"/>
      <c r="I230" s="42"/>
      <c r="J230" s="42"/>
    </row>
    <row r="231" spans="1:10" x14ac:dyDescent="0.25">
      <c r="A231" s="29"/>
      <c r="B231" s="74"/>
      <c r="C231" s="75"/>
      <c r="D231" s="29"/>
      <c r="E231" s="29"/>
      <c r="F231" s="29"/>
      <c r="G231" s="29"/>
      <c r="H231" s="27"/>
      <c r="I231" s="42"/>
      <c r="J231" s="42"/>
    </row>
    <row r="232" spans="1:10" x14ac:dyDescent="0.25">
      <c r="A232" s="29"/>
      <c r="B232" s="74"/>
      <c r="C232" s="75"/>
      <c r="D232" s="29"/>
      <c r="E232" s="29"/>
      <c r="F232" s="29"/>
      <c r="G232" s="29"/>
      <c r="H232" s="27"/>
      <c r="I232" s="42"/>
      <c r="J232" s="42"/>
    </row>
    <row r="233" spans="1:10" x14ac:dyDescent="0.25">
      <c r="A233" s="29"/>
      <c r="B233" s="74"/>
      <c r="C233" s="75"/>
      <c r="D233" s="29"/>
      <c r="E233" s="29"/>
      <c r="F233" s="29"/>
      <c r="G233" s="29"/>
      <c r="H233" s="27"/>
      <c r="I233" s="42"/>
      <c r="J233" s="42"/>
    </row>
    <row r="234" spans="1:10" x14ac:dyDescent="0.25">
      <c r="A234" s="29"/>
      <c r="B234" s="74"/>
      <c r="C234" s="75"/>
      <c r="D234" s="29"/>
      <c r="E234" s="29"/>
      <c r="F234" s="29"/>
      <c r="G234" s="29"/>
      <c r="H234" s="27"/>
      <c r="I234" s="42"/>
      <c r="J234" s="42"/>
    </row>
    <row r="235" spans="1:10" x14ac:dyDescent="0.25">
      <c r="A235" s="29"/>
      <c r="B235" s="74"/>
      <c r="C235" s="75"/>
      <c r="D235" s="29"/>
      <c r="E235" s="29"/>
      <c r="F235" s="29"/>
      <c r="G235" s="29"/>
      <c r="H235" s="27"/>
      <c r="I235" s="42"/>
      <c r="J235" s="42"/>
    </row>
    <row r="236" spans="1:10" x14ac:dyDescent="0.25">
      <c r="A236" s="29"/>
      <c r="B236" s="74"/>
      <c r="C236" s="75"/>
      <c r="D236" s="29"/>
      <c r="E236" s="29"/>
      <c r="F236" s="29"/>
      <c r="G236" s="29"/>
      <c r="H236" s="27"/>
      <c r="I236" s="42"/>
      <c r="J236" s="42"/>
    </row>
    <row r="237" spans="1:10" x14ac:dyDescent="0.25">
      <c r="A237" s="29"/>
      <c r="B237" s="74"/>
      <c r="C237" s="75"/>
      <c r="D237" s="29"/>
      <c r="E237" s="29"/>
      <c r="F237" s="29"/>
      <c r="G237" s="29"/>
      <c r="H237" s="27"/>
      <c r="I237" s="42"/>
      <c r="J237" s="42"/>
    </row>
    <row r="238" spans="1:10" x14ac:dyDescent="0.25">
      <c r="A238" s="29"/>
      <c r="B238" s="74"/>
      <c r="C238" s="75"/>
      <c r="D238" s="29"/>
      <c r="E238" s="29"/>
      <c r="F238" s="29"/>
      <c r="G238" s="29"/>
      <c r="H238" s="27"/>
      <c r="I238" s="42"/>
      <c r="J238" s="42"/>
    </row>
    <row r="239" spans="1:10" x14ac:dyDescent="0.25">
      <c r="A239" s="29"/>
      <c r="B239" s="74"/>
      <c r="C239" s="75"/>
      <c r="D239" s="29"/>
      <c r="E239" s="29"/>
      <c r="F239" s="29"/>
      <c r="G239" s="29"/>
      <c r="H239" s="27"/>
      <c r="I239" s="42"/>
      <c r="J239" s="42"/>
    </row>
    <row r="240" spans="1:10" x14ac:dyDescent="0.25">
      <c r="A240" s="29"/>
      <c r="B240" s="74"/>
      <c r="C240" s="75"/>
      <c r="D240" s="29"/>
      <c r="E240" s="29"/>
      <c r="F240" s="29"/>
      <c r="G240" s="29"/>
      <c r="H240" s="27"/>
      <c r="I240" s="42"/>
      <c r="J240" s="42"/>
    </row>
    <row r="241" spans="1:10" x14ac:dyDescent="0.25">
      <c r="A241" s="29"/>
      <c r="B241" s="74"/>
      <c r="C241" s="75"/>
      <c r="D241" s="29"/>
      <c r="E241" s="29"/>
      <c r="F241" s="29"/>
      <c r="G241" s="29"/>
      <c r="H241" s="27"/>
      <c r="I241" s="42"/>
      <c r="J241" s="42"/>
    </row>
    <row r="242" spans="1:10" x14ac:dyDescent="0.25">
      <c r="A242" s="29"/>
      <c r="B242" s="74"/>
      <c r="C242" s="75"/>
      <c r="D242" s="29"/>
      <c r="E242" s="29"/>
      <c r="F242" s="29"/>
      <c r="G242" s="29"/>
      <c r="H242" s="27"/>
      <c r="I242" s="42"/>
      <c r="J242" s="42"/>
    </row>
    <row r="243" spans="1:10" x14ac:dyDescent="0.25">
      <c r="A243" s="29"/>
      <c r="B243" s="74"/>
      <c r="C243" s="75"/>
      <c r="D243" s="29"/>
      <c r="E243" s="29"/>
      <c r="F243" s="29"/>
      <c r="G243" s="29"/>
      <c r="H243" s="27"/>
      <c r="I243" s="42"/>
      <c r="J243" s="42"/>
    </row>
    <row r="244" spans="1:10" x14ac:dyDescent="0.25">
      <c r="A244" s="29"/>
      <c r="B244" s="74"/>
      <c r="C244" s="75"/>
      <c r="D244" s="29"/>
      <c r="E244" s="29"/>
      <c r="F244" s="29"/>
      <c r="G244" s="29"/>
      <c r="H244" s="27"/>
      <c r="I244" s="42"/>
      <c r="J244" s="42"/>
    </row>
    <row r="245" spans="1:10" x14ac:dyDescent="0.25">
      <c r="A245" s="29"/>
      <c r="B245" s="74"/>
      <c r="C245" s="75"/>
      <c r="D245" s="29"/>
      <c r="E245" s="29"/>
      <c r="F245" s="29"/>
      <c r="G245" s="29"/>
      <c r="H245" s="27"/>
      <c r="I245" s="42"/>
      <c r="J245" s="42"/>
    </row>
    <row r="246" spans="1:10" x14ac:dyDescent="0.25">
      <c r="A246" s="29"/>
      <c r="B246" s="74"/>
      <c r="C246" s="75"/>
      <c r="D246" s="29"/>
      <c r="E246" s="29"/>
      <c r="F246" s="29"/>
      <c r="G246" s="29"/>
      <c r="H246" s="27"/>
      <c r="I246" s="42"/>
      <c r="J246" s="42"/>
    </row>
    <row r="247" spans="1:10" x14ac:dyDescent="0.25">
      <c r="A247" s="29"/>
      <c r="B247" s="74"/>
      <c r="C247" s="75"/>
      <c r="D247" s="29"/>
      <c r="E247" s="29"/>
      <c r="F247" s="29"/>
      <c r="G247" s="29"/>
      <c r="H247" s="27"/>
      <c r="I247" s="42"/>
      <c r="J247" s="42"/>
    </row>
    <row r="248" spans="1:10" x14ac:dyDescent="0.25">
      <c r="A248" s="29"/>
      <c r="B248" s="74"/>
      <c r="C248" s="75"/>
      <c r="D248" s="29"/>
      <c r="E248" s="29"/>
      <c r="F248" s="29"/>
      <c r="G248" s="29"/>
      <c r="H248" s="27"/>
      <c r="I248" s="42"/>
      <c r="J248" s="42"/>
    </row>
    <row r="249" spans="1:10" x14ac:dyDescent="0.25">
      <c r="A249" s="29"/>
      <c r="B249" s="74"/>
      <c r="C249" s="75"/>
      <c r="D249" s="29"/>
      <c r="E249" s="29"/>
      <c r="F249" s="29"/>
      <c r="G249" s="29"/>
      <c r="H249" s="27"/>
      <c r="I249" s="42"/>
      <c r="J249" s="42"/>
    </row>
    <row r="250" spans="1:10" x14ac:dyDescent="0.25">
      <c r="A250" s="29"/>
      <c r="B250" s="74"/>
      <c r="C250" s="75"/>
      <c r="D250" s="29"/>
      <c r="E250" s="29"/>
      <c r="F250" s="29"/>
      <c r="G250" s="29"/>
      <c r="H250" s="27"/>
      <c r="I250" s="42"/>
      <c r="J250" s="42"/>
    </row>
    <row r="251" spans="1:10" x14ac:dyDescent="0.25">
      <c r="A251" s="29"/>
      <c r="B251" s="74"/>
      <c r="C251" s="75"/>
      <c r="D251" s="29"/>
      <c r="E251" s="29"/>
      <c r="F251" s="29"/>
      <c r="G251" s="29"/>
      <c r="H251" s="27"/>
      <c r="I251" s="42"/>
      <c r="J251" s="42"/>
    </row>
    <row r="252" spans="1:10" x14ac:dyDescent="0.25">
      <c r="A252" s="29"/>
      <c r="B252" s="74"/>
      <c r="C252" s="75"/>
      <c r="D252" s="29"/>
      <c r="E252" s="29"/>
      <c r="F252" s="29"/>
      <c r="G252" s="29"/>
      <c r="H252" s="27"/>
      <c r="I252" s="42"/>
      <c r="J252" s="42"/>
    </row>
    <row r="253" spans="1:10" x14ac:dyDescent="0.25">
      <c r="A253" s="29"/>
      <c r="B253" s="74"/>
      <c r="C253" s="75"/>
      <c r="D253" s="29"/>
      <c r="E253" s="29"/>
      <c r="F253" s="29"/>
      <c r="G253" s="29"/>
      <c r="H253" s="27"/>
      <c r="I253" s="42"/>
      <c r="J253" s="42"/>
    </row>
    <row r="254" spans="1:10" x14ac:dyDescent="0.25">
      <c r="A254" s="29"/>
      <c r="B254" s="74"/>
      <c r="C254" s="75"/>
      <c r="D254" s="29"/>
      <c r="E254" s="29"/>
      <c r="F254" s="29"/>
      <c r="G254" s="29"/>
      <c r="H254" s="27"/>
      <c r="I254" s="42"/>
      <c r="J254" s="42"/>
    </row>
    <row r="255" spans="1:10" x14ac:dyDescent="0.25">
      <c r="A255" s="29"/>
      <c r="B255" s="74"/>
      <c r="C255" s="75"/>
      <c r="D255" s="29"/>
      <c r="E255" s="29"/>
      <c r="F255" s="29"/>
      <c r="G255" s="29"/>
      <c r="H255" s="27"/>
      <c r="I255" s="42"/>
      <c r="J255" s="42"/>
    </row>
    <row r="256" spans="1:10" x14ac:dyDescent="0.25">
      <c r="A256" s="29"/>
      <c r="B256" s="74"/>
      <c r="C256" s="75"/>
      <c r="D256" s="29"/>
      <c r="E256" s="29"/>
      <c r="F256" s="29"/>
      <c r="G256" s="29"/>
      <c r="H256" s="27"/>
      <c r="I256" s="42"/>
      <c r="J256" s="42"/>
    </row>
    <row r="257" spans="1:10" x14ac:dyDescent="0.25">
      <c r="A257" s="29"/>
      <c r="B257" s="74"/>
      <c r="C257" s="75"/>
      <c r="D257" s="29"/>
      <c r="E257" s="29"/>
      <c r="F257" s="29"/>
      <c r="G257" s="29"/>
      <c r="H257" s="27"/>
      <c r="I257" s="42"/>
      <c r="J257" s="42"/>
    </row>
    <row r="258" spans="1:10" x14ac:dyDescent="0.25">
      <c r="A258" s="29"/>
      <c r="B258" s="74"/>
      <c r="C258" s="75"/>
      <c r="D258" s="29"/>
      <c r="E258" s="29"/>
      <c r="F258" s="29"/>
      <c r="G258" s="29"/>
      <c r="H258" s="27"/>
      <c r="I258" s="42"/>
      <c r="J258" s="42"/>
    </row>
    <row r="259" spans="1:10" x14ac:dyDescent="0.25">
      <c r="A259" s="29"/>
      <c r="B259" s="74"/>
      <c r="C259" s="75"/>
      <c r="D259" s="29"/>
      <c r="E259" s="29"/>
      <c r="F259" s="29"/>
      <c r="G259" s="29"/>
      <c r="H259" s="27"/>
      <c r="I259" s="42"/>
      <c r="J259" s="42"/>
    </row>
    <row r="260" spans="1:10" x14ac:dyDescent="0.25">
      <c r="A260" s="29"/>
      <c r="B260" s="74"/>
      <c r="C260" s="75"/>
      <c r="D260" s="29"/>
      <c r="E260" s="29"/>
      <c r="F260" s="29"/>
      <c r="G260" s="29"/>
      <c r="H260" s="27"/>
      <c r="I260" s="42"/>
      <c r="J260" s="42"/>
    </row>
    <row r="261" spans="1:10" x14ac:dyDescent="0.25">
      <c r="A261" s="29"/>
      <c r="B261" s="74"/>
      <c r="C261" s="75"/>
      <c r="D261" s="29"/>
      <c r="E261" s="29"/>
      <c r="F261" s="29"/>
      <c r="G261" s="29"/>
      <c r="H261" s="27"/>
      <c r="I261" s="42"/>
      <c r="J261" s="42"/>
    </row>
    <row r="262" spans="1:10" x14ac:dyDescent="0.25">
      <c r="A262" s="29"/>
      <c r="B262" s="74"/>
      <c r="C262" s="75"/>
      <c r="D262" s="29"/>
      <c r="E262" s="29"/>
      <c r="F262" s="29"/>
      <c r="G262" s="29"/>
      <c r="H262" s="27"/>
      <c r="I262" s="42"/>
      <c r="J262" s="42"/>
    </row>
    <row r="263" spans="1:10" x14ac:dyDescent="0.25">
      <c r="A263" s="29"/>
      <c r="B263" s="74"/>
      <c r="C263" s="75"/>
      <c r="D263" s="29"/>
      <c r="E263" s="29"/>
      <c r="F263" s="29"/>
      <c r="G263" s="29"/>
      <c r="H263" s="27"/>
      <c r="I263" s="42"/>
      <c r="J263" s="42"/>
    </row>
    <row r="264" spans="1:10" x14ac:dyDescent="0.25">
      <c r="A264" s="29"/>
      <c r="B264" s="74"/>
      <c r="C264" s="75"/>
      <c r="D264" s="29"/>
      <c r="E264" s="29"/>
      <c r="F264" s="29"/>
      <c r="G264" s="29"/>
      <c r="H264" s="27"/>
      <c r="I264" s="42"/>
      <c r="J264" s="42"/>
    </row>
    <row r="265" spans="1:10" x14ac:dyDescent="0.25">
      <c r="A265" s="29"/>
      <c r="B265" s="74"/>
      <c r="C265" s="75"/>
      <c r="D265" s="29"/>
      <c r="E265" s="29"/>
      <c r="F265" s="29"/>
      <c r="G265" s="29"/>
      <c r="H265" s="27"/>
      <c r="I265" s="42"/>
      <c r="J265" s="42"/>
    </row>
    <row r="266" spans="1:10" x14ac:dyDescent="0.25">
      <c r="A266" s="29"/>
      <c r="B266" s="74"/>
      <c r="C266" s="75"/>
      <c r="D266" s="29"/>
      <c r="E266" s="29"/>
      <c r="F266" s="29"/>
      <c r="G266" s="29"/>
      <c r="H266" s="27"/>
      <c r="I266" s="42"/>
      <c r="J266" s="42"/>
    </row>
    <row r="267" spans="1:10" x14ac:dyDescent="0.25">
      <c r="A267" s="29"/>
      <c r="B267" s="74"/>
      <c r="C267" s="75"/>
      <c r="D267" s="29"/>
      <c r="E267" s="29"/>
      <c r="F267" s="29"/>
      <c r="G267" s="29"/>
      <c r="H267" s="27"/>
      <c r="I267" s="42"/>
      <c r="J267" s="42"/>
    </row>
    <row r="268" spans="1:10" x14ac:dyDescent="0.25">
      <c r="A268" s="29"/>
      <c r="B268" s="74"/>
      <c r="C268" s="75"/>
      <c r="D268" s="29"/>
      <c r="E268" s="29"/>
      <c r="F268" s="29"/>
      <c r="G268" s="29"/>
      <c r="H268" s="27"/>
      <c r="I268" s="42"/>
      <c r="J268" s="42"/>
    </row>
    <row r="269" spans="1:10" x14ac:dyDescent="0.25">
      <c r="A269" s="29"/>
      <c r="B269" s="74"/>
      <c r="C269" s="75"/>
      <c r="D269" s="29"/>
      <c r="E269" s="29"/>
      <c r="F269" s="29"/>
      <c r="G269" s="29"/>
      <c r="H269" s="27"/>
      <c r="I269" s="42"/>
      <c r="J269" s="42"/>
    </row>
    <row r="270" spans="1:10" x14ac:dyDescent="0.25">
      <c r="A270" s="29"/>
      <c r="B270" s="74"/>
      <c r="C270" s="75"/>
      <c r="D270" s="29"/>
      <c r="E270" s="29"/>
      <c r="F270" s="29"/>
      <c r="G270" s="29"/>
      <c r="H270" s="27"/>
      <c r="I270" s="42"/>
      <c r="J270" s="42"/>
    </row>
    <row r="271" spans="1:10" x14ac:dyDescent="0.25">
      <c r="A271" s="29"/>
      <c r="B271" s="74"/>
      <c r="C271" s="75"/>
      <c r="D271" s="29"/>
      <c r="E271" s="29"/>
      <c r="F271" s="29"/>
      <c r="G271" s="29"/>
      <c r="H271" s="27"/>
      <c r="I271" s="42"/>
      <c r="J271" s="42"/>
    </row>
    <row r="272" spans="1:10" x14ac:dyDescent="0.25">
      <c r="A272" s="29"/>
      <c r="B272" s="74"/>
      <c r="C272" s="75"/>
      <c r="D272" s="29"/>
      <c r="E272" s="29"/>
      <c r="F272" s="29"/>
      <c r="G272" s="29"/>
      <c r="H272" s="27"/>
      <c r="I272" s="42"/>
      <c r="J272" s="42"/>
    </row>
    <row r="273" spans="1:10" x14ac:dyDescent="0.25">
      <c r="A273" s="29"/>
      <c r="B273" s="74"/>
      <c r="C273" s="75"/>
      <c r="D273" s="29"/>
      <c r="E273" s="29"/>
      <c r="F273" s="29"/>
      <c r="G273" s="29"/>
      <c r="H273" s="27"/>
      <c r="I273" s="42"/>
      <c r="J273" s="42"/>
    </row>
    <row r="274" spans="1:10" x14ac:dyDescent="0.25">
      <c r="A274" s="29"/>
      <c r="B274" s="74"/>
      <c r="C274" s="75"/>
      <c r="D274" s="29"/>
      <c r="E274" s="29"/>
      <c r="F274" s="29"/>
      <c r="G274" s="29"/>
      <c r="H274" s="27"/>
      <c r="I274" s="42"/>
      <c r="J274" s="42"/>
    </row>
    <row r="275" spans="1:10" x14ac:dyDescent="0.25">
      <c r="A275" s="29"/>
      <c r="B275" s="74"/>
      <c r="C275" s="75"/>
      <c r="D275" s="29"/>
      <c r="E275" s="29"/>
      <c r="F275" s="29"/>
      <c r="G275" s="29"/>
      <c r="H275" s="27"/>
      <c r="I275" s="42"/>
      <c r="J275" s="42"/>
    </row>
    <row r="276" spans="1:10" x14ac:dyDescent="0.25">
      <c r="A276" s="29"/>
      <c r="B276" s="74"/>
      <c r="C276" s="75"/>
      <c r="D276" s="29"/>
      <c r="E276" s="29"/>
      <c r="F276" s="29"/>
      <c r="G276" s="29"/>
      <c r="H276" s="27"/>
      <c r="I276" s="42"/>
      <c r="J276" s="42"/>
    </row>
    <row r="277" spans="1:10" x14ac:dyDescent="0.25">
      <c r="A277" s="29"/>
      <c r="B277" s="74"/>
      <c r="C277" s="75"/>
      <c r="D277" s="29"/>
      <c r="E277" s="29"/>
      <c r="F277" s="29"/>
      <c r="G277" s="29"/>
      <c r="H277" s="27"/>
      <c r="I277" s="42"/>
      <c r="J277" s="42"/>
    </row>
    <row r="278" spans="1:10" x14ac:dyDescent="0.25">
      <c r="A278" s="29"/>
      <c r="B278" s="74"/>
      <c r="C278" s="75"/>
      <c r="D278" s="29"/>
      <c r="E278" s="29"/>
      <c r="F278" s="29"/>
      <c r="G278" s="29"/>
      <c r="H278" s="27"/>
      <c r="I278" s="42"/>
      <c r="J278" s="42"/>
    </row>
    <row r="279" spans="1:10" x14ac:dyDescent="0.25">
      <c r="A279" s="29"/>
      <c r="B279" s="74"/>
      <c r="C279" s="75"/>
      <c r="D279" s="29"/>
      <c r="E279" s="29"/>
      <c r="F279" s="29"/>
      <c r="G279" s="29"/>
      <c r="H279" s="27"/>
      <c r="I279" s="42"/>
      <c r="J279" s="42"/>
    </row>
    <row r="280" spans="1:10" x14ac:dyDescent="0.25">
      <c r="A280" s="29"/>
      <c r="B280" s="74"/>
      <c r="C280" s="75"/>
      <c r="D280" s="29"/>
      <c r="E280" s="29"/>
      <c r="F280" s="29"/>
      <c r="G280" s="29"/>
      <c r="H280" s="27"/>
      <c r="I280" s="42"/>
      <c r="J280" s="42"/>
    </row>
    <row r="281" spans="1:10" x14ac:dyDescent="0.25">
      <c r="A281" s="29"/>
      <c r="B281" s="74"/>
      <c r="C281" s="75"/>
      <c r="D281" s="29"/>
      <c r="E281" s="29"/>
      <c r="F281" s="29"/>
      <c r="G281" s="29"/>
      <c r="H281" s="27"/>
      <c r="I281" s="42"/>
      <c r="J281" s="42"/>
    </row>
    <row r="282" spans="1:10" x14ac:dyDescent="0.25">
      <c r="A282" s="29"/>
      <c r="B282" s="74"/>
      <c r="C282" s="75"/>
      <c r="D282" s="29"/>
      <c r="E282" s="29"/>
      <c r="F282" s="29"/>
      <c r="G282" s="29"/>
      <c r="H282" s="27"/>
      <c r="I282" s="42"/>
      <c r="J282" s="42"/>
    </row>
    <row r="283" spans="1:10" x14ac:dyDescent="0.25">
      <c r="A283" s="29"/>
      <c r="B283" s="74"/>
      <c r="C283" s="75"/>
      <c r="D283" s="29"/>
      <c r="E283" s="29"/>
      <c r="F283" s="29"/>
      <c r="G283" s="29"/>
      <c r="H283" s="27"/>
      <c r="I283" s="42"/>
      <c r="J283" s="42"/>
    </row>
    <row r="284" spans="1:10" x14ac:dyDescent="0.25">
      <c r="A284" s="29"/>
      <c r="B284" s="74"/>
      <c r="C284" s="75"/>
      <c r="D284" s="29"/>
      <c r="E284" s="29"/>
      <c r="F284" s="29"/>
      <c r="G284" s="29"/>
      <c r="H284" s="27"/>
      <c r="I284" s="42"/>
      <c r="J284" s="42"/>
    </row>
    <row r="285" spans="1:10" x14ac:dyDescent="0.25">
      <c r="A285" s="29"/>
      <c r="B285" s="74"/>
      <c r="C285" s="75"/>
      <c r="D285" s="29"/>
      <c r="E285" s="29"/>
      <c r="F285" s="29"/>
      <c r="G285" s="29"/>
      <c r="H285" s="27"/>
      <c r="I285" s="42"/>
      <c r="J285" s="42"/>
    </row>
    <row r="286" spans="1:10" x14ac:dyDescent="0.25">
      <c r="A286" s="29"/>
      <c r="B286" s="74"/>
      <c r="C286" s="75"/>
      <c r="D286" s="29"/>
      <c r="E286" s="29"/>
      <c r="F286" s="29"/>
      <c r="G286" s="29"/>
      <c r="H286" s="27"/>
      <c r="I286" s="42"/>
      <c r="J286" s="42"/>
    </row>
    <row r="287" spans="1:10" x14ac:dyDescent="0.25">
      <c r="A287" s="29"/>
      <c r="B287" s="74"/>
      <c r="C287" s="75"/>
      <c r="D287" s="29"/>
      <c r="E287" s="29"/>
      <c r="F287" s="29"/>
      <c r="G287" s="29"/>
      <c r="H287" s="27"/>
      <c r="I287" s="42"/>
      <c r="J287" s="42"/>
    </row>
    <row r="288" spans="1:10" x14ac:dyDescent="0.25">
      <c r="A288" s="29"/>
      <c r="B288" s="74"/>
      <c r="C288" s="75"/>
      <c r="D288" s="29"/>
      <c r="E288" s="29"/>
      <c r="F288" s="29"/>
      <c r="G288" s="29"/>
      <c r="H288" s="27"/>
      <c r="I288" s="42"/>
      <c r="J288" s="42"/>
    </row>
    <row r="289" spans="1:10" x14ac:dyDescent="0.25">
      <c r="A289" s="29"/>
      <c r="B289" s="74"/>
      <c r="C289" s="75"/>
      <c r="D289" s="29"/>
      <c r="E289" s="29"/>
      <c r="F289" s="29"/>
      <c r="G289" s="29"/>
      <c r="H289" s="27"/>
      <c r="I289" s="42"/>
      <c r="J289" s="42"/>
    </row>
    <row r="290" spans="1:10" x14ac:dyDescent="0.25">
      <c r="A290" s="29"/>
      <c r="B290" s="74"/>
      <c r="C290" s="75"/>
      <c r="D290" s="29"/>
      <c r="E290" s="29"/>
      <c r="F290" s="29"/>
      <c r="G290" s="29"/>
      <c r="H290" s="27"/>
      <c r="I290" s="42"/>
      <c r="J290" s="42"/>
    </row>
    <row r="291" spans="1:10" x14ac:dyDescent="0.25">
      <c r="A291" s="29"/>
      <c r="B291" s="74"/>
      <c r="C291" s="75"/>
      <c r="D291" s="29"/>
      <c r="E291" s="29"/>
      <c r="F291" s="29"/>
      <c r="G291" s="29"/>
      <c r="H291" s="27"/>
      <c r="I291" s="42"/>
      <c r="J291" s="42"/>
    </row>
    <row r="292" spans="1:10" x14ac:dyDescent="0.25">
      <c r="A292" s="29"/>
      <c r="B292" s="74"/>
      <c r="C292" s="75"/>
      <c r="D292" s="29"/>
      <c r="E292" s="29"/>
      <c r="F292" s="29"/>
      <c r="G292" s="29"/>
      <c r="H292" s="27"/>
      <c r="I292" s="42"/>
      <c r="J292" s="42"/>
    </row>
    <row r="293" spans="1:10" x14ac:dyDescent="0.25">
      <c r="A293" s="29"/>
      <c r="B293" s="74"/>
      <c r="C293" s="75"/>
      <c r="D293" s="29"/>
      <c r="E293" s="29"/>
      <c r="F293" s="29"/>
      <c r="G293" s="29"/>
      <c r="H293" s="27"/>
      <c r="I293" s="42"/>
      <c r="J293" s="42"/>
    </row>
    <row r="294" spans="1:10" x14ac:dyDescent="0.25">
      <c r="A294" s="29"/>
      <c r="B294" s="74"/>
      <c r="C294" s="75"/>
      <c r="D294" s="29"/>
      <c r="E294" s="29"/>
      <c r="F294" s="29"/>
      <c r="G294" s="29"/>
      <c r="H294" s="27"/>
      <c r="I294" s="42"/>
      <c r="J294" s="42"/>
    </row>
    <row r="295" spans="1:10" x14ac:dyDescent="0.25">
      <c r="A295" s="29"/>
      <c r="B295" s="74"/>
      <c r="C295" s="75"/>
      <c r="D295" s="29"/>
      <c r="E295" s="29"/>
      <c r="F295" s="29"/>
      <c r="G295" s="29"/>
      <c r="H295" s="27"/>
      <c r="I295" s="42"/>
      <c r="J295" s="42"/>
    </row>
    <row r="296" spans="1:10" x14ac:dyDescent="0.25">
      <c r="A296" s="29"/>
      <c r="B296" s="74"/>
      <c r="C296" s="75"/>
      <c r="D296" s="29"/>
      <c r="E296" s="29"/>
      <c r="F296" s="29"/>
      <c r="G296" s="29"/>
      <c r="H296" s="27"/>
      <c r="I296" s="42"/>
      <c r="J296" s="42"/>
    </row>
    <row r="297" spans="1:10" x14ac:dyDescent="0.25">
      <c r="A297" s="29"/>
      <c r="B297" s="74"/>
      <c r="C297" s="75"/>
      <c r="D297" s="29"/>
      <c r="E297" s="29"/>
      <c r="F297" s="29"/>
      <c r="G297" s="29"/>
      <c r="H297" s="27"/>
      <c r="I297" s="42"/>
      <c r="J297" s="42"/>
    </row>
    <row r="298" spans="1:10" x14ac:dyDescent="0.25">
      <c r="A298" s="29"/>
      <c r="B298" s="74"/>
      <c r="C298" s="75"/>
      <c r="D298" s="29"/>
      <c r="E298" s="29"/>
      <c r="F298" s="29"/>
      <c r="G298" s="29"/>
      <c r="H298" s="27"/>
      <c r="I298" s="42"/>
      <c r="J298" s="42"/>
    </row>
    <row r="299" spans="1:10" x14ac:dyDescent="0.25">
      <c r="A299" s="29"/>
      <c r="B299" s="74"/>
      <c r="C299" s="75"/>
      <c r="D299" s="29"/>
      <c r="E299" s="29"/>
      <c r="F299" s="29"/>
      <c r="G299" s="29"/>
      <c r="H299" s="27"/>
      <c r="I299" s="42"/>
      <c r="J299" s="42"/>
    </row>
    <row r="300" spans="1:10" x14ac:dyDescent="0.25">
      <c r="A300" s="29"/>
      <c r="B300" s="74"/>
      <c r="C300" s="75"/>
      <c r="D300" s="29"/>
      <c r="E300" s="29"/>
      <c r="F300" s="29"/>
      <c r="G300" s="29"/>
      <c r="H300" s="27"/>
      <c r="I300" s="42"/>
      <c r="J300" s="42"/>
    </row>
    <row r="301" spans="1:10" x14ac:dyDescent="0.25">
      <c r="A301" s="29"/>
      <c r="B301" s="74"/>
      <c r="C301" s="75"/>
      <c r="D301" s="29"/>
      <c r="E301" s="29"/>
      <c r="F301" s="29"/>
      <c r="G301" s="29"/>
      <c r="H301" s="27"/>
      <c r="I301" s="42"/>
      <c r="J301" s="42"/>
    </row>
    <row r="302" spans="1:10" x14ac:dyDescent="0.25">
      <c r="A302" s="29"/>
      <c r="B302" s="74"/>
      <c r="C302" s="75"/>
      <c r="D302" s="29"/>
      <c r="E302" s="29"/>
      <c r="F302" s="29"/>
      <c r="G302" s="29"/>
      <c r="H302" s="27"/>
      <c r="I302" s="42"/>
      <c r="J302" s="42"/>
    </row>
    <row r="303" spans="1:10" x14ac:dyDescent="0.25">
      <c r="A303" s="29"/>
      <c r="B303" s="74"/>
      <c r="C303" s="75"/>
      <c r="D303" s="29"/>
      <c r="E303" s="29"/>
      <c r="F303" s="29"/>
      <c r="G303" s="29"/>
      <c r="H303" s="27"/>
      <c r="I303" s="42"/>
      <c r="J303" s="42"/>
    </row>
    <row r="304" spans="1:10" x14ac:dyDescent="0.25">
      <c r="A304" s="29"/>
      <c r="B304" s="74"/>
      <c r="C304" s="75"/>
      <c r="D304" s="29"/>
      <c r="E304" s="29"/>
      <c r="F304" s="29"/>
      <c r="G304" s="29"/>
      <c r="H304" s="27"/>
      <c r="I304" s="42"/>
      <c r="J304" s="42"/>
    </row>
    <row r="305" spans="1:10" x14ac:dyDescent="0.25">
      <c r="A305" s="29"/>
      <c r="B305" s="74"/>
      <c r="C305" s="75"/>
      <c r="D305" s="29"/>
      <c r="E305" s="29"/>
      <c r="F305" s="29"/>
      <c r="G305" s="29"/>
      <c r="H305" s="27"/>
      <c r="I305" s="42"/>
      <c r="J305" s="42"/>
    </row>
    <row r="306" spans="1:10" x14ac:dyDescent="0.25">
      <c r="A306" s="29"/>
      <c r="B306" s="74"/>
      <c r="C306" s="75"/>
      <c r="D306" s="29"/>
      <c r="E306" s="29"/>
      <c r="F306" s="29"/>
      <c r="G306" s="29"/>
      <c r="H306" s="27"/>
      <c r="I306" s="42"/>
      <c r="J306" s="42"/>
    </row>
    <row r="307" spans="1:10" x14ac:dyDescent="0.25">
      <c r="A307" s="29"/>
      <c r="B307" s="74"/>
      <c r="C307" s="75"/>
      <c r="D307" s="29"/>
      <c r="E307" s="29"/>
      <c r="F307" s="29"/>
      <c r="G307" s="29"/>
      <c r="H307" s="27"/>
      <c r="I307" s="42"/>
      <c r="J307" s="42"/>
    </row>
    <row r="308" spans="1:10" x14ac:dyDescent="0.25">
      <c r="A308" s="29"/>
      <c r="B308" s="74"/>
      <c r="C308" s="75"/>
      <c r="D308" s="29"/>
      <c r="E308" s="29"/>
      <c r="F308" s="29"/>
      <c r="G308" s="29"/>
      <c r="H308" s="27"/>
      <c r="I308" s="42"/>
      <c r="J308" s="42"/>
    </row>
    <row r="309" spans="1:10" x14ac:dyDescent="0.25">
      <c r="A309" s="29"/>
      <c r="B309" s="74"/>
      <c r="C309" s="75"/>
      <c r="D309" s="29"/>
      <c r="E309" s="29"/>
      <c r="F309" s="29"/>
      <c r="G309" s="29"/>
      <c r="H309" s="27"/>
      <c r="I309" s="42"/>
      <c r="J309" s="42"/>
    </row>
    <row r="310" spans="1:10" x14ac:dyDescent="0.25">
      <c r="A310" s="29"/>
      <c r="B310" s="74"/>
      <c r="C310" s="75"/>
      <c r="D310" s="29"/>
      <c r="E310" s="29"/>
      <c r="F310" s="29"/>
      <c r="G310" s="29"/>
      <c r="H310" s="27"/>
      <c r="I310" s="42"/>
      <c r="J310" s="42"/>
    </row>
    <row r="311" spans="1:10" x14ac:dyDescent="0.25">
      <c r="A311" s="29"/>
      <c r="B311" s="74"/>
      <c r="C311" s="75"/>
      <c r="D311" s="29"/>
      <c r="E311" s="29"/>
      <c r="F311" s="29"/>
      <c r="G311" s="29"/>
      <c r="H311" s="27"/>
      <c r="I311" s="42"/>
      <c r="J311" s="42"/>
    </row>
    <row r="312" spans="1:10" x14ac:dyDescent="0.25">
      <c r="A312" s="29"/>
      <c r="B312" s="74"/>
      <c r="C312" s="75"/>
      <c r="D312" s="29"/>
      <c r="E312" s="29"/>
      <c r="F312" s="29"/>
      <c r="G312" s="29"/>
      <c r="H312" s="27"/>
      <c r="I312" s="42"/>
      <c r="J312" s="42"/>
    </row>
    <row r="313" spans="1:10" x14ac:dyDescent="0.25">
      <c r="A313" s="29"/>
      <c r="B313" s="74"/>
      <c r="C313" s="75"/>
      <c r="D313" s="29"/>
      <c r="E313" s="29"/>
      <c r="F313" s="29"/>
      <c r="G313" s="29"/>
      <c r="H313" s="27"/>
      <c r="I313" s="42"/>
      <c r="J313" s="42"/>
    </row>
    <row r="314" spans="1:10" x14ac:dyDescent="0.25">
      <c r="A314" s="29"/>
      <c r="B314" s="74"/>
      <c r="C314" s="75"/>
      <c r="D314" s="29"/>
      <c r="E314" s="29"/>
      <c r="F314" s="29"/>
      <c r="G314" s="29"/>
      <c r="H314" s="27"/>
      <c r="I314" s="42"/>
      <c r="J314" s="42"/>
    </row>
    <row r="315" spans="1:10" x14ac:dyDescent="0.25">
      <c r="A315" s="29"/>
      <c r="B315" s="74"/>
      <c r="C315" s="75"/>
      <c r="D315" s="29"/>
      <c r="E315" s="29"/>
      <c r="F315" s="29"/>
      <c r="G315" s="29"/>
      <c r="H315" s="27"/>
      <c r="I315" s="42"/>
      <c r="J315" s="42"/>
    </row>
    <row r="316" spans="1:10" x14ac:dyDescent="0.25">
      <c r="A316" s="29"/>
      <c r="B316" s="74"/>
      <c r="C316" s="75"/>
      <c r="D316" s="29"/>
      <c r="E316" s="29"/>
      <c r="F316" s="29"/>
      <c r="G316" s="29"/>
      <c r="H316" s="27"/>
      <c r="I316" s="42"/>
      <c r="J316" s="42"/>
    </row>
    <row r="317" spans="1:10" x14ac:dyDescent="0.25">
      <c r="A317" s="29"/>
      <c r="B317" s="74"/>
      <c r="C317" s="75"/>
      <c r="D317" s="29"/>
      <c r="E317" s="29"/>
      <c r="F317" s="29"/>
      <c r="G317" s="29"/>
      <c r="H317" s="27"/>
      <c r="I317" s="42"/>
      <c r="J317" s="42"/>
    </row>
    <row r="318" spans="1:10" x14ac:dyDescent="0.25">
      <c r="A318" s="29"/>
      <c r="B318" s="74"/>
      <c r="C318" s="75"/>
      <c r="D318" s="29"/>
      <c r="E318" s="29"/>
      <c r="F318" s="29"/>
      <c r="G318" s="29"/>
      <c r="H318" s="27"/>
      <c r="I318" s="42"/>
      <c r="J318" s="42"/>
    </row>
    <row r="319" spans="1:10" x14ac:dyDescent="0.25">
      <c r="A319" s="29"/>
      <c r="B319" s="74"/>
      <c r="C319" s="75"/>
      <c r="D319" s="29"/>
      <c r="E319" s="29"/>
      <c r="F319" s="29"/>
      <c r="G319" s="29"/>
      <c r="H319" s="27"/>
      <c r="I319" s="42"/>
      <c r="J319" s="42"/>
    </row>
    <row r="320" spans="1:10" x14ac:dyDescent="0.25">
      <c r="A320" s="29"/>
      <c r="B320" s="74"/>
      <c r="C320" s="75"/>
      <c r="D320" s="29"/>
      <c r="E320" s="29"/>
      <c r="F320" s="29"/>
      <c r="G320" s="29"/>
      <c r="H320" s="27"/>
      <c r="I320" s="42"/>
      <c r="J320" s="42"/>
    </row>
    <row r="321" spans="1:10" x14ac:dyDescent="0.25">
      <c r="A321" s="29"/>
      <c r="B321" s="74"/>
      <c r="C321" s="75"/>
      <c r="D321" s="29"/>
      <c r="E321" s="29"/>
      <c r="F321" s="29"/>
      <c r="G321" s="29"/>
      <c r="H321" s="27"/>
      <c r="I321" s="42"/>
      <c r="J321" s="42"/>
    </row>
    <row r="322" spans="1:10" x14ac:dyDescent="0.25">
      <c r="A322" s="29"/>
      <c r="B322" s="74"/>
      <c r="C322" s="75"/>
      <c r="D322" s="29"/>
      <c r="E322" s="29"/>
      <c r="F322" s="29"/>
      <c r="G322" s="29"/>
      <c r="H322" s="27"/>
      <c r="I322" s="42"/>
      <c r="J322" s="42"/>
    </row>
    <row r="323" spans="1:10" x14ac:dyDescent="0.25">
      <c r="A323" s="29"/>
      <c r="B323" s="74"/>
      <c r="C323" s="75"/>
      <c r="D323" s="29"/>
      <c r="E323" s="29"/>
      <c r="F323" s="29"/>
      <c r="G323" s="29"/>
      <c r="H323" s="27"/>
      <c r="I323" s="42"/>
      <c r="J323" s="42"/>
    </row>
    <row r="324" spans="1:10" x14ac:dyDescent="0.25">
      <c r="A324" s="29"/>
      <c r="B324" s="74"/>
      <c r="C324" s="75"/>
      <c r="D324" s="29"/>
      <c r="E324" s="29"/>
      <c r="F324" s="29"/>
      <c r="G324" s="29"/>
      <c r="H324" s="27"/>
      <c r="I324" s="42"/>
      <c r="J324" s="42"/>
    </row>
    <row r="325" spans="1:10" x14ac:dyDescent="0.25">
      <c r="A325" s="29"/>
      <c r="B325" s="74"/>
      <c r="C325" s="75"/>
      <c r="D325" s="29"/>
      <c r="E325" s="29"/>
      <c r="F325" s="29"/>
      <c r="G325" s="29"/>
      <c r="H325" s="27"/>
      <c r="I325" s="42"/>
      <c r="J325" s="42"/>
    </row>
    <row r="326" spans="1:10" x14ac:dyDescent="0.25">
      <c r="A326" s="29"/>
      <c r="B326" s="74"/>
      <c r="C326" s="75"/>
      <c r="D326" s="29"/>
      <c r="E326" s="29"/>
      <c r="F326" s="29"/>
      <c r="G326" s="29"/>
      <c r="H326" s="27"/>
      <c r="I326" s="42"/>
      <c r="J326" s="42"/>
    </row>
    <row r="327" spans="1:10" x14ac:dyDescent="0.25">
      <c r="A327" s="29"/>
      <c r="B327" s="74"/>
      <c r="C327" s="75"/>
      <c r="D327" s="29"/>
      <c r="E327" s="29"/>
      <c r="F327" s="29"/>
      <c r="G327" s="29"/>
      <c r="H327" s="27"/>
      <c r="I327" s="42"/>
      <c r="J327" s="42"/>
    </row>
    <row r="328" spans="1:10" x14ac:dyDescent="0.25">
      <c r="A328" s="29"/>
      <c r="B328" s="74"/>
      <c r="C328" s="75"/>
      <c r="D328" s="29"/>
      <c r="E328" s="29"/>
      <c r="F328" s="29"/>
      <c r="G328" s="29"/>
      <c r="H328" s="27"/>
      <c r="I328" s="42"/>
      <c r="J328" s="42"/>
    </row>
    <row r="329" spans="1:10" x14ac:dyDescent="0.25">
      <c r="A329" s="29"/>
      <c r="B329" s="74"/>
      <c r="C329" s="75"/>
      <c r="D329" s="29"/>
      <c r="E329" s="29"/>
      <c r="F329" s="29"/>
      <c r="G329" s="29"/>
      <c r="H329" s="27"/>
      <c r="I329" s="42"/>
      <c r="J329" s="42"/>
    </row>
    <row r="330" spans="1:10" x14ac:dyDescent="0.25">
      <c r="A330" s="29"/>
      <c r="B330" s="74"/>
      <c r="C330" s="75"/>
      <c r="D330" s="29"/>
      <c r="E330" s="29"/>
      <c r="F330" s="29"/>
      <c r="G330" s="29"/>
      <c r="H330" s="27"/>
      <c r="I330" s="42"/>
      <c r="J330" s="42"/>
    </row>
    <row r="331" spans="1:10" x14ac:dyDescent="0.25">
      <c r="A331" s="29"/>
      <c r="B331" s="74"/>
      <c r="C331" s="75"/>
      <c r="D331" s="29"/>
      <c r="E331" s="29"/>
      <c r="F331" s="29"/>
      <c r="G331" s="29"/>
      <c r="H331" s="27"/>
      <c r="I331" s="42"/>
      <c r="J331" s="42"/>
    </row>
    <row r="332" spans="1:10" x14ac:dyDescent="0.25">
      <c r="A332" s="29"/>
      <c r="B332" s="74"/>
      <c r="C332" s="75"/>
      <c r="D332" s="29"/>
      <c r="E332" s="29"/>
      <c r="F332" s="29"/>
      <c r="G332" s="29"/>
      <c r="H332" s="27"/>
      <c r="I332" s="42"/>
      <c r="J332" s="42"/>
    </row>
    <row r="333" spans="1:10" x14ac:dyDescent="0.25">
      <c r="A333" s="29"/>
      <c r="B333" s="74"/>
      <c r="C333" s="75"/>
      <c r="D333" s="29"/>
      <c r="E333" s="29"/>
      <c r="F333" s="29"/>
      <c r="G333" s="29"/>
      <c r="H333" s="27"/>
      <c r="I333" s="42"/>
      <c r="J333" s="42"/>
    </row>
    <row r="334" spans="1:10" x14ac:dyDescent="0.25">
      <c r="A334" s="29"/>
      <c r="B334" s="74"/>
      <c r="C334" s="75"/>
      <c r="D334" s="29"/>
      <c r="E334" s="29"/>
      <c r="F334" s="29"/>
      <c r="G334" s="29"/>
      <c r="H334" s="27"/>
      <c r="I334" s="42"/>
      <c r="J334" s="42"/>
    </row>
    <row r="335" spans="1:10" x14ac:dyDescent="0.25">
      <c r="A335" s="29"/>
      <c r="B335" s="74"/>
      <c r="C335" s="75"/>
      <c r="D335" s="29"/>
      <c r="E335" s="29"/>
      <c r="F335" s="29"/>
      <c r="G335" s="29"/>
      <c r="H335" s="27"/>
      <c r="I335" s="42"/>
      <c r="J335" s="42"/>
    </row>
    <row r="336" spans="1:10" x14ac:dyDescent="0.25">
      <c r="A336" s="29"/>
      <c r="B336" s="74"/>
      <c r="C336" s="75"/>
      <c r="D336" s="29"/>
      <c r="E336" s="29"/>
      <c r="F336" s="29"/>
      <c r="G336" s="29"/>
      <c r="H336" s="27"/>
      <c r="I336" s="42"/>
      <c r="J336" s="42"/>
    </row>
    <row r="337" spans="1:10" x14ac:dyDescent="0.25">
      <c r="A337" s="29"/>
      <c r="B337" s="74"/>
      <c r="C337" s="75"/>
      <c r="D337" s="29"/>
      <c r="E337" s="29"/>
      <c r="F337" s="29"/>
      <c r="G337" s="29"/>
      <c r="H337" s="27"/>
      <c r="I337" s="42"/>
      <c r="J337" s="42"/>
    </row>
    <row r="338" spans="1:10" x14ac:dyDescent="0.25">
      <c r="A338" s="29"/>
      <c r="B338" s="74"/>
      <c r="C338" s="75"/>
      <c r="D338" s="29"/>
      <c r="E338" s="29"/>
      <c r="F338" s="29"/>
      <c r="G338" s="29"/>
      <c r="H338" s="27"/>
      <c r="I338" s="42"/>
      <c r="J338" s="42"/>
    </row>
    <row r="339" spans="1:10" x14ac:dyDescent="0.25">
      <c r="A339" s="29"/>
      <c r="B339" s="74"/>
      <c r="C339" s="75"/>
      <c r="D339" s="29"/>
      <c r="E339" s="29"/>
      <c r="F339" s="29"/>
      <c r="G339" s="29"/>
      <c r="H339" s="27"/>
      <c r="I339" s="42"/>
      <c r="J339" s="42"/>
    </row>
    <row r="340" spans="1:10" x14ac:dyDescent="0.25">
      <c r="A340" s="29"/>
      <c r="B340" s="74"/>
      <c r="C340" s="75"/>
      <c r="D340" s="29"/>
      <c r="E340" s="29"/>
      <c r="F340" s="29"/>
      <c r="G340" s="29"/>
      <c r="H340" s="27"/>
      <c r="I340" s="42"/>
      <c r="J340" s="42"/>
    </row>
    <row r="341" spans="1:10" x14ac:dyDescent="0.25">
      <c r="A341" s="29"/>
      <c r="B341" s="74"/>
      <c r="C341" s="75"/>
      <c r="D341" s="29"/>
      <c r="E341" s="29"/>
      <c r="F341" s="29"/>
      <c r="G341" s="29"/>
      <c r="H341" s="27"/>
      <c r="I341" s="42"/>
      <c r="J341" s="42"/>
    </row>
    <row r="342" spans="1:10" x14ac:dyDescent="0.25">
      <c r="A342" s="29"/>
      <c r="B342" s="74"/>
      <c r="C342" s="75"/>
      <c r="D342" s="29"/>
      <c r="E342" s="29"/>
      <c r="F342" s="29"/>
      <c r="G342" s="29"/>
      <c r="H342" s="27"/>
      <c r="I342" s="42"/>
      <c r="J342" s="42"/>
    </row>
    <row r="343" spans="1:10" x14ac:dyDescent="0.25">
      <c r="A343" s="29"/>
      <c r="B343" s="74"/>
      <c r="C343" s="75"/>
      <c r="D343" s="29"/>
      <c r="E343" s="29"/>
      <c r="F343" s="29"/>
      <c r="G343" s="29"/>
      <c r="H343" s="27"/>
      <c r="I343" s="42"/>
      <c r="J343" s="42"/>
    </row>
    <row r="344" spans="1:10" x14ac:dyDescent="0.25">
      <c r="A344" s="29"/>
      <c r="B344" s="74"/>
      <c r="C344" s="75"/>
      <c r="D344" s="29"/>
      <c r="E344" s="29"/>
      <c r="F344" s="29"/>
      <c r="G344" s="29"/>
      <c r="H344" s="27"/>
      <c r="I344" s="42"/>
      <c r="J344" s="42"/>
    </row>
    <row r="345" spans="1:10" x14ac:dyDescent="0.25">
      <c r="A345" s="29"/>
      <c r="B345" s="74"/>
      <c r="C345" s="75"/>
      <c r="D345" s="29"/>
      <c r="E345" s="29"/>
      <c r="F345" s="29"/>
      <c r="G345" s="29"/>
      <c r="H345" s="27"/>
      <c r="I345" s="42"/>
      <c r="J345" s="42"/>
    </row>
    <row r="346" spans="1:10" x14ac:dyDescent="0.25">
      <c r="A346" s="29"/>
      <c r="B346" s="74"/>
      <c r="C346" s="75"/>
      <c r="D346" s="29"/>
      <c r="E346" s="29"/>
      <c r="F346" s="29"/>
      <c r="G346" s="29"/>
      <c r="H346" s="27"/>
      <c r="I346" s="42"/>
      <c r="J346" s="42"/>
    </row>
    <row r="347" spans="1:10" x14ac:dyDescent="0.25">
      <c r="A347" s="29"/>
      <c r="B347" s="74"/>
      <c r="C347" s="75"/>
      <c r="D347" s="29"/>
      <c r="E347" s="29"/>
      <c r="F347" s="29"/>
      <c r="G347" s="29"/>
      <c r="H347" s="27"/>
      <c r="I347" s="42"/>
      <c r="J347" s="42"/>
    </row>
    <row r="348" spans="1:10" x14ac:dyDescent="0.25">
      <c r="A348" s="29"/>
      <c r="B348" s="74"/>
      <c r="C348" s="75"/>
      <c r="D348" s="29"/>
      <c r="E348" s="29"/>
      <c r="F348" s="29"/>
      <c r="G348" s="29"/>
      <c r="H348" s="27"/>
      <c r="I348" s="42"/>
      <c r="J348" s="42"/>
    </row>
    <row r="349" spans="1:10" x14ac:dyDescent="0.25">
      <c r="A349" s="29"/>
      <c r="B349" s="74"/>
      <c r="C349" s="75"/>
      <c r="D349" s="29"/>
      <c r="E349" s="29"/>
      <c r="F349" s="29"/>
      <c r="G349" s="29"/>
      <c r="H349" s="27"/>
      <c r="I349" s="42"/>
      <c r="J349" s="42"/>
    </row>
    <row r="350" spans="1:10" x14ac:dyDescent="0.25">
      <c r="A350" s="29"/>
      <c r="B350" s="74"/>
      <c r="C350" s="75"/>
      <c r="D350" s="29"/>
      <c r="E350" s="29"/>
      <c r="F350" s="29"/>
      <c r="G350" s="29"/>
      <c r="H350" s="27"/>
      <c r="I350" s="42"/>
      <c r="J350" s="42"/>
    </row>
    <row r="351" spans="1:10" x14ac:dyDescent="0.25">
      <c r="A351" s="29"/>
      <c r="B351" s="74"/>
      <c r="C351" s="75"/>
      <c r="D351" s="29"/>
      <c r="E351" s="29"/>
      <c r="F351" s="29"/>
      <c r="G351" s="29"/>
      <c r="H351" s="27"/>
      <c r="I351" s="42"/>
      <c r="J351" s="42"/>
    </row>
    <row r="352" spans="1:10" x14ac:dyDescent="0.25">
      <c r="A352" s="29"/>
      <c r="B352" s="74"/>
      <c r="C352" s="75"/>
      <c r="D352" s="29"/>
      <c r="E352" s="29"/>
      <c r="F352" s="29"/>
      <c r="G352" s="29"/>
      <c r="H352" s="27"/>
      <c r="I352" s="42"/>
      <c r="J352" s="42"/>
    </row>
    <row r="353" spans="1:10" x14ac:dyDescent="0.25">
      <c r="A353" s="29"/>
      <c r="B353" s="74"/>
      <c r="C353" s="75"/>
      <c r="D353" s="29"/>
      <c r="E353" s="29"/>
      <c r="F353" s="29"/>
      <c r="G353" s="29"/>
      <c r="H353" s="27"/>
      <c r="I353" s="42"/>
      <c r="J353" s="42"/>
    </row>
    <row r="354" spans="1:10" x14ac:dyDescent="0.25">
      <c r="A354" s="29"/>
      <c r="B354" s="74"/>
      <c r="C354" s="75"/>
      <c r="D354" s="29"/>
      <c r="E354" s="29"/>
      <c r="F354" s="29"/>
      <c r="G354" s="29"/>
      <c r="H354" s="27"/>
      <c r="I354" s="42"/>
      <c r="J354" s="42"/>
    </row>
    <row r="355" spans="1:10" x14ac:dyDescent="0.25">
      <c r="A355" s="29"/>
      <c r="B355" s="74"/>
      <c r="C355" s="75"/>
      <c r="D355" s="29"/>
      <c r="E355" s="29"/>
      <c r="F355" s="29"/>
      <c r="G355" s="29"/>
      <c r="H355" s="27"/>
      <c r="I355" s="42"/>
      <c r="J355" s="42"/>
    </row>
    <row r="356" spans="1:10" x14ac:dyDescent="0.25">
      <c r="A356" s="29"/>
      <c r="B356" s="74"/>
      <c r="C356" s="75"/>
      <c r="D356" s="29"/>
      <c r="E356" s="29"/>
      <c r="F356" s="29"/>
      <c r="G356" s="29"/>
      <c r="H356" s="27"/>
      <c r="I356" s="42"/>
      <c r="J356" s="42"/>
    </row>
    <row r="357" spans="1:10" x14ac:dyDescent="0.25">
      <c r="A357" s="29"/>
      <c r="B357" s="74"/>
      <c r="C357" s="75"/>
      <c r="D357" s="29"/>
      <c r="E357" s="29"/>
      <c r="F357" s="29"/>
      <c r="G357" s="29"/>
      <c r="H357" s="27"/>
      <c r="I357" s="42"/>
      <c r="J357" s="42"/>
    </row>
    <row r="358" spans="1:10" x14ac:dyDescent="0.25">
      <c r="A358" s="29"/>
      <c r="B358" s="74"/>
      <c r="C358" s="75"/>
      <c r="D358" s="29"/>
      <c r="E358" s="29"/>
      <c r="F358" s="29"/>
      <c r="G358" s="29"/>
      <c r="H358" s="27"/>
      <c r="I358" s="42"/>
      <c r="J358" s="42"/>
    </row>
    <row r="359" spans="1:10" x14ac:dyDescent="0.25">
      <c r="A359" s="29"/>
      <c r="B359" s="74"/>
      <c r="C359" s="75"/>
      <c r="D359" s="29"/>
      <c r="E359" s="29"/>
      <c r="F359" s="29"/>
      <c r="G359" s="29"/>
      <c r="H359" s="27"/>
      <c r="I359" s="42"/>
      <c r="J359" s="42"/>
    </row>
    <row r="360" spans="1:10" x14ac:dyDescent="0.25">
      <c r="A360" s="29"/>
      <c r="B360" s="74"/>
      <c r="C360" s="75"/>
      <c r="D360" s="29"/>
      <c r="E360" s="29"/>
      <c r="F360" s="29"/>
      <c r="G360" s="29"/>
      <c r="H360" s="27"/>
      <c r="I360" s="42"/>
      <c r="J360" s="42"/>
    </row>
    <row r="361" spans="1:10" x14ac:dyDescent="0.25">
      <c r="A361" s="29"/>
      <c r="B361" s="74"/>
      <c r="C361" s="75"/>
      <c r="D361" s="29"/>
      <c r="E361" s="29"/>
      <c r="F361" s="29"/>
      <c r="G361" s="29"/>
      <c r="H361" s="27"/>
      <c r="I361" s="42"/>
      <c r="J361" s="42"/>
    </row>
    <row r="362" spans="1:10" x14ac:dyDescent="0.25">
      <c r="A362" s="29"/>
      <c r="B362" s="74"/>
      <c r="C362" s="75"/>
      <c r="D362" s="29"/>
      <c r="E362" s="29"/>
      <c r="F362" s="29"/>
      <c r="G362" s="29"/>
      <c r="H362" s="27"/>
      <c r="I362" s="42"/>
      <c r="J362" s="42"/>
    </row>
    <row r="363" spans="1:10" x14ac:dyDescent="0.25">
      <c r="A363" s="29"/>
      <c r="B363" s="74"/>
      <c r="C363" s="75"/>
      <c r="D363" s="29"/>
      <c r="E363" s="29"/>
      <c r="F363" s="29"/>
      <c r="G363" s="29"/>
      <c r="H363" s="27"/>
      <c r="I363" s="42"/>
      <c r="J363" s="42"/>
    </row>
    <row r="364" spans="1:10" x14ac:dyDescent="0.25">
      <c r="A364" s="29"/>
      <c r="B364" s="74"/>
      <c r="C364" s="75"/>
      <c r="D364" s="29"/>
      <c r="E364" s="29"/>
      <c r="F364" s="29"/>
      <c r="G364" s="29"/>
      <c r="H364" s="27"/>
      <c r="I364" s="42"/>
      <c r="J364" s="42"/>
    </row>
    <row r="365" spans="1:10" x14ac:dyDescent="0.25">
      <c r="A365" s="29"/>
      <c r="B365" s="74"/>
      <c r="C365" s="75"/>
      <c r="D365" s="29"/>
      <c r="E365" s="29"/>
      <c r="F365" s="29"/>
      <c r="G365" s="29"/>
      <c r="H365" s="27"/>
      <c r="I365" s="42"/>
      <c r="J365" s="42"/>
    </row>
    <row r="366" spans="1:10" x14ac:dyDescent="0.25">
      <c r="A366" s="29"/>
      <c r="B366" s="74"/>
      <c r="C366" s="75"/>
      <c r="D366" s="29"/>
      <c r="E366" s="29"/>
      <c r="F366" s="29"/>
      <c r="G366" s="29"/>
      <c r="H366" s="27"/>
      <c r="I366" s="42"/>
      <c r="J366" s="42"/>
    </row>
    <row r="367" spans="1:10" x14ac:dyDescent="0.25">
      <c r="A367" s="29"/>
      <c r="B367" s="74"/>
      <c r="C367" s="75"/>
      <c r="D367" s="29"/>
      <c r="E367" s="29"/>
      <c r="F367" s="29"/>
      <c r="G367" s="29"/>
      <c r="H367" s="27"/>
      <c r="I367" s="42"/>
      <c r="J367" s="42"/>
    </row>
    <row r="368" spans="1:10" x14ac:dyDescent="0.25">
      <c r="A368" s="29"/>
      <c r="B368" s="74"/>
      <c r="C368" s="75"/>
      <c r="D368" s="29"/>
      <c r="E368" s="29"/>
      <c r="F368" s="29"/>
      <c r="G368" s="29"/>
      <c r="H368" s="27"/>
      <c r="I368" s="42"/>
      <c r="J368" s="42"/>
    </row>
    <row r="369" spans="1:10" x14ac:dyDescent="0.25">
      <c r="A369" s="29"/>
      <c r="B369" s="74"/>
      <c r="C369" s="75"/>
      <c r="D369" s="29"/>
      <c r="E369" s="29"/>
      <c r="F369" s="29"/>
      <c r="G369" s="29"/>
      <c r="H369" s="27"/>
      <c r="I369" s="42"/>
      <c r="J369" s="42"/>
    </row>
    <row r="370" spans="1:10" x14ac:dyDescent="0.25">
      <c r="A370" s="29"/>
      <c r="B370" s="74"/>
      <c r="C370" s="75"/>
      <c r="D370" s="29"/>
      <c r="E370" s="29"/>
      <c r="F370" s="29"/>
      <c r="G370" s="29"/>
      <c r="H370" s="27"/>
      <c r="I370" s="42"/>
      <c r="J370" s="42"/>
    </row>
    <row r="371" spans="1:10" x14ac:dyDescent="0.25">
      <c r="A371" s="29"/>
      <c r="B371" s="74"/>
      <c r="C371" s="75"/>
      <c r="D371" s="29"/>
      <c r="E371" s="29"/>
      <c r="F371" s="29"/>
      <c r="G371" s="29"/>
      <c r="H371" s="27"/>
      <c r="I371" s="42"/>
      <c r="J371" s="42"/>
    </row>
    <row r="372" spans="1:10" x14ac:dyDescent="0.25">
      <c r="A372" s="29"/>
      <c r="B372" s="74"/>
      <c r="C372" s="75"/>
      <c r="D372" s="29"/>
      <c r="E372" s="29"/>
      <c r="F372" s="29"/>
      <c r="G372" s="29"/>
      <c r="H372" s="27"/>
      <c r="I372" s="42"/>
      <c r="J372" s="42"/>
    </row>
    <row r="373" spans="1:10" x14ac:dyDescent="0.25">
      <c r="A373" s="29"/>
      <c r="B373" s="74"/>
      <c r="C373" s="75"/>
      <c r="D373" s="29"/>
      <c r="E373" s="29"/>
      <c r="F373" s="29"/>
      <c r="G373" s="29"/>
      <c r="H373" s="27"/>
      <c r="I373" s="42"/>
      <c r="J373" s="42"/>
    </row>
    <row r="374" spans="1:10" x14ac:dyDescent="0.25">
      <c r="A374" s="29"/>
      <c r="B374" s="74"/>
      <c r="C374" s="75"/>
      <c r="D374" s="29"/>
      <c r="E374" s="29"/>
      <c r="F374" s="29"/>
      <c r="G374" s="29"/>
      <c r="H374" s="27"/>
      <c r="I374" s="42"/>
      <c r="J374" s="42"/>
    </row>
    <row r="375" spans="1:10" x14ac:dyDescent="0.25">
      <c r="A375" s="29"/>
      <c r="B375" s="74"/>
      <c r="C375" s="75"/>
      <c r="D375" s="29"/>
      <c r="E375" s="29"/>
      <c r="F375" s="29"/>
      <c r="G375" s="29"/>
      <c r="H375" s="27"/>
      <c r="I375" s="42"/>
      <c r="J375" s="42"/>
    </row>
    <row r="376" spans="1:10" x14ac:dyDescent="0.25">
      <c r="A376" s="29"/>
      <c r="B376" s="74"/>
      <c r="C376" s="75"/>
      <c r="D376" s="29"/>
      <c r="E376" s="29"/>
      <c r="F376" s="29"/>
      <c r="G376" s="29"/>
      <c r="H376" s="27"/>
      <c r="I376" s="42"/>
      <c r="J376" s="42"/>
    </row>
    <row r="377" spans="1:10" x14ac:dyDescent="0.25">
      <c r="A377" s="29"/>
      <c r="B377" s="74"/>
      <c r="C377" s="75"/>
      <c r="D377" s="29"/>
      <c r="E377" s="29"/>
      <c r="F377" s="29"/>
      <c r="G377" s="29"/>
      <c r="H377" s="27"/>
      <c r="I377" s="42"/>
      <c r="J377" s="42"/>
    </row>
    <row r="378" spans="1:10" x14ac:dyDescent="0.25">
      <c r="A378" s="29"/>
      <c r="B378" s="74"/>
      <c r="C378" s="75"/>
      <c r="D378" s="29"/>
      <c r="E378" s="29"/>
      <c r="F378" s="29"/>
      <c r="G378" s="29"/>
      <c r="H378" s="27"/>
      <c r="I378" s="42"/>
      <c r="J378" s="42"/>
    </row>
    <row r="379" spans="1:10" x14ac:dyDescent="0.25">
      <c r="A379" s="29"/>
      <c r="B379" s="74"/>
      <c r="C379" s="75"/>
      <c r="D379" s="29"/>
      <c r="E379" s="29"/>
      <c r="F379" s="29"/>
      <c r="G379" s="29"/>
      <c r="H379" s="27"/>
      <c r="I379" s="42"/>
      <c r="J379" s="42"/>
    </row>
    <row r="380" spans="1:10" x14ac:dyDescent="0.25">
      <c r="A380" s="29"/>
      <c r="B380" s="74"/>
      <c r="C380" s="75"/>
      <c r="D380" s="29"/>
      <c r="E380" s="29"/>
      <c r="F380" s="29"/>
      <c r="G380" s="29"/>
      <c r="H380" s="27"/>
      <c r="I380" s="42"/>
      <c r="J380" s="42"/>
    </row>
    <row r="381" spans="1:10" x14ac:dyDescent="0.25">
      <c r="A381" s="29"/>
      <c r="B381" s="74"/>
      <c r="C381" s="75"/>
      <c r="D381" s="29"/>
      <c r="E381" s="29"/>
      <c r="F381" s="29"/>
      <c r="G381" s="29"/>
      <c r="H381" s="27"/>
      <c r="I381" s="42"/>
      <c r="J381" s="42"/>
    </row>
    <row r="382" spans="1:10" x14ac:dyDescent="0.25">
      <c r="A382" s="29"/>
      <c r="B382" s="74"/>
      <c r="C382" s="75"/>
      <c r="D382" s="29"/>
      <c r="E382" s="29"/>
      <c r="F382" s="29"/>
      <c r="G382" s="29"/>
      <c r="H382" s="27"/>
      <c r="I382" s="42"/>
      <c r="J382" s="42"/>
    </row>
    <row r="383" spans="1:10" x14ac:dyDescent="0.25">
      <c r="A383" s="29"/>
      <c r="B383" s="74"/>
      <c r="C383" s="75"/>
      <c r="D383" s="29"/>
      <c r="E383" s="29"/>
      <c r="F383" s="29"/>
      <c r="G383" s="29"/>
      <c r="H383" s="27"/>
      <c r="I383" s="42"/>
      <c r="J383" s="42"/>
    </row>
    <row r="384" spans="1:10" x14ac:dyDescent="0.25">
      <c r="A384" s="29"/>
      <c r="B384" s="74"/>
      <c r="C384" s="75"/>
      <c r="D384" s="29"/>
      <c r="E384" s="29"/>
      <c r="F384" s="29"/>
      <c r="G384" s="29"/>
      <c r="H384" s="27"/>
      <c r="I384" s="42"/>
      <c r="J384" s="42"/>
    </row>
    <row r="385" spans="1:10" x14ac:dyDescent="0.25">
      <c r="A385" s="29"/>
      <c r="B385" s="74"/>
      <c r="C385" s="75"/>
      <c r="D385" s="29"/>
      <c r="E385" s="29"/>
      <c r="F385" s="29"/>
      <c r="G385" s="29"/>
      <c r="H385" s="27"/>
      <c r="I385" s="42"/>
      <c r="J385" s="42"/>
    </row>
    <row r="386" spans="1:10" x14ac:dyDescent="0.25">
      <c r="A386" s="29"/>
      <c r="B386" s="74"/>
      <c r="C386" s="75"/>
      <c r="D386" s="29"/>
      <c r="E386" s="29"/>
      <c r="F386" s="29"/>
      <c r="G386" s="29"/>
      <c r="H386" s="27"/>
      <c r="I386" s="42"/>
      <c r="J386" s="42"/>
    </row>
    <row r="387" spans="1:10" x14ac:dyDescent="0.25">
      <c r="A387" s="29"/>
      <c r="B387" s="74"/>
      <c r="C387" s="75"/>
      <c r="D387" s="29"/>
      <c r="E387" s="29"/>
      <c r="F387" s="29"/>
      <c r="G387" s="29"/>
      <c r="H387" s="27"/>
      <c r="I387" s="42"/>
      <c r="J387" s="42"/>
    </row>
    <row r="388" spans="1:10" x14ac:dyDescent="0.25">
      <c r="A388" s="29"/>
      <c r="B388" s="74"/>
      <c r="C388" s="75"/>
      <c r="D388" s="29"/>
      <c r="E388" s="29"/>
      <c r="F388" s="29"/>
      <c r="G388" s="29"/>
      <c r="H388" s="27"/>
      <c r="I388" s="42"/>
      <c r="J388" s="42"/>
    </row>
    <row r="389" spans="1:10" x14ac:dyDescent="0.25">
      <c r="A389" s="29"/>
      <c r="B389" s="74"/>
      <c r="C389" s="75"/>
      <c r="D389" s="29"/>
      <c r="E389" s="29"/>
      <c r="F389" s="29"/>
      <c r="G389" s="29"/>
      <c r="H389" s="27"/>
      <c r="I389" s="42"/>
      <c r="J389" s="42"/>
    </row>
    <row r="390" spans="1:10" x14ac:dyDescent="0.25">
      <c r="A390" s="29"/>
      <c r="B390" s="74"/>
      <c r="C390" s="75"/>
      <c r="D390" s="29"/>
      <c r="E390" s="29"/>
      <c r="F390" s="29"/>
      <c r="G390" s="29"/>
      <c r="H390" s="27"/>
      <c r="I390" s="42"/>
      <c r="J390" s="42"/>
    </row>
    <row r="391" spans="1:10" x14ac:dyDescent="0.25">
      <c r="A391" s="29"/>
      <c r="B391" s="74"/>
      <c r="C391" s="75"/>
      <c r="D391" s="29"/>
      <c r="E391" s="29"/>
      <c r="F391" s="29"/>
      <c r="G391" s="29"/>
      <c r="H391" s="27"/>
      <c r="I391" s="42"/>
      <c r="J391" s="42"/>
    </row>
    <row r="392" spans="1:10" x14ac:dyDescent="0.25">
      <c r="A392" s="29"/>
      <c r="B392" s="74"/>
      <c r="C392" s="75"/>
      <c r="D392" s="29"/>
      <c r="E392" s="29"/>
      <c r="F392" s="29"/>
      <c r="G392" s="29"/>
      <c r="H392" s="27"/>
      <c r="I392" s="42"/>
      <c r="J392" s="42"/>
    </row>
    <row r="393" spans="1:10" x14ac:dyDescent="0.25">
      <c r="A393" s="29"/>
      <c r="B393" s="74"/>
      <c r="C393" s="75"/>
      <c r="D393" s="29"/>
      <c r="E393" s="29"/>
      <c r="F393" s="29"/>
      <c r="G393" s="29"/>
      <c r="H393" s="27"/>
      <c r="I393" s="42"/>
      <c r="J393" s="42"/>
    </row>
    <row r="394" spans="1:10" x14ac:dyDescent="0.25">
      <c r="A394" s="29"/>
      <c r="B394" s="74"/>
      <c r="C394" s="75"/>
      <c r="D394" s="29"/>
      <c r="E394" s="29"/>
      <c r="F394" s="29"/>
      <c r="G394" s="29"/>
      <c r="H394" s="27"/>
      <c r="I394" s="42"/>
      <c r="J394" s="42"/>
    </row>
    <row r="395" spans="1:10" x14ac:dyDescent="0.25">
      <c r="A395" s="29"/>
      <c r="B395" s="74"/>
      <c r="C395" s="75"/>
      <c r="D395" s="29"/>
      <c r="E395" s="29"/>
      <c r="F395" s="29"/>
      <c r="G395" s="29"/>
      <c r="H395" s="27"/>
      <c r="I395" s="42"/>
      <c r="J395" s="42"/>
    </row>
    <row r="396" spans="1:10" x14ac:dyDescent="0.25">
      <c r="A396" s="29"/>
      <c r="B396" s="74"/>
      <c r="C396" s="75"/>
      <c r="D396" s="29"/>
      <c r="E396" s="29"/>
      <c r="F396" s="29"/>
      <c r="G396" s="29"/>
      <c r="H396" s="27"/>
      <c r="I396" s="42"/>
      <c r="J396" s="42"/>
    </row>
    <row r="397" spans="1:10" x14ac:dyDescent="0.25">
      <c r="A397" s="29"/>
      <c r="B397" s="74"/>
      <c r="C397" s="75"/>
      <c r="D397" s="29"/>
      <c r="E397" s="29"/>
      <c r="F397" s="29"/>
      <c r="G397" s="29"/>
      <c r="H397" s="27"/>
      <c r="I397" s="42"/>
      <c r="J397" s="42"/>
    </row>
    <row r="398" spans="1:10" x14ac:dyDescent="0.25">
      <c r="A398" s="29"/>
      <c r="B398" s="74"/>
      <c r="C398" s="75"/>
      <c r="D398" s="29"/>
      <c r="E398" s="29"/>
      <c r="F398" s="29"/>
      <c r="G398" s="29"/>
      <c r="H398" s="27"/>
      <c r="I398" s="42"/>
      <c r="J398" s="42"/>
    </row>
    <row r="399" spans="1:10" x14ac:dyDescent="0.25">
      <c r="A399" s="29"/>
      <c r="B399" s="74"/>
      <c r="C399" s="75"/>
      <c r="D399" s="29"/>
      <c r="E399" s="29"/>
      <c r="F399" s="29"/>
      <c r="G399" s="29"/>
      <c r="H399" s="27"/>
      <c r="I399" s="42"/>
      <c r="J399" s="42"/>
    </row>
    <row r="400" spans="1:10" x14ac:dyDescent="0.25">
      <c r="A400" s="29"/>
      <c r="B400" s="74"/>
      <c r="C400" s="75"/>
      <c r="D400" s="29"/>
      <c r="E400" s="29"/>
      <c r="F400" s="29"/>
      <c r="G400" s="29"/>
      <c r="H400" s="27"/>
      <c r="I400" s="42"/>
      <c r="J400" s="42"/>
    </row>
    <row r="401" spans="1:10" x14ac:dyDescent="0.25">
      <c r="A401" s="29"/>
      <c r="B401" s="74"/>
      <c r="C401" s="75"/>
      <c r="D401" s="29"/>
      <c r="E401" s="29"/>
      <c r="F401" s="29"/>
      <c r="G401" s="29"/>
      <c r="H401" s="27"/>
      <c r="I401" s="42"/>
      <c r="J401" s="42"/>
    </row>
    <row r="402" spans="1:10" x14ac:dyDescent="0.25">
      <c r="A402" s="29"/>
      <c r="B402" s="74"/>
      <c r="C402" s="75"/>
      <c r="D402" s="29"/>
      <c r="E402" s="29"/>
      <c r="F402" s="29"/>
      <c r="G402" s="29"/>
      <c r="H402" s="27"/>
      <c r="I402" s="42"/>
      <c r="J402" s="42"/>
    </row>
    <row r="403" spans="1:10" x14ac:dyDescent="0.25">
      <c r="A403" s="29"/>
      <c r="B403" s="74"/>
      <c r="C403" s="75"/>
      <c r="D403" s="29"/>
      <c r="E403" s="29"/>
      <c r="F403" s="29"/>
      <c r="G403" s="29"/>
      <c r="H403" s="27"/>
      <c r="I403" s="42"/>
      <c r="J403" s="42"/>
    </row>
    <row r="404" spans="1:10" x14ac:dyDescent="0.25">
      <c r="A404" s="29"/>
      <c r="B404" s="74"/>
      <c r="C404" s="75"/>
      <c r="D404" s="29"/>
      <c r="E404" s="29"/>
      <c r="F404" s="29"/>
      <c r="G404" s="29"/>
      <c r="H404" s="27"/>
      <c r="I404" s="42"/>
      <c r="J404" s="42"/>
    </row>
    <row r="405" spans="1:10" x14ac:dyDescent="0.25">
      <c r="A405" s="29"/>
      <c r="B405" s="74"/>
      <c r="C405" s="75"/>
      <c r="D405" s="29"/>
      <c r="E405" s="29"/>
      <c r="F405" s="29"/>
      <c r="G405" s="29"/>
      <c r="H405" s="27"/>
      <c r="I405" s="42"/>
      <c r="J405" s="42"/>
    </row>
    <row r="406" spans="1:10" x14ac:dyDescent="0.25">
      <c r="A406" s="29"/>
      <c r="B406" s="74"/>
      <c r="C406" s="75"/>
      <c r="D406" s="29"/>
      <c r="E406" s="29"/>
      <c r="F406" s="29"/>
      <c r="G406" s="29"/>
      <c r="H406" s="27"/>
      <c r="I406" s="42"/>
      <c r="J406" s="42"/>
    </row>
    <row r="407" spans="1:10" x14ac:dyDescent="0.25">
      <c r="A407" s="29"/>
      <c r="B407" s="74"/>
      <c r="C407" s="75"/>
      <c r="D407" s="29"/>
      <c r="E407" s="29"/>
      <c r="F407" s="29"/>
      <c r="G407" s="29"/>
      <c r="H407" s="27"/>
      <c r="I407" s="42"/>
      <c r="J407" s="42"/>
    </row>
    <row r="408" spans="1:10" x14ac:dyDescent="0.25">
      <c r="A408" s="29"/>
      <c r="B408" s="74"/>
      <c r="C408" s="75"/>
      <c r="D408" s="29"/>
      <c r="E408" s="29"/>
      <c r="F408" s="29"/>
      <c r="G408" s="29"/>
      <c r="H408" s="27"/>
      <c r="I408" s="42"/>
      <c r="J408" s="42"/>
    </row>
    <row r="409" spans="1:10" x14ac:dyDescent="0.25">
      <c r="A409" s="29"/>
      <c r="B409" s="74"/>
      <c r="C409" s="75"/>
      <c r="D409" s="29"/>
      <c r="E409" s="29"/>
      <c r="F409" s="29"/>
      <c r="G409" s="29"/>
      <c r="H409" s="27"/>
      <c r="I409" s="42"/>
      <c r="J409" s="42"/>
    </row>
    <row r="410" spans="1:10" x14ac:dyDescent="0.25">
      <c r="A410" s="29"/>
      <c r="B410" s="74"/>
      <c r="C410" s="75"/>
      <c r="D410" s="29"/>
      <c r="E410" s="29"/>
      <c r="F410" s="29"/>
      <c r="G410" s="29"/>
      <c r="H410" s="27"/>
      <c r="I410" s="42"/>
      <c r="J410" s="42"/>
    </row>
    <row r="411" spans="1:10" x14ac:dyDescent="0.25">
      <c r="A411" s="29"/>
      <c r="B411" s="74"/>
      <c r="C411" s="75"/>
      <c r="D411" s="29"/>
      <c r="E411" s="29"/>
      <c r="F411" s="29"/>
      <c r="G411" s="29"/>
      <c r="H411" s="27"/>
      <c r="I411" s="42"/>
      <c r="J411" s="42"/>
    </row>
    <row r="412" spans="1:10" x14ac:dyDescent="0.25">
      <c r="A412" s="29"/>
      <c r="B412" s="74"/>
      <c r="C412" s="75"/>
      <c r="D412" s="29"/>
      <c r="E412" s="29"/>
      <c r="F412" s="29"/>
      <c r="G412" s="29"/>
      <c r="H412" s="27"/>
      <c r="I412" s="42"/>
      <c r="J412" s="42"/>
    </row>
    <row r="413" spans="1:10" x14ac:dyDescent="0.25">
      <c r="A413" s="29"/>
      <c r="B413" s="74"/>
      <c r="C413" s="75"/>
      <c r="D413" s="29"/>
      <c r="E413" s="29"/>
      <c r="F413" s="29"/>
      <c r="G413" s="29"/>
      <c r="H413" s="27"/>
      <c r="I413" s="42"/>
      <c r="J413" s="42"/>
    </row>
    <row r="414" spans="1:10" x14ac:dyDescent="0.25">
      <c r="A414" s="29"/>
      <c r="B414" s="74"/>
      <c r="C414" s="75"/>
      <c r="D414" s="29"/>
      <c r="E414" s="29"/>
      <c r="F414" s="29"/>
      <c r="G414" s="29"/>
      <c r="H414" s="27"/>
      <c r="I414" s="42"/>
      <c r="J414" s="42"/>
    </row>
    <row r="415" spans="1:10" x14ac:dyDescent="0.25">
      <c r="A415" s="29"/>
      <c r="B415" s="74"/>
      <c r="C415" s="75"/>
      <c r="D415" s="29"/>
      <c r="E415" s="29"/>
      <c r="F415" s="29"/>
      <c r="G415" s="29"/>
      <c r="H415" s="27"/>
      <c r="I415" s="42"/>
      <c r="J415" s="42"/>
    </row>
    <row r="416" spans="1:10" x14ac:dyDescent="0.25">
      <c r="A416" s="29"/>
      <c r="B416" s="74"/>
      <c r="C416" s="75"/>
      <c r="D416" s="29"/>
      <c r="E416" s="29"/>
      <c r="F416" s="29"/>
      <c r="G416" s="29"/>
      <c r="H416" s="27"/>
      <c r="I416" s="42"/>
      <c r="J416" s="42"/>
    </row>
    <row r="417" spans="1:10" x14ac:dyDescent="0.25">
      <c r="A417" s="29"/>
      <c r="B417" s="74"/>
      <c r="C417" s="75"/>
      <c r="D417" s="29"/>
      <c r="E417" s="29"/>
      <c r="F417" s="29"/>
      <c r="G417" s="29"/>
      <c r="H417" s="27"/>
      <c r="I417" s="42"/>
      <c r="J417" s="42"/>
    </row>
    <row r="418" spans="1:10" x14ac:dyDescent="0.25">
      <c r="A418" s="29"/>
      <c r="B418" s="74"/>
      <c r="C418" s="75"/>
      <c r="D418" s="29"/>
      <c r="E418" s="29"/>
      <c r="F418" s="29"/>
      <c r="G418" s="29"/>
      <c r="H418" s="27"/>
      <c r="I418" s="42"/>
      <c r="J418" s="42"/>
    </row>
    <row r="419" spans="1:10" x14ac:dyDescent="0.25">
      <c r="A419" s="29"/>
      <c r="B419" s="74"/>
      <c r="C419" s="75"/>
      <c r="D419" s="29"/>
      <c r="E419" s="29"/>
      <c r="F419" s="29"/>
      <c r="G419" s="29"/>
      <c r="H419" s="27"/>
      <c r="I419" s="42"/>
      <c r="J419" s="42"/>
    </row>
    <row r="420" spans="1:10" x14ac:dyDescent="0.25">
      <c r="A420" s="29"/>
      <c r="B420" s="74"/>
      <c r="C420" s="75"/>
      <c r="D420" s="29"/>
      <c r="E420" s="29"/>
      <c r="F420" s="29"/>
      <c r="G420" s="29"/>
      <c r="H420" s="27"/>
      <c r="I420" s="42"/>
      <c r="J420" s="42"/>
    </row>
    <row r="421" spans="1:10" x14ac:dyDescent="0.25">
      <c r="A421" s="29"/>
      <c r="B421" s="74"/>
      <c r="C421" s="75"/>
      <c r="D421" s="29"/>
      <c r="E421" s="29"/>
      <c r="F421" s="29"/>
      <c r="G421" s="29"/>
      <c r="H421" s="27"/>
      <c r="I421" s="42"/>
      <c r="J421" s="42"/>
    </row>
    <row r="422" spans="1:10" x14ac:dyDescent="0.25">
      <c r="A422" s="29"/>
      <c r="B422" s="74"/>
      <c r="C422" s="75"/>
      <c r="D422" s="29"/>
      <c r="E422" s="29"/>
      <c r="F422" s="29"/>
      <c r="G422" s="29"/>
      <c r="H422" s="27"/>
      <c r="I422" s="42"/>
      <c r="J422" s="42"/>
    </row>
    <row r="423" spans="1:10" x14ac:dyDescent="0.25">
      <c r="A423" s="29"/>
      <c r="B423" s="74"/>
      <c r="C423" s="75"/>
      <c r="D423" s="29"/>
      <c r="E423" s="29"/>
      <c r="F423" s="29"/>
      <c r="G423" s="29"/>
      <c r="H423" s="27"/>
      <c r="I423" s="42"/>
      <c r="J423" s="42"/>
    </row>
    <row r="424" spans="1:10" x14ac:dyDescent="0.25">
      <c r="A424" s="29"/>
      <c r="B424" s="74"/>
      <c r="C424" s="75"/>
      <c r="D424" s="29"/>
      <c r="E424" s="29"/>
      <c r="F424" s="29"/>
      <c r="G424" s="29"/>
      <c r="H424" s="27"/>
      <c r="I424" s="42"/>
      <c r="J424" s="42"/>
    </row>
    <row r="425" spans="1:10" x14ac:dyDescent="0.25">
      <c r="A425" s="29"/>
      <c r="B425" s="74"/>
      <c r="C425" s="75"/>
      <c r="D425" s="29"/>
      <c r="E425" s="29"/>
      <c r="F425" s="29"/>
      <c r="G425" s="29"/>
      <c r="H425" s="27"/>
      <c r="I425" s="42"/>
      <c r="J425" s="42"/>
    </row>
    <row r="426" spans="1:10" x14ac:dyDescent="0.25">
      <c r="A426" s="29"/>
      <c r="B426" s="74"/>
      <c r="C426" s="75"/>
      <c r="D426" s="29"/>
      <c r="E426" s="29"/>
      <c r="F426" s="29"/>
      <c r="G426" s="29"/>
      <c r="H426" s="27"/>
      <c r="I426" s="42"/>
      <c r="J426" s="42"/>
    </row>
    <row r="427" spans="1:10" x14ac:dyDescent="0.25">
      <c r="A427" s="29"/>
      <c r="B427" s="74"/>
      <c r="C427" s="75"/>
      <c r="D427" s="29"/>
      <c r="E427" s="29"/>
      <c r="F427" s="29"/>
      <c r="G427" s="29"/>
      <c r="H427" s="27"/>
      <c r="I427" s="42"/>
      <c r="J427" s="42"/>
    </row>
    <row r="428" spans="1:10" x14ac:dyDescent="0.25">
      <c r="A428" s="29"/>
      <c r="B428" s="74"/>
      <c r="C428" s="75"/>
      <c r="D428" s="29"/>
      <c r="E428" s="29"/>
      <c r="F428" s="29"/>
      <c r="G428" s="29"/>
      <c r="H428" s="27"/>
      <c r="I428" s="42"/>
      <c r="J428" s="42"/>
    </row>
    <row r="429" spans="1:10" x14ac:dyDescent="0.25">
      <c r="A429" s="29"/>
      <c r="B429" s="74"/>
      <c r="C429" s="75"/>
      <c r="D429" s="29"/>
      <c r="E429" s="29"/>
      <c r="F429" s="29"/>
      <c r="G429" s="29"/>
      <c r="H429" s="27"/>
      <c r="I429" s="42"/>
      <c r="J429" s="42"/>
    </row>
    <row r="430" spans="1:10" x14ac:dyDescent="0.25">
      <c r="A430" s="29"/>
      <c r="B430" s="74"/>
      <c r="C430" s="75"/>
      <c r="D430" s="29"/>
      <c r="E430" s="29"/>
      <c r="F430" s="29"/>
      <c r="G430" s="29"/>
      <c r="H430" s="27"/>
      <c r="I430" s="42"/>
      <c r="J430" s="42"/>
    </row>
    <row r="431" spans="1:10" x14ac:dyDescent="0.25">
      <c r="A431" s="29"/>
      <c r="B431" s="74"/>
      <c r="C431" s="75"/>
      <c r="D431" s="29"/>
      <c r="E431" s="29"/>
      <c r="F431" s="29"/>
      <c r="G431" s="29"/>
      <c r="H431" s="27"/>
      <c r="I431" s="42"/>
      <c r="J431" s="42"/>
    </row>
    <row r="432" spans="1:10" x14ac:dyDescent="0.25">
      <c r="A432" s="29"/>
      <c r="B432" s="74"/>
      <c r="C432" s="75"/>
      <c r="D432" s="29"/>
      <c r="E432" s="29"/>
      <c r="F432" s="29"/>
      <c r="G432" s="29"/>
      <c r="H432" s="27"/>
      <c r="I432" s="42"/>
      <c r="J432" s="42"/>
    </row>
    <row r="433" spans="1:10" x14ac:dyDescent="0.25">
      <c r="A433" s="29"/>
      <c r="B433" s="74"/>
      <c r="C433" s="75"/>
      <c r="D433" s="29"/>
      <c r="E433" s="29"/>
      <c r="F433" s="29"/>
      <c r="G433" s="29"/>
      <c r="H433" s="27"/>
      <c r="I433" s="42"/>
      <c r="J433" s="42"/>
    </row>
    <row r="434" spans="1:10" x14ac:dyDescent="0.25">
      <c r="A434" s="29"/>
      <c r="B434" s="74"/>
      <c r="C434" s="75"/>
      <c r="D434" s="29"/>
      <c r="E434" s="29"/>
      <c r="F434" s="29"/>
      <c r="G434" s="29"/>
      <c r="H434" s="27"/>
      <c r="I434" s="42"/>
      <c r="J434" s="42"/>
    </row>
    <row r="435" spans="1:10" x14ac:dyDescent="0.25">
      <c r="A435" s="29"/>
      <c r="B435" s="74"/>
      <c r="C435" s="75"/>
      <c r="D435" s="29"/>
      <c r="E435" s="29"/>
      <c r="F435" s="29"/>
      <c r="G435" s="29"/>
      <c r="H435" s="27"/>
      <c r="I435" s="42"/>
      <c r="J435" s="42"/>
    </row>
    <row r="436" spans="1:10" x14ac:dyDescent="0.25">
      <c r="A436" s="29"/>
      <c r="B436" s="74"/>
      <c r="C436" s="75"/>
      <c r="D436" s="29"/>
      <c r="E436" s="29"/>
      <c r="F436" s="29"/>
      <c r="G436" s="29"/>
      <c r="H436" s="27"/>
      <c r="I436" s="42"/>
      <c r="J436" s="42"/>
    </row>
    <row r="437" spans="1:10" x14ac:dyDescent="0.25">
      <c r="A437" s="29"/>
      <c r="B437" s="74"/>
      <c r="C437" s="75"/>
      <c r="D437" s="29"/>
      <c r="E437" s="29"/>
      <c r="F437" s="29"/>
      <c r="G437" s="29"/>
      <c r="H437" s="27"/>
      <c r="I437" s="42"/>
      <c r="J437" s="42"/>
    </row>
    <row r="438" spans="1:10" x14ac:dyDescent="0.25">
      <c r="A438" s="29"/>
      <c r="B438" s="74"/>
      <c r="C438" s="75"/>
      <c r="D438" s="29"/>
      <c r="E438" s="29"/>
      <c r="F438" s="29"/>
      <c r="G438" s="29"/>
      <c r="H438" s="27"/>
      <c r="I438" s="42"/>
      <c r="J438" s="42"/>
    </row>
    <row r="439" spans="1:10" x14ac:dyDescent="0.25">
      <c r="A439" s="29"/>
      <c r="B439" s="74"/>
      <c r="C439" s="75"/>
      <c r="D439" s="29"/>
      <c r="E439" s="29"/>
      <c r="F439" s="29"/>
      <c r="G439" s="29"/>
      <c r="H439" s="27"/>
      <c r="I439" s="42"/>
      <c r="J439" s="42"/>
    </row>
    <row r="440" spans="1:10" x14ac:dyDescent="0.25">
      <c r="A440" s="29"/>
      <c r="B440" s="74"/>
      <c r="C440" s="75"/>
      <c r="D440" s="29"/>
      <c r="E440" s="29"/>
      <c r="F440" s="29"/>
      <c r="G440" s="29"/>
      <c r="H440" s="27"/>
      <c r="I440" s="42"/>
      <c r="J440" s="42"/>
    </row>
    <row r="441" spans="1:10" x14ac:dyDescent="0.25">
      <c r="A441" s="29"/>
      <c r="B441" s="74"/>
      <c r="C441" s="75"/>
      <c r="D441" s="29"/>
      <c r="E441" s="29"/>
      <c r="F441" s="29"/>
      <c r="G441" s="29"/>
      <c r="H441" s="27"/>
      <c r="I441" s="42"/>
      <c r="J441" s="42"/>
    </row>
    <row r="442" spans="1:10" x14ac:dyDescent="0.25">
      <c r="A442" s="29"/>
      <c r="B442" s="74"/>
      <c r="C442" s="75"/>
      <c r="D442" s="29"/>
      <c r="E442" s="29"/>
      <c r="F442" s="29"/>
      <c r="G442" s="29"/>
      <c r="H442" s="27"/>
      <c r="I442" s="42"/>
      <c r="J442" s="42"/>
    </row>
    <row r="443" spans="1:10" x14ac:dyDescent="0.25">
      <c r="A443" s="29"/>
      <c r="B443" s="74"/>
      <c r="C443" s="75"/>
      <c r="D443" s="29"/>
      <c r="E443" s="29"/>
      <c r="F443" s="29"/>
      <c r="G443" s="29"/>
      <c r="H443" s="27"/>
      <c r="I443" s="42"/>
      <c r="J443" s="42"/>
    </row>
    <row r="444" spans="1:10" x14ac:dyDescent="0.25">
      <c r="A444" s="29"/>
      <c r="B444" s="74"/>
      <c r="C444" s="75"/>
      <c r="D444" s="29"/>
      <c r="E444" s="29"/>
      <c r="F444" s="29"/>
      <c r="G444" s="29"/>
      <c r="H444" s="27"/>
      <c r="I444" s="42"/>
      <c r="J444" s="42"/>
    </row>
    <row r="445" spans="1:10" x14ac:dyDescent="0.25">
      <c r="A445" s="29"/>
      <c r="B445" s="74"/>
      <c r="C445" s="75"/>
      <c r="D445" s="29"/>
      <c r="E445" s="29"/>
      <c r="F445" s="29"/>
      <c r="G445" s="29"/>
      <c r="H445" s="27"/>
      <c r="I445" s="42"/>
      <c r="J445" s="42"/>
    </row>
    <row r="446" spans="1:10" x14ac:dyDescent="0.25">
      <c r="A446" s="29"/>
      <c r="B446" s="74"/>
      <c r="C446" s="75"/>
      <c r="D446" s="29"/>
      <c r="E446" s="29"/>
      <c r="F446" s="29"/>
      <c r="G446" s="29"/>
      <c r="H446" s="27"/>
      <c r="I446" s="42"/>
      <c r="J446" s="42"/>
    </row>
    <row r="447" spans="1:10" x14ac:dyDescent="0.25">
      <c r="A447" s="29"/>
      <c r="B447" s="74"/>
      <c r="C447" s="75"/>
      <c r="D447" s="29"/>
      <c r="E447" s="29"/>
      <c r="F447" s="29"/>
      <c r="G447" s="29"/>
      <c r="H447" s="27"/>
      <c r="I447" s="42"/>
      <c r="J447" s="42"/>
    </row>
    <row r="448" spans="1:10" x14ac:dyDescent="0.25">
      <c r="A448" s="29"/>
      <c r="B448" s="74"/>
      <c r="C448" s="75"/>
      <c r="D448" s="29"/>
      <c r="E448" s="29"/>
      <c r="F448" s="29"/>
      <c r="G448" s="29"/>
      <c r="H448" s="27"/>
      <c r="I448" s="42"/>
      <c r="J448" s="42"/>
    </row>
    <row r="449" spans="1:10" x14ac:dyDescent="0.25">
      <c r="A449" s="29"/>
      <c r="B449" s="74"/>
      <c r="C449" s="75"/>
      <c r="D449" s="29"/>
      <c r="E449" s="29"/>
      <c r="F449" s="29"/>
      <c r="G449" s="29"/>
      <c r="H449" s="27"/>
      <c r="I449" s="42"/>
      <c r="J449" s="42"/>
    </row>
    <row r="450" spans="1:10" x14ac:dyDescent="0.25">
      <c r="A450" s="29"/>
      <c r="B450" s="74"/>
      <c r="C450" s="75"/>
      <c r="D450" s="29"/>
      <c r="E450" s="29"/>
      <c r="F450" s="29"/>
      <c r="G450" s="29"/>
      <c r="H450" s="27"/>
      <c r="I450" s="42"/>
      <c r="J450" s="42"/>
    </row>
    <row r="451" spans="1:10" x14ac:dyDescent="0.25">
      <c r="A451" s="29"/>
      <c r="B451" s="74"/>
      <c r="C451" s="75"/>
      <c r="D451" s="29"/>
      <c r="E451" s="29"/>
      <c r="F451" s="29"/>
      <c r="G451" s="29"/>
      <c r="H451" s="27"/>
      <c r="I451" s="42"/>
      <c r="J451" s="42"/>
    </row>
    <row r="452" spans="1:10" x14ac:dyDescent="0.25">
      <c r="A452" s="29"/>
      <c r="B452" s="74"/>
      <c r="C452" s="75"/>
      <c r="D452" s="29"/>
      <c r="E452" s="29"/>
      <c r="F452" s="29"/>
      <c r="G452" s="29"/>
      <c r="H452" s="27"/>
      <c r="I452" s="42"/>
      <c r="J452" s="42"/>
    </row>
    <row r="453" spans="1:10" x14ac:dyDescent="0.25">
      <c r="A453" s="29"/>
      <c r="B453" s="74"/>
      <c r="C453" s="75"/>
      <c r="D453" s="29"/>
      <c r="E453" s="29"/>
      <c r="F453" s="29"/>
      <c r="G453" s="29"/>
      <c r="H453" s="27"/>
      <c r="I453" s="42"/>
      <c r="J453" s="42"/>
    </row>
    <row r="454" spans="1:10" x14ac:dyDescent="0.25">
      <c r="A454" s="29"/>
      <c r="B454" s="74"/>
      <c r="C454" s="75"/>
      <c r="D454" s="29"/>
      <c r="E454" s="29"/>
      <c r="F454" s="29"/>
      <c r="G454" s="29"/>
      <c r="H454" s="27"/>
      <c r="I454" s="42"/>
      <c r="J454" s="42"/>
    </row>
    <row r="455" spans="1:10" x14ac:dyDescent="0.25">
      <c r="A455" s="29"/>
      <c r="B455" s="74"/>
      <c r="C455" s="75"/>
      <c r="D455" s="29"/>
      <c r="E455" s="29"/>
      <c r="F455" s="29"/>
      <c r="G455" s="29"/>
      <c r="H455" s="27"/>
      <c r="I455" s="42"/>
      <c r="J455" s="42"/>
    </row>
    <row r="456" spans="1:10" x14ac:dyDescent="0.25">
      <c r="A456" s="29"/>
      <c r="B456" s="74"/>
      <c r="C456" s="75"/>
      <c r="D456" s="29"/>
      <c r="E456" s="29"/>
      <c r="F456" s="29"/>
      <c r="G456" s="29"/>
      <c r="H456" s="27"/>
      <c r="I456" s="42"/>
      <c r="J456" s="42"/>
    </row>
    <row r="457" spans="1:10" x14ac:dyDescent="0.25">
      <c r="A457" s="29"/>
      <c r="B457" s="74"/>
      <c r="C457" s="75"/>
      <c r="D457" s="29"/>
      <c r="E457" s="29"/>
      <c r="F457" s="29"/>
      <c r="G457" s="29"/>
      <c r="H457" s="27"/>
      <c r="I457" s="42"/>
      <c r="J457" s="42"/>
    </row>
    <row r="458" spans="1:10" x14ac:dyDescent="0.25">
      <c r="A458" s="29"/>
      <c r="B458" s="74"/>
      <c r="C458" s="75"/>
      <c r="D458" s="29"/>
      <c r="E458" s="29"/>
      <c r="F458" s="29"/>
      <c r="G458" s="29"/>
      <c r="H458" s="27"/>
      <c r="I458" s="42"/>
      <c r="J458" s="42"/>
    </row>
    <row r="459" spans="1:10" x14ac:dyDescent="0.25">
      <c r="A459" s="29"/>
      <c r="B459" s="74"/>
      <c r="C459" s="75"/>
      <c r="D459" s="29"/>
      <c r="E459" s="29"/>
      <c r="F459" s="29"/>
      <c r="G459" s="29"/>
      <c r="H459" s="27"/>
      <c r="I459" s="42"/>
      <c r="J459" s="42"/>
    </row>
    <row r="460" spans="1:10" x14ac:dyDescent="0.25">
      <c r="A460" s="29"/>
      <c r="B460" s="74"/>
      <c r="C460" s="75"/>
      <c r="D460" s="29"/>
      <c r="E460" s="29"/>
      <c r="F460" s="29"/>
      <c r="G460" s="29"/>
      <c r="H460" s="27"/>
      <c r="I460" s="42"/>
      <c r="J460" s="42"/>
    </row>
    <row r="461" spans="1:10" x14ac:dyDescent="0.25">
      <c r="A461" s="29"/>
      <c r="B461" s="74"/>
      <c r="C461" s="75"/>
      <c r="D461" s="29"/>
      <c r="E461" s="29"/>
      <c r="F461" s="29"/>
      <c r="G461" s="29"/>
      <c r="H461" s="27"/>
      <c r="I461" s="42"/>
      <c r="J461" s="42"/>
    </row>
    <row r="462" spans="1:10" x14ac:dyDescent="0.25">
      <c r="A462" s="29"/>
      <c r="B462" s="74"/>
      <c r="C462" s="75"/>
      <c r="D462" s="29"/>
      <c r="E462" s="29"/>
      <c r="F462" s="29"/>
      <c r="G462" s="29"/>
      <c r="H462" s="27"/>
      <c r="I462" s="42"/>
      <c r="J462" s="42"/>
    </row>
    <row r="463" spans="1:10" x14ac:dyDescent="0.25">
      <c r="A463" s="29"/>
      <c r="B463" s="74"/>
      <c r="C463" s="75"/>
      <c r="D463" s="29"/>
      <c r="E463" s="29"/>
      <c r="F463" s="29"/>
      <c r="G463" s="29"/>
      <c r="H463" s="27"/>
      <c r="I463" s="42"/>
      <c r="J463" s="42"/>
    </row>
    <row r="464" spans="1:10" x14ac:dyDescent="0.25">
      <c r="A464" s="29"/>
      <c r="B464" s="74"/>
      <c r="C464" s="75"/>
      <c r="D464" s="29"/>
      <c r="E464" s="29"/>
      <c r="F464" s="29"/>
      <c r="G464" s="29"/>
      <c r="H464" s="27"/>
      <c r="I464" s="42"/>
      <c r="J464" s="42"/>
    </row>
    <row r="465" spans="1:10" x14ac:dyDescent="0.25">
      <c r="A465" s="29"/>
      <c r="B465" s="74"/>
      <c r="C465" s="75"/>
      <c r="D465" s="29"/>
      <c r="E465" s="29"/>
      <c r="F465" s="29"/>
      <c r="G465" s="29"/>
      <c r="H465" s="27"/>
      <c r="I465" s="42"/>
      <c r="J465" s="42"/>
    </row>
    <row r="466" spans="1:10" x14ac:dyDescent="0.25">
      <c r="A466" s="29"/>
      <c r="B466" s="74"/>
      <c r="C466" s="75"/>
      <c r="D466" s="29"/>
      <c r="E466" s="29"/>
      <c r="F466" s="29"/>
      <c r="G466" s="29"/>
      <c r="H466" s="27"/>
      <c r="I466" s="42"/>
      <c r="J466" s="42"/>
    </row>
    <row r="467" spans="1:10" x14ac:dyDescent="0.25">
      <c r="A467" s="29"/>
      <c r="B467" s="74"/>
      <c r="C467" s="75"/>
      <c r="D467" s="29"/>
      <c r="E467" s="29"/>
      <c r="F467" s="29"/>
      <c r="G467" s="29"/>
      <c r="H467" s="27"/>
      <c r="I467" s="42"/>
      <c r="J467" s="42"/>
    </row>
    <row r="468" spans="1:10" x14ac:dyDescent="0.25">
      <c r="A468" s="29"/>
      <c r="B468" s="74"/>
      <c r="C468" s="75"/>
      <c r="D468" s="29"/>
      <c r="E468" s="29"/>
      <c r="F468" s="29"/>
      <c r="G468" s="29"/>
      <c r="H468" s="27"/>
      <c r="I468" s="42"/>
      <c r="J468" s="42"/>
    </row>
    <row r="469" spans="1:10" x14ac:dyDescent="0.25">
      <c r="A469" s="29"/>
      <c r="B469" s="74"/>
      <c r="C469" s="75"/>
      <c r="D469" s="29"/>
      <c r="E469" s="29"/>
      <c r="F469" s="29"/>
      <c r="G469" s="29"/>
      <c r="H469" s="27"/>
      <c r="I469" s="42"/>
      <c r="J469" s="42"/>
    </row>
    <row r="470" spans="1:10" x14ac:dyDescent="0.25">
      <c r="A470" s="29"/>
      <c r="B470" s="74"/>
      <c r="C470" s="75"/>
      <c r="D470" s="29"/>
      <c r="E470" s="29"/>
      <c r="F470" s="29"/>
      <c r="G470" s="29"/>
      <c r="H470" s="27"/>
      <c r="I470" s="42"/>
      <c r="J470" s="42"/>
    </row>
    <row r="471" spans="1:10" x14ac:dyDescent="0.25">
      <c r="A471" s="29"/>
      <c r="B471" s="74"/>
      <c r="C471" s="75"/>
      <c r="D471" s="29"/>
      <c r="E471" s="29"/>
      <c r="F471" s="29"/>
      <c r="G471" s="29"/>
      <c r="H471" s="27"/>
      <c r="I471" s="42"/>
      <c r="J471" s="42"/>
    </row>
    <row r="472" spans="1:10" x14ac:dyDescent="0.25">
      <c r="A472" s="29"/>
      <c r="B472" s="74"/>
      <c r="C472" s="75"/>
      <c r="D472" s="29"/>
      <c r="E472" s="29"/>
      <c r="F472" s="29"/>
      <c r="G472" s="29"/>
      <c r="H472" s="27"/>
      <c r="I472" s="42"/>
      <c r="J472" s="42"/>
    </row>
    <row r="473" spans="1:10" x14ac:dyDescent="0.25">
      <c r="A473" s="29"/>
      <c r="B473" s="74"/>
      <c r="C473" s="75"/>
      <c r="D473" s="29"/>
      <c r="E473" s="29"/>
      <c r="F473" s="29"/>
      <c r="G473" s="29"/>
      <c r="H473" s="27"/>
      <c r="I473" s="42"/>
      <c r="J473" s="42"/>
    </row>
    <row r="474" spans="1:10" x14ac:dyDescent="0.25">
      <c r="A474" s="29"/>
      <c r="B474" s="74"/>
      <c r="C474" s="75"/>
      <c r="D474" s="29"/>
      <c r="E474" s="29"/>
      <c r="F474" s="29"/>
      <c r="G474" s="29"/>
      <c r="H474" s="27"/>
      <c r="I474" s="42"/>
      <c r="J474" s="42"/>
    </row>
    <row r="475" spans="1:10" x14ac:dyDescent="0.25">
      <c r="A475" s="29"/>
      <c r="B475" s="74"/>
      <c r="C475" s="75"/>
      <c r="D475" s="29"/>
      <c r="E475" s="29"/>
      <c r="F475" s="29"/>
      <c r="G475" s="29"/>
      <c r="H475" s="27"/>
      <c r="I475" s="42"/>
      <c r="J475" s="42"/>
    </row>
    <row r="476" spans="1:10" x14ac:dyDescent="0.25">
      <c r="A476" s="29"/>
      <c r="B476" s="74"/>
      <c r="C476" s="75"/>
      <c r="D476" s="29"/>
      <c r="E476" s="29"/>
      <c r="F476" s="29"/>
      <c r="G476" s="29"/>
      <c r="H476" s="27"/>
      <c r="I476" s="42"/>
      <c r="J476" s="42"/>
    </row>
    <row r="477" spans="1:10" x14ac:dyDescent="0.25">
      <c r="A477" s="29"/>
      <c r="B477" s="74"/>
      <c r="C477" s="75"/>
      <c r="D477" s="29"/>
      <c r="E477" s="29"/>
      <c r="F477" s="29"/>
      <c r="G477" s="29"/>
      <c r="H477" s="27"/>
      <c r="I477" s="42"/>
      <c r="J477" s="42"/>
    </row>
    <row r="478" spans="1:10" x14ac:dyDescent="0.25">
      <c r="A478" s="29"/>
      <c r="B478" s="74"/>
      <c r="C478" s="75"/>
      <c r="D478" s="29"/>
      <c r="E478" s="29"/>
      <c r="F478" s="29"/>
      <c r="G478" s="29"/>
      <c r="H478" s="27"/>
      <c r="I478" s="42"/>
      <c r="J478" s="42"/>
    </row>
    <row r="479" spans="1:10" x14ac:dyDescent="0.25">
      <c r="A479" s="29"/>
      <c r="B479" s="74"/>
      <c r="C479" s="75"/>
      <c r="D479" s="29"/>
      <c r="E479" s="29"/>
      <c r="F479" s="29"/>
      <c r="G479" s="29"/>
      <c r="H479" s="27"/>
      <c r="I479" s="42"/>
      <c r="J479" s="42"/>
    </row>
    <row r="480" spans="1:10" x14ac:dyDescent="0.25">
      <c r="A480" s="29"/>
      <c r="B480" s="74"/>
      <c r="C480" s="75"/>
      <c r="D480" s="29"/>
      <c r="E480" s="29"/>
      <c r="F480" s="29"/>
      <c r="G480" s="29"/>
      <c r="H480" s="27"/>
      <c r="I480" s="42"/>
      <c r="J480" s="42"/>
    </row>
    <row r="481" spans="1:10" x14ac:dyDescent="0.25">
      <c r="A481" s="29"/>
      <c r="B481" s="74"/>
      <c r="C481" s="75"/>
      <c r="D481" s="29"/>
      <c r="E481" s="29"/>
      <c r="F481" s="29"/>
      <c r="G481" s="29"/>
      <c r="H481" s="27"/>
      <c r="I481" s="42"/>
      <c r="J481" s="42"/>
    </row>
    <row r="482" spans="1:10" x14ac:dyDescent="0.25">
      <c r="A482" s="29"/>
      <c r="B482" s="74"/>
      <c r="C482" s="75"/>
      <c r="D482" s="29"/>
      <c r="E482" s="29"/>
      <c r="F482" s="29"/>
      <c r="G482" s="29"/>
      <c r="H482" s="27"/>
      <c r="I482" s="42"/>
      <c r="J482" s="42"/>
    </row>
    <row r="483" spans="1:10" x14ac:dyDescent="0.25">
      <c r="A483" s="29"/>
      <c r="B483" s="74"/>
      <c r="C483" s="75"/>
      <c r="D483" s="29"/>
      <c r="E483" s="29"/>
      <c r="F483" s="29"/>
      <c r="G483" s="29"/>
      <c r="H483" s="27"/>
      <c r="I483" s="42"/>
      <c r="J483" s="42"/>
    </row>
    <row r="484" spans="1:10" x14ac:dyDescent="0.25">
      <c r="A484" s="29"/>
      <c r="B484" s="74"/>
      <c r="C484" s="75"/>
      <c r="D484" s="29"/>
      <c r="E484" s="29"/>
      <c r="F484" s="29"/>
      <c r="G484" s="29"/>
      <c r="H484" s="27"/>
      <c r="I484" s="42"/>
      <c r="J484" s="42"/>
    </row>
    <row r="485" spans="1:10" x14ac:dyDescent="0.25">
      <c r="A485" s="29"/>
      <c r="B485" s="74"/>
      <c r="C485" s="75"/>
      <c r="D485" s="29"/>
      <c r="E485" s="29"/>
      <c r="F485" s="29"/>
      <c r="G485" s="29"/>
      <c r="H485" s="27"/>
      <c r="I485" s="42"/>
      <c r="J485" s="42"/>
    </row>
    <row r="486" spans="1:10" x14ac:dyDescent="0.25">
      <c r="A486" s="29"/>
      <c r="B486" s="74"/>
      <c r="C486" s="75"/>
      <c r="D486" s="29"/>
      <c r="E486" s="29"/>
      <c r="F486" s="29"/>
      <c r="G486" s="29"/>
      <c r="H486" s="27"/>
      <c r="I486" s="42"/>
      <c r="J486" s="42"/>
    </row>
    <row r="487" spans="1:10" x14ac:dyDescent="0.25">
      <c r="A487" s="29"/>
      <c r="B487" s="74"/>
      <c r="C487" s="75"/>
      <c r="D487" s="29"/>
      <c r="E487" s="29"/>
      <c r="F487" s="29"/>
      <c r="G487" s="29"/>
      <c r="H487" s="27"/>
      <c r="I487" s="42"/>
      <c r="J487" s="42"/>
    </row>
    <row r="488" spans="1:10" x14ac:dyDescent="0.25">
      <c r="A488" s="29"/>
      <c r="B488" s="74"/>
      <c r="C488" s="75"/>
      <c r="D488" s="29"/>
      <c r="E488" s="29"/>
      <c r="F488" s="29"/>
      <c r="G488" s="29"/>
      <c r="H488" s="27"/>
      <c r="I488" s="42"/>
      <c r="J488" s="42"/>
    </row>
    <row r="489" spans="1:10" x14ac:dyDescent="0.25">
      <c r="A489" s="29"/>
      <c r="B489" s="74"/>
      <c r="C489" s="75"/>
      <c r="D489" s="29"/>
      <c r="E489" s="29"/>
      <c r="F489" s="29"/>
      <c r="G489" s="29"/>
      <c r="H489" s="27"/>
      <c r="I489" s="42"/>
      <c r="J489" s="42"/>
    </row>
    <row r="490" spans="1:10" x14ac:dyDescent="0.25">
      <c r="A490" s="29"/>
      <c r="B490" s="74"/>
      <c r="C490" s="75"/>
      <c r="D490" s="29"/>
      <c r="E490" s="29"/>
      <c r="F490" s="29"/>
      <c r="G490" s="29"/>
      <c r="H490" s="27"/>
      <c r="I490" s="42"/>
      <c r="J490" s="42"/>
    </row>
    <row r="491" spans="1:10" x14ac:dyDescent="0.25">
      <c r="A491" s="29"/>
      <c r="B491" s="74"/>
      <c r="C491" s="75"/>
      <c r="D491" s="29"/>
      <c r="E491" s="29"/>
      <c r="F491" s="29"/>
      <c r="G491" s="29"/>
      <c r="H491" s="27"/>
      <c r="I491" s="42"/>
      <c r="J491" s="42"/>
    </row>
    <row r="492" spans="1:10" x14ac:dyDescent="0.25">
      <c r="A492" s="29"/>
      <c r="B492" s="74"/>
      <c r="C492" s="75"/>
      <c r="D492" s="29"/>
      <c r="E492" s="29"/>
      <c r="F492" s="29"/>
      <c r="G492" s="29"/>
      <c r="H492" s="27"/>
      <c r="I492" s="42"/>
      <c r="J492" s="42"/>
    </row>
    <row r="493" spans="1:10" x14ac:dyDescent="0.25">
      <c r="A493" s="29"/>
      <c r="B493" s="74"/>
      <c r="C493" s="75"/>
      <c r="D493" s="29"/>
      <c r="E493" s="29"/>
      <c r="F493" s="29"/>
      <c r="G493" s="29"/>
      <c r="H493" s="27"/>
      <c r="I493" s="42"/>
      <c r="J493" s="42"/>
    </row>
    <row r="494" spans="1:10" x14ac:dyDescent="0.25">
      <c r="A494" s="29"/>
      <c r="B494" s="74"/>
      <c r="C494" s="75"/>
      <c r="D494" s="29"/>
      <c r="E494" s="29"/>
      <c r="F494" s="29"/>
      <c r="G494" s="29"/>
      <c r="H494" s="27"/>
      <c r="I494" s="42"/>
      <c r="J494" s="42"/>
    </row>
    <row r="495" spans="1:10" x14ac:dyDescent="0.25">
      <c r="A495" s="29"/>
      <c r="B495" s="74"/>
      <c r="C495" s="75"/>
      <c r="D495" s="29"/>
      <c r="E495" s="29"/>
      <c r="F495" s="29"/>
      <c r="G495" s="29"/>
      <c r="H495" s="27"/>
      <c r="I495" s="42"/>
      <c r="J495" s="42"/>
    </row>
    <row r="496" spans="1:10" x14ac:dyDescent="0.25">
      <c r="A496" s="29"/>
      <c r="B496" s="74"/>
      <c r="C496" s="75"/>
      <c r="D496" s="29"/>
      <c r="E496" s="29"/>
      <c r="F496" s="29"/>
      <c r="G496" s="29"/>
      <c r="H496" s="27"/>
      <c r="I496" s="42"/>
      <c r="J496" s="42"/>
    </row>
    <row r="497" spans="1:10" x14ac:dyDescent="0.25">
      <c r="A497" s="29"/>
      <c r="B497" s="74"/>
      <c r="C497" s="75"/>
      <c r="D497" s="29"/>
      <c r="E497" s="29"/>
      <c r="F497" s="29"/>
      <c r="G497" s="29"/>
      <c r="H497" s="27"/>
      <c r="I497" s="42"/>
      <c r="J497" s="42"/>
    </row>
    <row r="498" spans="1:10" x14ac:dyDescent="0.25">
      <c r="A498" s="29"/>
      <c r="B498" s="74"/>
      <c r="C498" s="75"/>
      <c r="D498" s="29"/>
      <c r="E498" s="29"/>
      <c r="F498" s="29"/>
      <c r="G498" s="29"/>
      <c r="H498" s="27"/>
      <c r="I498" s="42"/>
      <c r="J498" s="42"/>
    </row>
    <row r="499" spans="1:10" x14ac:dyDescent="0.25">
      <c r="A499" s="29"/>
      <c r="B499" s="74"/>
      <c r="C499" s="75"/>
      <c r="D499" s="29"/>
      <c r="E499" s="29"/>
      <c r="F499" s="29"/>
      <c r="G499" s="29"/>
      <c r="H499" s="27"/>
      <c r="I499" s="42"/>
      <c r="J499" s="42"/>
    </row>
    <row r="500" spans="1:10" x14ac:dyDescent="0.25">
      <c r="A500" s="29"/>
      <c r="B500" s="74"/>
      <c r="C500" s="75"/>
      <c r="D500" s="29"/>
      <c r="E500" s="29"/>
      <c r="F500" s="29"/>
      <c r="G500" s="29"/>
      <c r="H500" s="27"/>
      <c r="I500" s="42"/>
      <c r="J500" s="42"/>
    </row>
    <row r="501" spans="1:10" x14ac:dyDescent="0.25">
      <c r="A501" s="29"/>
      <c r="B501" s="74"/>
      <c r="C501" s="75"/>
      <c r="D501" s="29"/>
      <c r="E501" s="29"/>
      <c r="F501" s="29"/>
      <c r="G501" s="29"/>
      <c r="H501" s="27"/>
      <c r="I501" s="42"/>
      <c r="J501" s="42"/>
    </row>
    <row r="502" spans="1:10" x14ac:dyDescent="0.25">
      <c r="A502" s="29"/>
      <c r="B502" s="74"/>
      <c r="C502" s="75"/>
      <c r="D502" s="29"/>
      <c r="E502" s="29"/>
      <c r="F502" s="29"/>
      <c r="G502" s="29"/>
      <c r="H502" s="27"/>
      <c r="I502" s="42"/>
      <c r="J502" s="42"/>
    </row>
    <row r="503" spans="1:10" x14ac:dyDescent="0.25">
      <c r="A503" s="29"/>
      <c r="B503" s="74"/>
      <c r="C503" s="75"/>
      <c r="D503" s="29"/>
      <c r="E503" s="29"/>
      <c r="F503" s="29"/>
      <c r="G503" s="29"/>
      <c r="H503" s="27"/>
      <c r="I503" s="42"/>
      <c r="J503" s="42"/>
    </row>
    <row r="504" spans="1:10" x14ac:dyDescent="0.25">
      <c r="A504" s="29"/>
      <c r="B504" s="74"/>
      <c r="C504" s="75"/>
      <c r="D504" s="29"/>
      <c r="E504" s="29"/>
      <c r="F504" s="29"/>
      <c r="G504" s="29"/>
      <c r="H504" s="27"/>
      <c r="I504" s="42"/>
      <c r="J504" s="42"/>
    </row>
    <row r="505" spans="1:10" x14ac:dyDescent="0.25">
      <c r="A505" s="29"/>
      <c r="B505" s="74"/>
      <c r="C505" s="75"/>
      <c r="D505" s="29"/>
      <c r="E505" s="29"/>
      <c r="F505" s="29"/>
      <c r="G505" s="29"/>
      <c r="H505" s="27"/>
      <c r="I505" s="42"/>
      <c r="J505" s="42"/>
    </row>
    <row r="506" spans="1:10" x14ac:dyDescent="0.25">
      <c r="A506" s="29"/>
      <c r="B506" s="74"/>
      <c r="C506" s="75"/>
      <c r="D506" s="29"/>
      <c r="E506" s="29"/>
      <c r="F506" s="29"/>
      <c r="G506" s="29"/>
      <c r="H506" s="27"/>
      <c r="I506" s="42"/>
      <c r="J506" s="42"/>
    </row>
    <row r="507" spans="1:10" x14ac:dyDescent="0.25">
      <c r="A507" s="29"/>
      <c r="B507" s="74"/>
      <c r="C507" s="75"/>
      <c r="D507" s="29"/>
      <c r="E507" s="29"/>
      <c r="F507" s="29"/>
      <c r="G507" s="29"/>
      <c r="H507" s="27"/>
      <c r="I507" s="42"/>
      <c r="J507" s="42"/>
    </row>
    <row r="508" spans="1:10" x14ac:dyDescent="0.25">
      <c r="A508" s="29"/>
      <c r="B508" s="74"/>
      <c r="C508" s="75"/>
      <c r="D508" s="29"/>
      <c r="E508" s="29"/>
      <c r="F508" s="29"/>
      <c r="G508" s="29"/>
      <c r="H508" s="27"/>
      <c r="I508" s="42"/>
      <c r="J508" s="42"/>
    </row>
    <row r="509" spans="1:10" x14ac:dyDescent="0.25">
      <c r="A509" s="29"/>
      <c r="B509" s="74"/>
      <c r="C509" s="75"/>
      <c r="D509" s="29"/>
      <c r="E509" s="29"/>
      <c r="F509" s="29"/>
      <c r="G509" s="29"/>
      <c r="H509" s="27"/>
      <c r="I509" s="42"/>
      <c r="J509" s="42"/>
    </row>
    <row r="510" spans="1:10" x14ac:dyDescent="0.25">
      <c r="A510" s="29"/>
      <c r="B510" s="74"/>
      <c r="C510" s="75"/>
      <c r="D510" s="29"/>
      <c r="E510" s="29"/>
      <c r="F510" s="29"/>
      <c r="G510" s="29"/>
      <c r="H510" s="27"/>
      <c r="I510" s="42"/>
      <c r="J510" s="42"/>
    </row>
    <row r="511" spans="1:10" x14ac:dyDescent="0.25">
      <c r="A511" s="29"/>
      <c r="B511" s="74"/>
      <c r="C511" s="75"/>
      <c r="D511" s="29"/>
      <c r="E511" s="29"/>
      <c r="F511" s="29"/>
      <c r="G511" s="29"/>
      <c r="H511" s="27"/>
      <c r="I511" s="42"/>
      <c r="J511" s="42"/>
    </row>
    <row r="512" spans="1:10" x14ac:dyDescent="0.25">
      <c r="A512" s="29"/>
      <c r="B512" s="74"/>
      <c r="C512" s="75"/>
      <c r="D512" s="29"/>
      <c r="E512" s="29"/>
      <c r="F512" s="29"/>
      <c r="G512" s="29"/>
      <c r="H512" s="27"/>
      <c r="I512" s="42"/>
      <c r="J512" s="42"/>
    </row>
    <row r="513" spans="1:10" x14ac:dyDescent="0.25">
      <c r="A513" s="29"/>
      <c r="B513" s="74"/>
      <c r="C513" s="75"/>
      <c r="D513" s="29"/>
      <c r="E513" s="29"/>
      <c r="F513" s="29"/>
      <c r="G513" s="29"/>
      <c r="H513" s="27"/>
      <c r="I513" s="42"/>
      <c r="J513" s="42"/>
    </row>
    <row r="514" spans="1:10" x14ac:dyDescent="0.25">
      <c r="A514" s="29"/>
      <c r="B514" s="74"/>
      <c r="C514" s="75"/>
      <c r="D514" s="29"/>
      <c r="E514" s="29"/>
      <c r="F514" s="29"/>
      <c r="G514" s="29"/>
      <c r="H514" s="27"/>
      <c r="I514" s="42"/>
      <c r="J514" s="42"/>
    </row>
    <row r="515" spans="1:10" x14ac:dyDescent="0.25">
      <c r="A515" s="29"/>
      <c r="B515" s="74"/>
      <c r="C515" s="75"/>
      <c r="D515" s="29"/>
      <c r="E515" s="29"/>
      <c r="F515" s="29"/>
      <c r="G515" s="29"/>
      <c r="H515" s="27"/>
      <c r="I515" s="42"/>
      <c r="J515" s="42"/>
    </row>
    <row r="516" spans="1:10" x14ac:dyDescent="0.25">
      <c r="A516" s="29"/>
      <c r="B516" s="74"/>
      <c r="C516" s="75"/>
      <c r="D516" s="29"/>
      <c r="E516" s="29"/>
      <c r="F516" s="29"/>
      <c r="G516" s="29"/>
      <c r="H516" s="27"/>
      <c r="I516" s="42"/>
      <c r="J516" s="42"/>
    </row>
    <row r="517" spans="1:10" x14ac:dyDescent="0.25">
      <c r="A517" s="29"/>
      <c r="B517" s="74"/>
      <c r="C517" s="75"/>
      <c r="D517" s="29"/>
      <c r="E517" s="29"/>
      <c r="F517" s="29"/>
      <c r="G517" s="29"/>
      <c r="H517" s="27"/>
      <c r="I517" s="42"/>
      <c r="J517" s="42"/>
    </row>
    <row r="518" spans="1:10" x14ac:dyDescent="0.25">
      <c r="A518" s="29"/>
      <c r="B518" s="74"/>
      <c r="C518" s="75"/>
      <c r="D518" s="29"/>
      <c r="E518" s="29"/>
      <c r="F518" s="29"/>
      <c r="G518" s="29"/>
      <c r="H518" s="27"/>
      <c r="I518" s="42"/>
      <c r="J518" s="42"/>
    </row>
    <row r="519" spans="1:10" x14ac:dyDescent="0.25">
      <c r="A519" s="29"/>
      <c r="B519" s="74"/>
      <c r="C519" s="75"/>
      <c r="D519" s="29"/>
      <c r="E519" s="29"/>
      <c r="F519" s="29"/>
      <c r="G519" s="29"/>
      <c r="H519" s="27"/>
      <c r="I519" s="42"/>
      <c r="J519" s="42"/>
    </row>
    <row r="520" spans="1:10" x14ac:dyDescent="0.25">
      <c r="A520" s="29"/>
      <c r="B520" s="74"/>
      <c r="C520" s="75"/>
      <c r="D520" s="29"/>
      <c r="E520" s="29"/>
      <c r="F520" s="29"/>
      <c r="G520" s="29"/>
      <c r="H520" s="27"/>
      <c r="I520" s="42"/>
      <c r="J520" s="42"/>
    </row>
    <row r="521" spans="1:10" x14ac:dyDescent="0.25">
      <c r="A521" s="29"/>
      <c r="B521" s="74"/>
      <c r="C521" s="75"/>
      <c r="D521" s="29"/>
      <c r="E521" s="29"/>
      <c r="F521" s="29"/>
      <c r="G521" s="29"/>
      <c r="H521" s="27"/>
      <c r="I521" s="42"/>
      <c r="J521" s="42"/>
    </row>
    <row r="522" spans="1:10" x14ac:dyDescent="0.25">
      <c r="A522" s="29"/>
      <c r="B522" s="74"/>
      <c r="C522" s="75"/>
      <c r="D522" s="29"/>
      <c r="E522" s="29"/>
      <c r="F522" s="29"/>
      <c r="G522" s="29"/>
      <c r="H522" s="27"/>
      <c r="I522" s="42"/>
      <c r="J522" s="42"/>
    </row>
    <row r="523" spans="1:10" x14ac:dyDescent="0.25">
      <c r="A523" s="29"/>
      <c r="B523" s="74"/>
      <c r="C523" s="75"/>
      <c r="D523" s="29"/>
      <c r="E523" s="29"/>
      <c r="F523" s="29"/>
      <c r="G523" s="29"/>
      <c r="H523" s="27"/>
      <c r="I523" s="42"/>
      <c r="J523" s="42"/>
    </row>
    <row r="524" spans="1:10" x14ac:dyDescent="0.25">
      <c r="A524" s="29"/>
      <c r="B524" s="74"/>
      <c r="C524" s="75"/>
      <c r="D524" s="29"/>
      <c r="E524" s="29"/>
      <c r="F524" s="29"/>
      <c r="G524" s="29"/>
      <c r="H524" s="27"/>
      <c r="I524" s="42"/>
      <c r="J524" s="42"/>
    </row>
    <row r="525" spans="1:10" x14ac:dyDescent="0.25">
      <c r="A525" s="29"/>
      <c r="B525" s="74"/>
      <c r="C525" s="75"/>
      <c r="D525" s="29"/>
      <c r="E525" s="29"/>
      <c r="F525" s="29"/>
      <c r="G525" s="29"/>
      <c r="H525" s="27"/>
      <c r="I525" s="42"/>
      <c r="J525" s="42"/>
    </row>
    <row r="526" spans="1:10" x14ac:dyDescent="0.25">
      <c r="A526" s="29"/>
      <c r="B526" s="74"/>
      <c r="C526" s="75"/>
      <c r="D526" s="29"/>
      <c r="E526" s="29"/>
      <c r="F526" s="29"/>
      <c r="G526" s="29"/>
      <c r="H526" s="27"/>
      <c r="I526" s="42"/>
      <c r="J526" s="42"/>
    </row>
    <row r="527" spans="1:10" x14ac:dyDescent="0.25">
      <c r="A527" s="29"/>
      <c r="B527" s="74"/>
      <c r="C527" s="75"/>
      <c r="D527" s="29"/>
      <c r="E527" s="29"/>
      <c r="F527" s="29"/>
      <c r="G527" s="29"/>
      <c r="H527" s="27"/>
      <c r="I527" s="42"/>
      <c r="J527" s="42"/>
    </row>
    <row r="528" spans="1:10" x14ac:dyDescent="0.25">
      <c r="A528" s="29"/>
      <c r="B528" s="74"/>
      <c r="C528" s="75"/>
      <c r="D528" s="29"/>
      <c r="E528" s="29"/>
      <c r="F528" s="29"/>
      <c r="G528" s="29"/>
      <c r="H528" s="27"/>
      <c r="I528" s="42"/>
      <c r="J528" s="42"/>
    </row>
    <row r="529" spans="1:10" x14ac:dyDescent="0.25">
      <c r="A529" s="29"/>
      <c r="B529" s="74"/>
      <c r="C529" s="75"/>
      <c r="D529" s="29"/>
      <c r="E529" s="29"/>
      <c r="F529" s="29"/>
      <c r="G529" s="29"/>
      <c r="H529" s="27"/>
      <c r="I529" s="42"/>
      <c r="J529" s="42"/>
    </row>
    <row r="530" spans="1:10" x14ac:dyDescent="0.25">
      <c r="A530" s="29"/>
      <c r="B530" s="74"/>
      <c r="C530" s="75"/>
      <c r="D530" s="29"/>
      <c r="E530" s="29"/>
      <c r="F530" s="29"/>
      <c r="G530" s="29"/>
      <c r="H530" s="27"/>
      <c r="I530" s="42"/>
      <c r="J530" s="42"/>
    </row>
    <row r="531" spans="1:10" x14ac:dyDescent="0.25">
      <c r="A531" s="29"/>
      <c r="B531" s="74"/>
      <c r="C531" s="75"/>
      <c r="D531" s="29"/>
      <c r="E531" s="29"/>
      <c r="F531" s="29"/>
      <c r="G531" s="29"/>
      <c r="H531" s="27"/>
      <c r="I531" s="42"/>
      <c r="J531" s="42"/>
    </row>
    <row r="532" spans="1:10" x14ac:dyDescent="0.25">
      <c r="A532" s="29"/>
      <c r="B532" s="74"/>
      <c r="C532" s="75"/>
      <c r="D532" s="29"/>
      <c r="E532" s="29"/>
      <c r="F532" s="29"/>
      <c r="G532" s="29"/>
      <c r="H532" s="27"/>
      <c r="I532" s="42"/>
      <c r="J532" s="42"/>
    </row>
    <row r="533" spans="1:10" x14ac:dyDescent="0.25">
      <c r="A533" s="29"/>
      <c r="B533" s="74"/>
      <c r="C533" s="75"/>
      <c r="D533" s="29"/>
      <c r="E533" s="29"/>
      <c r="F533" s="29"/>
      <c r="G533" s="29"/>
      <c r="H533" s="27"/>
      <c r="I533" s="42"/>
      <c r="J533" s="42"/>
    </row>
    <row r="534" spans="1:10" x14ac:dyDescent="0.25">
      <c r="A534" s="29"/>
      <c r="B534" s="74"/>
      <c r="C534" s="75"/>
      <c r="D534" s="29"/>
      <c r="E534" s="29"/>
      <c r="F534" s="29"/>
      <c r="G534" s="29"/>
      <c r="H534" s="27"/>
      <c r="I534" s="42"/>
      <c r="J534" s="42"/>
    </row>
    <row r="535" spans="1:10" x14ac:dyDescent="0.25">
      <c r="A535" s="29"/>
      <c r="B535" s="74"/>
      <c r="C535" s="75"/>
      <c r="D535" s="29"/>
      <c r="E535" s="29"/>
      <c r="F535" s="29"/>
      <c r="G535" s="29"/>
      <c r="H535" s="27"/>
      <c r="I535" s="42"/>
      <c r="J535" s="42"/>
    </row>
    <row r="536" spans="1:10" x14ac:dyDescent="0.25">
      <c r="A536" s="29"/>
      <c r="B536" s="74"/>
      <c r="C536" s="75"/>
      <c r="D536" s="29"/>
      <c r="E536" s="29"/>
      <c r="F536" s="29"/>
      <c r="G536" s="29"/>
      <c r="H536" s="27"/>
      <c r="I536" s="42"/>
      <c r="J536" s="42"/>
    </row>
    <row r="537" spans="1:10" x14ac:dyDescent="0.25">
      <c r="A537" s="29"/>
      <c r="B537" s="74"/>
      <c r="C537" s="75"/>
      <c r="D537" s="29"/>
      <c r="E537" s="29"/>
      <c r="F537" s="29"/>
      <c r="G537" s="29"/>
      <c r="H537" s="27"/>
      <c r="I537" s="42"/>
      <c r="J537" s="42"/>
    </row>
    <row r="538" spans="1:10" x14ac:dyDescent="0.25">
      <c r="A538" s="29"/>
      <c r="B538" s="74"/>
      <c r="C538" s="75"/>
      <c r="D538" s="29"/>
      <c r="E538" s="29"/>
      <c r="F538" s="29"/>
      <c r="G538" s="29"/>
      <c r="H538" s="27"/>
      <c r="I538" s="42"/>
      <c r="J538" s="42"/>
    </row>
    <row r="539" spans="1:10" x14ac:dyDescent="0.25">
      <c r="A539" s="29"/>
      <c r="B539" s="74"/>
      <c r="C539" s="75"/>
      <c r="D539" s="29"/>
      <c r="E539" s="29"/>
      <c r="F539" s="29"/>
      <c r="G539" s="29"/>
      <c r="H539" s="27"/>
      <c r="I539" s="42"/>
      <c r="J539" s="42"/>
    </row>
    <row r="540" spans="1:10" x14ac:dyDescent="0.25">
      <c r="A540" s="29"/>
      <c r="B540" s="74"/>
      <c r="C540" s="75"/>
      <c r="D540" s="29"/>
      <c r="E540" s="29"/>
      <c r="F540" s="29"/>
      <c r="G540" s="29"/>
      <c r="H540" s="27"/>
      <c r="I540" s="42"/>
      <c r="J540" s="42"/>
    </row>
    <row r="541" spans="1:10" x14ac:dyDescent="0.25">
      <c r="A541" s="29"/>
      <c r="B541" s="74"/>
      <c r="C541" s="75"/>
      <c r="D541" s="29"/>
      <c r="E541" s="29"/>
      <c r="F541" s="29"/>
      <c r="G541" s="29"/>
      <c r="H541" s="27"/>
      <c r="I541" s="42"/>
      <c r="J541" s="42"/>
    </row>
    <row r="542" spans="1:10" x14ac:dyDescent="0.25">
      <c r="A542" s="29"/>
      <c r="B542" s="74"/>
      <c r="C542" s="75"/>
      <c r="D542" s="29"/>
      <c r="E542" s="29"/>
      <c r="F542" s="29"/>
      <c r="G542" s="29"/>
      <c r="H542" s="27"/>
      <c r="I542" s="42"/>
      <c r="J542" s="42"/>
    </row>
    <row r="543" spans="1:10" x14ac:dyDescent="0.25">
      <c r="A543" s="29"/>
      <c r="B543" s="74"/>
      <c r="C543" s="75"/>
      <c r="D543" s="29"/>
      <c r="E543" s="29"/>
      <c r="F543" s="29"/>
      <c r="G543" s="29"/>
      <c r="H543" s="27"/>
      <c r="I543" s="42"/>
      <c r="J543" s="42"/>
    </row>
    <row r="544" spans="1:10" x14ac:dyDescent="0.25">
      <c r="A544" s="29"/>
      <c r="B544" s="74"/>
      <c r="C544" s="75"/>
      <c r="D544" s="29"/>
      <c r="E544" s="29"/>
      <c r="F544" s="29"/>
      <c r="G544" s="29"/>
      <c r="H544" s="27"/>
      <c r="I544" s="42"/>
      <c r="J544" s="42"/>
    </row>
    <row r="545" spans="1:10" x14ac:dyDescent="0.25">
      <c r="A545" s="29"/>
      <c r="B545" s="74"/>
      <c r="C545" s="75"/>
      <c r="D545" s="29"/>
      <c r="E545" s="29"/>
      <c r="F545" s="29"/>
      <c r="G545" s="29"/>
      <c r="H545" s="27"/>
      <c r="I545" s="42"/>
      <c r="J545" s="42"/>
    </row>
    <row r="546" spans="1:10" x14ac:dyDescent="0.25">
      <c r="A546" s="29"/>
      <c r="B546" s="74"/>
      <c r="C546" s="75"/>
      <c r="D546" s="29"/>
      <c r="E546" s="29"/>
      <c r="F546" s="29"/>
      <c r="G546" s="29"/>
      <c r="H546" s="27"/>
      <c r="I546" s="42"/>
      <c r="J546" s="42"/>
    </row>
    <row r="547" spans="1:10" x14ac:dyDescent="0.25">
      <c r="A547" s="29"/>
      <c r="B547" s="74"/>
      <c r="C547" s="75"/>
      <c r="D547" s="29"/>
      <c r="E547" s="29"/>
      <c r="F547" s="29"/>
      <c r="G547" s="29"/>
      <c r="H547" s="27"/>
      <c r="I547" s="42"/>
      <c r="J547" s="42"/>
    </row>
    <row r="548" spans="1:10" x14ac:dyDescent="0.25">
      <c r="A548" s="29"/>
      <c r="B548" s="74"/>
      <c r="C548" s="75"/>
      <c r="D548" s="29"/>
      <c r="E548" s="29"/>
      <c r="F548" s="29"/>
      <c r="G548" s="29"/>
      <c r="H548" s="27"/>
      <c r="I548" s="42"/>
      <c r="J548" s="42"/>
    </row>
    <row r="549" spans="1:10" x14ac:dyDescent="0.25">
      <c r="A549" s="29"/>
      <c r="B549" s="74"/>
      <c r="C549" s="75"/>
      <c r="D549" s="29"/>
      <c r="E549" s="29"/>
      <c r="F549" s="29"/>
      <c r="G549" s="29"/>
      <c r="H549" s="27"/>
      <c r="I549" s="42"/>
      <c r="J549" s="42"/>
    </row>
    <row r="550" spans="1:10" x14ac:dyDescent="0.25">
      <c r="A550" s="29"/>
      <c r="B550" s="74"/>
      <c r="C550" s="75"/>
      <c r="D550" s="29"/>
      <c r="E550" s="29"/>
      <c r="F550" s="29"/>
      <c r="G550" s="29"/>
      <c r="H550" s="27"/>
      <c r="I550" s="42"/>
      <c r="J550" s="42"/>
    </row>
    <row r="551" spans="1:10" x14ac:dyDescent="0.25">
      <c r="A551" s="29"/>
      <c r="B551" s="74"/>
      <c r="C551" s="75"/>
      <c r="D551" s="29"/>
      <c r="E551" s="29"/>
      <c r="F551" s="29"/>
      <c r="G551" s="29"/>
      <c r="H551" s="27"/>
      <c r="I551" s="42"/>
      <c r="J551" s="42"/>
    </row>
    <row r="552" spans="1:10" x14ac:dyDescent="0.25">
      <c r="A552" s="29"/>
      <c r="B552" s="74"/>
      <c r="C552" s="75"/>
      <c r="D552" s="29"/>
      <c r="E552" s="29"/>
      <c r="F552" s="29"/>
      <c r="G552" s="29"/>
      <c r="H552" s="27"/>
      <c r="I552" s="42"/>
      <c r="J552" s="42"/>
    </row>
    <row r="553" spans="1:10" x14ac:dyDescent="0.25">
      <c r="A553" s="29"/>
      <c r="B553" s="74"/>
      <c r="C553" s="75"/>
      <c r="D553" s="29"/>
      <c r="E553" s="29"/>
      <c r="F553" s="29"/>
      <c r="G553" s="29"/>
      <c r="H553" s="27"/>
      <c r="I553" s="42"/>
      <c r="J553" s="42"/>
    </row>
    <row r="554" spans="1:10" x14ac:dyDescent="0.25">
      <c r="A554" s="29"/>
      <c r="B554" s="74"/>
      <c r="C554" s="75"/>
      <c r="D554" s="29"/>
      <c r="E554" s="29"/>
      <c r="F554" s="29"/>
      <c r="G554" s="29"/>
      <c r="H554" s="27"/>
      <c r="I554" s="42"/>
      <c r="J554" s="42"/>
    </row>
    <row r="555" spans="1:10" x14ac:dyDescent="0.25">
      <c r="A555" s="29"/>
      <c r="B555" s="74"/>
      <c r="C555" s="75"/>
      <c r="D555" s="29"/>
      <c r="E555" s="29"/>
      <c r="F555" s="29"/>
      <c r="G555" s="29"/>
      <c r="H555" s="27"/>
      <c r="I555" s="42"/>
      <c r="J555" s="42"/>
    </row>
    <row r="556" spans="1:10" x14ac:dyDescent="0.25">
      <c r="A556" s="29"/>
      <c r="B556" s="74"/>
      <c r="C556" s="75"/>
      <c r="D556" s="29"/>
      <c r="E556" s="29"/>
      <c r="F556" s="29"/>
      <c r="G556" s="29"/>
      <c r="H556" s="27"/>
      <c r="I556" s="42"/>
      <c r="J556" s="42"/>
    </row>
    <row r="557" spans="1:10" x14ac:dyDescent="0.25">
      <c r="A557" s="29"/>
      <c r="B557" s="74"/>
      <c r="C557" s="75"/>
      <c r="D557" s="29"/>
      <c r="E557" s="29"/>
      <c r="F557" s="29"/>
      <c r="G557" s="29"/>
      <c r="H557" s="27"/>
      <c r="I557" s="42"/>
      <c r="J557" s="42"/>
    </row>
    <row r="558" spans="1:10" x14ac:dyDescent="0.25">
      <c r="A558" s="29"/>
      <c r="B558" s="74"/>
      <c r="C558" s="75"/>
      <c r="D558" s="29"/>
      <c r="E558" s="29"/>
      <c r="F558" s="29"/>
      <c r="G558" s="29"/>
      <c r="H558" s="27"/>
      <c r="I558" s="42"/>
      <c r="J558" s="42"/>
    </row>
    <row r="559" spans="1:10" x14ac:dyDescent="0.25">
      <c r="A559" s="29"/>
      <c r="B559" s="74"/>
      <c r="C559" s="75"/>
      <c r="D559" s="29"/>
      <c r="E559" s="29"/>
      <c r="F559" s="29"/>
      <c r="G559" s="29"/>
      <c r="H559" s="27"/>
      <c r="I559" s="42"/>
      <c r="J559" s="42"/>
    </row>
    <row r="560" spans="1:10" x14ac:dyDescent="0.25">
      <c r="A560" s="29"/>
      <c r="B560" s="74"/>
      <c r="C560" s="75"/>
      <c r="D560" s="29"/>
      <c r="E560" s="29"/>
      <c r="F560" s="29"/>
      <c r="G560" s="29"/>
      <c r="H560" s="27"/>
      <c r="I560" s="42"/>
      <c r="J560" s="42"/>
    </row>
    <row r="561" spans="1:10" x14ac:dyDescent="0.25">
      <c r="A561" s="29"/>
      <c r="B561" s="74"/>
      <c r="C561" s="75"/>
      <c r="D561" s="29"/>
      <c r="E561" s="29"/>
      <c r="F561" s="29"/>
      <c r="G561" s="29"/>
      <c r="H561" s="27"/>
      <c r="I561" s="42"/>
      <c r="J561" s="42"/>
    </row>
    <row r="562" spans="1:10" x14ac:dyDescent="0.25">
      <c r="A562" s="29"/>
      <c r="B562" s="74"/>
      <c r="C562" s="75"/>
      <c r="D562" s="29"/>
      <c r="E562" s="29"/>
      <c r="F562" s="29"/>
      <c r="G562" s="29"/>
      <c r="H562" s="27"/>
      <c r="I562" s="42"/>
      <c r="J562" s="42"/>
    </row>
    <row r="563" spans="1:10" x14ac:dyDescent="0.25">
      <c r="A563" s="29"/>
      <c r="B563" s="74"/>
      <c r="C563" s="75"/>
      <c r="D563" s="29"/>
      <c r="E563" s="29"/>
      <c r="F563" s="29"/>
      <c r="G563" s="29"/>
      <c r="H563" s="27"/>
      <c r="I563" s="42"/>
      <c r="J563" s="42"/>
    </row>
    <row r="564" spans="1:10" x14ac:dyDescent="0.25">
      <c r="A564" s="29"/>
      <c r="B564" s="74"/>
      <c r="C564" s="75"/>
      <c r="D564" s="29"/>
      <c r="E564" s="29"/>
      <c r="F564" s="29"/>
      <c r="G564" s="29"/>
      <c r="H564" s="27"/>
      <c r="I564" s="42"/>
      <c r="J564" s="42"/>
    </row>
    <row r="565" spans="1:10" x14ac:dyDescent="0.25">
      <c r="A565" s="29"/>
      <c r="B565" s="74"/>
      <c r="C565" s="75"/>
      <c r="D565" s="29"/>
      <c r="E565" s="29"/>
      <c r="F565" s="29"/>
      <c r="G565" s="29"/>
      <c r="H565" s="27"/>
      <c r="I565" s="42"/>
      <c r="J565" s="42"/>
    </row>
    <row r="566" spans="1:10" x14ac:dyDescent="0.25">
      <c r="A566" s="29"/>
      <c r="B566" s="74"/>
      <c r="C566" s="75"/>
      <c r="D566" s="29"/>
      <c r="E566" s="29"/>
      <c r="F566" s="29"/>
      <c r="G566" s="29"/>
      <c r="H566" s="27"/>
      <c r="I566" s="42"/>
      <c r="J566" s="42"/>
    </row>
    <row r="567" spans="1:10" x14ac:dyDescent="0.25">
      <c r="A567" s="29"/>
      <c r="B567" s="74"/>
      <c r="C567" s="75"/>
      <c r="D567" s="29"/>
      <c r="E567" s="29"/>
      <c r="F567" s="29"/>
      <c r="G567" s="29"/>
      <c r="H567" s="27"/>
      <c r="I567" s="42"/>
      <c r="J567" s="42"/>
    </row>
    <row r="568" spans="1:10" x14ac:dyDescent="0.25">
      <c r="A568" s="29"/>
      <c r="B568" s="74"/>
      <c r="C568" s="75"/>
      <c r="D568" s="29"/>
      <c r="E568" s="29"/>
      <c r="F568" s="29"/>
      <c r="G568" s="29"/>
      <c r="H568" s="27"/>
      <c r="I568" s="42"/>
      <c r="J568" s="42"/>
    </row>
    <row r="569" spans="1:10" x14ac:dyDescent="0.25">
      <c r="A569" s="29"/>
      <c r="B569" s="74"/>
      <c r="C569" s="75"/>
      <c r="D569" s="29"/>
      <c r="E569" s="29"/>
      <c r="F569" s="29"/>
      <c r="G569" s="29"/>
      <c r="H569" s="27"/>
      <c r="I569" s="42"/>
      <c r="J569" s="42"/>
    </row>
    <row r="570" spans="1:10" x14ac:dyDescent="0.25">
      <c r="A570" s="29"/>
      <c r="B570" s="74"/>
      <c r="C570" s="75"/>
      <c r="D570" s="29"/>
      <c r="E570" s="29"/>
      <c r="F570" s="29"/>
      <c r="G570" s="29"/>
      <c r="H570" s="27"/>
      <c r="I570" s="42"/>
      <c r="J570" s="42"/>
    </row>
    <row r="571" spans="1:10" x14ac:dyDescent="0.25">
      <c r="A571" s="29"/>
      <c r="B571" s="74"/>
      <c r="C571" s="75"/>
      <c r="D571" s="29"/>
      <c r="E571" s="29"/>
      <c r="F571" s="29"/>
      <c r="G571" s="29"/>
      <c r="H571" s="27"/>
      <c r="I571" s="42"/>
      <c r="J571" s="42"/>
    </row>
    <row r="572" spans="1:10" x14ac:dyDescent="0.25">
      <c r="A572" s="29"/>
      <c r="B572" s="74"/>
      <c r="C572" s="75"/>
      <c r="D572" s="29"/>
      <c r="E572" s="29"/>
      <c r="F572" s="29"/>
      <c r="G572" s="29"/>
      <c r="H572" s="27"/>
      <c r="I572" s="42"/>
      <c r="J572" s="42"/>
    </row>
    <row r="573" spans="1:10" x14ac:dyDescent="0.25">
      <c r="A573" s="29"/>
      <c r="B573" s="74"/>
      <c r="C573" s="75"/>
      <c r="D573" s="29"/>
      <c r="E573" s="29"/>
      <c r="F573" s="29"/>
      <c r="G573" s="29"/>
      <c r="H573" s="27"/>
      <c r="I573" s="42"/>
      <c r="J573" s="42"/>
    </row>
    <row r="574" spans="1:10" x14ac:dyDescent="0.25">
      <c r="A574" s="29"/>
      <c r="B574" s="74"/>
      <c r="C574" s="75"/>
      <c r="D574" s="29"/>
      <c r="E574" s="29"/>
      <c r="F574" s="29"/>
      <c r="G574" s="29"/>
      <c r="H574" s="27"/>
      <c r="I574" s="42"/>
      <c r="J574" s="42"/>
    </row>
    <row r="575" spans="1:10" x14ac:dyDescent="0.25">
      <c r="A575" s="29"/>
      <c r="B575" s="74"/>
      <c r="C575" s="75"/>
      <c r="D575" s="29"/>
      <c r="E575" s="29"/>
      <c r="F575" s="29"/>
      <c r="G575" s="29"/>
      <c r="H575" s="27"/>
      <c r="I575" s="42"/>
      <c r="J575" s="42"/>
    </row>
    <row r="576" spans="1:10" x14ac:dyDescent="0.25">
      <c r="A576" s="29"/>
      <c r="B576" s="74"/>
      <c r="C576" s="75"/>
      <c r="D576" s="29"/>
      <c r="E576" s="29"/>
      <c r="F576" s="29"/>
      <c r="G576" s="29"/>
      <c r="H576" s="27"/>
      <c r="I576" s="42"/>
      <c r="J576" s="42"/>
    </row>
    <row r="577" spans="1:10" x14ac:dyDescent="0.25">
      <c r="A577" s="29"/>
      <c r="B577" s="74"/>
      <c r="C577" s="75"/>
      <c r="D577" s="29"/>
      <c r="E577" s="29"/>
      <c r="F577" s="29"/>
      <c r="G577" s="29"/>
      <c r="H577" s="27"/>
      <c r="I577" s="42"/>
      <c r="J577" s="42"/>
    </row>
    <row r="578" spans="1:10" x14ac:dyDescent="0.25">
      <c r="A578" s="29"/>
      <c r="B578" s="74"/>
      <c r="C578" s="75"/>
      <c r="D578" s="29"/>
      <c r="E578" s="29"/>
      <c r="F578" s="29"/>
      <c r="G578" s="29"/>
      <c r="H578" s="27"/>
      <c r="I578" s="42"/>
      <c r="J578" s="42"/>
    </row>
    <row r="579" spans="1:10" x14ac:dyDescent="0.25">
      <c r="A579" s="29"/>
      <c r="B579" s="74"/>
      <c r="C579" s="75"/>
      <c r="D579" s="29"/>
      <c r="E579" s="29"/>
      <c r="F579" s="29"/>
      <c r="G579" s="29"/>
      <c r="H579" s="27"/>
      <c r="I579" s="42"/>
      <c r="J579" s="42"/>
    </row>
    <row r="580" spans="1:10" x14ac:dyDescent="0.25">
      <c r="A580" s="29"/>
      <c r="B580" s="74"/>
      <c r="C580" s="75"/>
      <c r="D580" s="29"/>
      <c r="E580" s="29"/>
      <c r="F580" s="29"/>
      <c r="G580" s="29"/>
      <c r="H580" s="27"/>
      <c r="I580" s="42"/>
      <c r="J580" s="42"/>
    </row>
    <row r="581" spans="1:10" x14ac:dyDescent="0.25">
      <c r="A581" s="29"/>
      <c r="B581" s="74"/>
      <c r="C581" s="75"/>
      <c r="D581" s="29"/>
      <c r="E581" s="29"/>
      <c r="F581" s="29"/>
      <c r="G581" s="29"/>
      <c r="H581" s="27"/>
      <c r="I581" s="42"/>
      <c r="J581" s="42"/>
    </row>
    <row r="582" spans="1:10" x14ac:dyDescent="0.25">
      <c r="A582" s="29"/>
      <c r="B582" s="74"/>
      <c r="C582" s="75"/>
      <c r="D582" s="29"/>
      <c r="E582" s="29"/>
      <c r="F582" s="29"/>
      <c r="G582" s="29"/>
      <c r="H582" s="27"/>
      <c r="I582" s="42"/>
      <c r="J582" s="42"/>
    </row>
    <row r="583" spans="1:10" x14ac:dyDescent="0.25">
      <c r="A583" s="29"/>
      <c r="B583" s="74"/>
      <c r="C583" s="75"/>
      <c r="D583" s="29"/>
      <c r="E583" s="29"/>
      <c r="F583" s="29"/>
      <c r="G583" s="29"/>
      <c r="H583" s="27"/>
      <c r="I583" s="42"/>
      <c r="J583" s="42"/>
    </row>
    <row r="584" spans="1:10" x14ac:dyDescent="0.25">
      <c r="A584" s="29"/>
      <c r="B584" s="74"/>
      <c r="C584" s="75"/>
      <c r="D584" s="29"/>
      <c r="E584" s="29"/>
      <c r="F584" s="29"/>
      <c r="G584" s="29"/>
      <c r="H584" s="27"/>
      <c r="I584" s="42"/>
      <c r="J584" s="42"/>
    </row>
    <row r="585" spans="1:10" x14ac:dyDescent="0.25">
      <c r="A585" s="29"/>
      <c r="B585" s="74"/>
      <c r="C585" s="75"/>
      <c r="D585" s="29"/>
      <c r="E585" s="29"/>
      <c r="F585" s="29"/>
      <c r="G585" s="29"/>
      <c r="H585" s="27"/>
      <c r="I585" s="42"/>
      <c r="J585" s="42"/>
    </row>
    <row r="586" spans="1:10" x14ac:dyDescent="0.25">
      <c r="A586" s="29"/>
      <c r="B586" s="74"/>
      <c r="C586" s="75"/>
      <c r="D586" s="29"/>
      <c r="E586" s="29"/>
      <c r="F586" s="29"/>
      <c r="G586" s="29"/>
      <c r="H586" s="27"/>
      <c r="I586" s="42"/>
      <c r="J586" s="42"/>
    </row>
    <row r="587" spans="1:10" x14ac:dyDescent="0.25">
      <c r="A587" s="29"/>
      <c r="B587" s="74"/>
      <c r="C587" s="75"/>
      <c r="D587" s="29"/>
      <c r="E587" s="29"/>
      <c r="F587" s="29"/>
      <c r="G587" s="29"/>
      <c r="H587" s="27"/>
      <c r="I587" s="42"/>
      <c r="J587" s="42"/>
    </row>
    <row r="588" spans="1:10" x14ac:dyDescent="0.25">
      <c r="A588" s="29"/>
      <c r="B588" s="74"/>
      <c r="C588" s="75"/>
      <c r="D588" s="29"/>
      <c r="E588" s="29"/>
      <c r="F588" s="29"/>
      <c r="G588" s="29"/>
      <c r="H588" s="27"/>
      <c r="I588" s="42"/>
      <c r="J588" s="42"/>
    </row>
    <row r="589" spans="1:10" x14ac:dyDescent="0.25">
      <c r="A589" s="29"/>
      <c r="B589" s="74"/>
      <c r="C589" s="75"/>
      <c r="D589" s="29"/>
      <c r="E589" s="29"/>
      <c r="F589" s="29"/>
      <c r="G589" s="29"/>
      <c r="H589" s="27"/>
      <c r="I589" s="42"/>
      <c r="J589" s="42"/>
    </row>
    <row r="590" spans="1:10" x14ac:dyDescent="0.25">
      <c r="A590" s="29"/>
      <c r="B590" s="74"/>
      <c r="C590" s="75"/>
      <c r="D590" s="29"/>
      <c r="E590" s="29"/>
      <c r="F590" s="29"/>
      <c r="G590" s="29"/>
      <c r="H590" s="27"/>
      <c r="I590" s="42"/>
      <c r="J590" s="42"/>
    </row>
    <row r="591" spans="1:10" x14ac:dyDescent="0.25">
      <c r="A591" s="29"/>
      <c r="B591" s="74"/>
      <c r="C591" s="75"/>
      <c r="D591" s="29"/>
      <c r="E591" s="29"/>
      <c r="F591" s="29"/>
      <c r="G591" s="29"/>
      <c r="H591" s="27"/>
      <c r="I591" s="42"/>
      <c r="J591" s="42"/>
    </row>
    <row r="592" spans="1:10" x14ac:dyDescent="0.25">
      <c r="A592" s="29"/>
      <c r="B592" s="74"/>
      <c r="C592" s="75"/>
      <c r="D592" s="29"/>
      <c r="E592" s="29"/>
      <c r="F592" s="29"/>
      <c r="G592" s="29"/>
      <c r="H592" s="27"/>
      <c r="I592" s="42"/>
      <c r="J592" s="42"/>
    </row>
    <row r="593" spans="1:10" x14ac:dyDescent="0.25">
      <c r="A593" s="29"/>
      <c r="B593" s="74"/>
      <c r="C593" s="75"/>
      <c r="D593" s="29"/>
      <c r="E593" s="29"/>
      <c r="F593" s="29"/>
      <c r="G593" s="29"/>
      <c r="H593" s="27"/>
      <c r="I593" s="42"/>
      <c r="J593" s="42"/>
    </row>
    <row r="594" spans="1:10" x14ac:dyDescent="0.25">
      <c r="A594" s="29"/>
      <c r="B594" s="74"/>
      <c r="C594" s="75"/>
      <c r="D594" s="29"/>
      <c r="E594" s="29"/>
      <c r="F594" s="29"/>
      <c r="G594" s="29"/>
      <c r="H594" s="27"/>
      <c r="I594" s="42"/>
      <c r="J594" s="42"/>
    </row>
    <row r="595" spans="1:10" x14ac:dyDescent="0.25">
      <c r="A595" s="29"/>
      <c r="B595" s="74"/>
      <c r="C595" s="75"/>
      <c r="D595" s="29"/>
      <c r="E595" s="29"/>
      <c r="F595" s="29"/>
      <c r="G595" s="29"/>
      <c r="H595" s="27"/>
      <c r="I595" s="42"/>
      <c r="J595" s="42"/>
    </row>
    <row r="596" spans="1:10" x14ac:dyDescent="0.25">
      <c r="A596" s="29"/>
      <c r="B596" s="74"/>
      <c r="C596" s="75"/>
      <c r="D596" s="29"/>
      <c r="E596" s="29"/>
      <c r="F596" s="29"/>
      <c r="G596" s="29"/>
      <c r="H596" s="27"/>
      <c r="I596" s="42"/>
      <c r="J596" s="42"/>
    </row>
    <row r="597" spans="1:10" x14ac:dyDescent="0.25">
      <c r="A597" s="29"/>
      <c r="B597" s="74"/>
      <c r="C597" s="75"/>
      <c r="D597" s="29"/>
      <c r="E597" s="29"/>
      <c r="F597" s="29"/>
      <c r="G597" s="29"/>
      <c r="H597" s="27"/>
      <c r="I597" s="42"/>
      <c r="J597" s="42"/>
    </row>
    <row r="598" spans="1:10" x14ac:dyDescent="0.25">
      <c r="A598" s="29"/>
      <c r="B598" s="74"/>
      <c r="C598" s="75"/>
      <c r="D598" s="29"/>
      <c r="E598" s="29"/>
      <c r="F598" s="29"/>
      <c r="G598" s="29"/>
      <c r="H598" s="27"/>
      <c r="I598" s="42"/>
      <c r="J598" s="42"/>
    </row>
    <row r="599" spans="1:10" x14ac:dyDescent="0.25">
      <c r="A599" s="29"/>
      <c r="B599" s="74"/>
      <c r="C599" s="75"/>
      <c r="D599" s="29"/>
      <c r="E599" s="29"/>
      <c r="F599" s="29"/>
      <c r="G599" s="29"/>
      <c r="H599" s="27"/>
      <c r="I599" s="42"/>
      <c r="J599" s="42"/>
    </row>
    <row r="600" spans="1:10" x14ac:dyDescent="0.25">
      <c r="A600" s="29"/>
      <c r="B600" s="74"/>
      <c r="C600" s="75"/>
      <c r="D600" s="29"/>
      <c r="E600" s="29"/>
      <c r="F600" s="29"/>
      <c r="G600" s="29"/>
      <c r="H600" s="27"/>
      <c r="I600" s="42"/>
      <c r="J600" s="42"/>
    </row>
    <row r="601" spans="1:10" x14ac:dyDescent="0.25">
      <c r="A601" s="29"/>
      <c r="B601" s="74"/>
      <c r="C601" s="75"/>
      <c r="D601" s="29"/>
      <c r="E601" s="29"/>
      <c r="F601" s="29"/>
      <c r="G601" s="29"/>
      <c r="H601" s="27"/>
      <c r="I601" s="42"/>
      <c r="J601" s="42"/>
    </row>
    <row r="602" spans="1:10" x14ac:dyDescent="0.25">
      <c r="A602" s="29"/>
      <c r="B602" s="74"/>
      <c r="C602" s="75"/>
      <c r="D602" s="29"/>
      <c r="E602" s="29"/>
      <c r="F602" s="29"/>
      <c r="G602" s="29"/>
      <c r="H602" s="27"/>
      <c r="I602" s="42"/>
      <c r="J602" s="42"/>
    </row>
    <row r="603" spans="1:10" x14ac:dyDescent="0.25">
      <c r="A603" s="29"/>
      <c r="B603" s="74"/>
      <c r="C603" s="75"/>
      <c r="D603" s="29"/>
      <c r="E603" s="29"/>
      <c r="F603" s="29"/>
      <c r="G603" s="29"/>
      <c r="H603" s="27"/>
      <c r="I603" s="42"/>
      <c r="J603" s="42"/>
    </row>
    <row r="604" spans="1:10" x14ac:dyDescent="0.25">
      <c r="A604" s="29"/>
      <c r="B604" s="74"/>
      <c r="C604" s="75"/>
      <c r="D604" s="29"/>
      <c r="E604" s="29"/>
      <c r="F604" s="29"/>
      <c r="G604" s="29"/>
      <c r="H604" s="27"/>
      <c r="I604" s="42"/>
      <c r="J604" s="42"/>
    </row>
    <row r="605" spans="1:10" x14ac:dyDescent="0.25">
      <c r="A605" s="29"/>
      <c r="B605" s="74"/>
      <c r="C605" s="75"/>
      <c r="D605" s="29"/>
      <c r="E605" s="29"/>
      <c r="F605" s="29"/>
      <c r="G605" s="29"/>
      <c r="H605" s="27"/>
      <c r="I605" s="42"/>
      <c r="J605" s="42"/>
    </row>
    <row r="606" spans="1:10" x14ac:dyDescent="0.25">
      <c r="A606" s="29"/>
      <c r="B606" s="74"/>
      <c r="C606" s="75"/>
      <c r="D606" s="29"/>
      <c r="E606" s="29"/>
      <c r="F606" s="29"/>
      <c r="G606" s="29"/>
      <c r="H606" s="27"/>
      <c r="I606" s="42"/>
      <c r="J606" s="42"/>
    </row>
    <row r="607" spans="1:10" x14ac:dyDescent="0.25">
      <c r="A607" s="29"/>
      <c r="B607" s="74"/>
      <c r="C607" s="75"/>
      <c r="D607" s="29"/>
      <c r="E607" s="29"/>
      <c r="F607" s="29"/>
      <c r="G607" s="29"/>
      <c r="H607" s="27"/>
      <c r="I607" s="42"/>
      <c r="J607" s="42"/>
    </row>
    <row r="608" spans="1:10" x14ac:dyDescent="0.25">
      <c r="A608" s="29"/>
      <c r="B608" s="74"/>
      <c r="C608" s="75"/>
      <c r="D608" s="29"/>
      <c r="E608" s="29"/>
      <c r="F608" s="29"/>
      <c r="G608" s="29"/>
      <c r="H608" s="27"/>
      <c r="I608" s="42"/>
      <c r="J608" s="42"/>
    </row>
    <row r="609" spans="1:10" x14ac:dyDescent="0.25">
      <c r="A609" s="29"/>
      <c r="B609" s="74"/>
      <c r="C609" s="75"/>
      <c r="D609" s="29"/>
      <c r="E609" s="29"/>
      <c r="F609" s="29"/>
      <c r="G609" s="29"/>
      <c r="H609" s="27"/>
      <c r="I609" s="42"/>
      <c r="J609" s="42"/>
    </row>
    <row r="610" spans="1:10" x14ac:dyDescent="0.25">
      <c r="A610" s="29"/>
      <c r="B610" s="74"/>
      <c r="C610" s="75"/>
      <c r="D610" s="29"/>
      <c r="E610" s="29"/>
      <c r="F610" s="29"/>
      <c r="G610" s="29"/>
      <c r="H610" s="27"/>
      <c r="I610" s="42"/>
      <c r="J610" s="42"/>
    </row>
    <row r="611" spans="1:10" x14ac:dyDescent="0.25">
      <c r="A611" s="29"/>
      <c r="B611" s="74"/>
      <c r="C611" s="75"/>
      <c r="D611" s="29"/>
      <c r="E611" s="29"/>
      <c r="F611" s="29"/>
      <c r="G611" s="29"/>
      <c r="H611" s="27"/>
      <c r="I611" s="42"/>
      <c r="J611" s="42"/>
    </row>
    <row r="612" spans="1:10" x14ac:dyDescent="0.25">
      <c r="A612" s="29"/>
      <c r="B612" s="74"/>
      <c r="C612" s="75"/>
      <c r="D612" s="29"/>
      <c r="E612" s="29"/>
      <c r="F612" s="29"/>
      <c r="G612" s="29"/>
      <c r="H612" s="27"/>
      <c r="I612" s="42"/>
      <c r="J612" s="42"/>
    </row>
    <row r="613" spans="1:10" x14ac:dyDescent="0.25">
      <c r="A613" s="29"/>
      <c r="B613" s="74"/>
      <c r="C613" s="75"/>
      <c r="D613" s="29"/>
      <c r="E613" s="29"/>
      <c r="F613" s="29"/>
      <c r="G613" s="29"/>
      <c r="H613" s="27"/>
      <c r="I613" s="42"/>
      <c r="J613" s="42"/>
    </row>
    <row r="614" spans="1:10" x14ac:dyDescent="0.25">
      <c r="A614" s="29"/>
      <c r="B614" s="74"/>
      <c r="C614" s="75"/>
      <c r="D614" s="29"/>
      <c r="E614" s="29"/>
      <c r="F614" s="29"/>
      <c r="G614" s="29"/>
      <c r="H614" s="27"/>
      <c r="I614" s="42"/>
      <c r="J614" s="42"/>
    </row>
    <row r="615" spans="1:10" x14ac:dyDescent="0.25">
      <c r="A615" s="29"/>
      <c r="B615" s="74"/>
      <c r="C615" s="75"/>
      <c r="D615" s="29"/>
      <c r="E615" s="29"/>
      <c r="F615" s="29"/>
      <c r="G615" s="29"/>
      <c r="H615" s="27"/>
      <c r="I615" s="42"/>
      <c r="J615" s="42"/>
    </row>
    <row r="616" spans="1:10" x14ac:dyDescent="0.25">
      <c r="A616" s="29"/>
      <c r="B616" s="74"/>
      <c r="C616" s="75"/>
      <c r="D616" s="29"/>
      <c r="E616" s="29"/>
      <c r="F616" s="29"/>
      <c r="G616" s="29"/>
      <c r="H616" s="27"/>
      <c r="I616" s="42"/>
      <c r="J616" s="42"/>
    </row>
    <row r="617" spans="1:10" x14ac:dyDescent="0.25">
      <c r="A617" s="29"/>
      <c r="B617" s="74"/>
      <c r="C617" s="75"/>
      <c r="D617" s="29"/>
      <c r="E617" s="29"/>
      <c r="F617" s="29"/>
      <c r="G617" s="29"/>
      <c r="H617" s="27"/>
      <c r="I617" s="42"/>
      <c r="J617" s="42"/>
    </row>
    <row r="618" spans="1:10" x14ac:dyDescent="0.25">
      <c r="A618" s="29"/>
      <c r="B618" s="74"/>
      <c r="C618" s="75"/>
      <c r="D618" s="29"/>
      <c r="E618" s="29"/>
      <c r="F618" s="29"/>
      <c r="G618" s="29"/>
      <c r="H618" s="27"/>
      <c r="I618" s="42"/>
      <c r="J618" s="42"/>
    </row>
    <row r="619" spans="1:10" x14ac:dyDescent="0.25">
      <c r="A619" s="29"/>
      <c r="B619" s="74"/>
      <c r="C619" s="75"/>
      <c r="D619" s="29"/>
      <c r="E619" s="29"/>
      <c r="F619" s="29"/>
      <c r="G619" s="29"/>
      <c r="H619" s="27"/>
      <c r="I619" s="42"/>
      <c r="J619" s="42"/>
    </row>
    <row r="620" spans="1:10" x14ac:dyDescent="0.25">
      <c r="A620" s="29"/>
      <c r="B620" s="74"/>
      <c r="C620" s="75"/>
      <c r="D620" s="29"/>
      <c r="E620" s="29"/>
      <c r="F620" s="29"/>
      <c r="G620" s="29"/>
      <c r="H620" s="27"/>
      <c r="I620" s="42"/>
      <c r="J620" s="42"/>
    </row>
    <row r="621" spans="1:10" x14ac:dyDescent="0.25">
      <c r="A621" s="29"/>
      <c r="B621" s="74"/>
      <c r="C621" s="75"/>
      <c r="D621" s="29"/>
      <c r="E621" s="29"/>
      <c r="F621" s="29"/>
      <c r="G621" s="29"/>
      <c r="H621" s="27"/>
      <c r="I621" s="42"/>
      <c r="J621" s="42"/>
    </row>
    <row r="622" spans="1:10" x14ac:dyDescent="0.25">
      <c r="A622" s="29"/>
      <c r="B622" s="74"/>
      <c r="C622" s="75"/>
      <c r="D622" s="29"/>
      <c r="E622" s="29"/>
      <c r="F622" s="29"/>
      <c r="G622" s="29"/>
      <c r="H622" s="27"/>
      <c r="I622" s="42"/>
      <c r="J622" s="42"/>
    </row>
    <row r="623" spans="1:10" x14ac:dyDescent="0.25">
      <c r="A623" s="29"/>
      <c r="B623" s="74"/>
      <c r="C623" s="75"/>
      <c r="D623" s="29"/>
      <c r="E623" s="29"/>
      <c r="F623" s="29"/>
      <c r="G623" s="29"/>
      <c r="H623" s="27"/>
      <c r="I623" s="42"/>
      <c r="J623" s="42"/>
    </row>
    <row r="624" spans="1:10" x14ac:dyDescent="0.25">
      <c r="A624" s="29"/>
      <c r="B624" s="74"/>
      <c r="C624" s="75"/>
      <c r="D624" s="29"/>
      <c r="E624" s="29"/>
      <c r="F624" s="29"/>
      <c r="G624" s="29"/>
      <c r="H624" s="27"/>
      <c r="I624" s="42"/>
      <c r="J624" s="42"/>
    </row>
    <row r="625" spans="1:10" x14ac:dyDescent="0.25">
      <c r="A625" s="29"/>
      <c r="B625" s="74"/>
      <c r="C625" s="75"/>
      <c r="D625" s="29"/>
      <c r="E625" s="29"/>
      <c r="F625" s="29"/>
      <c r="G625" s="29"/>
      <c r="H625" s="27"/>
      <c r="I625" s="42"/>
      <c r="J625" s="42"/>
    </row>
    <row r="626" spans="1:10" x14ac:dyDescent="0.25">
      <c r="A626" s="29"/>
      <c r="B626" s="74"/>
      <c r="C626" s="75"/>
      <c r="D626" s="29"/>
      <c r="E626" s="29"/>
      <c r="F626" s="29"/>
      <c r="G626" s="29"/>
      <c r="H626" s="27"/>
      <c r="I626" s="42"/>
      <c r="J626" s="42"/>
    </row>
    <row r="627" spans="1:10" x14ac:dyDescent="0.25">
      <c r="A627" s="29"/>
      <c r="B627" s="74"/>
      <c r="C627" s="75"/>
      <c r="D627" s="29"/>
      <c r="E627" s="29"/>
      <c r="F627" s="29"/>
      <c r="G627" s="29"/>
      <c r="H627" s="27"/>
      <c r="I627" s="42"/>
      <c r="J627" s="42"/>
    </row>
    <row r="628" spans="1:10" x14ac:dyDescent="0.25">
      <c r="A628" s="29"/>
      <c r="B628" s="74"/>
      <c r="C628" s="75"/>
      <c r="D628" s="29"/>
      <c r="E628" s="29"/>
      <c r="F628" s="29"/>
      <c r="G628" s="29"/>
      <c r="H628" s="27"/>
      <c r="I628" s="42"/>
      <c r="J628" s="42"/>
    </row>
    <row r="629" spans="1:10" x14ac:dyDescent="0.25">
      <c r="A629" s="29"/>
      <c r="B629" s="74"/>
      <c r="C629" s="75"/>
      <c r="D629" s="29"/>
      <c r="E629" s="29"/>
      <c r="F629" s="29"/>
      <c r="G629" s="29"/>
      <c r="H629" s="27"/>
      <c r="I629" s="42"/>
      <c r="J629" s="42"/>
    </row>
    <row r="630" spans="1:10" x14ac:dyDescent="0.25">
      <c r="A630" s="29"/>
      <c r="B630" s="74"/>
      <c r="C630" s="75"/>
      <c r="D630" s="29"/>
      <c r="E630" s="29"/>
      <c r="F630" s="29"/>
      <c r="G630" s="29"/>
      <c r="H630" s="27"/>
      <c r="I630" s="42"/>
      <c r="J630" s="42"/>
    </row>
    <row r="631" spans="1:10" x14ac:dyDescent="0.25">
      <c r="A631" s="29"/>
      <c r="B631" s="74"/>
      <c r="C631" s="75"/>
      <c r="D631" s="29"/>
      <c r="E631" s="29"/>
      <c r="F631" s="29"/>
      <c r="G631" s="29"/>
      <c r="H631" s="27"/>
      <c r="I631" s="42"/>
      <c r="J631" s="42"/>
    </row>
    <row r="632" spans="1:10" x14ac:dyDescent="0.25">
      <c r="A632" s="29"/>
      <c r="B632" s="74"/>
      <c r="C632" s="75"/>
      <c r="D632" s="29"/>
      <c r="E632" s="29"/>
      <c r="F632" s="29"/>
      <c r="G632" s="29"/>
      <c r="H632" s="27"/>
      <c r="I632" s="42"/>
      <c r="J632" s="42"/>
    </row>
    <row r="633" spans="1:10" x14ac:dyDescent="0.25">
      <c r="A633" s="29"/>
      <c r="B633" s="74"/>
      <c r="C633" s="75"/>
      <c r="D633" s="29"/>
      <c r="E633" s="29"/>
      <c r="F633" s="29"/>
      <c r="G633" s="29"/>
      <c r="H633" s="27"/>
      <c r="I633" s="42"/>
      <c r="J633" s="42"/>
    </row>
    <row r="634" spans="1:10" x14ac:dyDescent="0.25">
      <c r="A634" s="29"/>
      <c r="B634" s="74"/>
      <c r="C634" s="75"/>
      <c r="D634" s="29"/>
      <c r="E634" s="29"/>
      <c r="F634" s="29"/>
      <c r="G634" s="29"/>
      <c r="H634" s="27"/>
      <c r="I634" s="42"/>
      <c r="J634" s="42"/>
    </row>
    <row r="635" spans="1:10" x14ac:dyDescent="0.25">
      <c r="A635" s="29"/>
      <c r="B635" s="74"/>
      <c r="C635" s="75"/>
      <c r="D635" s="29"/>
      <c r="E635" s="29"/>
      <c r="F635" s="29"/>
      <c r="G635" s="29"/>
      <c r="H635" s="27"/>
      <c r="I635" s="42"/>
      <c r="J635" s="42"/>
    </row>
    <row r="636" spans="1:10" x14ac:dyDescent="0.25">
      <c r="A636" s="29"/>
      <c r="B636" s="74"/>
      <c r="C636" s="75"/>
      <c r="D636" s="29"/>
      <c r="E636" s="29"/>
      <c r="F636" s="29"/>
      <c r="G636" s="29"/>
      <c r="H636" s="27"/>
      <c r="I636" s="42"/>
      <c r="J636" s="42"/>
    </row>
    <row r="637" spans="1:10" x14ac:dyDescent="0.25">
      <c r="A637" s="29"/>
      <c r="B637" s="74"/>
      <c r="C637" s="75"/>
      <c r="D637" s="29"/>
      <c r="E637" s="29"/>
      <c r="F637" s="29"/>
      <c r="G637" s="29"/>
      <c r="H637" s="27"/>
      <c r="I637" s="42"/>
      <c r="J637" s="42"/>
    </row>
    <row r="638" spans="1:10" x14ac:dyDescent="0.25">
      <c r="A638" s="29"/>
      <c r="B638" s="74"/>
      <c r="C638" s="75"/>
      <c r="D638" s="29"/>
      <c r="E638" s="29"/>
      <c r="F638" s="29"/>
      <c r="G638" s="29"/>
      <c r="H638" s="27"/>
      <c r="I638" s="42"/>
      <c r="J638" s="42"/>
    </row>
    <row r="639" spans="1:10" x14ac:dyDescent="0.25">
      <c r="A639" s="29"/>
      <c r="B639" s="74"/>
      <c r="C639" s="75"/>
      <c r="D639" s="29"/>
      <c r="E639" s="29"/>
      <c r="F639" s="29"/>
      <c r="G639" s="29"/>
      <c r="H639" s="27"/>
      <c r="I639" s="42"/>
      <c r="J639" s="42"/>
    </row>
    <row r="640" spans="1:10" x14ac:dyDescent="0.25">
      <c r="A640" s="29"/>
      <c r="B640" s="74"/>
      <c r="C640" s="75"/>
      <c r="D640" s="29"/>
      <c r="E640" s="29"/>
      <c r="F640" s="29"/>
      <c r="G640" s="29"/>
      <c r="H640" s="27"/>
      <c r="I640" s="42"/>
      <c r="J640" s="42"/>
    </row>
    <row r="641" spans="1:10" x14ac:dyDescent="0.25">
      <c r="A641" s="29"/>
      <c r="B641" s="74"/>
      <c r="C641" s="75"/>
      <c r="D641" s="29"/>
      <c r="E641" s="29"/>
      <c r="F641" s="29"/>
      <c r="G641" s="29"/>
      <c r="H641" s="27"/>
      <c r="I641" s="42"/>
      <c r="J641" s="42"/>
    </row>
    <row r="642" spans="1:10" x14ac:dyDescent="0.25">
      <c r="A642" s="29"/>
      <c r="B642" s="74"/>
      <c r="C642" s="75"/>
      <c r="D642" s="29"/>
      <c r="E642" s="29"/>
      <c r="F642" s="29"/>
      <c r="G642" s="29"/>
      <c r="H642" s="27"/>
      <c r="I642" s="42"/>
      <c r="J642" s="42"/>
    </row>
    <row r="643" spans="1:10" x14ac:dyDescent="0.25">
      <c r="A643" s="29"/>
      <c r="B643" s="74"/>
      <c r="C643" s="75"/>
      <c r="D643" s="29"/>
      <c r="E643" s="29"/>
      <c r="F643" s="29"/>
      <c r="G643" s="29"/>
      <c r="H643" s="27"/>
      <c r="I643" s="42"/>
      <c r="J643" s="42"/>
    </row>
    <row r="644" spans="1:10" x14ac:dyDescent="0.25">
      <c r="A644" s="29"/>
      <c r="B644" s="74"/>
      <c r="C644" s="75"/>
      <c r="D644" s="29"/>
      <c r="E644" s="29"/>
      <c r="F644" s="29"/>
      <c r="G644" s="29"/>
      <c r="H644" s="27"/>
      <c r="I644" s="42"/>
      <c r="J644" s="42"/>
    </row>
    <row r="645" spans="1:10" x14ac:dyDescent="0.25">
      <c r="A645" s="29"/>
      <c r="B645" s="74"/>
      <c r="C645" s="75"/>
      <c r="D645" s="29"/>
      <c r="E645" s="29"/>
      <c r="F645" s="29"/>
      <c r="G645" s="29"/>
      <c r="H645" s="27"/>
      <c r="I645" s="42"/>
      <c r="J645" s="42"/>
    </row>
    <row r="646" spans="1:10" x14ac:dyDescent="0.25">
      <c r="A646" s="29"/>
      <c r="B646" s="74"/>
      <c r="C646" s="75"/>
      <c r="D646" s="29"/>
      <c r="E646" s="29"/>
      <c r="F646" s="29"/>
      <c r="G646" s="29"/>
      <c r="H646" s="27"/>
      <c r="I646" s="42"/>
      <c r="J646" s="42"/>
    </row>
    <row r="647" spans="1:10" x14ac:dyDescent="0.25">
      <c r="A647" s="29"/>
      <c r="B647" s="74"/>
      <c r="C647" s="75"/>
      <c r="D647" s="29"/>
      <c r="E647" s="29"/>
      <c r="F647" s="29"/>
      <c r="G647" s="29"/>
      <c r="H647" s="27"/>
      <c r="I647" s="42"/>
      <c r="J647" s="42"/>
    </row>
    <row r="648" spans="1:10" x14ac:dyDescent="0.25">
      <c r="A648" s="29"/>
      <c r="B648" s="74"/>
      <c r="C648" s="75"/>
      <c r="D648" s="29"/>
      <c r="E648" s="29"/>
      <c r="F648" s="29"/>
      <c r="G648" s="29"/>
      <c r="H648" s="27"/>
      <c r="I648" s="42"/>
      <c r="J648" s="42"/>
    </row>
    <row r="649" spans="1:10" x14ac:dyDescent="0.25">
      <c r="A649" s="29"/>
      <c r="B649" s="74"/>
      <c r="C649" s="75"/>
      <c r="D649" s="29"/>
      <c r="E649" s="29"/>
      <c r="F649" s="29"/>
      <c r="G649" s="29"/>
      <c r="H649" s="27"/>
      <c r="I649" s="42"/>
      <c r="J649" s="42"/>
    </row>
    <row r="650" spans="1:10" x14ac:dyDescent="0.25">
      <c r="A650" s="29"/>
      <c r="B650" s="74"/>
      <c r="C650" s="75"/>
      <c r="D650" s="29"/>
      <c r="E650" s="29"/>
      <c r="F650" s="29"/>
      <c r="G650" s="29"/>
      <c r="H650" s="27"/>
      <c r="I650" s="42"/>
      <c r="J650" s="42"/>
    </row>
    <row r="651" spans="1:10" x14ac:dyDescent="0.25">
      <c r="A651" s="29"/>
      <c r="B651" s="74"/>
      <c r="C651" s="75"/>
      <c r="D651" s="29"/>
      <c r="E651" s="29"/>
      <c r="F651" s="29"/>
      <c r="G651" s="29"/>
      <c r="H651" s="27"/>
      <c r="I651" s="42"/>
      <c r="J651" s="42"/>
    </row>
    <row r="652" spans="1:10" x14ac:dyDescent="0.25">
      <c r="A652" s="29"/>
      <c r="B652" s="74"/>
      <c r="C652" s="75"/>
      <c r="D652" s="29"/>
      <c r="E652" s="29"/>
      <c r="F652" s="29"/>
      <c r="G652" s="29"/>
      <c r="H652" s="27"/>
      <c r="I652" s="42"/>
      <c r="J652" s="42"/>
    </row>
    <row r="653" spans="1:10" x14ac:dyDescent="0.25">
      <c r="A653" s="29"/>
      <c r="B653" s="74"/>
      <c r="C653" s="75"/>
      <c r="D653" s="29"/>
      <c r="E653" s="29"/>
      <c r="F653" s="29"/>
      <c r="G653" s="29"/>
      <c r="H653" s="27"/>
      <c r="I653" s="42"/>
      <c r="J653" s="42"/>
    </row>
    <row r="654" spans="1:10" x14ac:dyDescent="0.25">
      <c r="A654" s="29"/>
      <c r="B654" s="74"/>
      <c r="C654" s="75"/>
      <c r="D654" s="29"/>
      <c r="E654" s="29"/>
      <c r="F654" s="29"/>
      <c r="G654" s="29"/>
      <c r="H654" s="27"/>
      <c r="I654" s="42"/>
      <c r="J654" s="42"/>
    </row>
    <row r="655" spans="1:10" x14ac:dyDescent="0.25">
      <c r="A655" s="29"/>
      <c r="B655" s="74"/>
      <c r="C655" s="75"/>
      <c r="D655" s="29"/>
      <c r="E655" s="29"/>
      <c r="F655" s="29"/>
      <c r="G655" s="29"/>
      <c r="H655" s="27"/>
      <c r="I655" s="42"/>
      <c r="J655" s="42"/>
    </row>
    <row r="656" spans="1:10" x14ac:dyDescent="0.25">
      <c r="A656" s="29"/>
      <c r="B656" s="74"/>
      <c r="C656" s="75"/>
      <c r="D656" s="29"/>
      <c r="E656" s="29"/>
      <c r="F656" s="29"/>
      <c r="G656" s="29"/>
      <c r="H656" s="27"/>
      <c r="I656" s="42"/>
      <c r="J656" s="42"/>
    </row>
    <row r="657" spans="1:10" x14ac:dyDescent="0.25">
      <c r="A657" s="29"/>
      <c r="B657" s="74"/>
      <c r="C657" s="75"/>
      <c r="D657" s="29"/>
      <c r="E657" s="29"/>
      <c r="F657" s="29"/>
      <c r="G657" s="29"/>
      <c r="H657" s="27"/>
      <c r="I657" s="42"/>
      <c r="J657" s="42"/>
    </row>
    <row r="658" spans="1:10" x14ac:dyDescent="0.25">
      <c r="A658" s="29"/>
      <c r="B658" s="74"/>
      <c r="C658" s="75"/>
      <c r="D658" s="29"/>
      <c r="E658" s="29"/>
      <c r="F658" s="29"/>
      <c r="G658" s="29"/>
      <c r="H658" s="27"/>
      <c r="I658" s="42"/>
      <c r="J658" s="42"/>
    </row>
    <row r="659" spans="1:10" x14ac:dyDescent="0.25">
      <c r="A659" s="29"/>
      <c r="B659" s="74"/>
      <c r="C659" s="75"/>
      <c r="D659" s="29"/>
      <c r="E659" s="29"/>
      <c r="F659" s="29"/>
      <c r="G659" s="29"/>
      <c r="H659" s="27"/>
      <c r="I659" s="42"/>
      <c r="J659" s="42"/>
    </row>
    <row r="660" spans="1:10" x14ac:dyDescent="0.25">
      <c r="A660" s="29"/>
      <c r="B660" s="74"/>
      <c r="C660" s="75"/>
      <c r="D660" s="29"/>
      <c r="E660" s="29"/>
      <c r="F660" s="29"/>
      <c r="G660" s="29"/>
      <c r="H660" s="27"/>
      <c r="I660" s="42"/>
      <c r="J660" s="42"/>
    </row>
    <row r="661" spans="1:10" x14ac:dyDescent="0.25">
      <c r="A661" s="29"/>
      <c r="B661" s="74"/>
      <c r="C661" s="75"/>
      <c r="D661" s="29"/>
      <c r="E661" s="29"/>
      <c r="F661" s="29"/>
      <c r="G661" s="29"/>
      <c r="H661" s="27"/>
      <c r="I661" s="42"/>
      <c r="J661" s="42"/>
    </row>
    <row r="662" spans="1:10" x14ac:dyDescent="0.25">
      <c r="A662" s="29"/>
      <c r="B662" s="74"/>
      <c r="C662" s="75"/>
      <c r="D662" s="29"/>
      <c r="E662" s="29"/>
      <c r="F662" s="29"/>
      <c r="G662" s="29"/>
      <c r="H662" s="27"/>
      <c r="I662" s="42"/>
      <c r="J662" s="42"/>
    </row>
    <row r="663" spans="1:10" x14ac:dyDescent="0.25">
      <c r="A663" s="29"/>
      <c r="B663" s="74"/>
      <c r="C663" s="75"/>
      <c r="D663" s="29"/>
      <c r="E663" s="29"/>
      <c r="F663" s="29"/>
      <c r="G663" s="29"/>
      <c r="H663" s="27"/>
      <c r="I663" s="42"/>
      <c r="J663" s="42"/>
    </row>
    <row r="664" spans="1:10" x14ac:dyDescent="0.25">
      <c r="A664" s="29"/>
      <c r="B664" s="74"/>
      <c r="C664" s="75"/>
      <c r="D664" s="29"/>
      <c r="E664" s="29"/>
      <c r="F664" s="29"/>
      <c r="G664" s="29"/>
      <c r="H664" s="27"/>
      <c r="I664" s="42"/>
      <c r="J664" s="42"/>
    </row>
    <row r="665" spans="1:10" x14ac:dyDescent="0.25">
      <c r="A665" s="29"/>
      <c r="B665" s="74"/>
      <c r="C665" s="75"/>
      <c r="D665" s="29"/>
      <c r="E665" s="29"/>
      <c r="F665" s="29"/>
      <c r="G665" s="29"/>
      <c r="H665" s="27"/>
      <c r="I665" s="42"/>
      <c r="J665" s="42"/>
    </row>
    <row r="666" spans="1:10" x14ac:dyDescent="0.25">
      <c r="A666" s="29"/>
      <c r="B666" s="74"/>
      <c r="C666" s="75"/>
      <c r="D666" s="29"/>
      <c r="E666" s="29"/>
      <c r="F666" s="29"/>
      <c r="G666" s="29"/>
      <c r="H666" s="27"/>
      <c r="I666" s="42"/>
      <c r="J666" s="42"/>
    </row>
    <row r="667" spans="1:10" x14ac:dyDescent="0.25">
      <c r="A667" s="29"/>
      <c r="B667" s="74"/>
      <c r="C667" s="75"/>
      <c r="D667" s="29"/>
      <c r="E667" s="29"/>
      <c r="F667" s="29"/>
      <c r="G667" s="29"/>
      <c r="H667" s="27"/>
      <c r="I667" s="42"/>
      <c r="J667" s="42"/>
    </row>
    <row r="668" spans="1:10" x14ac:dyDescent="0.25">
      <c r="A668" s="29"/>
      <c r="B668" s="74"/>
      <c r="C668" s="75"/>
      <c r="D668" s="29"/>
      <c r="E668" s="29"/>
      <c r="F668" s="29"/>
      <c r="G668" s="29"/>
      <c r="H668" s="27"/>
      <c r="I668" s="42"/>
      <c r="J668" s="42"/>
    </row>
    <row r="669" spans="1:10" x14ac:dyDescent="0.25">
      <c r="A669" s="29"/>
      <c r="B669" s="74"/>
      <c r="C669" s="75"/>
      <c r="D669" s="29"/>
      <c r="E669" s="29"/>
      <c r="F669" s="29"/>
      <c r="G669" s="29"/>
      <c r="H669" s="27"/>
      <c r="I669" s="42"/>
      <c r="J669" s="42"/>
    </row>
    <row r="670" spans="1:10" x14ac:dyDescent="0.25">
      <c r="A670" s="29"/>
      <c r="B670" s="74"/>
      <c r="C670" s="75"/>
      <c r="D670" s="29"/>
      <c r="E670" s="29"/>
      <c r="F670" s="29"/>
      <c r="G670" s="29"/>
      <c r="H670" s="27"/>
      <c r="I670" s="42"/>
      <c r="J670" s="42"/>
    </row>
    <row r="671" spans="1:10" x14ac:dyDescent="0.25">
      <c r="A671" s="29"/>
      <c r="B671" s="74"/>
      <c r="C671" s="75"/>
      <c r="D671" s="29"/>
      <c r="E671" s="29"/>
      <c r="F671" s="29"/>
      <c r="G671" s="29"/>
      <c r="H671" s="27"/>
      <c r="I671" s="42"/>
      <c r="J671" s="42"/>
    </row>
    <row r="672" spans="1:10" x14ac:dyDescent="0.25">
      <c r="A672" s="29"/>
      <c r="B672" s="74"/>
      <c r="C672" s="75"/>
      <c r="D672" s="29"/>
      <c r="E672" s="29"/>
      <c r="F672" s="29"/>
      <c r="G672" s="29"/>
      <c r="H672" s="27"/>
      <c r="I672" s="42"/>
      <c r="J672" s="42"/>
    </row>
    <row r="673" spans="1:10" x14ac:dyDescent="0.25">
      <c r="A673" s="29"/>
      <c r="B673" s="74"/>
      <c r="C673" s="75"/>
      <c r="D673" s="29"/>
      <c r="E673" s="29"/>
      <c r="F673" s="29"/>
      <c r="G673" s="29"/>
      <c r="H673" s="27"/>
      <c r="I673" s="42"/>
      <c r="J673" s="42"/>
    </row>
    <row r="674" spans="1:10" x14ac:dyDescent="0.25">
      <c r="A674" s="29"/>
      <c r="B674" s="74"/>
      <c r="C674" s="75"/>
      <c r="D674" s="29"/>
      <c r="E674" s="29"/>
      <c r="F674" s="29"/>
      <c r="G674" s="29"/>
      <c r="H674" s="27"/>
      <c r="I674" s="42"/>
      <c r="J674" s="42"/>
    </row>
    <row r="675" spans="1:10" x14ac:dyDescent="0.25">
      <c r="A675" s="29"/>
      <c r="B675" s="74"/>
      <c r="C675" s="75"/>
      <c r="D675" s="29"/>
      <c r="E675" s="29"/>
      <c r="F675" s="29"/>
      <c r="G675" s="29"/>
      <c r="H675" s="27"/>
      <c r="I675" s="42"/>
      <c r="J675" s="42"/>
    </row>
    <row r="676" spans="1:10" x14ac:dyDescent="0.25">
      <c r="A676" s="29"/>
      <c r="B676" s="74"/>
      <c r="C676" s="75"/>
      <c r="D676" s="29"/>
      <c r="E676" s="29"/>
      <c r="F676" s="29"/>
      <c r="G676" s="29"/>
      <c r="H676" s="27"/>
      <c r="I676" s="42"/>
      <c r="J676" s="42"/>
    </row>
    <row r="677" spans="1:10" x14ac:dyDescent="0.25">
      <c r="A677" s="29"/>
      <c r="B677" s="74"/>
      <c r="C677" s="75"/>
      <c r="D677" s="29"/>
      <c r="E677" s="29"/>
      <c r="F677" s="29"/>
      <c r="G677" s="29"/>
      <c r="H677" s="27"/>
      <c r="I677" s="42"/>
      <c r="J677" s="42"/>
    </row>
    <row r="678" spans="1:10" x14ac:dyDescent="0.25">
      <c r="A678" s="29"/>
      <c r="B678" s="74"/>
      <c r="C678" s="75"/>
      <c r="D678" s="29"/>
      <c r="E678" s="29"/>
      <c r="F678" s="29"/>
      <c r="G678" s="29"/>
      <c r="H678" s="27"/>
      <c r="I678" s="42"/>
      <c r="J678" s="42"/>
    </row>
    <row r="679" spans="1:10" x14ac:dyDescent="0.25">
      <c r="A679" s="29"/>
      <c r="B679" s="74"/>
      <c r="C679" s="75"/>
      <c r="D679" s="29"/>
      <c r="E679" s="29"/>
      <c r="F679" s="29"/>
      <c r="G679" s="29"/>
      <c r="H679" s="27"/>
      <c r="I679" s="42"/>
      <c r="J679" s="42"/>
    </row>
    <row r="680" spans="1:10" x14ac:dyDescent="0.25">
      <c r="A680" s="29"/>
      <c r="B680" s="74"/>
      <c r="C680" s="75"/>
      <c r="D680" s="29"/>
      <c r="E680" s="29"/>
      <c r="F680" s="29"/>
      <c r="G680" s="29"/>
      <c r="H680" s="27"/>
      <c r="I680" s="42"/>
      <c r="J680" s="42"/>
    </row>
    <row r="681" spans="1:10" x14ac:dyDescent="0.25">
      <c r="A681" s="29"/>
      <c r="B681" s="74"/>
      <c r="C681" s="75"/>
      <c r="D681" s="29"/>
      <c r="E681" s="29"/>
      <c r="F681" s="29"/>
      <c r="G681" s="29"/>
      <c r="H681" s="27"/>
      <c r="I681" s="42"/>
      <c r="J681" s="42"/>
    </row>
    <row r="682" spans="1:10" x14ac:dyDescent="0.25">
      <c r="A682" s="29"/>
      <c r="B682" s="74"/>
      <c r="C682" s="75"/>
      <c r="D682" s="29"/>
      <c r="E682" s="29"/>
      <c r="F682" s="29"/>
      <c r="G682" s="29"/>
      <c r="H682" s="27"/>
      <c r="I682" s="42"/>
      <c r="J682" s="42"/>
    </row>
    <row r="683" spans="1:10" x14ac:dyDescent="0.25">
      <c r="A683" s="29"/>
      <c r="B683" s="74"/>
      <c r="C683" s="75"/>
      <c r="D683" s="29"/>
      <c r="E683" s="29"/>
      <c r="F683" s="29"/>
      <c r="G683" s="29"/>
      <c r="H683" s="27"/>
      <c r="I683" s="42"/>
      <c r="J683" s="42"/>
    </row>
    <row r="684" spans="1:10" x14ac:dyDescent="0.25">
      <c r="A684" s="29"/>
      <c r="B684" s="74"/>
      <c r="C684" s="75"/>
      <c r="D684" s="29"/>
      <c r="E684" s="29"/>
      <c r="F684" s="29"/>
      <c r="G684" s="29"/>
      <c r="H684" s="27"/>
      <c r="I684" s="42"/>
      <c r="J684" s="42"/>
    </row>
    <row r="685" spans="1:10" x14ac:dyDescent="0.25">
      <c r="A685" s="29"/>
      <c r="B685" s="74"/>
      <c r="C685" s="75"/>
      <c r="D685" s="29"/>
      <c r="E685" s="29"/>
      <c r="F685" s="29"/>
      <c r="G685" s="29"/>
      <c r="H685" s="27"/>
      <c r="I685" s="42"/>
      <c r="J685" s="42"/>
    </row>
    <row r="686" spans="1:10" x14ac:dyDescent="0.25">
      <c r="A686" s="29"/>
      <c r="B686" s="74"/>
      <c r="C686" s="75"/>
      <c r="D686" s="29"/>
      <c r="E686" s="29"/>
      <c r="F686" s="29"/>
      <c r="G686" s="29"/>
      <c r="H686" s="27"/>
      <c r="I686" s="42"/>
      <c r="J686" s="42"/>
    </row>
    <row r="687" spans="1:10" x14ac:dyDescent="0.25">
      <c r="A687" s="29"/>
      <c r="B687" s="74"/>
      <c r="C687" s="75"/>
      <c r="D687" s="29"/>
      <c r="E687" s="29"/>
      <c r="F687" s="29"/>
      <c r="G687" s="29"/>
      <c r="H687" s="27"/>
      <c r="I687" s="42"/>
      <c r="J687" s="42"/>
    </row>
    <row r="688" spans="1:10" x14ac:dyDescent="0.25">
      <c r="A688" s="29"/>
      <c r="B688" s="74"/>
      <c r="C688" s="75"/>
      <c r="D688" s="29"/>
      <c r="E688" s="29"/>
      <c r="F688" s="29"/>
      <c r="G688" s="29"/>
      <c r="H688" s="27"/>
      <c r="I688" s="42"/>
      <c r="J688" s="42"/>
    </row>
    <row r="689" spans="1:10" x14ac:dyDescent="0.25">
      <c r="A689" s="29"/>
      <c r="B689" s="74"/>
      <c r="C689" s="75"/>
      <c r="D689" s="29"/>
      <c r="E689" s="29"/>
      <c r="F689" s="29"/>
      <c r="G689" s="29"/>
      <c r="H689" s="27"/>
      <c r="I689" s="42"/>
      <c r="J689" s="42"/>
    </row>
    <row r="690" spans="1:10" x14ac:dyDescent="0.25">
      <c r="A690" s="29"/>
      <c r="B690" s="74"/>
      <c r="C690" s="75"/>
      <c r="D690" s="29"/>
      <c r="E690" s="29"/>
      <c r="F690" s="29"/>
      <c r="G690" s="29"/>
      <c r="H690" s="27"/>
      <c r="I690" s="42"/>
      <c r="J690" s="42"/>
    </row>
    <row r="691" spans="1:10" x14ac:dyDescent="0.25">
      <c r="A691" s="29"/>
      <c r="B691" s="74"/>
      <c r="C691" s="75"/>
      <c r="D691" s="29"/>
      <c r="E691" s="29"/>
      <c r="F691" s="29"/>
      <c r="G691" s="29"/>
      <c r="H691" s="27"/>
      <c r="I691" s="42"/>
      <c r="J691" s="42"/>
    </row>
    <row r="692" spans="1:10" x14ac:dyDescent="0.25">
      <c r="A692" s="29"/>
      <c r="B692" s="74"/>
      <c r="C692" s="75"/>
      <c r="D692" s="29"/>
      <c r="E692" s="29"/>
      <c r="F692" s="29"/>
      <c r="G692" s="29"/>
      <c r="H692" s="27"/>
      <c r="I692" s="42"/>
      <c r="J692" s="42"/>
    </row>
    <row r="693" spans="1:10" x14ac:dyDescent="0.25">
      <c r="A693" s="29"/>
      <c r="B693" s="74"/>
      <c r="C693" s="75"/>
      <c r="D693" s="29"/>
      <c r="E693" s="29"/>
      <c r="F693" s="29"/>
      <c r="G693" s="29"/>
      <c r="H693" s="27"/>
      <c r="I693" s="42"/>
      <c r="J693" s="42"/>
    </row>
    <row r="694" spans="1:10" x14ac:dyDescent="0.25">
      <c r="A694" s="29"/>
      <c r="B694" s="74"/>
      <c r="C694" s="75"/>
      <c r="D694" s="29"/>
      <c r="E694" s="29"/>
      <c r="F694" s="29"/>
      <c r="G694" s="29"/>
      <c r="H694" s="27"/>
      <c r="I694" s="42"/>
      <c r="J694" s="42"/>
    </row>
    <row r="695" spans="1:10" x14ac:dyDescent="0.25">
      <c r="A695" s="29"/>
      <c r="B695" s="74"/>
      <c r="C695" s="75"/>
      <c r="D695" s="29"/>
      <c r="E695" s="29"/>
      <c r="F695" s="29"/>
      <c r="G695" s="29"/>
      <c r="H695" s="27"/>
      <c r="I695" s="42"/>
      <c r="J695" s="42"/>
    </row>
    <row r="696" spans="1:10" x14ac:dyDescent="0.25">
      <c r="A696" s="29"/>
      <c r="B696" s="74"/>
      <c r="C696" s="75"/>
      <c r="D696" s="29"/>
      <c r="E696" s="29"/>
      <c r="F696" s="29"/>
      <c r="G696" s="29"/>
      <c r="H696" s="27"/>
      <c r="I696" s="42"/>
      <c r="J696" s="42"/>
    </row>
    <row r="697" spans="1:10" x14ac:dyDescent="0.25">
      <c r="A697" s="29"/>
      <c r="B697" s="74"/>
      <c r="C697" s="75"/>
      <c r="D697" s="29"/>
      <c r="E697" s="29"/>
      <c r="F697" s="29"/>
      <c r="G697" s="29"/>
      <c r="H697" s="27"/>
      <c r="I697" s="42"/>
      <c r="J697" s="42"/>
    </row>
    <row r="698" spans="1:10" x14ac:dyDescent="0.25">
      <c r="A698" s="29"/>
      <c r="B698" s="74"/>
      <c r="C698" s="75"/>
      <c r="D698" s="29"/>
      <c r="E698" s="29"/>
      <c r="F698" s="29"/>
      <c r="G698" s="29"/>
      <c r="H698" s="27"/>
      <c r="I698" s="42"/>
      <c r="J698" s="42"/>
    </row>
    <row r="699" spans="1:10" x14ac:dyDescent="0.25">
      <c r="A699" s="29"/>
      <c r="B699" s="74"/>
      <c r="C699" s="75"/>
      <c r="D699" s="29"/>
      <c r="E699" s="29"/>
      <c r="F699" s="29"/>
      <c r="G699" s="29"/>
      <c r="H699" s="27"/>
      <c r="I699" s="42"/>
      <c r="J699" s="42"/>
    </row>
    <row r="700" spans="1:10" x14ac:dyDescent="0.25">
      <c r="A700" s="29"/>
      <c r="B700" s="74"/>
      <c r="C700" s="75"/>
      <c r="D700" s="29"/>
      <c r="E700" s="29"/>
      <c r="F700" s="29"/>
      <c r="G700" s="29"/>
      <c r="H700" s="27"/>
      <c r="I700" s="42"/>
      <c r="J700" s="42"/>
    </row>
    <row r="701" spans="1:10" x14ac:dyDescent="0.25">
      <c r="A701" s="29"/>
      <c r="B701" s="74"/>
      <c r="C701" s="75"/>
      <c r="D701" s="29"/>
      <c r="E701" s="29"/>
      <c r="F701" s="29"/>
      <c r="G701" s="29"/>
      <c r="H701" s="27"/>
      <c r="I701" s="42"/>
      <c r="J701" s="42"/>
    </row>
    <row r="702" spans="1:10" x14ac:dyDescent="0.25">
      <c r="A702" s="29"/>
      <c r="B702" s="74"/>
      <c r="C702" s="75"/>
      <c r="D702" s="29"/>
      <c r="E702" s="29"/>
      <c r="F702" s="29"/>
      <c r="G702" s="29"/>
      <c r="H702" s="27"/>
      <c r="I702" s="42"/>
      <c r="J702" s="42"/>
    </row>
    <row r="703" spans="1:10" x14ac:dyDescent="0.25">
      <c r="A703" s="29"/>
      <c r="B703" s="74"/>
      <c r="C703" s="75"/>
      <c r="D703" s="29"/>
      <c r="E703" s="29"/>
      <c r="F703" s="29"/>
      <c r="G703" s="29"/>
      <c r="H703" s="27"/>
      <c r="I703" s="42"/>
      <c r="J703" s="42"/>
    </row>
    <row r="704" spans="1:10" x14ac:dyDescent="0.25">
      <c r="A704" s="29"/>
      <c r="B704" s="74"/>
      <c r="C704" s="75"/>
      <c r="D704" s="29"/>
      <c r="E704" s="29"/>
      <c r="F704" s="29"/>
      <c r="G704" s="29"/>
      <c r="H704" s="27"/>
      <c r="I704" s="42"/>
      <c r="J704" s="42"/>
    </row>
    <row r="705" spans="1:10" x14ac:dyDescent="0.25">
      <c r="A705" s="29"/>
      <c r="B705" s="74"/>
      <c r="C705" s="75"/>
      <c r="D705" s="29"/>
      <c r="E705" s="29"/>
      <c r="F705" s="29"/>
      <c r="G705" s="29"/>
      <c r="H705" s="27"/>
      <c r="I705" s="42"/>
      <c r="J705" s="42"/>
    </row>
    <row r="706" spans="1:10" x14ac:dyDescent="0.25">
      <c r="A706" s="29"/>
      <c r="B706" s="74"/>
      <c r="C706" s="75"/>
      <c r="D706" s="29"/>
      <c r="E706" s="29"/>
      <c r="F706" s="29"/>
      <c r="G706" s="29"/>
      <c r="H706" s="27"/>
      <c r="I706" s="42"/>
      <c r="J706" s="42"/>
    </row>
    <row r="707" spans="1:10" x14ac:dyDescent="0.25">
      <c r="A707" s="29"/>
      <c r="B707" s="74"/>
      <c r="C707" s="75"/>
      <c r="D707" s="29"/>
      <c r="E707" s="29"/>
      <c r="F707" s="29"/>
      <c r="G707" s="29"/>
      <c r="H707" s="27"/>
      <c r="I707" s="42"/>
      <c r="J707" s="42"/>
    </row>
    <row r="708" spans="1:10" x14ac:dyDescent="0.25">
      <c r="A708" s="29"/>
      <c r="B708" s="74"/>
      <c r="C708" s="75"/>
      <c r="D708" s="29"/>
      <c r="E708" s="29"/>
      <c r="F708" s="29"/>
      <c r="G708" s="29"/>
      <c r="H708" s="27"/>
      <c r="I708" s="42"/>
      <c r="J708" s="42"/>
    </row>
    <row r="709" spans="1:10" x14ac:dyDescent="0.25">
      <c r="A709" s="29"/>
      <c r="B709" s="74"/>
      <c r="C709" s="75"/>
      <c r="D709" s="29"/>
      <c r="E709" s="29"/>
      <c r="F709" s="29"/>
      <c r="G709" s="29"/>
      <c r="H709" s="27"/>
      <c r="I709" s="42"/>
      <c r="J709" s="42"/>
    </row>
    <row r="710" spans="1:10" x14ac:dyDescent="0.25">
      <c r="A710" s="29"/>
      <c r="B710" s="74"/>
      <c r="C710" s="75"/>
      <c r="D710" s="29"/>
      <c r="E710" s="29"/>
      <c r="F710" s="29"/>
      <c r="G710" s="29"/>
      <c r="H710" s="27"/>
      <c r="I710" s="42"/>
      <c r="J710" s="42"/>
    </row>
    <row r="711" spans="1:10" x14ac:dyDescent="0.25">
      <c r="A711" s="29"/>
      <c r="B711" s="74"/>
      <c r="C711" s="75"/>
      <c r="D711" s="29"/>
      <c r="E711" s="29"/>
      <c r="F711" s="29"/>
      <c r="G711" s="29"/>
      <c r="H711" s="27"/>
      <c r="I711" s="42"/>
      <c r="J711" s="42"/>
    </row>
    <row r="712" spans="1:10" x14ac:dyDescent="0.25">
      <c r="A712" s="29"/>
      <c r="B712" s="74"/>
      <c r="C712" s="75"/>
      <c r="D712" s="29"/>
      <c r="E712" s="29"/>
      <c r="F712" s="29"/>
      <c r="G712" s="29"/>
      <c r="H712" s="27"/>
      <c r="I712" s="42"/>
      <c r="J712" s="42"/>
    </row>
    <row r="713" spans="1:10" x14ac:dyDescent="0.25">
      <c r="A713" s="29"/>
      <c r="B713" s="74"/>
      <c r="C713" s="75"/>
      <c r="D713" s="29"/>
      <c r="E713" s="29"/>
      <c r="F713" s="29"/>
      <c r="G713" s="29"/>
      <c r="H713" s="27"/>
      <c r="I713" s="42"/>
      <c r="J713" s="42"/>
    </row>
    <row r="714" spans="1:10" x14ac:dyDescent="0.25">
      <c r="A714" s="29"/>
      <c r="B714" s="74"/>
      <c r="C714" s="75"/>
      <c r="D714" s="29"/>
      <c r="E714" s="29"/>
      <c r="F714" s="29"/>
      <c r="G714" s="29"/>
      <c r="H714" s="27"/>
      <c r="I714" s="42"/>
      <c r="J714" s="42"/>
    </row>
    <row r="715" spans="1:10" x14ac:dyDescent="0.25">
      <c r="A715" s="29"/>
      <c r="B715" s="74"/>
      <c r="C715" s="75"/>
      <c r="D715" s="29"/>
      <c r="E715" s="29"/>
      <c r="F715" s="29"/>
      <c r="G715" s="29"/>
      <c r="H715" s="27"/>
      <c r="I715" s="42"/>
      <c r="J715" s="42"/>
    </row>
    <row r="716" spans="1:10" x14ac:dyDescent="0.25">
      <c r="A716" s="29"/>
      <c r="B716" s="74"/>
      <c r="C716" s="75"/>
      <c r="D716" s="29"/>
      <c r="E716" s="29"/>
      <c r="F716" s="29"/>
      <c r="G716" s="29"/>
      <c r="H716" s="27"/>
      <c r="I716" s="42"/>
      <c r="J716" s="42"/>
    </row>
    <row r="717" spans="1:10" x14ac:dyDescent="0.25">
      <c r="A717" s="29"/>
      <c r="B717" s="74"/>
      <c r="C717" s="75"/>
      <c r="D717" s="29"/>
      <c r="E717" s="29"/>
      <c r="F717" s="29"/>
      <c r="G717" s="29"/>
      <c r="H717" s="27"/>
      <c r="I717" s="42"/>
      <c r="J717" s="42"/>
    </row>
    <row r="718" spans="1:10" x14ac:dyDescent="0.25">
      <c r="A718" s="29"/>
      <c r="B718" s="74"/>
      <c r="C718" s="75"/>
      <c r="D718" s="29"/>
      <c r="E718" s="29"/>
      <c r="F718" s="29"/>
      <c r="G718" s="29"/>
      <c r="H718" s="27"/>
      <c r="I718" s="42"/>
      <c r="J718" s="42"/>
    </row>
    <row r="719" spans="1:10" x14ac:dyDescent="0.25">
      <c r="A719" s="29"/>
      <c r="B719" s="74"/>
      <c r="C719" s="75"/>
      <c r="D719" s="29"/>
      <c r="E719" s="29"/>
      <c r="F719" s="29"/>
      <c r="G719" s="29"/>
      <c r="H719" s="27"/>
      <c r="I719" s="42"/>
      <c r="J719" s="42"/>
    </row>
    <row r="720" spans="1:10" x14ac:dyDescent="0.25">
      <c r="A720" s="29"/>
      <c r="B720" s="74"/>
      <c r="C720" s="75"/>
      <c r="D720" s="29"/>
      <c r="E720" s="29"/>
      <c r="F720" s="29"/>
      <c r="G720" s="29"/>
      <c r="H720" s="27"/>
      <c r="I720" s="42"/>
      <c r="J720" s="42"/>
    </row>
    <row r="721" spans="1:10" x14ac:dyDescent="0.25">
      <c r="A721" s="29"/>
      <c r="B721" s="74"/>
      <c r="C721" s="75"/>
      <c r="D721" s="29"/>
      <c r="E721" s="29"/>
      <c r="F721" s="29"/>
      <c r="G721" s="29"/>
      <c r="H721" s="27"/>
      <c r="I721" s="42"/>
      <c r="J721" s="42"/>
    </row>
    <row r="722" spans="1:10" x14ac:dyDescent="0.25">
      <c r="A722" s="29"/>
      <c r="B722" s="74"/>
      <c r="C722" s="75"/>
      <c r="D722" s="29"/>
      <c r="E722" s="29"/>
      <c r="F722" s="29"/>
      <c r="G722" s="29"/>
      <c r="H722" s="27"/>
      <c r="I722" s="42"/>
      <c r="J722" s="42"/>
    </row>
    <row r="723" spans="1:10" x14ac:dyDescent="0.25">
      <c r="A723" s="29"/>
      <c r="B723" s="74"/>
      <c r="C723" s="75"/>
      <c r="D723" s="29"/>
      <c r="E723" s="29"/>
      <c r="F723" s="29"/>
      <c r="G723" s="29"/>
      <c r="H723" s="27"/>
      <c r="I723" s="42"/>
      <c r="J723" s="42"/>
    </row>
    <row r="724" spans="1:10" x14ac:dyDescent="0.25">
      <c r="A724" s="29"/>
      <c r="B724" s="74"/>
      <c r="C724" s="75"/>
      <c r="D724" s="29"/>
      <c r="E724" s="29"/>
      <c r="F724" s="29"/>
      <c r="G724" s="29"/>
      <c r="H724" s="27"/>
      <c r="I724" s="42"/>
      <c r="J724" s="42"/>
    </row>
    <row r="725" spans="1:10" x14ac:dyDescent="0.25">
      <c r="A725" s="29"/>
      <c r="B725" s="74"/>
      <c r="C725" s="75"/>
      <c r="D725" s="29"/>
      <c r="E725" s="29"/>
      <c r="F725" s="29"/>
      <c r="G725" s="29"/>
      <c r="H725" s="27"/>
      <c r="I725" s="42"/>
      <c r="J725" s="42"/>
    </row>
    <row r="726" spans="1:10" x14ac:dyDescent="0.25">
      <c r="A726" s="29"/>
      <c r="B726" s="74"/>
      <c r="C726" s="75"/>
      <c r="D726" s="29"/>
      <c r="E726" s="29"/>
      <c r="F726" s="29"/>
      <c r="G726" s="29"/>
      <c r="H726" s="27"/>
      <c r="I726" s="42"/>
      <c r="J726" s="42"/>
    </row>
    <row r="727" spans="1:10" x14ac:dyDescent="0.25">
      <c r="A727" s="29"/>
      <c r="B727" s="74"/>
      <c r="C727" s="75"/>
      <c r="D727" s="29"/>
      <c r="E727" s="29"/>
      <c r="F727" s="29"/>
      <c r="G727" s="29"/>
      <c r="H727" s="27"/>
      <c r="I727" s="42"/>
      <c r="J727" s="42"/>
    </row>
    <row r="728" spans="1:10" x14ac:dyDescent="0.25">
      <c r="A728" s="29"/>
      <c r="B728" s="74"/>
      <c r="C728" s="75"/>
      <c r="D728" s="29"/>
      <c r="E728" s="29"/>
      <c r="F728" s="29"/>
      <c r="G728" s="29"/>
      <c r="H728" s="27"/>
      <c r="I728" s="42"/>
      <c r="J728" s="42"/>
    </row>
    <row r="729" spans="1:10" x14ac:dyDescent="0.25">
      <c r="A729" s="29"/>
      <c r="B729" s="74"/>
      <c r="C729" s="75"/>
      <c r="D729" s="29"/>
      <c r="E729" s="29"/>
      <c r="F729" s="29"/>
      <c r="G729" s="29"/>
      <c r="H729" s="27"/>
      <c r="I729" s="42"/>
      <c r="J729" s="42"/>
    </row>
    <row r="730" spans="1:10" x14ac:dyDescent="0.25">
      <c r="A730" s="29"/>
      <c r="B730" s="74"/>
      <c r="C730" s="75"/>
      <c r="D730" s="29"/>
      <c r="E730" s="29"/>
      <c r="F730" s="29"/>
      <c r="G730" s="29"/>
      <c r="H730" s="27"/>
      <c r="I730" s="42"/>
      <c r="J730" s="42"/>
    </row>
    <row r="731" spans="1:10" x14ac:dyDescent="0.25">
      <c r="A731" s="29"/>
      <c r="B731" s="74"/>
      <c r="C731" s="75"/>
      <c r="D731" s="29"/>
      <c r="E731" s="29"/>
      <c r="F731" s="29"/>
      <c r="G731" s="29"/>
      <c r="H731" s="27"/>
      <c r="I731" s="42"/>
      <c r="J731" s="42"/>
    </row>
    <row r="732" spans="1:10" x14ac:dyDescent="0.25">
      <c r="A732" s="29"/>
      <c r="B732" s="74"/>
      <c r="C732" s="75"/>
      <c r="D732" s="29"/>
      <c r="E732" s="29"/>
      <c r="F732" s="29"/>
      <c r="G732" s="29"/>
      <c r="H732" s="27"/>
      <c r="I732" s="42"/>
      <c r="J732" s="42"/>
    </row>
    <row r="733" spans="1:10" x14ac:dyDescent="0.25">
      <c r="A733" s="29"/>
      <c r="B733" s="74"/>
      <c r="C733" s="75"/>
      <c r="D733" s="29"/>
      <c r="E733" s="29"/>
      <c r="F733" s="29"/>
      <c r="G733" s="29"/>
      <c r="H733" s="27"/>
      <c r="I733" s="42"/>
      <c r="J733" s="42"/>
    </row>
    <row r="734" spans="1:10" x14ac:dyDescent="0.25">
      <c r="A734" s="29"/>
      <c r="B734" s="74"/>
      <c r="C734" s="75"/>
      <c r="D734" s="29"/>
      <c r="E734" s="29"/>
      <c r="F734" s="29"/>
      <c r="G734" s="29"/>
      <c r="H734" s="27"/>
      <c r="I734" s="42"/>
      <c r="J734" s="42"/>
    </row>
    <row r="735" spans="1:10" x14ac:dyDescent="0.25">
      <c r="A735" s="29"/>
      <c r="B735" s="74"/>
      <c r="C735" s="75"/>
      <c r="D735" s="29"/>
      <c r="E735" s="29"/>
      <c r="F735" s="29"/>
      <c r="G735" s="29"/>
      <c r="H735" s="27"/>
      <c r="I735" s="42"/>
      <c r="J735" s="42"/>
    </row>
    <row r="736" spans="1:10" x14ac:dyDescent="0.25">
      <c r="A736" s="29"/>
      <c r="B736" s="74"/>
      <c r="C736" s="75"/>
      <c r="D736" s="29"/>
      <c r="E736" s="29"/>
      <c r="F736" s="29"/>
      <c r="G736" s="29"/>
      <c r="H736" s="27"/>
      <c r="I736" s="42"/>
      <c r="J736" s="42"/>
    </row>
    <row r="737" spans="1:10" x14ac:dyDescent="0.25">
      <c r="A737" s="29"/>
      <c r="B737" s="74"/>
      <c r="C737" s="75"/>
      <c r="D737" s="29"/>
      <c r="E737" s="29"/>
      <c r="F737" s="29"/>
      <c r="G737" s="29"/>
      <c r="H737" s="27"/>
      <c r="I737" s="42"/>
      <c r="J737" s="42"/>
    </row>
    <row r="738" spans="1:10" x14ac:dyDescent="0.25">
      <c r="A738" s="29"/>
      <c r="B738" s="74"/>
      <c r="C738" s="75"/>
      <c r="D738" s="29"/>
      <c r="E738" s="29"/>
      <c r="F738" s="29"/>
      <c r="G738" s="29"/>
      <c r="H738" s="27"/>
      <c r="I738" s="42"/>
      <c r="J738" s="42"/>
    </row>
    <row r="739" spans="1:10" x14ac:dyDescent="0.25">
      <c r="A739" s="29"/>
      <c r="B739" s="74"/>
      <c r="C739" s="75"/>
      <c r="D739" s="29"/>
      <c r="E739" s="29"/>
      <c r="F739" s="29"/>
      <c r="G739" s="29"/>
      <c r="H739" s="27"/>
      <c r="I739" s="42"/>
      <c r="J739" s="42"/>
    </row>
    <row r="740" spans="1:10" x14ac:dyDescent="0.25">
      <c r="A740" s="29"/>
      <c r="B740" s="74"/>
      <c r="C740" s="75"/>
      <c r="D740" s="29"/>
      <c r="E740" s="29"/>
      <c r="F740" s="29"/>
      <c r="G740" s="29"/>
      <c r="H740" s="27"/>
      <c r="I740" s="42"/>
      <c r="J740" s="42"/>
    </row>
    <row r="741" spans="1:10" x14ac:dyDescent="0.25">
      <c r="A741" s="29"/>
      <c r="B741" s="74"/>
      <c r="C741" s="75"/>
      <c r="D741" s="29"/>
      <c r="E741" s="29"/>
      <c r="F741" s="29"/>
      <c r="G741" s="29"/>
      <c r="H741" s="27"/>
      <c r="I741" s="42"/>
      <c r="J741" s="42"/>
    </row>
    <row r="742" spans="1:10" x14ac:dyDescent="0.25">
      <c r="A742" s="29"/>
      <c r="B742" s="74"/>
      <c r="C742" s="75"/>
      <c r="D742" s="29"/>
      <c r="E742" s="29"/>
      <c r="F742" s="29"/>
      <c r="G742" s="29"/>
      <c r="H742" s="27"/>
      <c r="I742" s="42"/>
      <c r="J742" s="42"/>
    </row>
    <row r="743" spans="1:10" x14ac:dyDescent="0.25">
      <c r="A743" s="29"/>
      <c r="B743" s="74"/>
      <c r="C743" s="75"/>
      <c r="D743" s="29"/>
      <c r="E743" s="29"/>
      <c r="F743" s="29"/>
      <c r="G743" s="29"/>
      <c r="H743" s="27"/>
      <c r="I743" s="42"/>
      <c r="J743" s="42"/>
    </row>
    <row r="744" spans="1:10" x14ac:dyDescent="0.25">
      <c r="A744" s="29"/>
      <c r="B744" s="74"/>
      <c r="C744" s="75"/>
      <c r="D744" s="29"/>
      <c r="E744" s="29"/>
      <c r="F744" s="29"/>
      <c r="G744" s="29"/>
      <c r="H744" s="27"/>
      <c r="I744" s="42"/>
      <c r="J744" s="42"/>
    </row>
    <row r="745" spans="1:10" x14ac:dyDescent="0.25">
      <c r="A745" s="29"/>
      <c r="B745" s="74"/>
      <c r="C745" s="75"/>
      <c r="D745" s="29"/>
      <c r="E745" s="29"/>
      <c r="F745" s="29"/>
      <c r="G745" s="29"/>
      <c r="H745" s="27"/>
      <c r="I745" s="42"/>
      <c r="J745" s="42"/>
    </row>
    <row r="746" spans="1:10" x14ac:dyDescent="0.25">
      <c r="A746" s="29"/>
      <c r="B746" s="74"/>
      <c r="C746" s="75"/>
      <c r="D746" s="29"/>
      <c r="E746" s="29"/>
      <c r="F746" s="29"/>
      <c r="G746" s="29"/>
      <c r="H746" s="27"/>
      <c r="I746" s="42"/>
      <c r="J746" s="42"/>
    </row>
    <row r="747" spans="1:10" x14ac:dyDescent="0.25">
      <c r="A747" s="29"/>
      <c r="B747" s="74"/>
      <c r="C747" s="75"/>
      <c r="D747" s="29"/>
      <c r="E747" s="29"/>
      <c r="F747" s="29"/>
      <c r="G747" s="29"/>
      <c r="H747" s="27"/>
      <c r="I747" s="42"/>
      <c r="J747" s="42"/>
    </row>
    <row r="748" spans="1:10" x14ac:dyDescent="0.25">
      <c r="A748" s="29"/>
      <c r="B748" s="74"/>
      <c r="C748" s="75"/>
      <c r="D748" s="29"/>
      <c r="E748" s="29"/>
      <c r="F748" s="29"/>
      <c r="G748" s="29"/>
      <c r="H748" s="27"/>
      <c r="I748" s="42"/>
      <c r="J748" s="42"/>
    </row>
    <row r="749" spans="1:10" x14ac:dyDescent="0.25">
      <c r="A749" s="29"/>
      <c r="B749" s="74"/>
      <c r="C749" s="75"/>
      <c r="D749" s="29"/>
      <c r="E749" s="29"/>
      <c r="F749" s="29"/>
      <c r="G749" s="29"/>
      <c r="H749" s="27"/>
      <c r="I749" s="42"/>
      <c r="J749" s="42"/>
    </row>
    <row r="750" spans="1:10" x14ac:dyDescent="0.25">
      <c r="A750" s="29"/>
      <c r="B750" s="74"/>
      <c r="C750" s="75"/>
      <c r="D750" s="29"/>
      <c r="E750" s="29"/>
      <c r="F750" s="29"/>
      <c r="G750" s="29"/>
      <c r="H750" s="27"/>
      <c r="I750" s="42"/>
      <c r="J750" s="42"/>
    </row>
    <row r="751" spans="1:10" x14ac:dyDescent="0.25">
      <c r="A751" s="29"/>
      <c r="B751" s="74"/>
      <c r="C751" s="75"/>
      <c r="D751" s="29"/>
      <c r="E751" s="29"/>
      <c r="F751" s="29"/>
      <c r="G751" s="29"/>
      <c r="H751" s="27"/>
      <c r="I751" s="42"/>
      <c r="J751" s="42"/>
    </row>
    <row r="752" spans="1:10" x14ac:dyDescent="0.25">
      <c r="A752" s="29"/>
      <c r="B752" s="74"/>
      <c r="C752" s="75"/>
      <c r="D752" s="29"/>
      <c r="E752" s="29"/>
      <c r="F752" s="29"/>
      <c r="G752" s="29"/>
      <c r="H752" s="27"/>
      <c r="I752" s="42"/>
      <c r="J752" s="42"/>
    </row>
    <row r="753" spans="1:10" x14ac:dyDescent="0.25">
      <c r="A753" s="29"/>
      <c r="B753" s="74"/>
      <c r="C753" s="75"/>
      <c r="D753" s="29"/>
      <c r="E753" s="29"/>
      <c r="F753" s="29"/>
      <c r="G753" s="29"/>
      <c r="H753" s="27"/>
      <c r="I753" s="42"/>
      <c r="J753" s="42"/>
    </row>
    <row r="754" spans="1:10" x14ac:dyDescent="0.25">
      <c r="A754" s="29"/>
      <c r="B754" s="74"/>
      <c r="C754" s="75"/>
      <c r="D754" s="29"/>
      <c r="E754" s="29"/>
      <c r="F754" s="29"/>
      <c r="G754" s="29"/>
      <c r="H754" s="27"/>
      <c r="I754" s="42"/>
      <c r="J754" s="42"/>
    </row>
    <row r="755" spans="1:10" x14ac:dyDescent="0.25">
      <c r="A755" s="29"/>
      <c r="B755" s="74"/>
      <c r="C755" s="75"/>
      <c r="D755" s="29"/>
      <c r="E755" s="29"/>
      <c r="F755" s="29"/>
      <c r="G755" s="29"/>
      <c r="H755" s="27"/>
      <c r="I755" s="42"/>
      <c r="J755" s="42"/>
    </row>
    <row r="756" spans="1:10" x14ac:dyDescent="0.25">
      <c r="A756" s="29"/>
      <c r="B756" s="74"/>
      <c r="C756" s="75"/>
      <c r="D756" s="29"/>
      <c r="E756" s="29"/>
      <c r="F756" s="29"/>
      <c r="G756" s="29"/>
      <c r="H756" s="27"/>
      <c r="I756" s="42"/>
      <c r="J756" s="42"/>
    </row>
    <row r="757" spans="1:10" x14ac:dyDescent="0.25">
      <c r="A757" s="29"/>
      <c r="B757" s="74"/>
      <c r="C757" s="75"/>
      <c r="D757" s="29"/>
      <c r="E757" s="29"/>
      <c r="F757" s="29"/>
      <c r="G757" s="29"/>
      <c r="H757" s="27"/>
      <c r="I757" s="42"/>
      <c r="J757" s="42"/>
    </row>
    <row r="758" spans="1:10" x14ac:dyDescent="0.25">
      <c r="A758" s="29"/>
      <c r="B758" s="74"/>
      <c r="C758" s="75"/>
      <c r="D758" s="29"/>
      <c r="E758" s="29"/>
      <c r="F758" s="29"/>
      <c r="G758" s="29"/>
      <c r="H758" s="27"/>
      <c r="I758" s="42"/>
      <c r="J758" s="42"/>
    </row>
    <row r="759" spans="1:10" x14ac:dyDescent="0.25">
      <c r="A759" s="29"/>
      <c r="B759" s="74"/>
      <c r="C759" s="75"/>
      <c r="D759" s="29"/>
      <c r="E759" s="29"/>
      <c r="F759" s="29"/>
      <c r="G759" s="29"/>
      <c r="H759" s="27"/>
      <c r="I759" s="42"/>
      <c r="J759" s="42"/>
    </row>
  </sheetData>
  <sheetProtection algorithmName="SHA-512" hashValue="Q53gxerVJXcQo6pfIt+1Xpq1qXIv22oCqX1CD7usJa+dzvT0f0QGaioahj6L/l1igzJVnu3apQDMIH5IGQsQrA==" saltValue="tu0D1MY7vc4iFQivVdHnpw==" spinCount="100000" sheet="1" objects="1" scenarios="1"/>
  <phoneticPr fontId="6" type="noConversion"/>
  <hyperlinks>
    <hyperlink ref="H2:I2" location="Instructions!A1" display="Return to Menu"/>
  </hyperlinks>
  <pageMargins left="0.75" right="0.75" top="1" bottom="1" header="0.5" footer="0.5"/>
  <pageSetup paperSize="9" orientation="portrait" verticalDpi="0"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Q34"/>
  <sheetViews>
    <sheetView topLeftCell="H1" zoomScale="75" workbookViewId="0">
      <selection activeCell="AB37" sqref="AB37"/>
    </sheetView>
  </sheetViews>
  <sheetFormatPr defaultRowHeight="13.2" x14ac:dyDescent="0.25"/>
  <cols>
    <col min="1" max="1" width="13.5546875" customWidth="1"/>
    <col min="2" max="2" width="12.88671875" customWidth="1"/>
    <col min="16" max="16" width="10.33203125" bestFit="1" customWidth="1"/>
    <col min="26" max="26" width="10.33203125" bestFit="1" customWidth="1"/>
    <col min="27" max="28" width="10.33203125" customWidth="1"/>
  </cols>
  <sheetData>
    <row r="1" spans="1:43" ht="15.6" x14ac:dyDescent="0.3">
      <c r="A1" s="80" t="s">
        <v>94</v>
      </c>
      <c r="B1" s="81" t="str">
        <f>Weather_Site!D2</f>
        <v>Nicholson Street Melbourne</v>
      </c>
      <c r="C1" s="81"/>
      <c r="D1" s="81"/>
      <c r="E1" s="81"/>
    </row>
    <row r="3" spans="1:43" x14ac:dyDescent="0.25">
      <c r="H3" t="s">
        <v>178</v>
      </c>
      <c r="J3" s="181" t="s">
        <v>171</v>
      </c>
      <c r="K3" s="182"/>
      <c r="L3" s="182"/>
      <c r="M3" s="182"/>
      <c r="N3" s="182"/>
      <c r="O3" s="182"/>
      <c r="P3" s="182"/>
      <c r="Q3" s="182"/>
      <c r="R3" s="182"/>
      <c r="S3" s="182"/>
      <c r="T3" s="182"/>
      <c r="U3" s="183"/>
      <c r="V3" s="182"/>
      <c r="W3" s="324" t="s">
        <v>684</v>
      </c>
      <c r="X3" s="325"/>
      <c r="Y3" s="325"/>
      <c r="Z3" s="325"/>
      <c r="AA3" s="325"/>
      <c r="AB3" s="325"/>
      <c r="AC3" s="325"/>
      <c r="AD3" s="326"/>
      <c r="AE3" s="325"/>
      <c r="AF3" s="329" t="s">
        <v>685</v>
      </c>
      <c r="AG3" s="330"/>
      <c r="AH3" s="330"/>
      <c r="AI3" s="330"/>
      <c r="AJ3" s="330"/>
      <c r="AK3" s="330"/>
      <c r="AL3" s="330"/>
      <c r="AM3" s="331"/>
      <c r="AN3" s="330"/>
      <c r="AO3" s="332" t="s">
        <v>44</v>
      </c>
      <c r="AP3" s="333"/>
      <c r="AQ3" s="333"/>
    </row>
    <row r="4" spans="1:43" ht="52.8" x14ac:dyDescent="0.25">
      <c r="A4" s="11" t="s">
        <v>28</v>
      </c>
      <c r="B4" s="11" t="s">
        <v>32</v>
      </c>
      <c r="C4" s="11" t="s">
        <v>27</v>
      </c>
      <c r="D4" s="11" t="s">
        <v>18</v>
      </c>
      <c r="E4" s="11" t="s">
        <v>19</v>
      </c>
      <c r="F4" s="11" t="s">
        <v>24</v>
      </c>
      <c r="G4" s="11" t="s">
        <v>20</v>
      </c>
      <c r="H4" s="92" t="s">
        <v>176</v>
      </c>
      <c r="I4" s="92" t="s">
        <v>177</v>
      </c>
      <c r="J4" s="215" t="s">
        <v>169</v>
      </c>
      <c r="K4" s="215" t="s">
        <v>170</v>
      </c>
      <c r="L4" s="645" t="s">
        <v>1039</v>
      </c>
      <c r="M4" s="645" t="s">
        <v>1038</v>
      </c>
      <c r="N4" s="645" t="s">
        <v>1121</v>
      </c>
      <c r="O4" s="645" t="s">
        <v>1122</v>
      </c>
      <c r="P4" s="256" t="s">
        <v>348</v>
      </c>
      <c r="Q4" s="216" t="s">
        <v>172</v>
      </c>
      <c r="R4" s="216" t="s">
        <v>173</v>
      </c>
      <c r="S4" s="216" t="s">
        <v>174</v>
      </c>
      <c r="T4" s="646" t="s">
        <v>1040</v>
      </c>
      <c r="U4" s="217" t="s">
        <v>175</v>
      </c>
      <c r="V4" s="218" t="s">
        <v>269</v>
      </c>
      <c r="W4" s="215" t="s">
        <v>169</v>
      </c>
      <c r="X4" s="215" t="s">
        <v>170</v>
      </c>
      <c r="Y4" s="645" t="s">
        <v>1039</v>
      </c>
      <c r="Z4" s="645" t="s">
        <v>1038</v>
      </c>
      <c r="AA4" s="645" t="s">
        <v>1121</v>
      </c>
      <c r="AB4" s="645" t="s">
        <v>1122</v>
      </c>
      <c r="AC4" s="216" t="s">
        <v>172</v>
      </c>
      <c r="AD4" s="216" t="s">
        <v>173</v>
      </c>
      <c r="AE4" s="216" t="s">
        <v>174</v>
      </c>
      <c r="AF4" s="327" t="s">
        <v>169</v>
      </c>
      <c r="AG4" s="327" t="s">
        <v>170</v>
      </c>
      <c r="AH4" s="171" t="s">
        <v>1039</v>
      </c>
      <c r="AI4" s="171" t="s">
        <v>1038</v>
      </c>
      <c r="AJ4" s="645" t="s">
        <v>1121</v>
      </c>
      <c r="AK4" s="645" t="s">
        <v>1122</v>
      </c>
      <c r="AL4" s="91" t="s">
        <v>172</v>
      </c>
      <c r="AM4" s="91" t="s">
        <v>173</v>
      </c>
      <c r="AN4" s="91" t="s">
        <v>174</v>
      </c>
      <c r="AO4" s="327" t="s">
        <v>169</v>
      </c>
      <c r="AP4" s="171" t="s">
        <v>1039</v>
      </c>
      <c r="AQ4" s="171" t="s">
        <v>1038</v>
      </c>
    </row>
    <row r="5" spans="1:43" x14ac:dyDescent="0.25">
      <c r="A5" s="29" t="str">
        <f>Weather_Site!A12</f>
        <v>Sun</v>
      </c>
      <c r="B5" s="74">
        <f>Weather_Site!B12</f>
        <v>44549</v>
      </c>
      <c r="C5" s="75">
        <f>Weather_Site!C12</f>
        <v>0.16666666666666666</v>
      </c>
      <c r="D5" s="29">
        <f>Weather_Site!D12</f>
        <v>23.9</v>
      </c>
      <c r="E5" s="29">
        <f>Weather_Site!E12</f>
        <v>24.2</v>
      </c>
      <c r="F5" s="29">
        <f>Weather_Site!F12</f>
        <v>36</v>
      </c>
      <c r="G5" s="29">
        <f>Weather_Site!G12</f>
        <v>16</v>
      </c>
      <c r="H5" s="33">
        <f>'Forest(McArthur)'!N9</f>
        <v>17.516068634932498</v>
      </c>
      <c r="I5" s="33">
        <f>Grass!I9</f>
        <v>4.769183619837289</v>
      </c>
      <c r="J5" s="349">
        <f>'Forest(McArthur)'!O9</f>
        <v>504.46277668605586</v>
      </c>
      <c r="K5" s="349">
        <f>'Forest(McArthur)'!AB9</f>
        <v>94.456126791723477</v>
      </c>
      <c r="L5" s="349">
        <f>'Forest(VESTA)'!P14</f>
        <v>463.1295601681332</v>
      </c>
      <c r="M5" s="349">
        <f>'DryForest(VESTA)'!P14</f>
        <v>717.4158158944482</v>
      </c>
      <c r="N5" s="349">
        <f>'VESTA Mk2 Dry'!Y14</f>
        <v>544.6294204430111</v>
      </c>
      <c r="O5" s="349">
        <f>'VESTA Mk2 Wet'!Z14</f>
        <v>62.406198338638454</v>
      </c>
      <c r="P5" s="349">
        <f>RedBook!AA14</f>
        <v>250.39947487644835</v>
      </c>
      <c r="Q5" s="350">
        <f>Grass!W9</f>
        <v>2861.0576319010665</v>
      </c>
      <c r="R5" s="350">
        <f>Grass!AB9</f>
        <v>2406.1876465394516</v>
      </c>
      <c r="S5" s="350">
        <f>Grass!AG9</f>
        <v>1201.6954690395235</v>
      </c>
      <c r="T5" s="350">
        <f>Heath!L9</f>
        <v>1558.6317492970104</v>
      </c>
      <c r="U5" s="351">
        <f>Buttongrass!M13</f>
        <v>734.10828302223717</v>
      </c>
      <c r="V5" s="352">
        <f>'WA Mallee'!J9</f>
        <v>1490.9765711465732</v>
      </c>
      <c r="W5" s="344">
        <f>'Forest(McArthur)'!S9</f>
        <v>6255.7420011284421</v>
      </c>
      <c r="X5" s="344">
        <f>'Forest(McArthur)'!AF9</f>
        <v>1133.4735215006817</v>
      </c>
      <c r="Y5" s="344">
        <f>'Forest(VESTA)'!T14</f>
        <v>5503.5229399979826</v>
      </c>
      <c r="Z5" s="344">
        <f>'DryForest(VESTA)'!T14</f>
        <v>8525.2912788790254</v>
      </c>
      <c r="AA5" s="344">
        <f>'VESTA Mk2 Dry'!AB14</f>
        <v>6472.0129462644491</v>
      </c>
      <c r="AB5" s="344">
        <f>'VESTA Mk2 Wet'!AC14</f>
        <v>1031.7824791988223</v>
      </c>
      <c r="AC5" s="345">
        <f>Grass!Z9</f>
        <v>8869.8508704196865</v>
      </c>
      <c r="AD5" s="345">
        <f>Grass!AE9</f>
        <v>4973.1086278677385</v>
      </c>
      <c r="AE5" s="345">
        <f>Grass!AJ9</f>
        <v>931.37407327908272</v>
      </c>
      <c r="AF5" s="346">
        <f>'Forest(McArthur)'!Q9</f>
        <v>10.318016096918726</v>
      </c>
      <c r="AG5" s="346">
        <f>'Forest(McArthur)'!AD9</f>
        <v>4.0395286999550422</v>
      </c>
      <c r="AH5" s="346">
        <f>'Forest(VESTA)'!R14</f>
        <v>2.7240745726522704</v>
      </c>
      <c r="AI5" s="346">
        <f>'DryForest(VESTA)'!R14</f>
        <v>3.9996524592017386</v>
      </c>
      <c r="AJ5" s="346">
        <f>'VESTA Mk2 Dry'!Z14</f>
        <v>3.2771849759187091</v>
      </c>
      <c r="AK5" s="346">
        <f>'VESTA Mk2 Wet'!AA14</f>
        <v>1.4749852256325278</v>
      </c>
      <c r="AL5" s="346">
        <f>Grass!Y9</f>
        <v>2.4672513724423046</v>
      </c>
      <c r="AM5" s="346">
        <f>Grass!AD9</f>
        <v>1.0260268418921605</v>
      </c>
      <c r="AN5" s="346">
        <f>Grass!AI9</f>
        <v>0.29706655240431923</v>
      </c>
      <c r="AO5" s="347">
        <f>'Forest(McArthur)'!R9</f>
        <v>1344.0752596454968</v>
      </c>
      <c r="AP5" s="348">
        <f>'Forest(VESTA)'!S14</f>
        <v>496.96902884209157</v>
      </c>
      <c r="AQ5" s="348">
        <f>'DryForest(VESTA)'!S14</f>
        <v>1248.3335095753946</v>
      </c>
    </row>
    <row r="6" spans="1:43" x14ac:dyDescent="0.25">
      <c r="A6" s="29" t="str">
        <f>Weather_Site!A13</f>
        <v>Sun</v>
      </c>
      <c r="B6" s="74">
        <f>Weather_Site!B13</f>
        <v>44549</v>
      </c>
      <c r="C6" s="75">
        <f>Weather_Site!C13</f>
        <v>0.20833333333333334</v>
      </c>
      <c r="D6" s="29">
        <f>Weather_Site!D13</f>
        <v>23.6</v>
      </c>
      <c r="E6" s="29">
        <f>Weather_Site!E13</f>
        <v>24.4</v>
      </c>
      <c r="F6" s="29">
        <f>Weather_Site!F13</f>
        <v>312</v>
      </c>
      <c r="G6" s="29">
        <f>Weather_Site!G13</f>
        <v>13</v>
      </c>
      <c r="H6" s="33">
        <f>'Forest(McArthur)'!N10</f>
        <v>16.052725806631802</v>
      </c>
      <c r="I6" s="33">
        <f>Grass!I10</f>
        <v>3.6549925669318051</v>
      </c>
      <c r="J6" s="349">
        <f>'Forest(McArthur)'!O10</f>
        <v>462.31850323099587</v>
      </c>
      <c r="K6" s="349">
        <f>'Forest(McArthur)'!AB10</f>
        <v>84.69024805794605</v>
      </c>
      <c r="L6" s="349">
        <f>'Forest(VESTA)'!P15</f>
        <v>351.13094012633343</v>
      </c>
      <c r="M6" s="349">
        <f>'DryForest(VESTA)'!P15</f>
        <v>546.92721532221162</v>
      </c>
      <c r="N6" s="349">
        <f>'VESTA Mk2 Dry'!Y15</f>
        <v>435.44892782579507</v>
      </c>
      <c r="O6" s="349">
        <f>'VESTA Mk2 Wet'!Z15</f>
        <v>47.694127625686107</v>
      </c>
      <c r="P6" s="349">
        <f>RedBook!AA15</f>
        <v>172.69003251437766</v>
      </c>
      <c r="Q6" s="350">
        <f>Grass!W10</f>
        <v>2287.354348939044</v>
      </c>
      <c r="R6" s="350">
        <f>Grass!AB10</f>
        <v>1917.0143136408449</v>
      </c>
      <c r="S6" s="350">
        <f>Grass!AG10</f>
        <v>957.44825369375405</v>
      </c>
      <c r="T6" s="350">
        <f>Heath!L10</f>
        <v>1284.1914912893872</v>
      </c>
      <c r="U6" s="351">
        <f>Buttongrass!M14</f>
        <v>557.99838371931412</v>
      </c>
      <c r="V6" s="352">
        <f>'WA Mallee'!J10</f>
        <v>1198.9066172194846</v>
      </c>
      <c r="W6" s="344">
        <f>'Forest(McArthur)'!S10</f>
        <v>5733.1192948669341</v>
      </c>
      <c r="X6" s="344">
        <f>'Forest(McArthur)'!AF10</f>
        <v>1016.2829766953525</v>
      </c>
      <c r="Y6" s="344">
        <f>'Forest(VESTA)'!T15</f>
        <v>4172.6060051679287</v>
      </c>
      <c r="Z6" s="344">
        <f>'DryForest(VESTA)'!T15</f>
        <v>6499.3184087456148</v>
      </c>
      <c r="AA6" s="344">
        <f>'VESTA Mk2 Dry'!AB15</f>
        <v>5174.5847589965315</v>
      </c>
      <c r="AB6" s="344">
        <f>'VESTA Mk2 Wet'!AC15</f>
        <v>788.54291007801032</v>
      </c>
      <c r="AC6" s="345">
        <f>Grass!Z10</f>
        <v>7091.2559525808247</v>
      </c>
      <c r="AD6" s="345">
        <f>Grass!AE10</f>
        <v>3962.0851834328987</v>
      </c>
      <c r="AE6" s="345">
        <f>Grass!AJ10</f>
        <v>742.07026902534415</v>
      </c>
      <c r="AF6" s="346">
        <f>'Forest(McArthur)'!Q10</f>
        <v>9.7701405420029452</v>
      </c>
      <c r="AG6" s="346">
        <f>'Forest(McArthur)'!AD10</f>
        <v>3.6918066982323401</v>
      </c>
      <c r="AH6" s="346">
        <f>'Forest(VESTA)'!R15</f>
        <v>2.2299249283226392</v>
      </c>
      <c r="AI6" s="346">
        <f>'DryForest(VESTA)'!R15</f>
        <v>3.2871756782671206</v>
      </c>
      <c r="AJ6" s="346">
        <f>'VESTA Mk2 Dry'!Z15</f>
        <v>2.7877349218492777</v>
      </c>
      <c r="AK6" s="346">
        <f>'VESTA Mk2 Wet'!AA15</f>
        <v>1.2144178809541324</v>
      </c>
      <c r="AL6" s="346">
        <f>Grass!Y10</f>
        <v>2.3025170469990059</v>
      </c>
      <c r="AM6" s="346">
        <f>Grass!AD10</f>
        <v>0.95600081965800343</v>
      </c>
      <c r="AN6" s="346">
        <f>Grass!AI10</f>
        <v>0.28051149831498062</v>
      </c>
      <c r="AO6" s="347">
        <f>'Forest(McArthur)'!R10</f>
        <v>1201.7119039143042</v>
      </c>
      <c r="AP6" s="348">
        <f>'Forest(VESTA)'!S15</f>
        <v>198.71513771077116</v>
      </c>
      <c r="AQ6" s="348">
        <f>'DryForest(VESTA)'!S15</f>
        <v>843.31939293284358</v>
      </c>
    </row>
    <row r="7" spans="1:43" x14ac:dyDescent="0.25">
      <c r="A7" s="29" t="str">
        <f>Weather_Site!A14</f>
        <v>Sun</v>
      </c>
      <c r="B7" s="74">
        <f>Weather_Site!B14</f>
        <v>44549</v>
      </c>
      <c r="C7" s="75">
        <f>Weather_Site!C14</f>
        <v>0.25</v>
      </c>
      <c r="D7" s="29">
        <f>Weather_Site!D14</f>
        <v>22.7</v>
      </c>
      <c r="E7" s="29">
        <f>Weather_Site!E14</f>
        <v>27.3</v>
      </c>
      <c r="F7" s="29">
        <f>Weather_Site!F14</f>
        <v>336</v>
      </c>
      <c r="G7" s="29">
        <f>Weather_Site!G14</f>
        <v>16</v>
      </c>
      <c r="H7" s="33">
        <f>'Forest(McArthur)'!N11</f>
        <v>15.113806553321199</v>
      </c>
      <c r="I7" s="33">
        <f>Grass!I11</f>
        <v>4.312862654511739</v>
      </c>
      <c r="J7" s="349">
        <f>'Forest(McArthur)'!O11</f>
        <v>435.27762873565052</v>
      </c>
      <c r="K7" s="349">
        <f>'Forest(McArthur)'!AB11</f>
        <v>80.842616623354502</v>
      </c>
      <c r="L7" s="349">
        <f>'Forest(VESTA)'!P16</f>
        <v>402.31192319548182</v>
      </c>
      <c r="M7" s="349">
        <f>'DryForest(VESTA)'!P16</f>
        <v>622.13642782151999</v>
      </c>
      <c r="N7" s="349">
        <f>'VESTA Mk2 Dry'!Y16</f>
        <v>503.35036773223078</v>
      </c>
      <c r="O7" s="349">
        <f>'VESTA Mk2 Wet'!Z16</f>
        <v>57.758840114032495</v>
      </c>
      <c r="P7" s="349">
        <f>RedBook!AA16</f>
        <v>231.46772677049148</v>
      </c>
      <c r="Q7" s="350">
        <f>Grass!W11</f>
        <v>2665.4115616576478</v>
      </c>
      <c r="R7" s="350">
        <f>Grass!AB11</f>
        <v>2241.646690752797</v>
      </c>
      <c r="S7" s="350">
        <f>Grass!AG11</f>
        <v>1119.5206140049936</v>
      </c>
      <c r="T7" s="350">
        <f>Heath!L11</f>
        <v>1486.9941786092566</v>
      </c>
      <c r="U7" s="351">
        <f>Buttongrass!M15</f>
        <v>727.09147641673098</v>
      </c>
      <c r="V7" s="352">
        <f>'WA Mallee'!J11</f>
        <v>1490.9765711465732</v>
      </c>
      <c r="W7" s="344">
        <f>'Forest(McArthur)'!S11</f>
        <v>5397.7908184250555</v>
      </c>
      <c r="X7" s="344">
        <f>'Forest(McArthur)'!AF11</f>
        <v>970.11139948025414</v>
      </c>
      <c r="Y7" s="344">
        <f>'Forest(VESTA)'!T16</f>
        <v>4780.806687306309</v>
      </c>
      <c r="Z7" s="344">
        <f>'DryForest(VESTA)'!T16</f>
        <v>7393.0545506123963</v>
      </c>
      <c r="AA7" s="344">
        <f>'VESTA Mk2 Dry'!AB16</f>
        <v>5981.4802032180096</v>
      </c>
      <c r="AB7" s="344">
        <f>'VESTA Mk2 Wet'!AC16</f>
        <v>954.94615655200391</v>
      </c>
      <c r="AC7" s="345">
        <f>Grass!Z11</f>
        <v>8263.3089234510408</v>
      </c>
      <c r="AD7" s="345">
        <f>Grass!AE11</f>
        <v>4633.0353804478809</v>
      </c>
      <c r="AE7" s="345">
        <f>Grass!AJ11</f>
        <v>867.68445188457042</v>
      </c>
      <c r="AF7" s="346">
        <f>'Forest(McArthur)'!Q11</f>
        <v>9.4186091735634569</v>
      </c>
      <c r="AG7" s="346">
        <f>'Forest(McArthur)'!AD11</f>
        <v>3.5517335332918085</v>
      </c>
      <c r="AH7" s="346">
        <f>'Forest(VESTA)'!R16</f>
        <v>2.4604529417569716</v>
      </c>
      <c r="AI7" s="346">
        <f>'DryForest(VESTA)'!R16</f>
        <v>3.6081050439606508</v>
      </c>
      <c r="AJ7" s="346">
        <f>'VESTA Mk2 Dry'!Z16</f>
        <v>3.0956521450034753</v>
      </c>
      <c r="AK7" s="346">
        <f>'VESTA Mk2 Wet'!AA16</f>
        <v>1.3947236735641697</v>
      </c>
      <c r="AL7" s="346">
        <f>Grass!Y11</f>
        <v>2.41390376506686</v>
      </c>
      <c r="AM7" s="346">
        <f>Grass!AD11</f>
        <v>1.0036729984187314</v>
      </c>
      <c r="AN7" s="346">
        <f>Grass!AI11</f>
        <v>0.29168757980767562</v>
      </c>
      <c r="AO7" s="347">
        <f>'Forest(McArthur)'!R11</f>
        <v>1110.3678298690274</v>
      </c>
      <c r="AP7" s="348">
        <f>'Forest(VESTA)'!S16</f>
        <v>303.23564919270393</v>
      </c>
      <c r="AQ7" s="348">
        <f>'DryForest(VESTA)'!S16</f>
        <v>978.77768819818857</v>
      </c>
    </row>
    <row r="8" spans="1:43" x14ac:dyDescent="0.25">
      <c r="A8" s="29" t="str">
        <f>Weather_Site!A15</f>
        <v>Sun</v>
      </c>
      <c r="B8" s="74">
        <f>Weather_Site!B15</f>
        <v>44549</v>
      </c>
      <c r="C8" s="75">
        <f>Weather_Site!C15</f>
        <v>0.29166666666666669</v>
      </c>
      <c r="D8" s="29">
        <f>Weather_Site!D15</f>
        <v>23</v>
      </c>
      <c r="E8" s="29">
        <f>Weather_Site!E15</f>
        <v>28.2</v>
      </c>
      <c r="F8" s="29">
        <f>Weather_Site!F15</f>
        <v>2</v>
      </c>
      <c r="G8" s="29">
        <f>Weather_Site!G15</f>
        <v>25</v>
      </c>
      <c r="H8" s="33">
        <f>'Forest(McArthur)'!N12</f>
        <v>11.630344477962781</v>
      </c>
      <c r="I8" s="33">
        <f>Grass!I12</f>
        <v>8.1112405568192543</v>
      </c>
      <c r="J8" s="349">
        <f>'Forest(McArthur)'!O12</f>
        <v>334.95392096532805</v>
      </c>
      <c r="K8" s="349">
        <f>'Forest(McArthur)'!AB12</f>
        <v>67.003207550027156</v>
      </c>
      <c r="L8" s="349">
        <f>'Forest(VESTA)'!P17</f>
        <v>649.13682396262016</v>
      </c>
      <c r="M8" s="349">
        <f>'DryForest(VESTA)'!P17</f>
        <v>987.64814206906931</v>
      </c>
      <c r="N8" s="349">
        <f>'VESTA Mk2 Dry'!Y17</f>
        <v>764.66994086439252</v>
      </c>
      <c r="O8" s="349">
        <f>'VESTA Mk2 Wet'!Z17</f>
        <v>92.73719350997635</v>
      </c>
      <c r="P8" s="349">
        <f>RedBook!AA17</f>
        <v>670.82754194916356</v>
      </c>
      <c r="Q8" s="350">
        <f>Grass!W12</f>
        <v>4070.4569780538691</v>
      </c>
      <c r="R8" s="350">
        <f>Grass!AB12</f>
        <v>3440.6835238925878</v>
      </c>
      <c r="S8" s="350">
        <f>Grass!AG12</f>
        <v>1718.1987426433243</v>
      </c>
      <c r="T8" s="350">
        <f>Heath!L12</f>
        <v>2212.5498218712564</v>
      </c>
      <c r="U8" s="351">
        <f>Buttongrass!M16</f>
        <v>1272.5843192295094</v>
      </c>
      <c r="V8" s="352">
        <f>'WA Mallee'!J12</f>
        <v>2382.2198901132897</v>
      </c>
      <c r="W8" s="344">
        <f>'Forest(McArthur)'!S12</f>
        <v>2628.3818892999611</v>
      </c>
      <c r="X8" s="344">
        <f>'Forest(McArthur)'!AF12</f>
        <v>518.54290579921064</v>
      </c>
      <c r="Y8" s="344">
        <f>'Forest(VESTA)'!T17</f>
        <v>7713.9092580891356</v>
      </c>
      <c r="Z8" s="344">
        <f>'DryForest(VESTA)'!T17</f>
        <v>11736.552088254106</v>
      </c>
      <c r="AA8" s="344">
        <f>'VESTA Mk2 Dry'!AB17</f>
        <v>9086.8277972718643</v>
      </c>
      <c r="AB8" s="344">
        <f>'VESTA Mk2 Wet'!AC17</f>
        <v>1533.2549326982758</v>
      </c>
      <c r="AC8" s="345">
        <f>Grass!Z12</f>
        <v>12619.230723362605</v>
      </c>
      <c r="AD8" s="345">
        <f>Grass!AE12</f>
        <v>7111.2047071812012</v>
      </c>
      <c r="AE8" s="345">
        <f>Grass!AJ12</f>
        <v>1331.6899354857085</v>
      </c>
      <c r="AF8" s="346">
        <f>'Forest(McArthur)'!Q12</f>
        <v>8.1144009725492658</v>
      </c>
      <c r="AG8" s="346">
        <f>'Forest(McArthur)'!AD12</f>
        <v>2.158915411190018</v>
      </c>
      <c r="AH8" s="346">
        <f>'Forest(VESTA)'!R17</f>
        <v>3.4772441873693594</v>
      </c>
      <c r="AI8" s="346">
        <f>'DryForest(VESTA)'!R17</f>
        <v>5.0396141768130995</v>
      </c>
      <c r="AJ8" s="346">
        <f>'VESTA Mk2 Dry'!Z17</f>
        <v>4.1884330393764175</v>
      </c>
      <c r="AK8" s="346">
        <f>'VESTA Mk2 Wet'!AA17</f>
        <v>1.9640956260801894</v>
      </c>
      <c r="AL8" s="346">
        <f>Grass!Y12</f>
        <v>2.7503693593038165</v>
      </c>
      <c r="AM8" s="346">
        <f>Grass!AD12</f>
        <v>1.1466568155726009</v>
      </c>
      <c r="AN8" s="346">
        <f>Grass!AI12</f>
        <v>0.32777160953832835</v>
      </c>
      <c r="AO8" s="347">
        <f>'Forest(McArthur)'!R12</f>
        <v>771.47434502087822</v>
      </c>
      <c r="AP8" s="348">
        <f>'Forest(VESTA)'!S17</f>
        <v>856.8138619618644</v>
      </c>
      <c r="AQ8" s="348">
        <f>'DryForest(VESTA)'!S17</f>
        <v>1686.7622805084457</v>
      </c>
    </row>
    <row r="9" spans="1:43" x14ac:dyDescent="0.25">
      <c r="A9" s="29" t="str">
        <f>Weather_Site!A16</f>
        <v>Sun</v>
      </c>
      <c r="B9" s="74">
        <f>Weather_Site!B16</f>
        <v>44549</v>
      </c>
      <c r="C9" s="75">
        <f>Weather_Site!C16</f>
        <v>0.33333333333333331</v>
      </c>
      <c r="D9" s="29">
        <f>Weather_Site!D16</f>
        <v>25.3</v>
      </c>
      <c r="E9" s="29">
        <f>Weather_Site!E16</f>
        <v>26</v>
      </c>
      <c r="F9" s="29">
        <f>Weather_Site!F16</f>
        <v>0</v>
      </c>
      <c r="G9" s="29">
        <f>Weather_Site!G16</f>
        <v>32</v>
      </c>
      <c r="H9" s="33">
        <f>'Forest(McArthur)'!N13</f>
        <v>10.451540328813513</v>
      </c>
      <c r="I9" s="33">
        <f>Grass!I13</f>
        <v>13.808538065479651</v>
      </c>
      <c r="J9" s="349">
        <f>'Forest(McArthur)'!O13</f>
        <v>301.00436146982918</v>
      </c>
      <c r="K9" s="349">
        <f>'Forest(McArthur)'!AB13</f>
        <v>79.82302896129039</v>
      </c>
      <c r="L9" s="349">
        <f>'Forest(VESTA)'!P18</f>
        <v>974.71340734836269</v>
      </c>
      <c r="M9" s="349">
        <f>'DryForest(VESTA)'!P18</f>
        <v>1467.6770928443459</v>
      </c>
      <c r="N9" s="349">
        <f>'VESTA Mk2 Dry'!Y18</f>
        <v>1219.2833276841027</v>
      </c>
      <c r="O9" s="349">
        <f>'VESTA Mk2 Wet'!Z18</f>
        <v>126.83239272202384</v>
      </c>
      <c r="P9" s="349">
        <f>RedBook!AA18</f>
        <v>0</v>
      </c>
      <c r="Q9" s="350">
        <f>Grass!W13</f>
        <v>5536.3780715882176</v>
      </c>
      <c r="R9" s="350">
        <f>Grass!AB13</f>
        <v>4688.7138967406154</v>
      </c>
      <c r="S9" s="350">
        <f>Grass!AG13</f>
        <v>2341.3633651841342</v>
      </c>
      <c r="T9" s="350">
        <f>Heath!L13</f>
        <v>2895.5859375155169</v>
      </c>
      <c r="U9" s="351">
        <f>Buttongrass!M17</f>
        <v>1826.9334103864537</v>
      </c>
      <c r="V9" s="352">
        <f>'WA Mallee'!J13</f>
        <v>3087.1114927546705</v>
      </c>
      <c r="W9" s="344">
        <f>'Forest(McArthur)'!S13</f>
        <v>1536.6478288092753</v>
      </c>
      <c r="X9" s="344">
        <f>'Forest(McArthur)'!AF13</f>
        <v>492.76228757004719</v>
      </c>
      <c r="Y9" s="344">
        <f>'Forest(VESTA)'!T18</f>
        <v>11582.844323989711</v>
      </c>
      <c r="Z9" s="344">
        <f>'DryForest(VESTA)'!T18</f>
        <v>17440.896119966979</v>
      </c>
      <c r="AA9" s="344">
        <f>'VESTA Mk2 Dry'!AB18</f>
        <v>14489.150210646087</v>
      </c>
      <c r="AB9" s="344">
        <f>'VESTA Mk2 Wet'!AC18</f>
        <v>2096.9622263374613</v>
      </c>
      <c r="AC9" s="345">
        <f>Grass!Z13</f>
        <v>17163.879297537791</v>
      </c>
      <c r="AD9" s="345">
        <f>Grass!AE13</f>
        <v>9690.633881783504</v>
      </c>
      <c r="AE9" s="345">
        <f>Grass!AJ13</f>
        <v>1814.6736761859634</v>
      </c>
      <c r="AF9" s="346">
        <f>'Forest(McArthur)'!Q13</f>
        <v>7.6730566991077787</v>
      </c>
      <c r="AG9" s="346">
        <f>'Forest(McArthur)'!AD13</f>
        <v>2.09492527039622</v>
      </c>
      <c r="AH9" s="346">
        <f>'Forest(VESTA)'!R18</f>
        <v>4.6652412961187704</v>
      </c>
      <c r="AI9" s="346">
        <f>'DryForest(VESTA)'!R18</f>
        <v>6.7107911702995962</v>
      </c>
      <c r="AJ9" s="346">
        <f>'VESTA Mk2 Dry'!Z18</f>
        <v>5.8688567989964504</v>
      </c>
      <c r="AK9" s="346">
        <f>'VESTA Mk2 Wet'!AA18</f>
        <v>2.46305124539357</v>
      </c>
      <c r="AL9" s="346">
        <f>Grass!Y13</f>
        <v>3.0230061909644168</v>
      </c>
      <c r="AM9" s="346">
        <f>Grass!AD13</f>
        <v>1.2623290948568198</v>
      </c>
      <c r="AN9" s="346">
        <f>Grass!AI13</f>
        <v>0.36032713021757734</v>
      </c>
      <c r="AO9" s="347">
        <f>'Forest(McArthur)'!R13</f>
        <v>656.79273304508297</v>
      </c>
      <c r="AP9" s="348">
        <f>'Forest(VESTA)'!S18</f>
        <v>1522.7075750573804</v>
      </c>
      <c r="AQ9" s="348">
        <f>'DryForest(VESTA)'!S18</f>
        <v>2509.9685240642984</v>
      </c>
    </row>
    <row r="10" spans="1:43" x14ac:dyDescent="0.25">
      <c r="A10" s="29" t="str">
        <f>Weather_Site!A17</f>
        <v>Sun</v>
      </c>
      <c r="B10" s="74">
        <f>Weather_Site!B17</f>
        <v>44549</v>
      </c>
      <c r="C10" s="75">
        <f>Weather_Site!C17</f>
        <v>0.375</v>
      </c>
      <c r="D10" s="29">
        <f>Weather_Site!D17</f>
        <v>27.7</v>
      </c>
      <c r="E10" s="29">
        <f>Weather_Site!E17</f>
        <v>28</v>
      </c>
      <c r="F10" s="29">
        <f>Weather_Site!F17</f>
        <v>328</v>
      </c>
      <c r="G10" s="29">
        <f>Weather_Site!G17</f>
        <v>27</v>
      </c>
      <c r="H10" s="33">
        <f>'Forest(McArthur)'!N14</f>
        <v>17.868097771207069</v>
      </c>
      <c r="I10" s="33">
        <f>Grass!I14</f>
        <v>10.520777953510073</v>
      </c>
      <c r="J10" s="349">
        <f>'Forest(McArthur)'!O14</f>
        <v>514.60121581076362</v>
      </c>
      <c r="K10" s="349" t="e">
        <f>'Forest(McArthur)'!AB14</f>
        <v>#NUM!</v>
      </c>
      <c r="L10" s="349">
        <f>'Forest(VESTA)'!P19</f>
        <v>0</v>
      </c>
      <c r="M10" s="349">
        <f>'DryForest(VESTA)'!P19</f>
        <v>0</v>
      </c>
      <c r="N10" s="349">
        <f>'VESTA Mk2 Dry'!Y19</f>
        <v>886.11546881082404</v>
      </c>
      <c r="O10" s="349">
        <f>'VESTA Mk2 Wet'!Z19</f>
        <v>0</v>
      </c>
      <c r="P10" s="349">
        <f>RedBook!AA19</f>
        <v>0</v>
      </c>
      <c r="Q10" s="350">
        <f>Grass!W14</f>
        <v>4843.3669883215671</v>
      </c>
      <c r="R10" s="350">
        <f>Grass!AB14</f>
        <v>4096.6571815186589</v>
      </c>
      <c r="S10" s="350">
        <f>Grass!AG14</f>
        <v>2045.7552551092513</v>
      </c>
      <c r="T10" s="350">
        <f>Heath!L14</f>
        <v>2465.3834752308758</v>
      </c>
      <c r="U10" s="351">
        <f>Buttongrass!M18</f>
        <v>0</v>
      </c>
      <c r="V10" s="352">
        <f>'WA Mallee'!J14</f>
        <v>0</v>
      </c>
      <c r="W10" s="344">
        <f>'Forest(McArthur)'!S14</f>
        <v>5030.2164945066197</v>
      </c>
      <c r="X10" s="344" t="e">
        <f>'Forest(McArthur)'!AF14</f>
        <v>#NUM!</v>
      </c>
      <c r="Y10" s="344">
        <f>'Forest(VESTA)'!T19</f>
        <v>0</v>
      </c>
      <c r="Z10" s="344">
        <f>'DryForest(VESTA)'!T19</f>
        <v>0</v>
      </c>
      <c r="AA10" s="344">
        <f>'VESTA Mk2 Dry'!AB19</f>
        <v>10530.005487701959</v>
      </c>
      <c r="AB10" s="344">
        <f>'VESTA Mk2 Wet'!AC19</f>
        <v>0</v>
      </c>
      <c r="AC10" s="345">
        <f>Grass!Z14</f>
        <v>15015.406337194523</v>
      </c>
      <c r="AD10" s="345">
        <f>Grass!AE14</f>
        <v>8466.9710627627646</v>
      </c>
      <c r="AE10" s="345">
        <f>Grass!AJ14</f>
        <v>1585.5626104724254</v>
      </c>
      <c r="AF10" s="346">
        <f>'Forest(McArthur)'!Q14</f>
        <v>10.449815805539927</v>
      </c>
      <c r="AG10" s="346" t="e">
        <f>'Forest(McArthur)'!AD14</f>
        <v>#NUM!</v>
      </c>
      <c r="AH10" s="346">
        <f>'Forest(VESTA)'!R19</f>
        <v>0</v>
      </c>
      <c r="AI10" s="346">
        <f>'DryForest(VESTA)'!R19</f>
        <v>0</v>
      </c>
      <c r="AJ10" s="346">
        <f>'VESTA Mk2 Dry'!Z19</f>
        <v>4.6594575707134025</v>
      </c>
      <c r="AK10" s="346">
        <f>'VESTA Mk2 Wet'!AA19</f>
        <v>0</v>
      </c>
      <c r="AL10" s="346">
        <f>Grass!Y14</f>
        <v>2.9013881088448858</v>
      </c>
      <c r="AM10" s="346">
        <f>Grass!AD14</f>
        <v>1.2105205090095963</v>
      </c>
      <c r="AN10" s="346">
        <f>Grass!AI14</f>
        <v>0.34532905558922061</v>
      </c>
      <c r="AO10" s="347">
        <f>'Forest(McArthur)'!R14</f>
        <v>1378.3229070087596</v>
      </c>
      <c r="AP10" s="348">
        <f>'Forest(VESTA)'!S19</f>
        <v>0</v>
      </c>
      <c r="AQ10" s="348">
        <f>'DryForest(VESTA)'!S19</f>
        <v>0</v>
      </c>
    </row>
    <row r="11" spans="1:43" x14ac:dyDescent="0.25">
      <c r="A11" s="29" t="str">
        <f>Weather_Site!A18</f>
        <v>Sun</v>
      </c>
      <c r="B11" s="74">
        <f>Weather_Site!B18</f>
        <v>44549</v>
      </c>
      <c r="C11" s="75">
        <f>Weather_Site!C18</f>
        <v>0.41666666666666669</v>
      </c>
      <c r="D11" s="29">
        <f>Weather_Site!D18</f>
        <v>28.9</v>
      </c>
      <c r="E11" s="29">
        <f>Weather_Site!E18</f>
        <v>31.9</v>
      </c>
      <c r="F11" s="29">
        <f>Weather_Site!F18</f>
        <v>328</v>
      </c>
      <c r="G11" s="29">
        <f>Weather_Site!G18</f>
        <v>42</v>
      </c>
      <c r="H11" s="33">
        <f>'Forest(McArthur)'!N15</f>
        <v>23.104487791241652</v>
      </c>
      <c r="I11" s="33">
        <f>Grass!I15</f>
        <v>0</v>
      </c>
      <c r="J11" s="349">
        <f>'Forest(McArthur)'!O15</f>
        <v>665.40924838775948</v>
      </c>
      <c r="K11" s="349" t="e">
        <f>'Forest(McArthur)'!AB15</f>
        <v>#NUM!</v>
      </c>
      <c r="L11" s="349">
        <f>'Forest(VESTA)'!P20</f>
        <v>0</v>
      </c>
      <c r="M11" s="349">
        <f>'DryForest(VESTA)'!P20</f>
        <v>0</v>
      </c>
      <c r="N11" s="349">
        <f>'VESTA Mk2 Dry'!Y20</f>
        <v>1724.8975861921947</v>
      </c>
      <c r="O11" s="349"/>
      <c r="P11" s="349">
        <f>RedBook!AA20</f>
        <v>0</v>
      </c>
      <c r="Q11" s="350">
        <f>Grass!W15</f>
        <v>0</v>
      </c>
      <c r="R11" s="350">
        <f>Grass!AB15</f>
        <v>0</v>
      </c>
      <c r="S11" s="350">
        <f>Grass!AG15</f>
        <v>0</v>
      </c>
      <c r="T11" s="350">
        <f>Heath!L15</f>
        <v>0</v>
      </c>
      <c r="U11" s="351">
        <f>Buttongrass!M19</f>
        <v>0</v>
      </c>
      <c r="V11" s="352">
        <f>'WA Mallee'!J15</f>
        <v>0</v>
      </c>
      <c r="W11" s="344">
        <f>'Forest(McArthur)'!S15</f>
        <v>6504.3619680607635</v>
      </c>
      <c r="X11" s="344" t="e">
        <f>'Forest(McArthur)'!AF15</f>
        <v>#NUM!</v>
      </c>
      <c r="Y11" s="344">
        <f>'Forest(VESTA)'!T20</f>
        <v>0</v>
      </c>
      <c r="Z11" s="344">
        <f>'DryForest(VESTA)'!T20</f>
        <v>0</v>
      </c>
      <c r="AA11" s="344">
        <f>'VESTA Mk2 Dry'!AB20</f>
        <v>20497.532982583914</v>
      </c>
      <c r="AB11" s="344">
        <f>'VESTA Mk2 Wet'!AC20</f>
        <v>0</v>
      </c>
      <c r="AC11" s="345">
        <f>Grass!Z15</f>
        <v>0</v>
      </c>
      <c r="AD11" s="345">
        <f>Grass!AE15</f>
        <v>0</v>
      </c>
      <c r="AE11" s="345">
        <f>Grass!AJ15</f>
        <v>0</v>
      </c>
      <c r="AF11" s="346">
        <f>'Forest(McArthur)'!Q15</f>
        <v>12.410320229040874</v>
      </c>
      <c r="AG11" s="346" t="e">
        <f>'Forest(McArthur)'!AD15</f>
        <v>#NUM!</v>
      </c>
      <c r="AH11" s="346">
        <f>'Forest(VESTA)'!R20</f>
        <v>0</v>
      </c>
      <c r="AI11" s="346">
        <f>'DryForest(VESTA)'!R20</f>
        <v>0</v>
      </c>
      <c r="AJ11" s="346">
        <f>'VESTA Mk2 Dry'!Z20</f>
        <v>7.5418820798800006</v>
      </c>
      <c r="AK11" s="346">
        <f>'VESTA Mk2 Wet'!AA20</f>
        <v>0</v>
      </c>
      <c r="AL11" s="346">
        <f>Grass!Y15</f>
        <v>0</v>
      </c>
      <c r="AM11" s="346">
        <f>Grass!AD15</f>
        <v>0</v>
      </c>
      <c r="AN11" s="346">
        <f>Grass!AI15</f>
        <v>0</v>
      </c>
      <c r="AO11" s="347">
        <f>'Forest(McArthur)'!R15</f>
        <v>1887.752441053852</v>
      </c>
      <c r="AP11" s="348">
        <f>'Forest(VESTA)'!S20</f>
        <v>0</v>
      </c>
      <c r="AQ11" s="348">
        <f>'DryForest(VESTA)'!S20</f>
        <v>0</v>
      </c>
    </row>
    <row r="12" spans="1:43" x14ac:dyDescent="0.25">
      <c r="A12" s="29" t="str">
        <f>Weather_Site!A19</f>
        <v>Sun</v>
      </c>
      <c r="B12" s="74">
        <f>Weather_Site!B19</f>
        <v>44549</v>
      </c>
      <c r="C12" s="75">
        <f>Weather_Site!C19</f>
        <v>0.45833333333333331</v>
      </c>
      <c r="D12" s="29">
        <f>Weather_Site!D19</f>
        <v>29.1</v>
      </c>
      <c r="E12" s="29">
        <f>Weather_Site!E19</f>
        <v>35.1</v>
      </c>
      <c r="F12" s="29">
        <f>Weather_Site!F19</f>
        <v>326</v>
      </c>
      <c r="G12" s="29">
        <f>Weather_Site!G19</f>
        <v>43</v>
      </c>
      <c r="H12" s="33">
        <f>'Forest(McArthur)'!N16</f>
        <v>21.323012217901439</v>
      </c>
      <c r="I12" s="33">
        <f>Grass!I16</f>
        <v>0</v>
      </c>
      <c r="J12" s="349">
        <f>'Forest(McArthur)'!O16</f>
        <v>614.10275187556135</v>
      </c>
      <c r="K12" s="349" t="e">
        <f>'Forest(McArthur)'!AB16</f>
        <v>#NUM!</v>
      </c>
      <c r="L12" s="349">
        <f>'Forest(VESTA)'!P21</f>
        <v>0</v>
      </c>
      <c r="M12" s="349">
        <f>'DryForest(VESTA)'!P21</f>
        <v>0</v>
      </c>
      <c r="N12" s="349">
        <f>'VESTA Mk2 Dry'!Y21</f>
        <v>1370.0442967925171</v>
      </c>
      <c r="O12" s="349"/>
      <c r="P12" s="349">
        <f>RedBook!AA21</f>
        <v>0</v>
      </c>
      <c r="Q12" s="350">
        <f>Grass!W16</f>
        <v>0</v>
      </c>
      <c r="R12" s="350">
        <f>Grass!AB16</f>
        <v>0</v>
      </c>
      <c r="S12" s="350">
        <f>Grass!AG16</f>
        <v>0</v>
      </c>
      <c r="T12" s="350">
        <f>Heath!L16</f>
        <v>0</v>
      </c>
      <c r="U12" s="351">
        <f>Buttongrass!M20</f>
        <v>0</v>
      </c>
      <c r="V12" s="352">
        <f>'WA Mallee'!J16</f>
        <v>0</v>
      </c>
      <c r="W12" s="344">
        <f>'Forest(McArthur)'!S16</f>
        <v>6002.8420005566222</v>
      </c>
      <c r="X12" s="344" t="e">
        <f>'Forest(McArthur)'!AF16</f>
        <v>#NUM!</v>
      </c>
      <c r="Y12" s="344">
        <f>'Forest(VESTA)'!T21</f>
        <v>0</v>
      </c>
      <c r="Z12" s="344">
        <f>'DryForest(VESTA)'!T21</f>
        <v>0</v>
      </c>
      <c r="AA12" s="344">
        <f>'VESTA Mk2 Dry'!AB21</f>
        <v>16280.693060217745</v>
      </c>
      <c r="AB12" s="344">
        <f>'VESTA Mk2 Wet'!AC21</f>
        <v>0</v>
      </c>
      <c r="AC12" s="345">
        <f>Grass!Z16</f>
        <v>0</v>
      </c>
      <c r="AD12" s="345">
        <f>Grass!AE16</f>
        <v>0</v>
      </c>
      <c r="AE12" s="345">
        <f>Grass!AJ16</f>
        <v>0</v>
      </c>
      <c r="AF12" s="346">
        <f>'Forest(McArthur)'!Q16</f>
        <v>11.743335774382299</v>
      </c>
      <c r="AG12" s="346" t="e">
        <f>'Forest(McArthur)'!AD16</f>
        <v>#NUM!</v>
      </c>
      <c r="AH12" s="346">
        <f>'Forest(VESTA)'!R21</f>
        <v>0</v>
      </c>
      <c r="AI12" s="346">
        <f>'DryForest(VESTA)'!R21</f>
        <v>0</v>
      </c>
      <c r="AJ12" s="346">
        <f>'VESTA Mk2 Dry'!Z21</f>
        <v>6.3849718052746312</v>
      </c>
      <c r="AK12" s="346">
        <f>'VESTA Mk2 Wet'!AA21</f>
        <v>0</v>
      </c>
      <c r="AL12" s="346">
        <f>Grass!Y16</f>
        <v>0</v>
      </c>
      <c r="AM12" s="346">
        <f>Grass!AD16</f>
        <v>0</v>
      </c>
      <c r="AN12" s="346">
        <f>Grass!AI16</f>
        <v>0</v>
      </c>
      <c r="AO12" s="347">
        <f>'Forest(McArthur)'!R16</f>
        <v>1714.4390958356466</v>
      </c>
      <c r="AP12" s="348">
        <f>'Forest(VESTA)'!S21</f>
        <v>0</v>
      </c>
      <c r="AQ12" s="348">
        <f>'DryForest(VESTA)'!S21</f>
        <v>0</v>
      </c>
    </row>
    <row r="13" spans="1:43" x14ac:dyDescent="0.25">
      <c r="A13" s="29" t="str">
        <f>Weather_Site!A20</f>
        <v>Sun</v>
      </c>
      <c r="B13" s="74">
        <f>Weather_Site!B20</f>
        <v>44549</v>
      </c>
      <c r="C13" s="75">
        <f>Weather_Site!C20</f>
        <v>0.5</v>
      </c>
      <c r="D13" s="29">
        <f>Weather_Site!D20</f>
        <v>29.1</v>
      </c>
      <c r="E13" s="29">
        <f>Weather_Site!E20</f>
        <v>39</v>
      </c>
      <c r="F13" s="29">
        <f>Weather_Site!F20</f>
        <v>292</v>
      </c>
      <c r="G13" s="29">
        <f>Weather_Site!G20</f>
        <v>45</v>
      </c>
      <c r="H13" s="33">
        <f>'Forest(McArthur)'!N17</f>
        <v>19.531662668401115</v>
      </c>
      <c r="I13" s="33">
        <f>Grass!I17</f>
        <v>0</v>
      </c>
      <c r="J13" s="349">
        <f>'Forest(McArthur)'!O17</f>
        <v>562.51188484995191</v>
      </c>
      <c r="K13" s="349" t="e">
        <f>'Forest(McArthur)'!AB17</f>
        <v>#NUM!</v>
      </c>
      <c r="L13" s="349">
        <f>'Forest(VESTA)'!P22</f>
        <v>0</v>
      </c>
      <c r="M13" s="349">
        <f>'DryForest(VESTA)'!P22</f>
        <v>0</v>
      </c>
      <c r="N13" s="349">
        <f>'VESTA Mk2 Dry'!Y22</f>
        <v>1173.3767141842807</v>
      </c>
      <c r="O13" s="349"/>
      <c r="P13" s="349">
        <f>RedBook!AA22</f>
        <v>0</v>
      </c>
      <c r="Q13" s="350">
        <f>Grass!W17</f>
        <v>0</v>
      </c>
      <c r="R13" s="350">
        <f>Grass!AB17</f>
        <v>0</v>
      </c>
      <c r="S13" s="350">
        <f>Grass!AG17</f>
        <v>0</v>
      </c>
      <c r="T13" s="350">
        <f>Heath!L17</f>
        <v>0</v>
      </c>
      <c r="U13" s="351">
        <f>Buttongrass!M21</f>
        <v>0</v>
      </c>
      <c r="V13" s="352">
        <f>'WA Mallee'!J17</f>
        <v>0</v>
      </c>
      <c r="W13" s="344">
        <f>'Forest(McArthur)'!S17</f>
        <v>5498.5423170254635</v>
      </c>
      <c r="X13" s="344" t="e">
        <f>'Forest(McArthur)'!AF17</f>
        <v>#NUM!</v>
      </c>
      <c r="Y13" s="344">
        <f>'Forest(VESTA)'!T22</f>
        <v>0</v>
      </c>
      <c r="Z13" s="344">
        <f>'DryForest(VESTA)'!T22</f>
        <v>0</v>
      </c>
      <c r="AA13" s="344">
        <f>'VESTA Mk2 Dry'!AB22</f>
        <v>13943.626620223202</v>
      </c>
      <c r="AB13" s="344">
        <f>'VESTA Mk2 Wet'!AC22</f>
        <v>0</v>
      </c>
      <c r="AC13" s="345">
        <f>Grass!Z17</f>
        <v>0</v>
      </c>
      <c r="AD13" s="345">
        <f>Grass!AE17</f>
        <v>0</v>
      </c>
      <c r="AE13" s="345">
        <f>Grass!AJ17</f>
        <v>0</v>
      </c>
      <c r="AF13" s="346">
        <f>'Forest(McArthur)'!Q17</f>
        <v>11.072654503049375</v>
      </c>
      <c r="AG13" s="346" t="e">
        <f>'Forest(McArthur)'!AD17</f>
        <v>#NUM!</v>
      </c>
      <c r="AH13" s="346">
        <f>'Forest(VESTA)'!R22</f>
        <v>0</v>
      </c>
      <c r="AI13" s="346">
        <f>'DryForest(VESTA)'!R22</f>
        <v>0</v>
      </c>
      <c r="AJ13" s="346">
        <f>'VESTA Mk2 Dry'!Z22</f>
        <v>5.7082521494108533</v>
      </c>
      <c r="AK13" s="346">
        <f>'VESTA Mk2 Wet'!AA22</f>
        <v>0</v>
      </c>
      <c r="AL13" s="346">
        <f>Grass!Y17</f>
        <v>0</v>
      </c>
      <c r="AM13" s="346">
        <f>Grass!AD17</f>
        <v>0</v>
      </c>
      <c r="AN13" s="346">
        <f>Grass!AI17</f>
        <v>0</v>
      </c>
      <c r="AO13" s="347">
        <f>'Forest(McArthur)'!R17</f>
        <v>1540.1651470231377</v>
      </c>
      <c r="AP13" s="348">
        <f>'Forest(VESTA)'!S22</f>
        <v>0</v>
      </c>
      <c r="AQ13" s="348">
        <f>'DryForest(VESTA)'!S22</f>
        <v>0</v>
      </c>
    </row>
    <row r="14" spans="1:43" x14ac:dyDescent="0.25">
      <c r="A14" s="29" t="str">
        <f>Weather_Site!A21</f>
        <v>Sun</v>
      </c>
      <c r="B14" s="74">
        <f>Weather_Site!B21</f>
        <v>44549</v>
      </c>
      <c r="C14" s="75">
        <f>Weather_Site!C21</f>
        <v>0.54166666666666663</v>
      </c>
      <c r="D14" s="29">
        <f>Weather_Site!D21</f>
        <v>29.1</v>
      </c>
      <c r="E14" s="29">
        <f>Weather_Site!E21</f>
        <v>38.200000000000003</v>
      </c>
      <c r="F14" s="29">
        <f>Weather_Site!F21</f>
        <v>285</v>
      </c>
      <c r="G14" s="29">
        <f>Weather_Site!G21</f>
        <v>40</v>
      </c>
      <c r="H14" s="33">
        <f>'Forest(McArthur)'!N18</f>
        <v>17.861309183967268</v>
      </c>
      <c r="I14" s="33">
        <f>Grass!I18</f>
        <v>0</v>
      </c>
      <c r="J14" s="349">
        <f>'Forest(McArthur)'!O18</f>
        <v>514.40570449825725</v>
      </c>
      <c r="K14" s="349" t="e">
        <f>'Forest(McArthur)'!AB18</f>
        <v>#NUM!</v>
      </c>
      <c r="L14" s="349">
        <f>'Forest(VESTA)'!P23</f>
        <v>0</v>
      </c>
      <c r="M14" s="349">
        <f>'DryForest(VESTA)'!P23</f>
        <v>0</v>
      </c>
      <c r="N14" s="349">
        <f>'VESTA Mk2 Dry'!Y23</f>
        <v>2370.6503160694629</v>
      </c>
      <c r="O14" s="349"/>
      <c r="P14" s="349">
        <f>RedBook!AA23</f>
        <v>0</v>
      </c>
      <c r="Q14" s="350">
        <f>Grass!W18</f>
        <v>0</v>
      </c>
      <c r="R14" s="350">
        <f>Grass!AB18</f>
        <v>0</v>
      </c>
      <c r="S14" s="350">
        <f>Grass!AG18</f>
        <v>0</v>
      </c>
      <c r="T14" s="350">
        <f>Heath!L18</f>
        <v>0</v>
      </c>
      <c r="U14" s="351">
        <f>Buttongrass!M22</f>
        <v>0</v>
      </c>
      <c r="V14" s="352">
        <f>'WA Mallee'!J18</f>
        <v>0</v>
      </c>
      <c r="W14" s="344">
        <f>'Forest(McArthur)'!S18</f>
        <v>5028.305375374337</v>
      </c>
      <c r="X14" s="344" t="e">
        <f>'Forest(McArthur)'!AF18</f>
        <v>#NUM!</v>
      </c>
      <c r="Y14" s="344">
        <f>'Forest(VESTA)'!T23</f>
        <v>0</v>
      </c>
      <c r="Z14" s="344">
        <f>'DryForest(VESTA)'!T23</f>
        <v>0</v>
      </c>
      <c r="AA14" s="344">
        <f>'VESTA Mk2 Dry'!AB23</f>
        <v>28171.22792262545</v>
      </c>
      <c r="AB14" s="344">
        <f>'VESTA Mk2 Wet'!AC23</f>
        <v>0</v>
      </c>
      <c r="AC14" s="345">
        <f>Grass!Z18</f>
        <v>0</v>
      </c>
      <c r="AD14" s="345">
        <f>Grass!AE18</f>
        <v>0</v>
      </c>
      <c r="AE14" s="345">
        <f>Grass!AJ18</f>
        <v>0</v>
      </c>
      <c r="AF14" s="346">
        <f>'Forest(McArthur)'!Q18</f>
        <v>10.447274158477343</v>
      </c>
      <c r="AG14" s="346" t="e">
        <f>'Forest(McArthur)'!AD18</f>
        <v>#NUM!</v>
      </c>
      <c r="AH14" s="346">
        <f>'Forest(VESTA)'!R23</f>
        <v>0</v>
      </c>
      <c r="AI14" s="346">
        <f>'DryForest(VESTA)'!R23</f>
        <v>0</v>
      </c>
      <c r="AJ14" s="346">
        <f>'VESTA Mk2 Dry'!Z23</f>
        <v>9.4913734675364001</v>
      </c>
      <c r="AK14" s="346">
        <f>'VESTA Mk2 Wet'!AA23</f>
        <v>0</v>
      </c>
      <c r="AL14" s="346">
        <f>Grass!Y18</f>
        <v>0</v>
      </c>
      <c r="AM14" s="346">
        <f>Grass!AD18</f>
        <v>0</v>
      </c>
      <c r="AN14" s="346">
        <f>Grass!AI18</f>
        <v>0</v>
      </c>
      <c r="AO14" s="347">
        <f>'Forest(McArthur)'!R18</f>
        <v>1377.6624697951129</v>
      </c>
      <c r="AP14" s="348">
        <f>'Forest(VESTA)'!S23</f>
        <v>0</v>
      </c>
      <c r="AQ14" s="348">
        <f>'DryForest(VESTA)'!S23</f>
        <v>0</v>
      </c>
    </row>
    <row r="15" spans="1:43" x14ac:dyDescent="0.25">
      <c r="A15" s="29" t="str">
        <f>Weather_Site!A22</f>
        <v>Sun</v>
      </c>
      <c r="B15" s="74">
        <f>Weather_Site!B22</f>
        <v>44549</v>
      </c>
      <c r="C15" s="75">
        <f>Weather_Site!C22</f>
        <v>0.58333333333333337</v>
      </c>
      <c r="D15" s="29">
        <f>Weather_Site!D22</f>
        <v>30.8</v>
      </c>
      <c r="E15" s="29">
        <f>Weather_Site!E22</f>
        <v>35.799999999999997</v>
      </c>
      <c r="F15" s="29">
        <f>Weather_Site!F22</f>
        <v>277</v>
      </c>
      <c r="G15" s="29">
        <f>Weather_Site!G22</f>
        <v>42</v>
      </c>
      <c r="H15" s="33">
        <f>'Forest(McArthur)'!N19</f>
        <v>21.535373782567806</v>
      </c>
      <c r="I15" s="33">
        <f>Grass!I19</f>
        <v>0</v>
      </c>
      <c r="J15" s="349">
        <f>'Forest(McArthur)'!O19</f>
        <v>620.21876493795264</v>
      </c>
      <c r="K15" s="349" t="e">
        <f>'Forest(McArthur)'!AB19</f>
        <v>#NUM!</v>
      </c>
      <c r="L15" s="349">
        <f>'Forest(VESTA)'!P24</f>
        <v>0</v>
      </c>
      <c r="M15" s="349">
        <f>'DryForest(VESTA)'!P24</f>
        <v>0</v>
      </c>
      <c r="N15" s="349">
        <f>'VESTA Mk2 Dry'!Y24</f>
        <v>3208.1983458097311</v>
      </c>
      <c r="O15" s="349"/>
      <c r="P15" s="349">
        <f>RedBook!AA24</f>
        <v>0</v>
      </c>
      <c r="Q15" s="350">
        <f>Grass!W19</f>
        <v>0</v>
      </c>
      <c r="R15" s="350">
        <f>Grass!AB19</f>
        <v>0</v>
      </c>
      <c r="S15" s="350">
        <f>Grass!AG19</f>
        <v>0</v>
      </c>
      <c r="T15" s="350">
        <f>Heath!L19</f>
        <v>0</v>
      </c>
      <c r="U15" s="351">
        <f>Buttongrass!M23</f>
        <v>0</v>
      </c>
      <c r="V15" s="352">
        <f>'WA Mallee'!J19</f>
        <v>0</v>
      </c>
      <c r="W15" s="344">
        <f>'Forest(McArthur)'!S19</f>
        <v>6062.6259047562817</v>
      </c>
      <c r="X15" s="344" t="e">
        <f>'Forest(McArthur)'!AF19</f>
        <v>#NUM!</v>
      </c>
      <c r="Y15" s="344">
        <f>'Forest(VESTA)'!T24</f>
        <v>0</v>
      </c>
      <c r="Z15" s="344">
        <f>'DryForest(VESTA)'!T24</f>
        <v>0</v>
      </c>
      <c r="AA15" s="344">
        <f>'VESTA Mk2 Dry'!AB24</f>
        <v>38124.09034270564</v>
      </c>
      <c r="AB15" s="344">
        <f>'VESTA Mk2 Wet'!AC24</f>
        <v>0</v>
      </c>
      <c r="AC15" s="345">
        <f>Grass!Z19</f>
        <v>0</v>
      </c>
      <c r="AD15" s="345">
        <f>Grass!AE19</f>
        <v>0</v>
      </c>
      <c r="AE15" s="345">
        <f>Grass!AJ19</f>
        <v>0</v>
      </c>
      <c r="AF15" s="346">
        <f>'Forest(McArthur)'!Q19</f>
        <v>11.822843944193384</v>
      </c>
      <c r="AG15" s="346" t="e">
        <f>'Forest(McArthur)'!AD19</f>
        <v>#NUM!</v>
      </c>
      <c r="AH15" s="346">
        <f>'Forest(VESTA)'!R24</f>
        <v>0</v>
      </c>
      <c r="AI15" s="346">
        <f>'DryForest(VESTA)'!R24</f>
        <v>0</v>
      </c>
      <c r="AJ15" s="346">
        <f>'VESTA Mk2 Dry'!Z24</f>
        <v>11.812089165787922</v>
      </c>
      <c r="AK15" s="346">
        <f>'VESTA Mk2 Wet'!AA24</f>
        <v>0</v>
      </c>
      <c r="AL15" s="346">
        <f>Grass!Y19</f>
        <v>0</v>
      </c>
      <c r="AM15" s="346">
        <f>Grass!AD19</f>
        <v>0</v>
      </c>
      <c r="AN15" s="346">
        <f>Grass!AI19</f>
        <v>0</v>
      </c>
      <c r="AO15" s="347">
        <f>'Forest(McArthur)'!R19</f>
        <v>1735.0989879604044</v>
      </c>
      <c r="AP15" s="348">
        <f>'Forest(VESTA)'!S24</f>
        <v>0</v>
      </c>
      <c r="AQ15" s="348">
        <f>'DryForest(VESTA)'!S24</f>
        <v>0</v>
      </c>
    </row>
    <row r="16" spans="1:43" x14ac:dyDescent="0.25">
      <c r="A16" s="29" t="str">
        <f>Weather_Site!A23</f>
        <v>Sun</v>
      </c>
      <c r="B16" s="74">
        <f>Weather_Site!B23</f>
        <v>44549</v>
      </c>
      <c r="C16" s="75">
        <f>Weather_Site!C23</f>
        <v>0.625</v>
      </c>
      <c r="D16" s="29">
        <f>Weather_Site!D23</f>
        <v>31.1</v>
      </c>
      <c r="E16" s="29">
        <f>Weather_Site!E23</f>
        <v>29.9</v>
      </c>
      <c r="F16" s="29">
        <f>Weather_Site!F23</f>
        <v>258</v>
      </c>
      <c r="G16" s="29">
        <f>Weather_Site!G23</f>
        <v>37</v>
      </c>
      <c r="H16" s="33">
        <f>'Forest(McArthur)'!N20</f>
        <v>23.721620159937064</v>
      </c>
      <c r="I16" s="33">
        <f>Grass!I20</f>
        <v>0</v>
      </c>
      <c r="J16" s="349">
        <f>'Forest(McArthur)'!O20</f>
        <v>683.18266060618737</v>
      </c>
      <c r="K16" s="349" t="e">
        <f>'Forest(McArthur)'!AB20</f>
        <v>#NUM!</v>
      </c>
      <c r="L16" s="349">
        <f>'Forest(VESTA)'!P25</f>
        <v>0</v>
      </c>
      <c r="M16" s="349">
        <f>'DryForest(VESTA)'!P25</f>
        <v>0</v>
      </c>
      <c r="N16" s="349">
        <f>'VESTA Mk2 Dry'!Y25</f>
        <v>3020.4338366322309</v>
      </c>
      <c r="O16" s="349"/>
      <c r="P16" s="349">
        <f>RedBook!AA25</f>
        <v>0</v>
      </c>
      <c r="Q16" s="350">
        <f>Grass!W20</f>
        <v>0</v>
      </c>
      <c r="R16" s="350">
        <f>Grass!AB20</f>
        <v>0</v>
      </c>
      <c r="S16" s="350">
        <f>Grass!AG20</f>
        <v>0</v>
      </c>
      <c r="T16" s="350">
        <f>Heath!L20</f>
        <v>0</v>
      </c>
      <c r="U16" s="351">
        <f>Buttongrass!M24</f>
        <v>0</v>
      </c>
      <c r="V16" s="352">
        <f>'WA Mallee'!J20</f>
        <v>0</v>
      </c>
      <c r="W16" s="344">
        <f>'Forest(McArthur)'!S20</f>
        <v>6678.0967136422396</v>
      </c>
      <c r="X16" s="344" t="e">
        <f>'Forest(McArthur)'!AF20</f>
        <v>#NUM!</v>
      </c>
      <c r="Y16" s="344">
        <f>'Forest(VESTA)'!T25</f>
        <v>0</v>
      </c>
      <c r="Z16" s="344">
        <f>'DryForest(VESTA)'!T25</f>
        <v>0</v>
      </c>
      <c r="AA16" s="344">
        <f>'VESTA Mk2 Dry'!AB25</f>
        <v>35892.82209197968</v>
      </c>
      <c r="AB16" s="344">
        <f>'VESTA Mk2 Wet'!AC25</f>
        <v>0</v>
      </c>
      <c r="AC16" s="345">
        <f>Grass!Z20</f>
        <v>0</v>
      </c>
      <c r="AD16" s="345">
        <f>Grass!AE20</f>
        <v>0</v>
      </c>
      <c r="AE16" s="345">
        <f>Grass!AJ20</f>
        <v>0</v>
      </c>
      <c r="AF16" s="346">
        <f>'Forest(McArthur)'!Q20</f>
        <v>12.641374587880437</v>
      </c>
      <c r="AG16" s="346" t="e">
        <f>'Forest(McArthur)'!AD20</f>
        <v>#NUM!</v>
      </c>
      <c r="AH16" s="346">
        <f>'Forest(VESTA)'!R25</f>
        <v>0</v>
      </c>
      <c r="AI16" s="346">
        <f>'DryForest(VESTA)'!R25</f>
        <v>0</v>
      </c>
      <c r="AJ16" s="346">
        <f>'VESTA Mk2 Dry'!Z25</f>
        <v>11.308108965793556</v>
      </c>
      <c r="AK16" s="346">
        <f>'VESTA Mk2 Wet'!AA25</f>
        <v>0</v>
      </c>
      <c r="AL16" s="346">
        <f>Grass!Y20</f>
        <v>0</v>
      </c>
      <c r="AM16" s="346">
        <f>Grass!AD20</f>
        <v>0</v>
      </c>
      <c r="AN16" s="346">
        <f>Grass!AI20</f>
        <v>0</v>
      </c>
      <c r="AO16" s="347">
        <f>'Forest(McArthur)'!R20</f>
        <v>1947.7910275277011</v>
      </c>
      <c r="AP16" s="348">
        <f>'Forest(VESTA)'!S25</f>
        <v>0</v>
      </c>
      <c r="AQ16" s="348">
        <f>'DryForest(VESTA)'!S25</f>
        <v>0</v>
      </c>
    </row>
    <row r="17" spans="1:43" x14ac:dyDescent="0.25">
      <c r="A17" s="29" t="str">
        <f>Weather_Site!A24</f>
        <v>Sun</v>
      </c>
      <c r="B17" s="74">
        <f>Weather_Site!B24</f>
        <v>44549</v>
      </c>
      <c r="C17" s="75">
        <f>Weather_Site!C24</f>
        <v>0.66666666666666663</v>
      </c>
      <c r="D17" s="29">
        <f>Weather_Site!D24</f>
        <v>32.4</v>
      </c>
      <c r="E17" s="29">
        <f>Weather_Site!E24</f>
        <v>25.1</v>
      </c>
      <c r="F17" s="29">
        <f>Weather_Site!F24</f>
        <v>261</v>
      </c>
      <c r="G17" s="29">
        <f>Weather_Site!G24</f>
        <v>37</v>
      </c>
      <c r="H17" s="33">
        <f>'Forest(McArthur)'!N21</f>
        <v>29.251383606212084</v>
      </c>
      <c r="I17" s="33">
        <f>Grass!I21</f>
        <v>0</v>
      </c>
      <c r="J17" s="349">
        <f>'Forest(McArthur)'!O21</f>
        <v>842.43984785890802</v>
      </c>
      <c r="K17" s="349" t="e">
        <f>'Forest(McArthur)'!AB21</f>
        <v>#NUM!</v>
      </c>
      <c r="L17" s="349">
        <f>'Forest(VESTA)'!P26</f>
        <v>0</v>
      </c>
      <c r="M17" s="349">
        <f>'DryForest(VESTA)'!P26</f>
        <v>0</v>
      </c>
      <c r="N17" s="349">
        <f>'VESTA Mk2 Dry'!Y26</f>
        <v>3402.0201243299498</v>
      </c>
      <c r="O17" s="349"/>
      <c r="P17" s="349">
        <f>RedBook!AA26</f>
        <v>0</v>
      </c>
      <c r="Q17" s="350">
        <f>Grass!W21</f>
        <v>0</v>
      </c>
      <c r="R17" s="350">
        <f>Grass!AB21</f>
        <v>0</v>
      </c>
      <c r="S17" s="350">
        <f>Grass!AG21</f>
        <v>0</v>
      </c>
      <c r="T17" s="350">
        <f>Heath!L21</f>
        <v>0</v>
      </c>
      <c r="U17" s="351">
        <f>Buttongrass!M25</f>
        <v>0</v>
      </c>
      <c r="V17" s="352">
        <f>'WA Mallee'!J21</f>
        <v>0</v>
      </c>
      <c r="W17" s="344">
        <f>'Forest(McArthur)'!S21</f>
        <v>8234.832503559137</v>
      </c>
      <c r="X17" s="344" t="e">
        <f>'Forest(McArthur)'!AF21</f>
        <v>#NUM!</v>
      </c>
      <c r="Y17" s="344">
        <f>'Forest(VESTA)'!T26</f>
        <v>0</v>
      </c>
      <c r="Z17" s="344">
        <f>'DryForest(VESTA)'!T26</f>
        <v>0</v>
      </c>
      <c r="AA17" s="344">
        <f>'VESTA Mk2 Dry'!AB26</f>
        <v>40427.339144120902</v>
      </c>
      <c r="AB17" s="344">
        <f>'VESTA Mk2 Wet'!AC26</f>
        <v>0</v>
      </c>
      <c r="AC17" s="345">
        <f>Grass!Z21</f>
        <v>0</v>
      </c>
      <c r="AD17" s="345">
        <f>Grass!AE21</f>
        <v>0</v>
      </c>
      <c r="AE17" s="345">
        <f>Grass!AJ21</f>
        <v>0</v>
      </c>
      <c r="AF17" s="346">
        <f>'Forest(McArthur)'!Q21</f>
        <v>14.711718022165805</v>
      </c>
      <c r="AG17" s="346" t="e">
        <f>'Forest(McArthur)'!AD21</f>
        <v>#NUM!</v>
      </c>
      <c r="AH17" s="346">
        <f>'Forest(VESTA)'!R26</f>
        <v>0</v>
      </c>
      <c r="AI17" s="346">
        <f>'DryForest(VESTA)'!R26</f>
        <v>0</v>
      </c>
      <c r="AJ17" s="346">
        <f>'VESTA Mk2 Dry'!Z26</f>
        <v>12.323827888731698</v>
      </c>
      <c r="AK17" s="346">
        <f>'VESTA Mk2 Wet'!AA26</f>
        <v>0</v>
      </c>
      <c r="AL17" s="346">
        <f>Grass!Y21</f>
        <v>0</v>
      </c>
      <c r="AM17" s="346">
        <f>Grass!AD21</f>
        <v>0</v>
      </c>
      <c r="AN17" s="346">
        <f>Grass!AI21</f>
        <v>0</v>
      </c>
      <c r="AO17" s="347">
        <f>'Forest(McArthur)'!R21</f>
        <v>2485.7618060673917</v>
      </c>
      <c r="AP17" s="348">
        <f>'Forest(VESTA)'!S26</f>
        <v>0</v>
      </c>
      <c r="AQ17" s="348">
        <f>'DryForest(VESTA)'!S26</f>
        <v>0</v>
      </c>
    </row>
    <row r="18" spans="1:43" x14ac:dyDescent="0.25">
      <c r="A18" s="29" t="str">
        <f>Weather_Site!A25</f>
        <v>Sun</v>
      </c>
      <c r="B18" s="74">
        <f>Weather_Site!B25</f>
        <v>44549</v>
      </c>
      <c r="C18" s="75">
        <f>Weather_Site!C25</f>
        <v>0.70833333333333337</v>
      </c>
      <c r="D18" s="29">
        <f>Weather_Site!D25</f>
        <v>32.299999999999997</v>
      </c>
      <c r="E18" s="29">
        <f>Weather_Site!E25</f>
        <v>22.5</v>
      </c>
      <c r="F18" s="29">
        <f>Weather_Site!F25</f>
        <v>243</v>
      </c>
      <c r="G18" s="29">
        <f>Weather_Site!G25</f>
        <v>34</v>
      </c>
      <c r="H18" s="33">
        <f>'Forest(McArthur)'!N22</f>
        <v>29.72673696450147</v>
      </c>
      <c r="I18" s="33">
        <f>Grass!I22</f>
        <v>0</v>
      </c>
      <c r="J18" s="349">
        <f>'Forest(McArthur)'!O22</f>
        <v>856.13002457764219</v>
      </c>
      <c r="K18" s="349" t="e">
        <f>'Forest(McArthur)'!AB22</f>
        <v>#NUM!</v>
      </c>
      <c r="L18" s="349">
        <f>'Forest(VESTA)'!P27</f>
        <v>0</v>
      </c>
      <c r="M18" s="349">
        <f>'DryForest(VESTA)'!P27</f>
        <v>0</v>
      </c>
      <c r="N18" s="349">
        <f>'VESTA Mk2 Dry'!Y27</f>
        <v>3122.3274221173142</v>
      </c>
      <c r="O18" s="349"/>
      <c r="P18" s="349">
        <f>RedBook!AA27</f>
        <v>0</v>
      </c>
      <c r="Q18" s="350">
        <f>Grass!W22</f>
        <v>0</v>
      </c>
      <c r="R18" s="350">
        <f>Grass!AB22</f>
        <v>0</v>
      </c>
      <c r="S18" s="350">
        <f>Grass!AG22</f>
        <v>0</v>
      </c>
      <c r="T18" s="350">
        <f>Heath!L22</f>
        <v>0</v>
      </c>
      <c r="U18" s="351">
        <f>Buttongrass!M26</f>
        <v>0</v>
      </c>
      <c r="V18" s="352">
        <f>'WA Mallee'!J22</f>
        <v>0</v>
      </c>
      <c r="W18" s="344">
        <f>'Forest(McArthur)'!S22</f>
        <v>8368.6537045735768</v>
      </c>
      <c r="X18" s="344" t="e">
        <f>'Forest(McArthur)'!AF22</f>
        <v>#NUM!</v>
      </c>
      <c r="Y18" s="344">
        <f>'Forest(VESTA)'!T27</f>
        <v>0</v>
      </c>
      <c r="Z18" s="344">
        <f>'DryForest(VESTA)'!T27</f>
        <v>0</v>
      </c>
      <c r="AA18" s="344">
        <f>'VESTA Mk2 Dry'!AB27</f>
        <v>37103.657532827419</v>
      </c>
      <c r="AB18" s="344">
        <f>'VESTA Mk2 Wet'!AC27</f>
        <v>0</v>
      </c>
      <c r="AC18" s="345">
        <f>Grass!Z22</f>
        <v>0</v>
      </c>
      <c r="AD18" s="345">
        <f>Grass!AE22</f>
        <v>0</v>
      </c>
      <c r="AE18" s="345">
        <f>Grass!AJ22</f>
        <v>0</v>
      </c>
      <c r="AF18" s="346">
        <f>'Forest(McArthur)'!Q22</f>
        <v>14.889690319509349</v>
      </c>
      <c r="AG18" s="346" t="e">
        <f>'Forest(McArthur)'!AD22</f>
        <v>#NUM!</v>
      </c>
      <c r="AH18" s="346">
        <f>'Forest(VESTA)'!R27</f>
        <v>0</v>
      </c>
      <c r="AI18" s="346">
        <f>'DryForest(VESTA)'!R27</f>
        <v>0</v>
      </c>
      <c r="AJ18" s="346">
        <f>'VESTA Mk2 Dry'!Z27</f>
        <v>11.582645805698693</v>
      </c>
      <c r="AK18" s="346">
        <f>'VESTA Mk2 Wet'!AA27</f>
        <v>0</v>
      </c>
      <c r="AL18" s="346">
        <f>Grass!Y22</f>
        <v>0</v>
      </c>
      <c r="AM18" s="346">
        <f>Grass!AD22</f>
        <v>0</v>
      </c>
      <c r="AN18" s="346">
        <f>Grass!AI22</f>
        <v>0</v>
      </c>
      <c r="AO18" s="347">
        <f>'Forest(McArthur)'!R22</f>
        <v>2532.0072230232754</v>
      </c>
      <c r="AP18" s="348">
        <f>'Forest(VESTA)'!S27</f>
        <v>0</v>
      </c>
      <c r="AQ18" s="348">
        <f>'DryForest(VESTA)'!S27</f>
        <v>0</v>
      </c>
    </row>
    <row r="19" spans="1:43" x14ac:dyDescent="0.25">
      <c r="A19" s="29" t="str">
        <f>Weather_Site!A26</f>
        <v>Sun</v>
      </c>
      <c r="B19" s="74">
        <f>Weather_Site!B26</f>
        <v>44549</v>
      </c>
      <c r="C19" s="75">
        <f>Weather_Site!C26</f>
        <v>0.75</v>
      </c>
      <c r="D19" s="29">
        <f>Weather_Site!D26</f>
        <v>31.4</v>
      </c>
      <c r="E19" s="29">
        <f>Weather_Site!E26</f>
        <v>21.8</v>
      </c>
      <c r="F19" s="29">
        <f>Weather_Site!F26</f>
        <v>237</v>
      </c>
      <c r="G19" s="29">
        <f>Weather_Site!G26</f>
        <v>37</v>
      </c>
      <c r="H19" s="33">
        <f>'Forest(McArthur)'!N23</f>
        <v>31.689229994097666</v>
      </c>
      <c r="I19" s="33">
        <f>Grass!I23</f>
        <v>0</v>
      </c>
      <c r="J19" s="349">
        <f>'Forest(McArthur)'!O23</f>
        <v>912.64982383001268</v>
      </c>
      <c r="K19" s="349" t="e">
        <f>'Forest(McArthur)'!AB23</f>
        <v>#NUM!</v>
      </c>
      <c r="L19" s="349">
        <f>'Forest(VESTA)'!P28</f>
        <v>0</v>
      </c>
      <c r="M19" s="349">
        <f>'DryForest(VESTA)'!P28</f>
        <v>0</v>
      </c>
      <c r="N19" s="349">
        <f>'VESTA Mk2 Dry'!Y28</f>
        <v>3032.5883385422653</v>
      </c>
      <c r="O19" s="349"/>
      <c r="P19" s="349">
        <f>RedBook!AA28</f>
        <v>0</v>
      </c>
      <c r="Q19" s="350">
        <f>Grass!W23</f>
        <v>0</v>
      </c>
      <c r="R19" s="350">
        <f>Grass!AB23</f>
        <v>0</v>
      </c>
      <c r="S19" s="350">
        <f>Grass!AG23</f>
        <v>0</v>
      </c>
      <c r="T19" s="350">
        <f>Heath!L23</f>
        <v>0</v>
      </c>
      <c r="U19" s="351">
        <f>Buttongrass!M27</f>
        <v>0</v>
      </c>
      <c r="V19" s="352">
        <f>'WA Mallee'!J23</f>
        <v>0</v>
      </c>
      <c r="W19" s="344">
        <f>'Forest(McArthur)'!S23</f>
        <v>8921.1336011038366</v>
      </c>
      <c r="X19" s="344" t="e">
        <f>'Forest(McArthur)'!AF23</f>
        <v>#NUM!</v>
      </c>
      <c r="Y19" s="344">
        <f>'Forest(VESTA)'!T28</f>
        <v>0</v>
      </c>
      <c r="Z19" s="344">
        <f>'DryForest(VESTA)'!T28</f>
        <v>0</v>
      </c>
      <c r="AA19" s="344">
        <f>'VESTA Mk2 Dry'!AB28</f>
        <v>36037.258089677256</v>
      </c>
      <c r="AB19" s="344">
        <f>'VESTA Mk2 Wet'!AC28</f>
        <v>0</v>
      </c>
      <c r="AC19" s="345">
        <f>Grass!Z23</f>
        <v>0</v>
      </c>
      <c r="AD19" s="345">
        <f>Grass!AE23</f>
        <v>0</v>
      </c>
      <c r="AE19" s="345">
        <f>Grass!AJ23</f>
        <v>0</v>
      </c>
      <c r="AF19" s="346">
        <f>'Forest(McArthur)'!Q23</f>
        <v>15.624447709790164</v>
      </c>
      <c r="AG19" s="346" t="e">
        <f>'Forest(McArthur)'!AD23</f>
        <v>#NUM!</v>
      </c>
      <c r="AH19" s="346">
        <f>'Forest(VESTA)'!R28</f>
        <v>0</v>
      </c>
      <c r="AI19" s="346">
        <f>'DryForest(VESTA)'!R28</f>
        <v>0</v>
      </c>
      <c r="AJ19" s="346">
        <f>'VESTA Mk2 Dry'!Z28</f>
        <v>11.340990677672263</v>
      </c>
      <c r="AK19" s="346">
        <f>'VESTA Mk2 Wet'!AA28</f>
        <v>0</v>
      </c>
      <c r="AL19" s="346">
        <f>Grass!Y23</f>
        <v>0</v>
      </c>
      <c r="AM19" s="346">
        <f>Grass!AD23</f>
        <v>0</v>
      </c>
      <c r="AN19" s="346">
        <f>Grass!AI23</f>
        <v>0</v>
      </c>
      <c r="AO19" s="347">
        <f>'Forest(McArthur)'!R23</f>
        <v>2722.9311048977829</v>
      </c>
      <c r="AP19" s="348">
        <f>'Forest(VESTA)'!S28</f>
        <v>0</v>
      </c>
      <c r="AQ19" s="348">
        <f>'DryForest(VESTA)'!S28</f>
        <v>0</v>
      </c>
    </row>
    <row r="20" spans="1:43" x14ac:dyDescent="0.25">
      <c r="A20" s="29" t="str">
        <f>Weather_Site!A27</f>
        <v>Sun</v>
      </c>
      <c r="B20" s="74">
        <f>Weather_Site!B27</f>
        <v>44549</v>
      </c>
      <c r="C20" s="75">
        <f>Weather_Site!C27</f>
        <v>0.79166666666666663</v>
      </c>
      <c r="D20" s="29">
        <f>Weather_Site!D27</f>
        <v>30.1</v>
      </c>
      <c r="E20" s="29">
        <f>Weather_Site!E27</f>
        <v>21.8</v>
      </c>
      <c r="F20" s="29">
        <f>Weather_Site!F27</f>
        <v>226</v>
      </c>
      <c r="G20" s="29">
        <f>Weather_Site!G27</f>
        <v>37</v>
      </c>
      <c r="H20" s="33">
        <f>'Forest(McArthur)'!N24</f>
        <v>30.326953614754807</v>
      </c>
      <c r="I20" s="33">
        <f>Grass!I24</f>
        <v>0</v>
      </c>
      <c r="J20" s="349">
        <f>'Forest(McArthur)'!O24</f>
        <v>873.41626410493836</v>
      </c>
      <c r="K20" s="349" t="e">
        <f>'Forest(McArthur)'!AB24</f>
        <v>#NUM!</v>
      </c>
      <c r="L20" s="349">
        <f>'Forest(VESTA)'!P29</f>
        <v>0</v>
      </c>
      <c r="M20" s="349">
        <f>'DryForest(VESTA)'!P29</f>
        <v>0</v>
      </c>
      <c r="N20" s="349">
        <f>'VESTA Mk2 Dry'!Y29</f>
        <v>2983.5806985600857</v>
      </c>
      <c r="O20" s="349"/>
      <c r="P20" s="349">
        <f>RedBook!AA29</f>
        <v>0</v>
      </c>
      <c r="Q20" s="350">
        <f>Grass!W24</f>
        <v>0</v>
      </c>
      <c r="R20" s="350">
        <f>Grass!AB24</f>
        <v>0</v>
      </c>
      <c r="S20" s="350">
        <f>Grass!AG24</f>
        <v>0</v>
      </c>
      <c r="T20" s="350">
        <f>Heath!L24</f>
        <v>0</v>
      </c>
      <c r="U20" s="351">
        <f>Buttongrass!M28</f>
        <v>0</v>
      </c>
      <c r="V20" s="352">
        <f>'WA Mallee'!J24</f>
        <v>0</v>
      </c>
      <c r="W20" s="344">
        <f>'Forest(McArthur)'!S24</f>
        <v>8537.626346935489</v>
      </c>
      <c r="X20" s="344" t="e">
        <f>'Forest(McArthur)'!AF24</f>
        <v>#NUM!</v>
      </c>
      <c r="Y20" s="344">
        <f>'Forest(VESTA)'!T29</f>
        <v>0</v>
      </c>
      <c r="Z20" s="344">
        <f>'DryForest(VESTA)'!T29</f>
        <v>0</v>
      </c>
      <c r="AA20" s="344">
        <f>'VESTA Mk2 Dry'!AB29</f>
        <v>35454.883967889022</v>
      </c>
      <c r="AB20" s="344">
        <f>'VESTA Mk2 Wet'!AC29</f>
        <v>0</v>
      </c>
      <c r="AC20" s="345">
        <f>Grass!Z24</f>
        <v>0</v>
      </c>
      <c r="AD20" s="345">
        <f>Grass!AE24</f>
        <v>0</v>
      </c>
      <c r="AE20" s="345">
        <f>Grass!AJ24</f>
        <v>0</v>
      </c>
      <c r="AF20" s="346">
        <f>'Forest(McArthur)'!Q24</f>
        <v>15.114411433364197</v>
      </c>
      <c r="AG20" s="346" t="e">
        <f>'Forest(McArthur)'!AD24</f>
        <v>#NUM!</v>
      </c>
      <c r="AH20" s="346">
        <f>'Forest(VESTA)'!R29</f>
        <v>0</v>
      </c>
      <c r="AI20" s="346">
        <f>'DryForest(VESTA)'!R29</f>
        <v>0</v>
      </c>
      <c r="AJ20" s="346">
        <f>'VESTA Mk2 Dry'!Z29</f>
        <v>11.208184796645215</v>
      </c>
      <c r="AK20" s="346">
        <f>'VESTA Mk2 Wet'!AA29</f>
        <v>0</v>
      </c>
      <c r="AL20" s="346">
        <f>Grass!Y24</f>
        <v>0</v>
      </c>
      <c r="AM20" s="346">
        <f>Grass!AD24</f>
        <v>0</v>
      </c>
      <c r="AN20" s="346">
        <f>Grass!AI24</f>
        <v>0</v>
      </c>
      <c r="AO20" s="347">
        <f>'Forest(McArthur)'!R24</f>
        <v>2590.4001401464816</v>
      </c>
      <c r="AP20" s="348">
        <f>'Forest(VESTA)'!S29</f>
        <v>0</v>
      </c>
      <c r="AQ20" s="348">
        <f>'DryForest(VESTA)'!S29</f>
        <v>0</v>
      </c>
    </row>
    <row r="21" spans="1:43" x14ac:dyDescent="0.25">
      <c r="A21" s="29" t="str">
        <f>Weather_Site!A28</f>
        <v>Sun</v>
      </c>
      <c r="B21" s="74">
        <f>Weather_Site!B28</f>
        <v>44549</v>
      </c>
      <c r="C21" s="75">
        <f>Weather_Site!C28</f>
        <v>0.83333333333333337</v>
      </c>
      <c r="D21" s="29">
        <f>Weather_Site!D28</f>
        <v>27.2</v>
      </c>
      <c r="E21" s="29">
        <f>Weather_Site!E28</f>
        <v>25.6</v>
      </c>
      <c r="F21" s="29">
        <f>Weather_Site!F28</f>
        <v>215</v>
      </c>
      <c r="G21" s="29">
        <f>Weather_Site!G28</f>
        <v>33</v>
      </c>
      <c r="H21" s="33">
        <f>'Forest(McArthur)'!N25</f>
        <v>21.962070018483388</v>
      </c>
      <c r="I21" s="33">
        <f>Grass!I25</f>
        <v>0</v>
      </c>
      <c r="J21" s="349">
        <f>'Forest(McArthur)'!O25</f>
        <v>632.50761653232155</v>
      </c>
      <c r="K21" s="349" t="e">
        <f>'Forest(McArthur)'!AB25</f>
        <v>#NUM!</v>
      </c>
      <c r="L21" s="349">
        <f>'Forest(VESTA)'!P30</f>
        <v>0</v>
      </c>
      <c r="M21" s="349">
        <f>'DryForest(VESTA)'!P30</f>
        <v>0</v>
      </c>
      <c r="N21" s="349">
        <f>'VESTA Mk2 Dry'!Y30</f>
        <v>1340.3812445423453</v>
      </c>
      <c r="O21" s="349"/>
      <c r="P21" s="349">
        <f>RedBook!AA30</f>
        <v>0</v>
      </c>
      <c r="Q21" s="350">
        <f>Grass!W25</f>
        <v>0</v>
      </c>
      <c r="R21" s="350">
        <f>Grass!AB25</f>
        <v>0</v>
      </c>
      <c r="S21" s="350">
        <f>Grass!AG25</f>
        <v>0</v>
      </c>
      <c r="T21" s="350">
        <f>Heath!L25</f>
        <v>0</v>
      </c>
      <c r="U21" s="351">
        <f>Buttongrass!M29</f>
        <v>0</v>
      </c>
      <c r="V21" s="352">
        <f>'WA Mallee'!J25</f>
        <v>0</v>
      </c>
      <c r="W21" s="344">
        <f>'Forest(McArthur)'!S25</f>
        <v>6182.749180973472</v>
      </c>
      <c r="X21" s="344" t="e">
        <f>'Forest(McArthur)'!AF25</f>
        <v>#NUM!</v>
      </c>
      <c r="Y21" s="344">
        <f>'Forest(VESTA)'!T30</f>
        <v>0</v>
      </c>
      <c r="Z21" s="344">
        <f>'DryForest(VESTA)'!T30</f>
        <v>0</v>
      </c>
      <c r="AA21" s="344">
        <f>'VESTA Mk2 Dry'!AB30</f>
        <v>15928.19712264487</v>
      </c>
      <c r="AB21" s="344">
        <f>'VESTA Mk2 Wet'!AC30</f>
        <v>0</v>
      </c>
      <c r="AC21" s="345">
        <f>Grass!Z25</f>
        <v>0</v>
      </c>
      <c r="AD21" s="345">
        <f>Grass!AE25</f>
        <v>0</v>
      </c>
      <c r="AE21" s="345">
        <f>Grass!AJ25</f>
        <v>0</v>
      </c>
      <c r="AF21" s="346">
        <f>'Forest(McArthur)'!Q25</f>
        <v>11.982599014920181</v>
      </c>
      <c r="AG21" s="346" t="e">
        <f>'Forest(McArthur)'!AD25</f>
        <v>#NUM!</v>
      </c>
      <c r="AH21" s="346">
        <f>'Forest(VESTA)'!R30</f>
        <v>0</v>
      </c>
      <c r="AI21" s="346">
        <f>'DryForest(VESTA)'!R30</f>
        <v>0</v>
      </c>
      <c r="AJ21" s="346">
        <f>'VESTA Mk2 Dry'!Z30</f>
        <v>6.2847202800395259</v>
      </c>
      <c r="AK21" s="346">
        <f>'VESTA Mk2 Wet'!AA30</f>
        <v>0</v>
      </c>
      <c r="AL21" s="346">
        <f>Grass!Y25</f>
        <v>0</v>
      </c>
      <c r="AM21" s="346">
        <f>Grass!AD25</f>
        <v>0</v>
      </c>
      <c r="AN21" s="346">
        <f>Grass!AI25</f>
        <v>0</v>
      </c>
      <c r="AO21" s="347">
        <f>'Forest(McArthur)'!R25</f>
        <v>1776.6107286461822</v>
      </c>
      <c r="AP21" s="348">
        <f>'Forest(VESTA)'!S30</f>
        <v>0</v>
      </c>
      <c r="AQ21" s="348">
        <f>'DryForest(VESTA)'!S30</f>
        <v>0</v>
      </c>
    </row>
    <row r="22" spans="1:43" x14ac:dyDescent="0.25">
      <c r="A22" s="29" t="str">
        <f>Weather_Site!A29</f>
        <v>Sun</v>
      </c>
      <c r="B22" s="74">
        <f>Weather_Site!B29</f>
        <v>44549</v>
      </c>
      <c r="C22" s="75">
        <f>Weather_Site!C29</f>
        <v>0.875</v>
      </c>
      <c r="D22" s="29">
        <f>Weather_Site!D29</f>
        <v>24.6</v>
      </c>
      <c r="E22" s="29">
        <f>Weather_Site!E29</f>
        <v>25.8</v>
      </c>
      <c r="F22" s="29">
        <f>Weather_Site!F29</f>
        <v>210</v>
      </c>
      <c r="G22" s="29">
        <f>Weather_Site!G29</f>
        <v>34</v>
      </c>
      <c r="H22" s="33">
        <f>'Forest(McArthur)'!N26</f>
        <v>0</v>
      </c>
      <c r="I22" s="33">
        <f>Grass!I26</f>
        <v>0</v>
      </c>
      <c r="J22" s="349">
        <f>'Forest(McArthur)'!O26</f>
        <v>0</v>
      </c>
      <c r="K22" s="349">
        <f>'Forest(McArthur)'!AB26</f>
        <v>0</v>
      </c>
      <c r="L22" s="349">
        <f>'Forest(VESTA)'!P31</f>
        <v>0</v>
      </c>
      <c r="M22" s="349">
        <f>'DryForest(VESTA)'!P31</f>
        <v>0</v>
      </c>
      <c r="N22" s="349">
        <f>'VESTA Mk2 Dry'!Y31</f>
        <v>1335.4731678253866</v>
      </c>
      <c r="O22" s="349"/>
      <c r="P22" s="349">
        <f>RedBook!AA31</f>
        <v>0</v>
      </c>
      <c r="Q22" s="350">
        <f>Grass!W26</f>
        <v>0</v>
      </c>
      <c r="R22" s="350">
        <f>Grass!AB26</f>
        <v>0</v>
      </c>
      <c r="S22" s="350">
        <f>Grass!AG26</f>
        <v>0</v>
      </c>
      <c r="T22" s="350">
        <f>Heath!L26</f>
        <v>0</v>
      </c>
      <c r="U22" s="351">
        <f>Buttongrass!M30</f>
        <v>0</v>
      </c>
      <c r="V22" s="352">
        <f>'WA Mallee'!J26</f>
        <v>0</v>
      </c>
      <c r="W22" s="344">
        <f>'Forest(McArthur)'!S26</f>
        <v>0</v>
      </c>
      <c r="X22" s="344">
        <f>'Forest(McArthur)'!AF26</f>
        <v>0</v>
      </c>
      <c r="Y22" s="344">
        <f>'Forest(VESTA)'!T31</f>
        <v>0</v>
      </c>
      <c r="Z22" s="344">
        <f>'DryForest(VESTA)'!T31</f>
        <v>0</v>
      </c>
      <c r="AA22" s="344">
        <f>'VESTA Mk2 Dry'!AB31</f>
        <v>15869.872810991676</v>
      </c>
      <c r="AB22" s="344">
        <f>'VESTA Mk2 Wet'!AC31</f>
        <v>0</v>
      </c>
      <c r="AC22" s="345">
        <f>Grass!Z26</f>
        <v>0</v>
      </c>
      <c r="AD22" s="345">
        <f>Grass!AE26</f>
        <v>0</v>
      </c>
      <c r="AE22" s="345">
        <f>Grass!AJ26</f>
        <v>0</v>
      </c>
      <c r="AF22" s="346">
        <f>'Forest(McArthur)'!Q26</f>
        <v>0</v>
      </c>
      <c r="AG22" s="346">
        <f>'Forest(McArthur)'!AD26</f>
        <v>0</v>
      </c>
      <c r="AH22" s="346">
        <f>'Forest(VESTA)'!R31</f>
        <v>0</v>
      </c>
      <c r="AI22" s="346">
        <f>'DryForest(VESTA)'!R31</f>
        <v>0</v>
      </c>
      <c r="AJ22" s="346">
        <f>'VESTA Mk2 Dry'!Z31</f>
        <v>6.268073593990156</v>
      </c>
      <c r="AK22" s="346">
        <f>'VESTA Mk2 Wet'!AA31</f>
        <v>0</v>
      </c>
      <c r="AL22" s="346">
        <f>Grass!Y26</f>
        <v>0</v>
      </c>
      <c r="AM22" s="346">
        <f>Grass!AD26</f>
        <v>0</v>
      </c>
      <c r="AN22" s="346">
        <f>Grass!AI26</f>
        <v>0</v>
      </c>
      <c r="AO22" s="347">
        <f>'Forest(McArthur)'!R26</f>
        <v>0</v>
      </c>
      <c r="AP22" s="348">
        <f>'Forest(VESTA)'!S31</f>
        <v>0</v>
      </c>
      <c r="AQ22" s="348">
        <f>'DryForest(VESTA)'!S31</f>
        <v>0</v>
      </c>
    </row>
    <row r="23" spans="1:43" x14ac:dyDescent="0.25">
      <c r="A23" s="29" t="str">
        <f>Weather_Site!A30</f>
        <v>Sun</v>
      </c>
      <c r="B23" s="74">
        <f>Weather_Site!B30</f>
        <v>44549</v>
      </c>
      <c r="C23" s="75">
        <f>Weather_Site!C30</f>
        <v>0.91666666666666663</v>
      </c>
      <c r="D23" s="29">
        <f>Weather_Site!D30</f>
        <v>21.9</v>
      </c>
      <c r="E23" s="29">
        <f>Weather_Site!E30</f>
        <v>28.9</v>
      </c>
      <c r="F23" s="29">
        <f>Weather_Site!F30</f>
        <v>210</v>
      </c>
      <c r="G23" s="29">
        <f>Weather_Site!G30</f>
        <v>33</v>
      </c>
      <c r="H23" s="33">
        <f>'Forest(McArthur)'!N27</f>
        <v>0</v>
      </c>
      <c r="I23" s="33">
        <f>Grass!I27</f>
        <v>0</v>
      </c>
      <c r="J23" s="349">
        <f>'Forest(McArthur)'!O27</f>
        <v>0</v>
      </c>
      <c r="K23" s="349">
        <f>'Forest(McArthur)'!AB27</f>
        <v>0</v>
      </c>
      <c r="L23" s="349">
        <f>'Forest(VESTA)'!P32</f>
        <v>0</v>
      </c>
      <c r="M23" s="349">
        <f>'DryForest(VESTA)'!P32</f>
        <v>0</v>
      </c>
      <c r="N23" s="349">
        <f>'VESTA Mk2 Dry'!Y32</f>
        <v>995.20957477558511</v>
      </c>
      <c r="O23" s="349"/>
      <c r="P23" s="349">
        <f>RedBook!AA32</f>
        <v>0</v>
      </c>
      <c r="Q23" s="350">
        <f>Grass!W27</f>
        <v>0</v>
      </c>
      <c r="R23" s="350">
        <f>Grass!AB27</f>
        <v>0</v>
      </c>
      <c r="S23" s="350">
        <f>Grass!AG27</f>
        <v>0</v>
      </c>
      <c r="T23" s="350">
        <f>Heath!L27</f>
        <v>0</v>
      </c>
      <c r="U23" s="351">
        <f>Buttongrass!M31</f>
        <v>0</v>
      </c>
      <c r="V23" s="352">
        <f>'WA Mallee'!J27</f>
        <v>0</v>
      </c>
      <c r="W23" s="344">
        <f>'Forest(McArthur)'!S27</f>
        <v>0</v>
      </c>
      <c r="X23" s="344">
        <f>'Forest(McArthur)'!AF27</f>
        <v>0</v>
      </c>
      <c r="Y23" s="344">
        <f>'Forest(VESTA)'!T32</f>
        <v>0</v>
      </c>
      <c r="Z23" s="344">
        <f>'DryForest(VESTA)'!T32</f>
        <v>0</v>
      </c>
      <c r="AA23" s="344">
        <f>'VESTA Mk2 Dry'!AB32</f>
        <v>11826.407113583202</v>
      </c>
      <c r="AB23" s="344">
        <f>'VESTA Mk2 Wet'!AC32</f>
        <v>0</v>
      </c>
      <c r="AC23" s="345">
        <f>Grass!Z27</f>
        <v>0</v>
      </c>
      <c r="AD23" s="345">
        <f>Grass!AE27</f>
        <v>0</v>
      </c>
      <c r="AE23" s="345">
        <f>Grass!AJ27</f>
        <v>0</v>
      </c>
      <c r="AF23" s="346">
        <f>'Forest(McArthur)'!Q27</f>
        <v>0</v>
      </c>
      <c r="AG23" s="346">
        <f>'Forest(McArthur)'!AD27</f>
        <v>0</v>
      </c>
      <c r="AH23" s="346">
        <f>'Forest(VESTA)'!R32</f>
        <v>0</v>
      </c>
      <c r="AI23" s="346">
        <f>'DryForest(VESTA)'!R32</f>
        <v>0</v>
      </c>
      <c r="AJ23" s="346">
        <f>'VESTA Mk2 Dry'!Z32</f>
        <v>5.067480403870694</v>
      </c>
      <c r="AK23" s="346">
        <f>'VESTA Mk2 Wet'!AA32</f>
        <v>0</v>
      </c>
      <c r="AL23" s="346">
        <f>Grass!Y27</f>
        <v>0</v>
      </c>
      <c r="AM23" s="346">
        <f>Grass!AD27</f>
        <v>0</v>
      </c>
      <c r="AN23" s="346">
        <f>Grass!AI27</f>
        <v>0</v>
      </c>
      <c r="AO23" s="347">
        <f>'Forest(McArthur)'!R27</f>
        <v>0</v>
      </c>
      <c r="AP23" s="348">
        <f>'Forest(VESTA)'!S32</f>
        <v>0</v>
      </c>
      <c r="AQ23" s="348">
        <f>'DryForest(VESTA)'!S32</f>
        <v>0</v>
      </c>
    </row>
    <row r="24" spans="1:43" x14ac:dyDescent="0.25">
      <c r="A24" s="29" t="str">
        <f>Weather_Site!A31</f>
        <v>Sun</v>
      </c>
      <c r="B24" s="74">
        <f>Weather_Site!B31</f>
        <v>44549</v>
      </c>
      <c r="C24" s="75">
        <f>Weather_Site!C31</f>
        <v>0.95833333333333337</v>
      </c>
      <c r="D24" s="29">
        <f>Weather_Site!D31</f>
        <v>19.7</v>
      </c>
      <c r="E24" s="29">
        <f>Weather_Site!E31</f>
        <v>31.5</v>
      </c>
      <c r="F24" s="29">
        <f>Weather_Site!F31</f>
        <v>205</v>
      </c>
      <c r="G24" s="29">
        <f>Weather_Site!G31</f>
        <v>29</v>
      </c>
      <c r="H24" s="33">
        <f>'Forest(McArthur)'!N28</f>
        <v>0</v>
      </c>
      <c r="I24" s="33">
        <f>Grass!I28</f>
        <v>0</v>
      </c>
      <c r="J24" s="349">
        <f>'Forest(McArthur)'!O28</f>
        <v>0</v>
      </c>
      <c r="K24" s="349">
        <f>'Forest(McArthur)'!AB28</f>
        <v>0</v>
      </c>
      <c r="L24" s="349">
        <f>'Forest(VESTA)'!P33</f>
        <v>0</v>
      </c>
      <c r="M24" s="349">
        <f>'DryForest(VESTA)'!P33</f>
        <v>0</v>
      </c>
      <c r="N24" s="349">
        <f>'VESTA Mk2 Dry'!Y33</f>
        <v>789.27205780227655</v>
      </c>
      <c r="O24" s="349"/>
      <c r="P24" s="349">
        <f>RedBook!AA33</f>
        <v>0</v>
      </c>
      <c r="Q24" s="350">
        <f>Grass!W28</f>
        <v>0</v>
      </c>
      <c r="R24" s="350">
        <f>Grass!AB28</f>
        <v>0</v>
      </c>
      <c r="S24" s="350">
        <f>Grass!AG28</f>
        <v>0</v>
      </c>
      <c r="T24" s="350">
        <f>Heath!L28</f>
        <v>0</v>
      </c>
      <c r="U24" s="351">
        <f>Buttongrass!M32</f>
        <v>0</v>
      </c>
      <c r="V24" s="352">
        <f>'WA Mallee'!J28</f>
        <v>0</v>
      </c>
      <c r="W24" s="344">
        <f>'Forest(McArthur)'!S28</f>
        <v>0</v>
      </c>
      <c r="X24" s="344">
        <f>'Forest(McArthur)'!AF28</f>
        <v>0</v>
      </c>
      <c r="Y24" s="344">
        <f>'Forest(VESTA)'!T33</f>
        <v>0</v>
      </c>
      <c r="Z24" s="344">
        <f>'DryForest(VESTA)'!T33</f>
        <v>0</v>
      </c>
      <c r="AA24" s="344">
        <f>'VESTA Mk2 Dry'!AB33</f>
        <v>9379.1829535503875</v>
      </c>
      <c r="AB24" s="344">
        <f>'VESTA Mk2 Wet'!AC33</f>
        <v>0</v>
      </c>
      <c r="AC24" s="345">
        <f>Grass!Z28</f>
        <v>0</v>
      </c>
      <c r="AD24" s="345">
        <f>Grass!AE28</f>
        <v>0</v>
      </c>
      <c r="AE24" s="345">
        <f>Grass!AJ28</f>
        <v>0</v>
      </c>
      <c r="AF24" s="346">
        <f>'Forest(McArthur)'!Q28</f>
        <v>0</v>
      </c>
      <c r="AG24" s="346">
        <f>'Forest(McArthur)'!AD28</f>
        <v>0</v>
      </c>
      <c r="AH24" s="346">
        <f>'Forest(VESTA)'!R33</f>
        <v>0</v>
      </c>
      <c r="AI24" s="346">
        <f>'DryForest(VESTA)'!R33</f>
        <v>0</v>
      </c>
      <c r="AJ24" s="346">
        <f>'VESTA Mk2 Dry'!Z33</f>
        <v>4.2854337516598502</v>
      </c>
      <c r="AK24" s="346">
        <f>'VESTA Mk2 Wet'!AA33</f>
        <v>0</v>
      </c>
      <c r="AL24" s="346">
        <f>Grass!Y28</f>
        <v>0</v>
      </c>
      <c r="AM24" s="346">
        <f>Grass!AD28</f>
        <v>0</v>
      </c>
      <c r="AN24" s="346">
        <f>Grass!AI28</f>
        <v>0</v>
      </c>
      <c r="AO24" s="347">
        <f>'Forest(McArthur)'!R28</f>
        <v>0</v>
      </c>
      <c r="AP24" s="348">
        <f>'Forest(VESTA)'!S33</f>
        <v>0</v>
      </c>
      <c r="AQ24" s="348">
        <f>'DryForest(VESTA)'!S33</f>
        <v>0</v>
      </c>
    </row>
    <row r="25" spans="1:43" x14ac:dyDescent="0.25">
      <c r="A25" s="334"/>
      <c r="B25" s="335"/>
      <c r="C25" s="336"/>
      <c r="D25" s="334"/>
      <c r="E25" s="334"/>
      <c r="F25" s="334"/>
      <c r="G25" s="334"/>
      <c r="H25" s="337"/>
      <c r="I25" s="337"/>
      <c r="J25" s="338"/>
      <c r="K25" s="338"/>
      <c r="L25" s="338"/>
      <c r="M25" s="338"/>
      <c r="N25" s="338"/>
      <c r="O25" s="338"/>
      <c r="P25" s="339"/>
      <c r="Q25" s="339"/>
      <c r="R25" s="339"/>
      <c r="S25" s="339"/>
      <c r="T25" s="340"/>
      <c r="U25" s="341"/>
      <c r="V25" s="342"/>
      <c r="W25" s="342"/>
      <c r="X25" s="342"/>
      <c r="Y25" s="341"/>
      <c r="Z25" s="341"/>
      <c r="AA25" s="341"/>
      <c r="AB25" s="341"/>
      <c r="AC25" s="341"/>
      <c r="AD25" s="343"/>
      <c r="AE25" s="343"/>
      <c r="AF25" s="343"/>
      <c r="AG25" s="343"/>
      <c r="AH25" s="343"/>
      <c r="AI25" s="343"/>
      <c r="AJ25" s="343"/>
      <c r="AK25" s="343"/>
      <c r="AL25" s="341"/>
      <c r="AM25" s="342"/>
    </row>
    <row r="26" spans="1:43" x14ac:dyDescent="0.25">
      <c r="A26" s="334"/>
      <c r="B26" s="335"/>
      <c r="C26" s="336"/>
      <c r="D26" s="334"/>
      <c r="E26" s="334"/>
      <c r="F26" s="334"/>
      <c r="G26" s="334"/>
      <c r="H26" s="337"/>
      <c r="I26" s="337"/>
      <c r="J26" s="338"/>
      <c r="K26" s="338"/>
      <c r="L26" s="338"/>
      <c r="M26" s="338"/>
      <c r="N26" s="338"/>
      <c r="O26" s="338"/>
      <c r="P26" s="339"/>
      <c r="Q26" s="339"/>
      <c r="R26" s="339"/>
      <c r="S26" s="339"/>
      <c r="T26" s="340"/>
      <c r="U26" s="341"/>
      <c r="V26" s="342"/>
      <c r="W26" s="342"/>
      <c r="X26" s="342"/>
      <c r="Y26" s="341"/>
      <c r="Z26" s="341"/>
      <c r="AA26" s="341"/>
      <c r="AB26" s="341"/>
      <c r="AC26" s="341"/>
      <c r="AD26" s="343"/>
      <c r="AE26" s="343"/>
      <c r="AF26" s="343"/>
      <c r="AG26" s="343"/>
      <c r="AH26" s="343"/>
      <c r="AI26" s="343"/>
      <c r="AJ26" s="343"/>
      <c r="AK26" s="343"/>
      <c r="AL26" s="341"/>
      <c r="AM26" s="342"/>
    </row>
    <row r="27" spans="1:43" x14ac:dyDescent="0.25">
      <c r="A27" s="334"/>
      <c r="B27" s="335"/>
      <c r="C27" s="336"/>
      <c r="D27" s="334"/>
      <c r="E27" s="334"/>
      <c r="F27" s="334"/>
      <c r="G27" s="334"/>
      <c r="H27" s="337"/>
      <c r="I27" s="337"/>
      <c r="J27" s="338"/>
      <c r="K27" s="338"/>
      <c r="L27" s="338"/>
      <c r="M27" s="338"/>
      <c r="N27" s="338"/>
      <c r="O27" s="338"/>
      <c r="P27" s="339"/>
      <c r="Q27" s="339"/>
      <c r="R27" s="339"/>
      <c r="S27" s="339"/>
      <c r="T27" s="340"/>
      <c r="U27" s="341"/>
      <c r="V27" s="342"/>
      <c r="W27" s="342"/>
      <c r="X27" s="342"/>
      <c r="Y27" s="341"/>
      <c r="Z27" s="341"/>
      <c r="AA27" s="341"/>
      <c r="AB27" s="341"/>
      <c r="AC27" s="341"/>
      <c r="AD27" s="343"/>
      <c r="AE27" s="343"/>
      <c r="AF27" s="343"/>
      <c r="AG27" s="343"/>
      <c r="AH27" s="343"/>
      <c r="AI27" s="343"/>
      <c r="AJ27" s="343"/>
      <c r="AK27" s="343"/>
      <c r="AL27" s="341"/>
      <c r="AM27" s="342"/>
    </row>
    <row r="28" spans="1:43" x14ac:dyDescent="0.25">
      <c r="A28" s="334"/>
      <c r="B28" s="335"/>
      <c r="C28" s="336"/>
      <c r="D28" s="334"/>
      <c r="E28" s="334"/>
      <c r="F28" s="334"/>
      <c r="G28" s="334"/>
      <c r="H28" s="337"/>
      <c r="I28" s="337"/>
      <c r="J28" s="338"/>
      <c r="K28" s="338"/>
      <c r="L28" s="338"/>
      <c r="M28" s="338"/>
      <c r="N28" s="338"/>
      <c r="O28" s="338"/>
      <c r="P28" s="339"/>
      <c r="Q28" s="339"/>
      <c r="R28" s="339"/>
      <c r="S28" s="339"/>
      <c r="T28" s="340"/>
      <c r="U28" s="341"/>
      <c r="V28" s="342"/>
      <c r="W28" s="342"/>
      <c r="X28" s="342"/>
      <c r="Y28" s="341"/>
      <c r="Z28" s="341"/>
      <c r="AA28" s="341"/>
      <c r="AB28" s="341"/>
      <c r="AC28" s="341"/>
      <c r="AD28" s="343"/>
      <c r="AE28" s="343"/>
      <c r="AF28" s="343"/>
      <c r="AG28" s="343"/>
      <c r="AH28" s="343"/>
      <c r="AI28" s="343"/>
      <c r="AJ28" s="343"/>
      <c r="AK28" s="343"/>
      <c r="AL28" s="341"/>
      <c r="AM28" s="342"/>
    </row>
    <row r="29" spans="1:43" x14ac:dyDescent="0.25">
      <c r="A29" s="334"/>
      <c r="B29" s="335"/>
      <c r="C29" s="336"/>
      <c r="D29" s="334"/>
      <c r="E29" s="334"/>
      <c r="F29" s="334"/>
      <c r="G29" s="334"/>
      <c r="H29" s="337"/>
      <c r="I29" s="337"/>
      <c r="J29" s="338"/>
      <c r="K29" s="338"/>
      <c r="L29" s="338"/>
      <c r="M29" s="338"/>
      <c r="N29" s="338"/>
      <c r="O29" s="338"/>
      <c r="P29" s="339"/>
      <c r="Q29" s="339"/>
      <c r="R29" s="339"/>
      <c r="S29" s="339"/>
      <c r="T29" s="340"/>
      <c r="U29" s="341"/>
      <c r="V29" s="342"/>
      <c r="W29" s="342"/>
      <c r="X29" s="342"/>
      <c r="Y29" s="341"/>
      <c r="Z29" s="341"/>
      <c r="AA29" s="341"/>
      <c r="AB29" s="341"/>
      <c r="AC29" s="341"/>
      <c r="AD29" s="343"/>
      <c r="AE29" s="343"/>
      <c r="AF29" s="343"/>
      <c r="AG29" s="343"/>
      <c r="AH29" s="343"/>
      <c r="AI29" s="343"/>
      <c r="AJ29" s="343"/>
      <c r="AK29" s="343"/>
      <c r="AL29" s="341"/>
      <c r="AM29" s="342"/>
    </row>
    <row r="30" spans="1:43" x14ac:dyDescent="0.25">
      <c r="A30" s="334"/>
      <c r="B30" s="335"/>
      <c r="C30" s="336"/>
      <c r="D30" s="334"/>
      <c r="E30" s="334"/>
      <c r="F30" s="334"/>
      <c r="G30" s="334"/>
      <c r="H30" s="337"/>
      <c r="I30" s="337"/>
      <c r="J30" s="338"/>
      <c r="K30" s="338"/>
      <c r="L30" s="338"/>
      <c r="M30" s="338"/>
      <c r="N30" s="338"/>
      <c r="O30" s="338"/>
      <c r="P30" s="339"/>
      <c r="Q30" s="339"/>
      <c r="R30" s="339"/>
      <c r="S30" s="339"/>
      <c r="T30" s="340"/>
      <c r="U30" s="341"/>
      <c r="V30" s="342"/>
      <c r="W30" s="342"/>
      <c r="X30" s="342"/>
      <c r="Y30" s="341"/>
      <c r="Z30" s="341"/>
      <c r="AA30" s="341"/>
      <c r="AB30" s="341"/>
      <c r="AC30" s="341"/>
      <c r="AD30" s="343"/>
      <c r="AE30" s="343"/>
      <c r="AF30" s="343"/>
      <c r="AG30" s="343"/>
      <c r="AH30" s="343"/>
      <c r="AI30" s="343"/>
      <c r="AJ30" s="343"/>
      <c r="AK30" s="343"/>
      <c r="AL30" s="341"/>
      <c r="AM30" s="342"/>
    </row>
    <row r="31" spans="1:43" x14ac:dyDescent="0.25">
      <c r="A31" s="334"/>
      <c r="B31" s="335"/>
      <c r="C31" s="336"/>
      <c r="D31" s="334"/>
      <c r="E31" s="334"/>
      <c r="F31" s="334"/>
      <c r="G31" s="334"/>
      <c r="H31" s="337"/>
      <c r="I31" s="337"/>
      <c r="J31" s="338"/>
      <c r="K31" s="338"/>
      <c r="L31" s="338"/>
      <c r="M31" s="338"/>
      <c r="N31" s="338"/>
      <c r="O31" s="338"/>
      <c r="P31" s="339"/>
      <c r="Q31" s="339"/>
      <c r="R31" s="339"/>
      <c r="S31" s="339"/>
      <c r="T31" s="340"/>
      <c r="U31" s="341"/>
      <c r="V31" s="342"/>
      <c r="W31" s="342"/>
      <c r="X31" s="342"/>
      <c r="Y31" s="341"/>
      <c r="Z31" s="341"/>
      <c r="AA31" s="341"/>
      <c r="AB31" s="341"/>
      <c r="AC31" s="341"/>
      <c r="AD31" s="343"/>
      <c r="AE31" s="343"/>
      <c r="AF31" s="343"/>
      <c r="AG31" s="343"/>
      <c r="AH31" s="343"/>
      <c r="AI31" s="343"/>
      <c r="AJ31" s="343"/>
      <c r="AK31" s="343"/>
      <c r="AL31" s="341"/>
      <c r="AM31" s="342"/>
    </row>
    <row r="32" spans="1:43" x14ac:dyDescent="0.25">
      <c r="A32" s="334"/>
      <c r="B32" s="335"/>
      <c r="C32" s="336"/>
      <c r="D32" s="334"/>
      <c r="E32" s="334"/>
      <c r="F32" s="334"/>
      <c r="G32" s="334"/>
      <c r="H32" s="337"/>
      <c r="I32" s="337"/>
      <c r="J32" s="338"/>
      <c r="K32" s="338"/>
      <c r="L32" s="338"/>
      <c r="M32" s="338"/>
      <c r="N32" s="338"/>
      <c r="O32" s="338"/>
      <c r="P32" s="339"/>
      <c r="Q32" s="339"/>
      <c r="R32" s="339"/>
      <c r="S32" s="339"/>
      <c r="T32" s="340"/>
      <c r="U32" s="341"/>
      <c r="V32" s="342"/>
      <c r="W32" s="342"/>
      <c r="X32" s="342"/>
      <c r="Y32" s="341"/>
      <c r="Z32" s="341"/>
      <c r="AA32" s="341"/>
      <c r="AB32" s="341"/>
      <c r="AC32" s="341"/>
      <c r="AD32" s="343"/>
      <c r="AE32" s="343"/>
      <c r="AF32" s="343"/>
      <c r="AG32" s="343"/>
      <c r="AH32" s="343"/>
      <c r="AI32" s="343"/>
      <c r="AJ32" s="343"/>
      <c r="AK32" s="343"/>
      <c r="AL32" s="341"/>
      <c r="AM32" s="342"/>
    </row>
    <row r="33" spans="1:39" x14ac:dyDescent="0.25">
      <c r="A33" s="334"/>
      <c r="B33" s="335"/>
      <c r="C33" s="336"/>
      <c r="D33" s="334"/>
      <c r="E33" s="334"/>
      <c r="F33" s="334"/>
      <c r="G33" s="334"/>
      <c r="H33" s="337"/>
      <c r="I33" s="337"/>
      <c r="J33" s="338"/>
      <c r="K33" s="338"/>
      <c r="L33" s="338"/>
      <c r="M33" s="338"/>
      <c r="N33" s="338"/>
      <c r="O33" s="338"/>
      <c r="P33" s="339"/>
      <c r="Q33" s="339"/>
      <c r="R33" s="339"/>
      <c r="S33" s="339"/>
      <c r="T33" s="340"/>
      <c r="U33" s="341"/>
      <c r="V33" s="342"/>
      <c r="W33" s="342"/>
      <c r="X33" s="342"/>
      <c r="Y33" s="341"/>
      <c r="Z33" s="341"/>
      <c r="AA33" s="341"/>
      <c r="AB33" s="341"/>
      <c r="AC33" s="341"/>
      <c r="AD33" s="343"/>
      <c r="AE33" s="343"/>
      <c r="AF33" s="343"/>
      <c r="AG33" s="343"/>
      <c r="AH33" s="343"/>
      <c r="AI33" s="343"/>
      <c r="AJ33" s="343"/>
      <c r="AK33" s="343"/>
      <c r="AL33" s="341"/>
      <c r="AM33" s="342"/>
    </row>
    <row r="34" spans="1:39" x14ac:dyDescent="0.25">
      <c r="A34" s="334"/>
      <c r="B34" s="335"/>
      <c r="C34" s="336"/>
      <c r="D34" s="334"/>
      <c r="E34" s="334"/>
      <c r="F34" s="334"/>
      <c r="G34" s="334"/>
      <c r="H34" s="337"/>
      <c r="I34" s="337"/>
      <c r="J34" s="338"/>
      <c r="K34" s="338"/>
      <c r="L34" s="338"/>
      <c r="M34" s="338"/>
      <c r="N34" s="338"/>
      <c r="O34" s="338"/>
      <c r="P34" s="339"/>
      <c r="Q34" s="339"/>
      <c r="R34" s="339"/>
      <c r="S34" s="339"/>
      <c r="T34" s="340"/>
      <c r="U34" s="341"/>
      <c r="V34" s="342"/>
      <c r="W34" s="342"/>
      <c r="X34" s="342"/>
      <c r="Y34" s="341"/>
      <c r="Z34" s="341"/>
      <c r="AA34" s="341"/>
      <c r="AB34" s="341"/>
      <c r="AC34" s="341"/>
      <c r="AD34" s="343"/>
      <c r="AE34" s="343"/>
      <c r="AF34" s="343"/>
      <c r="AG34" s="343"/>
      <c r="AH34" s="343"/>
      <c r="AI34" s="343"/>
      <c r="AJ34" s="343"/>
      <c r="AK34" s="343"/>
      <c r="AL34" s="341"/>
      <c r="AM34" s="342"/>
    </row>
  </sheetData>
  <phoneticPr fontId="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0000"/>
  </sheetPr>
  <dimension ref="A1:AW35"/>
  <sheetViews>
    <sheetView workbookViewId="0">
      <selection activeCell="D9" sqref="D9"/>
    </sheetView>
  </sheetViews>
  <sheetFormatPr defaultColWidth="8.88671875" defaultRowHeight="14.4" x14ac:dyDescent="0.3"/>
  <cols>
    <col min="1" max="4" width="8.88671875" style="446"/>
    <col min="5" max="5" width="11.88671875" style="446" customWidth="1"/>
    <col min="6" max="6" width="7.88671875" style="446" customWidth="1"/>
    <col min="7" max="10" width="8.88671875" style="446"/>
    <col min="11" max="11" width="12.5546875" style="446" customWidth="1"/>
    <col min="12" max="14" width="8" style="446" customWidth="1"/>
    <col min="15" max="24" width="8" style="446" hidden="1" customWidth="1"/>
    <col min="25" max="26" width="8" style="446" customWidth="1"/>
    <col min="27" max="16384" width="8.88671875" style="446"/>
  </cols>
  <sheetData>
    <row r="1" spans="1:49" ht="23.4" x14ac:dyDescent="0.45">
      <c r="A1" s="445" t="s">
        <v>770</v>
      </c>
      <c r="B1" s="445"/>
      <c r="C1" s="445"/>
    </row>
    <row r="2" spans="1:49" x14ac:dyDescent="0.3">
      <c r="A2" s="446" t="s">
        <v>771</v>
      </c>
    </row>
    <row r="3" spans="1:49" x14ac:dyDescent="0.3">
      <c r="A3" s="447" t="s">
        <v>772</v>
      </c>
    </row>
    <row r="5" spans="1:49" x14ac:dyDescent="0.3">
      <c r="A5" s="448" t="s">
        <v>773</v>
      </c>
    </row>
    <row r="6" spans="1:49" ht="15" thickBot="1" x14ac:dyDescent="0.35">
      <c r="A6" s="449" t="s">
        <v>774</v>
      </c>
    </row>
    <row r="7" spans="1:49" ht="43.2" x14ac:dyDescent="0.3">
      <c r="A7" s="450"/>
      <c r="B7" s="451" t="s">
        <v>775</v>
      </c>
      <c r="C7" s="451" t="s">
        <v>776</v>
      </c>
      <c r="D7" s="451" t="s">
        <v>777</v>
      </c>
      <c r="E7" s="451" t="s">
        <v>778</v>
      </c>
      <c r="F7" s="451" t="s">
        <v>212</v>
      </c>
      <c r="G7" s="450"/>
      <c r="H7" s="450"/>
      <c r="I7" s="450"/>
      <c r="K7" s="452" t="s">
        <v>779</v>
      </c>
      <c r="L7" s="453"/>
      <c r="M7" s="453"/>
      <c r="N7" s="453"/>
      <c r="O7" s="453"/>
      <c r="P7" s="453" t="s">
        <v>780</v>
      </c>
      <c r="Q7" s="453" t="s">
        <v>781</v>
      </c>
      <c r="R7" s="453" t="s">
        <v>765</v>
      </c>
      <c r="S7" s="454" t="s">
        <v>782</v>
      </c>
      <c r="T7" s="453" t="s">
        <v>783</v>
      </c>
      <c r="U7" s="453" t="s">
        <v>784</v>
      </c>
      <c r="V7" s="453" t="s">
        <v>785</v>
      </c>
      <c r="W7" s="453" t="s">
        <v>786</v>
      </c>
      <c r="X7" s="455" t="s">
        <v>43</v>
      </c>
      <c r="Y7" s="456"/>
      <c r="Z7" s="457"/>
      <c r="AA7" s="458"/>
      <c r="AB7" s="458"/>
      <c r="AC7" s="458"/>
      <c r="AD7" s="458"/>
      <c r="AE7" s="458"/>
      <c r="AF7" s="458"/>
      <c r="AG7" s="458"/>
      <c r="AH7" s="458"/>
      <c r="AI7" s="458"/>
      <c r="AJ7" s="458"/>
      <c r="AK7" s="458"/>
      <c r="AL7" s="458"/>
      <c r="AM7" s="458"/>
      <c r="AN7" s="458"/>
      <c r="AO7" s="458"/>
      <c r="AP7" s="458"/>
      <c r="AQ7" s="458"/>
      <c r="AR7" s="458"/>
      <c r="AS7" s="458"/>
      <c r="AT7" s="458"/>
      <c r="AU7" s="458"/>
      <c r="AV7" s="458"/>
      <c r="AW7" s="458"/>
    </row>
    <row r="8" spans="1:49" x14ac:dyDescent="0.3">
      <c r="A8" s="459" t="s">
        <v>21</v>
      </c>
      <c r="B8" s="460">
        <v>90</v>
      </c>
      <c r="C8" s="460">
        <v>6</v>
      </c>
      <c r="D8" s="460">
        <v>10</v>
      </c>
      <c r="E8" s="460" t="s">
        <v>251</v>
      </c>
      <c r="F8" s="460">
        <v>0.7</v>
      </c>
      <c r="K8" s="461"/>
      <c r="L8" s="462"/>
      <c r="M8" s="462"/>
      <c r="N8" s="462"/>
      <c r="O8" s="462"/>
      <c r="P8" s="462" t="s">
        <v>787</v>
      </c>
      <c r="Q8" s="462">
        <v>0</v>
      </c>
      <c r="R8" s="462">
        <v>0</v>
      </c>
      <c r="S8" s="462" t="s">
        <v>788</v>
      </c>
      <c r="T8" s="462" t="s">
        <v>789</v>
      </c>
      <c r="U8" s="462" t="s">
        <v>790</v>
      </c>
      <c r="V8" s="463">
        <v>1</v>
      </c>
      <c r="W8" s="463">
        <v>5</v>
      </c>
      <c r="X8" s="462">
        <v>0</v>
      </c>
      <c r="Y8" s="464"/>
      <c r="Z8" s="465"/>
    </row>
    <row r="9" spans="1:49" ht="19.95" customHeight="1" thickBot="1" x14ac:dyDescent="0.45">
      <c r="A9" s="466" t="s">
        <v>791</v>
      </c>
      <c r="B9" s="467">
        <f>MAX((IF((((23-G9)-11/30*D9)*C9)&lt;0,0,(((23-G9)-11/30*D9)*C9))*(1-(F9/5)^2)),0)</f>
        <v>77.25</v>
      </c>
      <c r="C9" s="468">
        <v>6</v>
      </c>
      <c r="D9" s="468">
        <v>5</v>
      </c>
      <c r="E9" s="468" t="s">
        <v>251</v>
      </c>
      <c r="F9" s="468">
        <v>2.5</v>
      </c>
      <c r="G9" s="446">
        <f>IF(E9="Low",0,IF(E9="Moderate",0,IF(E9="High",4,10)))</f>
        <v>4</v>
      </c>
      <c r="K9" s="469">
        <f>B9+B15+B21+B27+B34+B35</f>
        <v>2000.6126666666667</v>
      </c>
      <c r="L9" s="470" t="s">
        <v>792</v>
      </c>
      <c r="M9" s="471"/>
      <c r="N9" s="471"/>
      <c r="O9" s="471"/>
      <c r="P9" s="471" t="s">
        <v>793</v>
      </c>
      <c r="Q9" s="471">
        <v>1</v>
      </c>
      <c r="R9" s="471">
        <v>5</v>
      </c>
      <c r="S9" s="471" t="s">
        <v>250</v>
      </c>
      <c r="T9" s="471" t="s">
        <v>794</v>
      </c>
      <c r="U9" s="471" t="s">
        <v>795</v>
      </c>
      <c r="V9" s="472">
        <v>2</v>
      </c>
      <c r="W9" s="472">
        <v>10</v>
      </c>
      <c r="X9" s="471">
        <v>0.1</v>
      </c>
      <c r="Y9" s="473"/>
      <c r="Z9" s="474"/>
    </row>
    <row r="10" spans="1:49" x14ac:dyDescent="0.3">
      <c r="Q10" s="462">
        <v>2</v>
      </c>
      <c r="R10" s="446">
        <v>10</v>
      </c>
      <c r="S10" s="446" t="s">
        <v>251</v>
      </c>
      <c r="T10" s="446" t="s">
        <v>796</v>
      </c>
      <c r="V10" s="475">
        <v>3</v>
      </c>
      <c r="W10" s="475">
        <v>15</v>
      </c>
      <c r="X10" s="465">
        <v>0.3</v>
      </c>
      <c r="Y10" s="476"/>
    </row>
    <row r="11" spans="1:49" ht="15" thickBot="1" x14ac:dyDescent="0.35">
      <c r="Q11" s="446">
        <v>3</v>
      </c>
      <c r="R11" s="446">
        <v>15</v>
      </c>
      <c r="S11" s="446" t="s">
        <v>252</v>
      </c>
      <c r="T11" s="446" t="s">
        <v>797</v>
      </c>
      <c r="V11" s="475">
        <v>4</v>
      </c>
      <c r="W11" s="475">
        <v>20</v>
      </c>
      <c r="X11" s="474">
        <v>0.5</v>
      </c>
      <c r="Y11" s="476"/>
    </row>
    <row r="12" spans="1:49" x14ac:dyDescent="0.3">
      <c r="A12" s="448" t="s">
        <v>798</v>
      </c>
      <c r="Q12" s="446">
        <v>4</v>
      </c>
      <c r="R12" s="446">
        <v>20</v>
      </c>
      <c r="S12" s="446" t="s">
        <v>253</v>
      </c>
      <c r="V12" s="475">
        <v>5</v>
      </c>
      <c r="W12" s="475">
        <v>25</v>
      </c>
      <c r="X12" s="446">
        <v>0.7</v>
      </c>
      <c r="Y12" s="476"/>
    </row>
    <row r="13" spans="1:49" ht="45.6" customHeight="1" x14ac:dyDescent="0.3">
      <c r="A13" s="450"/>
      <c r="B13" s="451" t="s">
        <v>775</v>
      </c>
      <c r="C13" s="451" t="s">
        <v>799</v>
      </c>
      <c r="D13" s="451" t="s">
        <v>777</v>
      </c>
      <c r="E13" s="451" t="s">
        <v>800</v>
      </c>
      <c r="F13" s="451" t="s">
        <v>212</v>
      </c>
      <c r="Q13" s="446">
        <v>5</v>
      </c>
      <c r="R13" s="446">
        <v>25</v>
      </c>
      <c r="V13" s="475">
        <v>8</v>
      </c>
      <c r="W13" s="475">
        <v>30</v>
      </c>
      <c r="X13" s="446">
        <v>1</v>
      </c>
      <c r="Y13" s="476"/>
    </row>
    <row r="14" spans="1:49" x14ac:dyDescent="0.3">
      <c r="A14" s="459" t="s">
        <v>21</v>
      </c>
      <c r="B14" s="460">
        <v>486</v>
      </c>
      <c r="C14" s="460">
        <v>2</v>
      </c>
      <c r="D14" s="460">
        <v>10</v>
      </c>
      <c r="E14" s="460" t="s">
        <v>794</v>
      </c>
      <c r="F14" s="460">
        <v>1.2</v>
      </c>
      <c r="Q14" s="446">
        <v>6</v>
      </c>
      <c r="R14" s="446">
        <v>30</v>
      </c>
      <c r="V14" s="475">
        <v>10</v>
      </c>
      <c r="W14" s="475">
        <v>35</v>
      </c>
      <c r="X14" s="446">
        <v>1.2</v>
      </c>
      <c r="Y14" s="476"/>
    </row>
    <row r="15" spans="1:49" ht="18" x14ac:dyDescent="0.3">
      <c r="A15" s="466" t="s">
        <v>791</v>
      </c>
      <c r="B15" s="467">
        <f>MAX(IF((((680-G15)-64/3*D15)*C15)&lt;0,0,(((680-G15)-64/3*D15)*C15))*(1-(F15/10)^2),0)</f>
        <v>486.22933333333339</v>
      </c>
      <c r="C15" s="468">
        <v>2</v>
      </c>
      <c r="D15" s="468">
        <v>10</v>
      </c>
      <c r="E15" s="468" t="s">
        <v>794</v>
      </c>
      <c r="F15" s="468">
        <v>1.2</v>
      </c>
      <c r="G15" s="446">
        <f>IF(E15="None",0,IF(E15="Some",220,IF(E15="Significant",380,380)))</f>
        <v>220</v>
      </c>
      <c r="Q15" s="446">
        <v>7</v>
      </c>
      <c r="V15" s="475">
        <v>15</v>
      </c>
      <c r="W15" s="475">
        <v>40</v>
      </c>
      <c r="X15" s="446">
        <v>1.5</v>
      </c>
      <c r="Y15" s="476"/>
    </row>
    <row r="16" spans="1:49" x14ac:dyDescent="0.3">
      <c r="Q16" s="446">
        <v>8</v>
      </c>
      <c r="V16" s="475">
        <v>20</v>
      </c>
      <c r="W16" s="475">
        <v>45</v>
      </c>
      <c r="X16" s="446">
        <v>1.7</v>
      </c>
      <c r="Y16" s="476"/>
    </row>
    <row r="17" spans="1:24" x14ac:dyDescent="0.3">
      <c r="Q17" s="446">
        <v>9</v>
      </c>
      <c r="W17" s="475">
        <v>50</v>
      </c>
      <c r="X17" s="446">
        <v>2</v>
      </c>
    </row>
    <row r="18" spans="1:24" x14ac:dyDescent="0.3">
      <c r="A18" s="448" t="s">
        <v>801</v>
      </c>
      <c r="Q18" s="446">
        <v>10</v>
      </c>
      <c r="W18" s="475">
        <v>55</v>
      </c>
      <c r="X18" s="446">
        <v>2.5</v>
      </c>
    </row>
    <row r="19" spans="1:24" ht="43.2" x14ac:dyDescent="0.3">
      <c r="A19" s="450"/>
      <c r="B19" s="451" t="s">
        <v>775</v>
      </c>
      <c r="C19" s="451" t="s">
        <v>799</v>
      </c>
      <c r="D19" s="451" t="s">
        <v>777</v>
      </c>
      <c r="E19" s="451" t="s">
        <v>800</v>
      </c>
      <c r="F19" s="451" t="s">
        <v>212</v>
      </c>
      <c r="Q19" s="446">
        <v>15</v>
      </c>
      <c r="W19" s="475">
        <v>60</v>
      </c>
      <c r="X19" s="446">
        <v>3</v>
      </c>
    </row>
    <row r="20" spans="1:24" x14ac:dyDescent="0.3">
      <c r="A20" s="459" t="s">
        <v>21</v>
      </c>
      <c r="B20" s="460">
        <v>1010</v>
      </c>
      <c r="C20" s="460">
        <v>5</v>
      </c>
      <c r="D20" s="460">
        <v>20</v>
      </c>
      <c r="E20" s="460" t="s">
        <v>796</v>
      </c>
      <c r="F20" s="460">
        <v>1.5</v>
      </c>
      <c r="Q20" s="446">
        <v>20</v>
      </c>
      <c r="X20" s="446">
        <v>4</v>
      </c>
    </row>
    <row r="21" spans="1:24" ht="18" x14ac:dyDescent="0.3">
      <c r="A21" s="466" t="s">
        <v>791</v>
      </c>
      <c r="B21" s="467">
        <f>MAX(IF((((900-G21)-50/3*D21)*C21)&lt;0,0,(((900-G21)-50/3*D21)*C21))*(1-(F21/10)^2),0)</f>
        <v>703.80000000000007</v>
      </c>
      <c r="C21" s="468">
        <v>1</v>
      </c>
      <c r="D21" s="468">
        <v>0</v>
      </c>
      <c r="E21" s="468" t="s">
        <v>794</v>
      </c>
      <c r="F21" s="468">
        <v>1.5</v>
      </c>
      <c r="G21" s="446">
        <f>IF(E21="None",0,IF(E21="Some",180,IF(E21="Significant",360,480)))</f>
        <v>180</v>
      </c>
      <c r="Q21" s="446">
        <v>25</v>
      </c>
      <c r="X21" s="446">
        <v>5</v>
      </c>
    </row>
    <row r="22" spans="1:24" x14ac:dyDescent="0.3">
      <c r="Q22" s="446">
        <v>30</v>
      </c>
      <c r="X22" s="446">
        <v>6</v>
      </c>
    </row>
    <row r="23" spans="1:24" x14ac:dyDescent="0.3">
      <c r="Q23" s="446">
        <v>40</v>
      </c>
      <c r="X23" s="446">
        <v>7</v>
      </c>
    </row>
    <row r="24" spans="1:24" x14ac:dyDescent="0.3">
      <c r="A24" s="477" t="s">
        <v>802</v>
      </c>
      <c r="B24" s="462"/>
      <c r="Q24" s="446">
        <v>50</v>
      </c>
      <c r="X24" s="446">
        <v>8</v>
      </c>
    </row>
    <row r="25" spans="1:24" ht="43.2" x14ac:dyDescent="0.3">
      <c r="A25" s="450"/>
      <c r="B25" s="451" t="s">
        <v>775</v>
      </c>
      <c r="C25" s="451" t="s">
        <v>803</v>
      </c>
      <c r="D25" s="451" t="s">
        <v>784</v>
      </c>
      <c r="E25" s="478" t="s">
        <v>804</v>
      </c>
      <c r="F25" s="478" t="s">
        <v>212</v>
      </c>
      <c r="G25" s="451" t="s">
        <v>805</v>
      </c>
      <c r="Q25" s="446">
        <v>60</v>
      </c>
      <c r="X25" s="446">
        <v>9</v>
      </c>
    </row>
    <row r="26" spans="1:24" x14ac:dyDescent="0.3">
      <c r="A26" s="459" t="s">
        <v>21</v>
      </c>
      <c r="B26" s="460">
        <v>333</v>
      </c>
      <c r="C26" s="460">
        <v>1</v>
      </c>
      <c r="D26" s="460" t="s">
        <v>790</v>
      </c>
      <c r="E26" s="460" t="s">
        <v>251</v>
      </c>
      <c r="F26" s="460">
        <v>2</v>
      </c>
      <c r="G26" s="460">
        <v>5</v>
      </c>
      <c r="Q26" s="446">
        <v>70</v>
      </c>
      <c r="X26" s="446">
        <v>10</v>
      </c>
    </row>
    <row r="27" spans="1:24" ht="18" x14ac:dyDescent="0.3">
      <c r="A27" s="466" t="s">
        <v>791</v>
      </c>
      <c r="B27" s="467">
        <f>C27*IF(D27="Good",(2000*1/G27*5*1/F27*1/(IF(E27="Low",1,IF(E27="Moderate",2,IF(E27="High",3,IF(E27="Very High",4,5)))))),(200*1/G27*5*1/F27*1/(IF(E27="Low",1,IF(E27="Moderate",2,IF(E27="High",3,IF(E27="Very High",4,5)))))))</f>
        <v>133.33333333333334</v>
      </c>
      <c r="C27" s="468">
        <v>1</v>
      </c>
      <c r="D27" s="468" t="s">
        <v>790</v>
      </c>
      <c r="E27" s="468" t="s">
        <v>251</v>
      </c>
      <c r="F27" s="468">
        <v>5</v>
      </c>
      <c r="G27" s="468">
        <v>5</v>
      </c>
      <c r="Q27" s="446">
        <v>80</v>
      </c>
      <c r="X27" s="446">
        <v>20</v>
      </c>
    </row>
    <row r="28" spans="1:24" x14ac:dyDescent="0.3">
      <c r="Q28" s="446">
        <v>90</v>
      </c>
      <c r="X28" s="446">
        <v>30</v>
      </c>
    </row>
    <row r="29" spans="1:24" x14ac:dyDescent="0.3">
      <c r="Q29" s="446">
        <v>100</v>
      </c>
      <c r="X29" s="446">
        <v>40</v>
      </c>
    </row>
    <row r="30" spans="1:24" x14ac:dyDescent="0.3">
      <c r="X30" s="446">
        <v>50</v>
      </c>
    </row>
    <row r="31" spans="1:24" x14ac:dyDescent="0.3">
      <c r="A31" s="448" t="s">
        <v>806</v>
      </c>
    </row>
    <row r="32" spans="1:24" ht="43.2" x14ac:dyDescent="0.3">
      <c r="A32" s="450"/>
      <c r="B32" s="451" t="s">
        <v>775</v>
      </c>
      <c r="C32" s="451" t="s">
        <v>807</v>
      </c>
      <c r="D32" s="451" t="s">
        <v>808</v>
      </c>
      <c r="E32" s="750" t="s">
        <v>809</v>
      </c>
      <c r="F32" s="750"/>
      <c r="G32" s="750"/>
    </row>
    <row r="33" spans="1:7" x14ac:dyDescent="0.3">
      <c r="A33" s="459" t="s">
        <v>21</v>
      </c>
      <c r="B33" s="460">
        <v>450</v>
      </c>
      <c r="C33" s="460">
        <v>5</v>
      </c>
      <c r="D33" s="460">
        <v>20</v>
      </c>
      <c r="E33" s="751" t="s">
        <v>787</v>
      </c>
      <c r="F33" s="751"/>
      <c r="G33" s="751"/>
    </row>
    <row r="34" spans="1:7" ht="18" x14ac:dyDescent="0.3">
      <c r="A34" s="466" t="s">
        <v>791</v>
      </c>
      <c r="B34" s="467">
        <f>C34*IF(E34="1400L Medium Helicopter",(360/D34*5),IF(E34="2500L Fixed-wing",(140/D34*30),0))</f>
        <v>420</v>
      </c>
      <c r="C34" s="468">
        <v>2</v>
      </c>
      <c r="D34" s="468">
        <v>20</v>
      </c>
      <c r="E34" s="752" t="s">
        <v>793</v>
      </c>
      <c r="F34" s="752"/>
      <c r="G34" s="752"/>
    </row>
    <row r="35" spans="1:7" ht="18" x14ac:dyDescent="0.3">
      <c r="A35" s="466" t="s">
        <v>791</v>
      </c>
      <c r="B35" s="467">
        <f>C35*IF(E35="1400L Medium Helicopter",(360/D35*5),IF(E35="2500L Fixed-wing",(140/D35*30),0))</f>
        <v>180</v>
      </c>
      <c r="C35" s="468">
        <v>1</v>
      </c>
      <c r="D35" s="468">
        <v>10</v>
      </c>
      <c r="E35" s="752" t="s">
        <v>787</v>
      </c>
      <c r="F35" s="752"/>
      <c r="G35" s="752"/>
    </row>
  </sheetData>
  <sheetProtection sheet="1" objects="1" scenarios="1" selectLockedCells="1"/>
  <mergeCells count="4">
    <mergeCell ref="E32:G32"/>
    <mergeCell ref="E33:G33"/>
    <mergeCell ref="E34:G34"/>
    <mergeCell ref="E35:G35"/>
  </mergeCells>
  <dataValidations count="10">
    <dataValidation type="list" allowBlank="1" showInputMessage="1" showErrorMessage="1" sqref="F9 F21 F15">
      <formula1>$X$8:$X$30</formula1>
    </dataValidation>
    <dataValidation type="list" allowBlank="1" showInputMessage="1" showErrorMessage="1" sqref="D34:D35">
      <formula1>$W$8:$W$19</formula1>
    </dataValidation>
    <dataValidation type="list" allowBlank="1" showInputMessage="1" showErrorMessage="1" sqref="E34:E35">
      <formula1>$P$8:$P$9</formula1>
    </dataValidation>
    <dataValidation type="list" allowBlank="1" showInputMessage="1" showErrorMessage="1" sqref="D27">
      <formula1>$U$8:$U$9</formula1>
    </dataValidation>
    <dataValidation type="list" allowBlank="1" showInputMessage="1" showErrorMessage="1" sqref="E15 E21">
      <formula1>$T$8:$T$11</formula1>
    </dataValidation>
    <dataValidation type="list" allowBlank="1" showInputMessage="1" showErrorMessage="1" sqref="C21 C34:C35 C27 C15 C9">
      <formula1>$Q$8:$Q$29</formula1>
    </dataValidation>
    <dataValidation type="list" allowBlank="1" showInputMessage="1" showErrorMessage="1" sqref="D9 D21 D15">
      <formula1>$R$8:$R$14</formula1>
    </dataValidation>
    <dataValidation type="list" allowBlank="1" showInputMessage="1" showErrorMessage="1" sqref="E27 E9">
      <formula1>$S$8:$S$12</formula1>
    </dataValidation>
    <dataValidation type="list" allowBlank="1" showInputMessage="1" showErrorMessage="1" sqref="G27">
      <formula1>$W$8:$W$16</formula1>
    </dataValidation>
    <dataValidation type="list" allowBlank="1" showInputMessage="1" showErrorMessage="1" sqref="F27">
      <formula1>$V$8:$V$16</formula1>
    </dataValidation>
  </dataValidations>
  <pageMargins left="0.7" right="0.7" top="0.75" bottom="0.75" header="0.3" footer="0.3"/>
  <pageSetup paperSize="9" orientation="portrait"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40"/>
  <sheetViews>
    <sheetView workbookViewId="0">
      <selection activeCell="G38" sqref="G38"/>
    </sheetView>
  </sheetViews>
  <sheetFormatPr defaultRowHeight="13.2" x14ac:dyDescent="0.25"/>
  <cols>
    <col min="2" max="6" width="12.5546875" customWidth="1"/>
  </cols>
  <sheetData>
    <row r="1" spans="1:7" ht="17.399999999999999" x14ac:dyDescent="0.3">
      <c r="A1" s="73" t="s">
        <v>180</v>
      </c>
      <c r="B1" s="2"/>
      <c r="C1" s="2"/>
      <c r="D1" s="2"/>
      <c r="E1" s="2"/>
    </row>
    <row r="2" spans="1:7" x14ac:dyDescent="0.25">
      <c r="A2" s="111"/>
      <c r="B2" s="112"/>
      <c r="C2" s="112"/>
      <c r="D2" s="112"/>
      <c r="E2" s="112"/>
      <c r="F2" s="113"/>
      <c r="G2" s="114"/>
    </row>
    <row r="3" spans="1:7" x14ac:dyDescent="0.25">
      <c r="A3" s="115" t="s">
        <v>181</v>
      </c>
      <c r="B3" s="116"/>
      <c r="C3" s="116"/>
      <c r="D3" s="116"/>
      <c r="E3" s="116"/>
      <c r="F3" s="117"/>
      <c r="G3" s="118"/>
    </row>
    <row r="4" spans="1:7" x14ac:dyDescent="0.25">
      <c r="A4" s="115" t="s">
        <v>182</v>
      </c>
      <c r="B4" s="116"/>
      <c r="C4" s="116"/>
      <c r="D4" s="116"/>
      <c r="E4" s="116"/>
      <c r="F4" s="117"/>
      <c r="G4" s="118"/>
    </row>
    <row r="5" spans="1:7" x14ac:dyDescent="0.25">
      <c r="A5" s="115" t="s">
        <v>183</v>
      </c>
      <c r="B5" s="116"/>
      <c r="C5" s="116"/>
      <c r="D5" s="116"/>
      <c r="E5" s="116"/>
      <c r="F5" s="117"/>
      <c r="G5" s="118"/>
    </row>
    <row r="6" spans="1:7" x14ac:dyDescent="0.25">
      <c r="A6" s="115" t="s">
        <v>184</v>
      </c>
      <c r="B6" s="116"/>
      <c r="C6" s="116"/>
      <c r="D6" s="116"/>
      <c r="E6" s="116"/>
      <c r="F6" s="117"/>
      <c r="G6" s="118"/>
    </row>
    <row r="7" spans="1:7" x14ac:dyDescent="0.25">
      <c r="A7" s="115"/>
      <c r="B7" s="116"/>
      <c r="C7" s="116"/>
      <c r="D7" s="116"/>
      <c r="E7" s="116"/>
      <c r="F7" s="117"/>
      <c r="G7" s="118"/>
    </row>
    <row r="8" spans="1:7" x14ac:dyDescent="0.25">
      <c r="A8" s="115"/>
      <c r="B8" s="119" t="s">
        <v>185</v>
      </c>
      <c r="C8" s="120" t="s">
        <v>186</v>
      </c>
      <c r="D8" s="121" t="s">
        <v>35</v>
      </c>
      <c r="E8" s="122" t="s">
        <v>187</v>
      </c>
      <c r="F8" s="117"/>
      <c r="G8" s="118"/>
    </row>
    <row r="9" spans="1:7" x14ac:dyDescent="0.25">
      <c r="A9" s="115"/>
      <c r="B9" s="123">
        <v>-10</v>
      </c>
      <c r="C9" s="123">
        <v>1500</v>
      </c>
      <c r="D9" s="364">
        <f>DEGREES(ATAN(B9/C9))</f>
        <v>-0.38196620472902548</v>
      </c>
      <c r="E9" s="124">
        <f>EXP(0.069*D9)</f>
        <v>0.97398861129233638</v>
      </c>
      <c r="F9" s="117"/>
      <c r="G9" s="118"/>
    </row>
    <row r="10" spans="1:7" x14ac:dyDescent="0.25">
      <c r="A10" s="125"/>
      <c r="B10" s="126"/>
      <c r="C10" s="126"/>
      <c r="D10" s="126"/>
      <c r="E10" s="126"/>
      <c r="F10" s="127"/>
      <c r="G10" s="128"/>
    </row>
    <row r="11" spans="1:7" x14ac:dyDescent="0.25">
      <c r="B11" s="2"/>
      <c r="C11" s="2"/>
      <c r="D11" s="2"/>
      <c r="E11" s="2"/>
    </row>
    <row r="12" spans="1:7" x14ac:dyDescent="0.25">
      <c r="A12" s="129"/>
      <c r="B12" s="130"/>
      <c r="C12" s="130"/>
      <c r="D12" s="130"/>
      <c r="E12" s="130"/>
      <c r="F12" s="131"/>
      <c r="G12" s="132"/>
    </row>
    <row r="13" spans="1:7" x14ac:dyDescent="0.25">
      <c r="A13" s="133"/>
      <c r="B13" s="134" t="s">
        <v>188</v>
      </c>
      <c r="C13" s="135"/>
      <c r="D13" s="135"/>
      <c r="E13" s="134" t="s">
        <v>189</v>
      </c>
      <c r="F13" s="135"/>
      <c r="G13" s="136"/>
    </row>
    <row r="14" spans="1:7" x14ac:dyDescent="0.25">
      <c r="A14" s="133"/>
      <c r="B14" s="135"/>
      <c r="C14" s="135"/>
      <c r="D14" s="135"/>
      <c r="E14" s="134"/>
      <c r="F14" s="135"/>
      <c r="G14" s="136"/>
    </row>
    <row r="15" spans="1:7" x14ac:dyDescent="0.25">
      <c r="A15" s="133"/>
      <c r="B15" s="137" t="s">
        <v>190</v>
      </c>
      <c r="C15" s="138" t="s">
        <v>35</v>
      </c>
      <c r="D15" s="135"/>
      <c r="E15" s="138" t="s">
        <v>35</v>
      </c>
      <c r="F15" s="137" t="s">
        <v>190</v>
      </c>
      <c r="G15" s="139"/>
    </row>
    <row r="16" spans="1:7" x14ac:dyDescent="0.25">
      <c r="A16" s="133"/>
      <c r="B16" s="140">
        <v>15</v>
      </c>
      <c r="C16" s="141">
        <f>DEGREES(ATAN(B16/100))</f>
        <v>8.5307656099481335</v>
      </c>
      <c r="D16" s="135"/>
      <c r="E16" s="142">
        <v>9</v>
      </c>
      <c r="F16" s="143">
        <f>TAN(RADIANS(E16))*100</f>
        <v>15.838444032453628</v>
      </c>
      <c r="G16" s="139"/>
    </row>
    <row r="17" spans="1:7" x14ac:dyDescent="0.25">
      <c r="A17" s="144"/>
      <c r="B17" s="145"/>
      <c r="C17" s="145"/>
      <c r="D17" s="145"/>
      <c r="E17" s="145"/>
      <c r="F17" s="146"/>
      <c r="G17" s="147"/>
    </row>
    <row r="18" spans="1:7" x14ac:dyDescent="0.25">
      <c r="B18" s="2"/>
      <c r="C18" s="2"/>
      <c r="D18" s="2"/>
      <c r="E18" s="2"/>
    </row>
    <row r="19" spans="1:7" x14ac:dyDescent="0.25">
      <c r="A19" s="148" t="s">
        <v>191</v>
      </c>
      <c r="B19" s="149"/>
      <c r="C19" s="149"/>
      <c r="D19" s="149"/>
      <c r="E19" s="149"/>
      <c r="F19" s="150"/>
      <c r="G19" s="151"/>
    </row>
    <row r="20" spans="1:7" x14ac:dyDescent="0.25">
      <c r="A20" s="152"/>
      <c r="B20" s="153"/>
      <c r="C20" s="153"/>
      <c r="D20" s="153"/>
      <c r="E20" s="153"/>
      <c r="F20" s="154"/>
      <c r="G20" s="155"/>
    </row>
    <row r="21" spans="1:7" x14ac:dyDescent="0.25">
      <c r="A21" s="152" t="s">
        <v>192</v>
      </c>
      <c r="B21" s="153"/>
      <c r="C21" s="153"/>
      <c r="D21" s="153"/>
      <c r="E21" s="153"/>
      <c r="F21" s="154"/>
      <c r="G21" s="155"/>
    </row>
    <row r="22" spans="1:7" x14ac:dyDescent="0.25">
      <c r="A22" s="152" t="s">
        <v>193</v>
      </c>
      <c r="B22" s="153"/>
      <c r="C22" s="153"/>
      <c r="D22" s="153"/>
      <c r="E22" s="153"/>
      <c r="F22" s="154"/>
      <c r="G22" s="155"/>
    </row>
    <row r="23" spans="1:7" x14ac:dyDescent="0.25">
      <c r="A23" s="152"/>
      <c r="B23" s="153"/>
      <c r="C23" s="153"/>
      <c r="D23" s="153"/>
      <c r="E23" s="153"/>
      <c r="F23" s="154"/>
      <c r="G23" s="155"/>
    </row>
    <row r="24" spans="1:7" x14ac:dyDescent="0.25">
      <c r="A24" s="152"/>
      <c r="B24" s="153"/>
      <c r="C24" s="156" t="s">
        <v>186</v>
      </c>
      <c r="D24" s="153"/>
      <c r="E24" s="153"/>
      <c r="F24" s="154"/>
      <c r="G24" s="155"/>
    </row>
    <row r="25" spans="1:7" x14ac:dyDescent="0.25">
      <c r="A25" s="152"/>
      <c r="B25" s="157" t="s">
        <v>185</v>
      </c>
      <c r="C25" s="156" t="s">
        <v>194</v>
      </c>
      <c r="D25" s="156" t="s">
        <v>195</v>
      </c>
      <c r="E25" s="156" t="s">
        <v>196</v>
      </c>
      <c r="F25" s="156" t="s">
        <v>197</v>
      </c>
      <c r="G25" s="155"/>
    </row>
    <row r="26" spans="1:7" x14ac:dyDescent="0.25">
      <c r="A26" s="152"/>
      <c r="B26" s="140">
        <v>30</v>
      </c>
      <c r="C26" s="158">
        <f>$B$26/TAN(RADIANS(5))</f>
        <v>342.9015690828403</v>
      </c>
      <c r="D26" s="158">
        <f>$B$26/TAN(RADIANS(10))</f>
        <v>170.13845458853129</v>
      </c>
      <c r="E26" s="158">
        <f>$B$26/TAN(RADIANS(20))</f>
        <v>82.42432258363867</v>
      </c>
      <c r="F26" s="158">
        <f>$B$26/TAN(RADIANS(30))</f>
        <v>51.96152422706632</v>
      </c>
      <c r="G26" s="155"/>
    </row>
    <row r="27" spans="1:7" x14ac:dyDescent="0.25">
      <c r="A27" s="159"/>
      <c r="B27" s="160"/>
      <c r="C27" s="160"/>
      <c r="D27" s="160"/>
      <c r="E27" s="160"/>
      <c r="F27" s="161"/>
      <c r="G27" s="162"/>
    </row>
    <row r="29" spans="1:7" x14ac:dyDescent="0.25">
      <c r="A29" s="427" t="s">
        <v>767</v>
      </c>
      <c r="B29" s="428"/>
      <c r="C29" s="428"/>
      <c r="D29" s="428"/>
      <c r="E29" s="429"/>
      <c r="F29" s="38"/>
      <c r="G29" s="38"/>
    </row>
    <row r="30" spans="1:7" x14ac:dyDescent="0.25">
      <c r="A30" s="442"/>
      <c r="B30" s="430" t="s">
        <v>768</v>
      </c>
      <c r="C30" s="431"/>
      <c r="D30" s="431"/>
      <c r="E30" s="432"/>
      <c r="F30" s="38"/>
      <c r="G30" s="38"/>
    </row>
    <row r="31" spans="1:7" x14ac:dyDescent="0.25">
      <c r="A31" s="442"/>
      <c r="B31" s="430" t="s">
        <v>769</v>
      </c>
      <c r="C31" s="431"/>
      <c r="D31" s="431"/>
      <c r="E31" s="432"/>
      <c r="F31" s="38"/>
      <c r="G31" s="38"/>
    </row>
    <row r="32" spans="1:7" x14ac:dyDescent="0.25">
      <c r="A32" s="430"/>
      <c r="B32" s="431"/>
      <c r="C32" s="431"/>
      <c r="D32" s="431"/>
      <c r="E32" s="432"/>
      <c r="F32" s="38"/>
      <c r="G32" s="38"/>
    </row>
    <row r="33" spans="1:7" x14ac:dyDescent="0.25">
      <c r="A33" s="430"/>
      <c r="B33" s="424" t="s">
        <v>35</v>
      </c>
      <c r="C33" s="422" t="s">
        <v>185</v>
      </c>
      <c r="D33" s="423" t="s">
        <v>186</v>
      </c>
      <c r="E33" s="432"/>
      <c r="F33" s="38"/>
      <c r="G33" s="38"/>
    </row>
    <row r="34" spans="1:7" x14ac:dyDescent="0.25">
      <c r="A34" s="433"/>
      <c r="B34" s="142">
        <v>10</v>
      </c>
      <c r="C34" s="142">
        <v>20</v>
      </c>
      <c r="D34" s="440">
        <f>C34/TAN(RADIANS(B34))</f>
        <v>113.42563639235419</v>
      </c>
      <c r="E34" s="432"/>
      <c r="F34" s="38"/>
      <c r="G34" s="38"/>
    </row>
    <row r="35" spans="1:7" x14ac:dyDescent="0.25">
      <c r="A35" s="433"/>
      <c r="B35" s="443"/>
      <c r="C35" s="443"/>
      <c r="D35" s="444"/>
      <c r="E35" s="432"/>
      <c r="F35" s="38"/>
      <c r="G35" s="38"/>
    </row>
    <row r="36" spans="1:7" x14ac:dyDescent="0.25">
      <c r="A36" s="433"/>
      <c r="B36" s="424" t="s">
        <v>35</v>
      </c>
      <c r="C36" s="423" t="s">
        <v>186</v>
      </c>
      <c r="D36" s="422" t="s">
        <v>185</v>
      </c>
      <c r="E36" s="432"/>
      <c r="F36" s="38"/>
      <c r="G36" s="38"/>
    </row>
    <row r="37" spans="1:7" x14ac:dyDescent="0.25">
      <c r="A37" s="433"/>
      <c r="B37" s="439">
        <v>15</v>
      </c>
      <c r="C37" s="439">
        <v>100</v>
      </c>
      <c r="D37" s="441">
        <f>C37*TAN(RADIANS(B37))</f>
        <v>26.794919243112268</v>
      </c>
      <c r="E37" s="432"/>
      <c r="F37" s="38"/>
      <c r="G37" s="38"/>
    </row>
    <row r="38" spans="1:7" x14ac:dyDescent="0.25">
      <c r="A38" s="434"/>
      <c r="B38" s="435"/>
      <c r="C38" s="435"/>
      <c r="D38" s="435"/>
      <c r="E38" s="436"/>
      <c r="F38" s="38"/>
      <c r="G38" s="38"/>
    </row>
    <row r="39" spans="1:7" x14ac:dyDescent="0.25">
      <c r="A39" s="38"/>
      <c r="B39" s="371"/>
      <c r="C39" s="371"/>
      <c r="D39" s="371"/>
      <c r="E39" s="38"/>
      <c r="F39" s="437"/>
      <c r="G39" s="438"/>
    </row>
    <row r="40" spans="1:7" ht="16.8" x14ac:dyDescent="0.3">
      <c r="F40" s="425" t="s">
        <v>202</v>
      </c>
      <c r="G40" s="426"/>
    </row>
  </sheetData>
  <sheetProtection password="9487" sheet="1" objects="1" scenarios="1"/>
  <phoneticPr fontId="6" type="noConversion"/>
  <hyperlinks>
    <hyperlink ref="F40:G40" location="Instructions!A1" display="Return to Menu"/>
  </hyperlink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10"/>
  <sheetViews>
    <sheetView zoomScale="110" workbookViewId="0"/>
  </sheetViews>
  <sheetFormatPr defaultColWidth="9.109375" defaultRowHeight="13.2" x14ac:dyDescent="0.25"/>
  <cols>
    <col min="1" max="16384" width="9.109375" style="4"/>
  </cols>
  <sheetData>
    <row r="1" spans="1:15" ht="15.6" x14ac:dyDescent="0.3">
      <c r="A1" s="192" t="s">
        <v>225</v>
      </c>
      <c r="B1" s="191"/>
      <c r="C1" s="191"/>
      <c r="D1" s="191"/>
      <c r="E1" s="191"/>
      <c r="F1" s="191"/>
      <c r="G1" s="191"/>
      <c r="H1" s="191"/>
      <c r="I1" s="191"/>
      <c r="J1" s="191"/>
      <c r="K1" s="191"/>
      <c r="L1" s="191"/>
      <c r="M1" s="191"/>
      <c r="N1" s="191"/>
      <c r="O1" s="191"/>
    </row>
    <row r="2" spans="1:15" x14ac:dyDescent="0.25">
      <c r="B2" s="191"/>
      <c r="C2" s="191"/>
      <c r="D2" s="191"/>
      <c r="E2" s="191"/>
      <c r="F2" s="191"/>
      <c r="G2" s="191"/>
      <c r="H2" s="191"/>
      <c r="I2" s="191"/>
      <c r="J2" s="191"/>
      <c r="K2" s="191"/>
      <c r="L2" s="191"/>
      <c r="M2" s="191"/>
      <c r="N2" s="191"/>
      <c r="O2" s="191"/>
    </row>
    <row r="3" spans="1:15" x14ac:dyDescent="0.25">
      <c r="A3" s="191" t="s">
        <v>226</v>
      </c>
      <c r="B3" s="191"/>
      <c r="C3" s="191"/>
      <c r="D3" s="191"/>
      <c r="E3" s="191"/>
      <c r="F3" s="191"/>
      <c r="G3" s="191"/>
      <c r="H3" s="191"/>
      <c r="I3" s="191"/>
      <c r="J3" s="191"/>
      <c r="K3" s="191"/>
      <c r="L3" s="191"/>
      <c r="M3" s="191"/>
      <c r="N3" s="191"/>
      <c r="O3" s="191"/>
    </row>
    <row r="4" spans="1:15" x14ac:dyDescent="0.25">
      <c r="A4" s="191" t="s">
        <v>227</v>
      </c>
      <c r="B4" s="191"/>
      <c r="C4" s="191"/>
      <c r="D4" s="191"/>
      <c r="E4" s="191"/>
      <c r="F4" s="191"/>
      <c r="G4" s="191"/>
      <c r="H4" s="191"/>
      <c r="I4" s="191"/>
      <c r="J4" s="191"/>
      <c r="K4" s="191"/>
      <c r="L4" s="191"/>
      <c r="M4" s="191"/>
      <c r="N4" s="191"/>
      <c r="O4" s="191"/>
    </row>
    <row r="5" spans="1:15" x14ac:dyDescent="0.25">
      <c r="A5" s="191"/>
      <c r="B5" s="191"/>
      <c r="C5" s="191"/>
      <c r="D5" s="191"/>
      <c r="E5" s="191"/>
      <c r="F5" s="191"/>
      <c r="G5" s="191"/>
      <c r="H5" s="191"/>
      <c r="I5" s="191"/>
      <c r="J5" s="191"/>
      <c r="K5" s="191"/>
      <c r="L5" s="191"/>
      <c r="M5" s="191"/>
      <c r="N5" s="191"/>
      <c r="O5" s="191"/>
    </row>
    <row r="6" spans="1:15" x14ac:dyDescent="0.25">
      <c r="A6" s="191"/>
      <c r="B6" s="191"/>
      <c r="C6" s="191"/>
      <c r="D6" s="191"/>
      <c r="E6" s="191"/>
      <c r="F6" s="191"/>
      <c r="G6" s="191"/>
      <c r="H6" s="191"/>
      <c r="I6" s="191"/>
      <c r="J6" s="191"/>
      <c r="K6" s="191"/>
      <c r="L6" s="191"/>
      <c r="M6" s="191"/>
      <c r="N6" s="191"/>
      <c r="O6" s="191"/>
    </row>
    <row r="7" spans="1:15" x14ac:dyDescent="0.25">
      <c r="A7" s="191"/>
      <c r="B7" s="191"/>
      <c r="C7" s="191"/>
      <c r="D7" s="191"/>
      <c r="E7" s="191"/>
      <c r="F7" s="191"/>
      <c r="G7" s="191"/>
      <c r="H7" s="191"/>
      <c r="I7" s="191"/>
      <c r="J7" s="191"/>
      <c r="K7" s="191"/>
      <c r="L7" s="191"/>
      <c r="M7" s="191"/>
      <c r="N7" s="191"/>
      <c r="O7" s="191"/>
    </row>
    <row r="8" spans="1:15" x14ac:dyDescent="0.25">
      <c r="A8" s="191"/>
      <c r="B8" s="191"/>
      <c r="C8" s="191"/>
      <c r="D8" s="191"/>
      <c r="E8" s="191"/>
      <c r="F8" s="191"/>
      <c r="G8" s="191"/>
      <c r="H8" s="191"/>
      <c r="I8" s="191"/>
      <c r="J8" s="191"/>
      <c r="K8" s="191"/>
      <c r="L8" s="191"/>
      <c r="M8" s="191"/>
      <c r="N8" s="191"/>
      <c r="O8" s="191"/>
    </row>
    <row r="9" spans="1:15" x14ac:dyDescent="0.25">
      <c r="A9" s="188" t="s">
        <v>214</v>
      </c>
      <c r="B9" s="188" t="s">
        <v>215</v>
      </c>
      <c r="C9" s="189" t="s">
        <v>216</v>
      </c>
      <c r="E9" s="188" t="s">
        <v>214</v>
      </c>
      <c r="F9" s="188" t="s">
        <v>216</v>
      </c>
      <c r="G9" s="189" t="s">
        <v>215</v>
      </c>
      <c r="I9" s="188" t="s">
        <v>214</v>
      </c>
      <c r="J9" s="188" t="s">
        <v>223</v>
      </c>
      <c r="K9" s="189" t="s">
        <v>215</v>
      </c>
      <c r="L9" s="189" t="s">
        <v>216</v>
      </c>
      <c r="N9" s="191" t="s">
        <v>224</v>
      </c>
      <c r="O9" s="191" t="s">
        <v>96</v>
      </c>
    </row>
    <row r="10" spans="1:15" x14ac:dyDescent="0.25">
      <c r="A10" s="178">
        <v>34</v>
      </c>
      <c r="B10" s="178">
        <v>20</v>
      </c>
      <c r="C10" s="187">
        <f>(237.7 * ((17.2694 * A10) / (237.7 + A10) + LN(B10 / 100))) / (17.2694 - ((17.2694 * A10) / (237.7 + A10) + LN(B10 / 100)))</f>
        <v>7.8431599942386807</v>
      </c>
      <c r="E10" s="178">
        <v>34</v>
      </c>
      <c r="F10" s="178">
        <v>4</v>
      </c>
      <c r="G10" s="190">
        <f>100 * (((112 - 0.1 * E10 + F10)) / (112 + 0.9 * E10)) ^ 8</f>
        <v>15.113008269885169</v>
      </c>
      <c r="I10" s="178">
        <v>34</v>
      </c>
      <c r="J10" s="178">
        <v>25</v>
      </c>
      <c r="K10" s="190">
        <f>100*O10/N10</f>
        <v>47.918941768098101</v>
      </c>
      <c r="L10" s="187">
        <f>(237.7 * ((17.2694 * A10) / (237.7 + A10) + LN(B10 / 100))) / (17.2694 - ((17.2694 * A10) / (237.7 + A10) + LN(K10 / 100)))</f>
        <v>8.2757013341468504</v>
      </c>
      <c r="N10" s="191">
        <f>EXP((16.78 * I10 - 116.9) / (I10 + 237.3))</f>
        <v>5.3229283312432765</v>
      </c>
      <c r="O10" s="191">
        <f>EXP((16.78 * J10 - 116.9) / (J10 + 237.3)) - (0.00066 * (1 + 0.00115 * J10)) * 101.3 * (I10 - J10)</f>
        <v>2.5506909274060616</v>
      </c>
    </row>
  </sheetData>
  <sheetProtection password="9487" sheet="1" objects="1" scenarios="1"/>
  <phoneticPr fontId="6" type="noConversion"/>
  <pageMargins left="0.75" right="0.75" top="1" bottom="1" header="0.5" footer="0.5"/>
  <pageSetup paperSize="9" orientation="portrait"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L40"/>
  <sheetViews>
    <sheetView workbookViewId="0">
      <selection sqref="A1:XFD1048576"/>
    </sheetView>
  </sheetViews>
  <sheetFormatPr defaultRowHeight="13.2" x14ac:dyDescent="0.25"/>
  <cols>
    <col min="1" max="1" width="11" customWidth="1"/>
    <col min="2" max="3" width="8.5546875" customWidth="1"/>
  </cols>
  <sheetData>
    <row r="1" spans="1:12" ht="76.5" customHeight="1" x14ac:dyDescent="0.25">
      <c r="A1" s="232" t="s">
        <v>287</v>
      </c>
      <c r="B1" s="232" t="s">
        <v>288</v>
      </c>
      <c r="C1" s="232" t="s">
        <v>289</v>
      </c>
      <c r="H1" t="s">
        <v>298</v>
      </c>
      <c r="K1" t="s">
        <v>299</v>
      </c>
    </row>
    <row r="2" spans="1:12" x14ac:dyDescent="0.25">
      <c r="A2" s="231" t="s">
        <v>290</v>
      </c>
      <c r="B2" s="233" t="str">
        <f>CONCATENATE(VLOOKUP(LEFT(A2,1),$H$2:$I$10,2),MID(A2,3,3),"00")</f>
        <v>483000</v>
      </c>
      <c r="C2" s="233" t="str">
        <f>CONCATENATE(VLOOKUP(MID(A2,2,1),$K$2:$L$11,2),RIGHT(A2,3),"00")</f>
        <v>5884000</v>
      </c>
      <c r="H2" s="5" t="s">
        <v>300</v>
      </c>
      <c r="I2" s="5">
        <v>2</v>
      </c>
      <c r="K2" s="5" t="s">
        <v>301</v>
      </c>
      <c r="L2" s="5">
        <v>60</v>
      </c>
    </row>
    <row r="3" spans="1:12" x14ac:dyDescent="0.25">
      <c r="A3" s="231" t="s">
        <v>291</v>
      </c>
      <c r="B3" s="233" t="str">
        <f t="shared" ref="B3:B40" si="0">CONCATENATE(VLOOKUP(LEFT(A3,1),$H$2:$I$10,2),MID(A3,3,3),"00")</f>
        <v>431200</v>
      </c>
      <c r="C3" s="233" t="str">
        <f t="shared" ref="C3:C10" si="1">CONCATENATE(VLOOKUP(MID(A3,2,1),$K$2:$L$11,2),RIGHT(A3,3),"00")</f>
        <v>5808000</v>
      </c>
      <c r="H3" s="5" t="s">
        <v>302</v>
      </c>
      <c r="I3" s="5">
        <v>3</v>
      </c>
      <c r="K3" s="5" t="s">
        <v>302</v>
      </c>
      <c r="L3" s="5">
        <v>57</v>
      </c>
    </row>
    <row r="4" spans="1:12" x14ac:dyDescent="0.25">
      <c r="A4" s="231" t="s">
        <v>292</v>
      </c>
      <c r="B4" s="233" t="str">
        <f t="shared" si="0"/>
        <v>390500</v>
      </c>
      <c r="C4" s="233" t="str">
        <f t="shared" si="1"/>
        <v>5979500</v>
      </c>
      <c r="H4" s="5" t="s">
        <v>303</v>
      </c>
      <c r="I4" s="5">
        <v>4</v>
      </c>
      <c r="K4" s="5" t="s">
        <v>303</v>
      </c>
      <c r="L4" s="5">
        <v>58</v>
      </c>
    </row>
    <row r="5" spans="1:12" x14ac:dyDescent="0.25">
      <c r="A5" s="231" t="s">
        <v>293</v>
      </c>
      <c r="B5" s="233" t="str">
        <f t="shared" si="0"/>
        <v>380600</v>
      </c>
      <c r="C5" s="233" t="str">
        <f t="shared" si="1"/>
        <v>5998400</v>
      </c>
      <c r="H5" s="5" t="s">
        <v>304</v>
      </c>
      <c r="I5" s="5">
        <v>5</v>
      </c>
      <c r="K5" s="5" t="s">
        <v>103</v>
      </c>
      <c r="L5" s="5">
        <v>59</v>
      </c>
    </row>
    <row r="6" spans="1:12" x14ac:dyDescent="0.25">
      <c r="A6" s="231" t="s">
        <v>294</v>
      </c>
      <c r="B6" s="233" t="str">
        <f t="shared" si="0"/>
        <v>382200</v>
      </c>
      <c r="C6" s="233" t="str">
        <f t="shared" si="1"/>
        <v>6005800</v>
      </c>
      <c r="H6" s="5" t="s">
        <v>305</v>
      </c>
      <c r="I6" s="5">
        <v>6</v>
      </c>
      <c r="K6" s="5" t="s">
        <v>305</v>
      </c>
      <c r="L6" s="5">
        <v>60</v>
      </c>
    </row>
    <row r="7" spans="1:12" x14ac:dyDescent="0.25">
      <c r="A7" s="231" t="s">
        <v>295</v>
      </c>
      <c r="B7" s="233" t="str">
        <f t="shared" si="0"/>
        <v>403800</v>
      </c>
      <c r="C7" s="233" t="str">
        <f t="shared" si="1"/>
        <v>5999500</v>
      </c>
      <c r="H7" s="5" t="s">
        <v>306</v>
      </c>
      <c r="I7" s="5">
        <v>7</v>
      </c>
      <c r="K7" s="5" t="s">
        <v>306</v>
      </c>
      <c r="L7" s="5">
        <v>61</v>
      </c>
    </row>
    <row r="8" spans="1:12" x14ac:dyDescent="0.25">
      <c r="A8" s="231" t="s">
        <v>296</v>
      </c>
      <c r="B8" s="233" t="str">
        <f t="shared" si="0"/>
        <v>490800</v>
      </c>
      <c r="C8" s="233" t="str">
        <f t="shared" si="1"/>
        <v>5939400</v>
      </c>
      <c r="H8" s="5" t="s">
        <v>109</v>
      </c>
      <c r="I8" s="5">
        <v>5</v>
      </c>
      <c r="K8" s="5" t="s">
        <v>307</v>
      </c>
      <c r="L8" s="5">
        <v>62</v>
      </c>
    </row>
    <row r="9" spans="1:12" x14ac:dyDescent="0.25">
      <c r="A9" s="231" t="s">
        <v>297</v>
      </c>
      <c r="B9" s="233" t="str">
        <f t="shared" si="0"/>
        <v>374800</v>
      </c>
      <c r="C9" s="233" t="str">
        <f t="shared" si="1"/>
        <v>5848900</v>
      </c>
      <c r="H9" s="5" t="s">
        <v>308</v>
      </c>
      <c r="I9" s="5">
        <v>6</v>
      </c>
      <c r="K9" s="5" t="s">
        <v>309</v>
      </c>
      <c r="L9" s="5">
        <v>57</v>
      </c>
    </row>
    <row r="10" spans="1:12" x14ac:dyDescent="0.25">
      <c r="A10" s="178"/>
      <c r="B10" s="233" t="e">
        <f t="shared" si="0"/>
        <v>#N/A</v>
      </c>
      <c r="C10" s="233" t="e">
        <f t="shared" si="1"/>
        <v>#N/A</v>
      </c>
      <c r="H10" s="5" t="s">
        <v>310</v>
      </c>
      <c r="I10" s="5">
        <v>7</v>
      </c>
      <c r="K10" s="5" t="s">
        <v>311</v>
      </c>
      <c r="L10" s="5">
        <v>58</v>
      </c>
    </row>
    <row r="11" spans="1:12" x14ac:dyDescent="0.25">
      <c r="A11" s="178"/>
      <c r="B11" s="233" t="e">
        <f t="shared" si="0"/>
        <v>#N/A</v>
      </c>
      <c r="C11" s="233" t="e">
        <f t="shared" ref="C11:C40" si="2">CONCATENATE(VLOOKUP(MID(A11,2,1),$K$2:$L$11,2),RIGHT(A11,3),"00")</f>
        <v>#N/A</v>
      </c>
      <c r="K11" s="5" t="s">
        <v>312</v>
      </c>
      <c r="L11" s="5">
        <v>59</v>
      </c>
    </row>
    <row r="12" spans="1:12" x14ac:dyDescent="0.25">
      <c r="A12" s="178"/>
      <c r="B12" s="233" t="e">
        <f t="shared" si="0"/>
        <v>#N/A</v>
      </c>
      <c r="C12" s="233" t="e">
        <f t="shared" si="2"/>
        <v>#N/A</v>
      </c>
    </row>
    <row r="13" spans="1:12" x14ac:dyDescent="0.25">
      <c r="A13" s="178"/>
      <c r="B13" s="233" t="e">
        <f t="shared" si="0"/>
        <v>#N/A</v>
      </c>
      <c r="C13" s="233" t="e">
        <f t="shared" si="2"/>
        <v>#N/A</v>
      </c>
    </row>
    <row r="14" spans="1:12" x14ac:dyDescent="0.25">
      <c r="A14" s="178"/>
      <c r="B14" s="233" t="e">
        <f t="shared" si="0"/>
        <v>#N/A</v>
      </c>
      <c r="C14" s="233" t="e">
        <f t="shared" si="2"/>
        <v>#N/A</v>
      </c>
    </row>
    <row r="15" spans="1:12" x14ac:dyDescent="0.25">
      <c r="A15" s="178"/>
      <c r="B15" s="233" t="e">
        <f t="shared" si="0"/>
        <v>#N/A</v>
      </c>
      <c r="C15" s="233" t="e">
        <f t="shared" si="2"/>
        <v>#N/A</v>
      </c>
    </row>
    <row r="16" spans="1:12" x14ac:dyDescent="0.25">
      <c r="A16" s="178"/>
      <c r="B16" s="233" t="e">
        <f t="shared" si="0"/>
        <v>#N/A</v>
      </c>
      <c r="C16" s="233" t="e">
        <f t="shared" si="2"/>
        <v>#N/A</v>
      </c>
    </row>
    <row r="17" spans="1:3" x14ac:dyDescent="0.25">
      <c r="A17" s="178"/>
      <c r="B17" s="233" t="e">
        <f t="shared" si="0"/>
        <v>#N/A</v>
      </c>
      <c r="C17" s="233" t="e">
        <f t="shared" si="2"/>
        <v>#N/A</v>
      </c>
    </row>
    <row r="18" spans="1:3" x14ac:dyDescent="0.25">
      <c r="A18" s="178"/>
      <c r="B18" s="233" t="e">
        <f t="shared" si="0"/>
        <v>#N/A</v>
      </c>
      <c r="C18" s="233" t="e">
        <f t="shared" si="2"/>
        <v>#N/A</v>
      </c>
    </row>
    <row r="19" spans="1:3" x14ac:dyDescent="0.25">
      <c r="A19" s="178"/>
      <c r="B19" s="233" t="e">
        <f t="shared" si="0"/>
        <v>#N/A</v>
      </c>
      <c r="C19" s="233" t="e">
        <f t="shared" si="2"/>
        <v>#N/A</v>
      </c>
    </row>
    <row r="20" spans="1:3" x14ac:dyDescent="0.25">
      <c r="A20" s="178"/>
      <c r="B20" s="233" t="e">
        <f t="shared" si="0"/>
        <v>#N/A</v>
      </c>
      <c r="C20" s="233" t="e">
        <f t="shared" si="2"/>
        <v>#N/A</v>
      </c>
    </row>
    <row r="21" spans="1:3" x14ac:dyDescent="0.25">
      <c r="A21" s="178"/>
      <c r="B21" s="233" t="e">
        <f t="shared" si="0"/>
        <v>#N/A</v>
      </c>
      <c r="C21" s="233" t="e">
        <f t="shared" si="2"/>
        <v>#N/A</v>
      </c>
    </row>
    <row r="22" spans="1:3" x14ac:dyDescent="0.25">
      <c r="A22" s="178"/>
      <c r="B22" s="233" t="e">
        <f t="shared" si="0"/>
        <v>#N/A</v>
      </c>
      <c r="C22" s="233" t="e">
        <f t="shared" si="2"/>
        <v>#N/A</v>
      </c>
    </row>
    <row r="23" spans="1:3" x14ac:dyDescent="0.25">
      <c r="A23" s="178"/>
      <c r="B23" s="233" t="e">
        <f t="shared" si="0"/>
        <v>#N/A</v>
      </c>
      <c r="C23" s="233" t="e">
        <f t="shared" si="2"/>
        <v>#N/A</v>
      </c>
    </row>
    <row r="24" spans="1:3" x14ac:dyDescent="0.25">
      <c r="A24" s="178"/>
      <c r="B24" s="233" t="e">
        <f t="shared" si="0"/>
        <v>#N/A</v>
      </c>
      <c r="C24" s="233" t="e">
        <f t="shared" si="2"/>
        <v>#N/A</v>
      </c>
    </row>
    <row r="25" spans="1:3" x14ac:dyDescent="0.25">
      <c r="A25" s="178"/>
      <c r="B25" s="233" t="e">
        <f t="shared" si="0"/>
        <v>#N/A</v>
      </c>
      <c r="C25" s="233" t="e">
        <f t="shared" si="2"/>
        <v>#N/A</v>
      </c>
    </row>
    <row r="26" spans="1:3" x14ac:dyDescent="0.25">
      <c r="A26" s="178"/>
      <c r="B26" s="233" t="e">
        <f t="shared" si="0"/>
        <v>#N/A</v>
      </c>
      <c r="C26" s="233" t="e">
        <f t="shared" si="2"/>
        <v>#N/A</v>
      </c>
    </row>
    <row r="27" spans="1:3" x14ac:dyDescent="0.25">
      <c r="A27" s="178"/>
      <c r="B27" s="233" t="e">
        <f t="shared" si="0"/>
        <v>#N/A</v>
      </c>
      <c r="C27" s="233" t="e">
        <f t="shared" si="2"/>
        <v>#N/A</v>
      </c>
    </row>
    <row r="28" spans="1:3" x14ac:dyDescent="0.25">
      <c r="A28" s="178"/>
      <c r="B28" s="233" t="e">
        <f t="shared" si="0"/>
        <v>#N/A</v>
      </c>
      <c r="C28" s="233" t="e">
        <f t="shared" si="2"/>
        <v>#N/A</v>
      </c>
    </row>
    <row r="29" spans="1:3" x14ac:dyDescent="0.25">
      <c r="A29" s="178"/>
      <c r="B29" s="233" t="e">
        <f t="shared" si="0"/>
        <v>#N/A</v>
      </c>
      <c r="C29" s="233" t="e">
        <f t="shared" si="2"/>
        <v>#N/A</v>
      </c>
    </row>
    <row r="30" spans="1:3" x14ac:dyDescent="0.25">
      <c r="A30" s="178"/>
      <c r="B30" s="233" t="e">
        <f t="shared" si="0"/>
        <v>#N/A</v>
      </c>
      <c r="C30" s="233" t="e">
        <f t="shared" si="2"/>
        <v>#N/A</v>
      </c>
    </row>
    <row r="31" spans="1:3" x14ac:dyDescent="0.25">
      <c r="A31" s="178"/>
      <c r="B31" s="233" t="e">
        <f t="shared" si="0"/>
        <v>#N/A</v>
      </c>
      <c r="C31" s="233" t="e">
        <f t="shared" si="2"/>
        <v>#N/A</v>
      </c>
    </row>
    <row r="32" spans="1:3" x14ac:dyDescent="0.25">
      <c r="A32" s="178"/>
      <c r="B32" s="233" t="e">
        <f t="shared" si="0"/>
        <v>#N/A</v>
      </c>
      <c r="C32" s="233" t="e">
        <f t="shared" si="2"/>
        <v>#N/A</v>
      </c>
    </row>
    <row r="33" spans="1:3" x14ac:dyDescent="0.25">
      <c r="A33" s="178"/>
      <c r="B33" s="233" t="e">
        <f t="shared" si="0"/>
        <v>#N/A</v>
      </c>
      <c r="C33" s="233" t="e">
        <f t="shared" si="2"/>
        <v>#N/A</v>
      </c>
    </row>
    <row r="34" spans="1:3" x14ac:dyDescent="0.25">
      <c r="A34" s="178"/>
      <c r="B34" s="233" t="e">
        <f t="shared" si="0"/>
        <v>#N/A</v>
      </c>
      <c r="C34" s="233" t="e">
        <f t="shared" si="2"/>
        <v>#N/A</v>
      </c>
    </row>
    <row r="35" spans="1:3" x14ac:dyDescent="0.25">
      <c r="A35" s="178"/>
      <c r="B35" s="233" t="e">
        <f t="shared" si="0"/>
        <v>#N/A</v>
      </c>
      <c r="C35" s="233" t="e">
        <f t="shared" si="2"/>
        <v>#N/A</v>
      </c>
    </row>
    <row r="36" spans="1:3" x14ac:dyDescent="0.25">
      <c r="A36" s="178"/>
      <c r="B36" s="233" t="e">
        <f t="shared" si="0"/>
        <v>#N/A</v>
      </c>
      <c r="C36" s="233" t="e">
        <f t="shared" si="2"/>
        <v>#N/A</v>
      </c>
    </row>
    <row r="37" spans="1:3" x14ac:dyDescent="0.25">
      <c r="A37" s="178"/>
      <c r="B37" s="233" t="e">
        <f t="shared" si="0"/>
        <v>#N/A</v>
      </c>
      <c r="C37" s="233" t="e">
        <f t="shared" si="2"/>
        <v>#N/A</v>
      </c>
    </row>
    <row r="38" spans="1:3" x14ac:dyDescent="0.25">
      <c r="A38" s="178"/>
      <c r="B38" s="233" t="e">
        <f t="shared" si="0"/>
        <v>#N/A</v>
      </c>
      <c r="C38" s="233" t="e">
        <f t="shared" si="2"/>
        <v>#N/A</v>
      </c>
    </row>
    <row r="39" spans="1:3" x14ac:dyDescent="0.25">
      <c r="A39" s="178"/>
      <c r="B39" s="233" t="e">
        <f t="shared" si="0"/>
        <v>#N/A</v>
      </c>
      <c r="C39" s="233" t="e">
        <f t="shared" si="2"/>
        <v>#N/A</v>
      </c>
    </row>
    <row r="40" spans="1:3" x14ac:dyDescent="0.25">
      <c r="A40" s="178"/>
      <c r="B40" s="233" t="e">
        <f t="shared" si="0"/>
        <v>#N/A</v>
      </c>
      <c r="C40" s="233" t="e">
        <f t="shared" si="2"/>
        <v>#N/A</v>
      </c>
    </row>
  </sheetData>
  <sheetProtection password="9487" sheet="1" objects="1" scenarios="1"/>
  <phoneticPr fontId="6" type="noConversion"/>
  <pageMargins left="0.75" right="0.75" top="1" bottom="1" header="0.5" footer="0.5"/>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01"/>
  <sheetViews>
    <sheetView workbookViewId="0">
      <selection activeCell="J14" sqref="J14"/>
    </sheetView>
  </sheetViews>
  <sheetFormatPr defaultRowHeight="13.2" x14ac:dyDescent="0.25"/>
  <cols>
    <col min="1" max="1" width="16.5546875" customWidth="1"/>
  </cols>
  <sheetData>
    <row r="1" spans="1:8" x14ac:dyDescent="0.25">
      <c r="A1" t="s">
        <v>284</v>
      </c>
      <c r="B1" t="s">
        <v>214</v>
      </c>
      <c r="C1" t="s">
        <v>215</v>
      </c>
      <c r="D1" t="s">
        <v>286</v>
      </c>
      <c r="E1" t="s">
        <v>285</v>
      </c>
      <c r="F1" t="s">
        <v>680</v>
      </c>
      <c r="G1" t="s">
        <v>679</v>
      </c>
      <c r="H1" t="s">
        <v>681</v>
      </c>
    </row>
    <row r="2" spans="1:8" x14ac:dyDescent="0.25">
      <c r="A2" s="230">
        <f>Weather_Site!B12+Weather_Site!C12</f>
        <v>44549.166666666664</v>
      </c>
      <c r="B2">
        <f>Weather_Site!D12</f>
        <v>23.9</v>
      </c>
      <c r="C2">
        <f>Weather_Site!E12</f>
        <v>24.2</v>
      </c>
      <c r="D2">
        <f>Weather_Site!F12</f>
        <v>36</v>
      </c>
      <c r="E2">
        <f>Weather_Site!G12</f>
        <v>16</v>
      </c>
      <c r="F2">
        <f>'Forest(McArthur)'!M9</f>
        <v>10</v>
      </c>
      <c r="G2">
        <f>Grass!$C$4</f>
        <v>85</v>
      </c>
      <c r="H2">
        <v>0</v>
      </c>
    </row>
    <row r="3" spans="1:8" x14ac:dyDescent="0.25">
      <c r="A3" s="230">
        <f>Weather_Site!B13+Weather_Site!C13</f>
        <v>44549.208333333336</v>
      </c>
      <c r="B3">
        <f>Weather_Site!D13</f>
        <v>23.6</v>
      </c>
      <c r="C3">
        <f>Weather_Site!E13</f>
        <v>24.4</v>
      </c>
      <c r="D3">
        <f>Weather_Site!F13</f>
        <v>312</v>
      </c>
      <c r="E3">
        <f>Weather_Site!G13</f>
        <v>13</v>
      </c>
      <c r="F3">
        <f>'Forest(McArthur)'!M10</f>
        <v>10</v>
      </c>
      <c r="G3">
        <f>Grass!$C$4</f>
        <v>85</v>
      </c>
      <c r="H3">
        <v>0</v>
      </c>
    </row>
    <row r="4" spans="1:8" x14ac:dyDescent="0.25">
      <c r="A4" s="230">
        <f>Weather_Site!B14+Weather_Site!C14</f>
        <v>44549.25</v>
      </c>
      <c r="B4">
        <f>Weather_Site!D14</f>
        <v>22.7</v>
      </c>
      <c r="C4">
        <f>Weather_Site!E14</f>
        <v>27.3</v>
      </c>
      <c r="D4">
        <f>Weather_Site!F14</f>
        <v>336</v>
      </c>
      <c r="E4">
        <f>Weather_Site!G14</f>
        <v>16</v>
      </c>
      <c r="F4">
        <f>'Forest(McArthur)'!M11</f>
        <v>10</v>
      </c>
      <c r="G4">
        <f>Grass!$C$4</f>
        <v>85</v>
      </c>
      <c r="H4">
        <v>0</v>
      </c>
    </row>
    <row r="5" spans="1:8" x14ac:dyDescent="0.25">
      <c r="A5" s="230">
        <f>Weather_Site!B15+Weather_Site!C15</f>
        <v>44549.291666666664</v>
      </c>
      <c r="B5">
        <f>Weather_Site!D15</f>
        <v>23</v>
      </c>
      <c r="C5">
        <f>Weather_Site!E15</f>
        <v>28.2</v>
      </c>
      <c r="D5">
        <f>Weather_Site!F15</f>
        <v>2</v>
      </c>
      <c r="E5">
        <f>Weather_Site!G15</f>
        <v>25</v>
      </c>
      <c r="F5">
        <f>'Forest(McArthur)'!M12</f>
        <v>6.3278138802666488</v>
      </c>
      <c r="G5">
        <f>Grass!$C$4</f>
        <v>85</v>
      </c>
      <c r="H5">
        <v>0</v>
      </c>
    </row>
    <row r="6" spans="1:8" x14ac:dyDescent="0.25">
      <c r="A6" s="230">
        <f>Weather_Site!B16+Weather_Site!C16</f>
        <v>44549.333333333336</v>
      </c>
      <c r="B6">
        <f>Weather_Site!D16</f>
        <v>25.3</v>
      </c>
      <c r="C6">
        <f>Weather_Site!E16</f>
        <v>26</v>
      </c>
      <c r="D6">
        <f>Weather_Site!F16</f>
        <v>0</v>
      </c>
      <c r="E6">
        <f>Weather_Site!G16</f>
        <v>32</v>
      </c>
      <c r="F6">
        <f>'Forest(McArthur)'!M13</f>
        <v>4.1167249825052483</v>
      </c>
      <c r="G6">
        <f>Grass!$C$4</f>
        <v>85</v>
      </c>
      <c r="H6">
        <v>0</v>
      </c>
    </row>
    <row r="7" spans="1:8" x14ac:dyDescent="0.25">
      <c r="A7" s="230">
        <f>Weather_Site!B17+Weather_Site!C17</f>
        <v>44549.375</v>
      </c>
      <c r="B7">
        <f>Weather_Site!D17</f>
        <v>27.7</v>
      </c>
      <c r="C7">
        <f>Weather_Site!E17</f>
        <v>28</v>
      </c>
      <c r="D7">
        <f>Weather_Site!F17</f>
        <v>328</v>
      </c>
      <c r="E7">
        <f>Weather_Site!G17</f>
        <v>27</v>
      </c>
      <c r="F7">
        <f>'Forest(McArthur)'!M14</f>
        <v>7.882539682539683</v>
      </c>
      <c r="G7">
        <f>Grass!$C$4</f>
        <v>85</v>
      </c>
      <c r="H7">
        <v>0</v>
      </c>
    </row>
    <row r="8" spans="1:8" x14ac:dyDescent="0.25">
      <c r="A8" s="230">
        <f>Weather_Site!B18+Weather_Site!C18</f>
        <v>44549.416666666664</v>
      </c>
      <c r="B8">
        <f>Weather_Site!D18</f>
        <v>28.9</v>
      </c>
      <c r="C8">
        <f>Weather_Site!E18</f>
        <v>31.9</v>
      </c>
      <c r="D8">
        <f>Weather_Site!F18</f>
        <v>328</v>
      </c>
      <c r="E8">
        <f>Weather_Site!G18</f>
        <v>42</v>
      </c>
      <c r="F8">
        <f>'Forest(McArthur)'!M15</f>
        <v>7.882539682539683</v>
      </c>
      <c r="G8">
        <f>Grass!$C$4</f>
        <v>85</v>
      </c>
      <c r="H8">
        <v>0</v>
      </c>
    </row>
    <row r="9" spans="1:8" x14ac:dyDescent="0.25">
      <c r="A9" s="230">
        <f>Weather_Site!B19+Weather_Site!C19</f>
        <v>44549.458333333336</v>
      </c>
      <c r="B9">
        <f>Weather_Site!D19</f>
        <v>29.1</v>
      </c>
      <c r="C9">
        <f>Weather_Site!E19</f>
        <v>35.1</v>
      </c>
      <c r="D9">
        <f>Weather_Site!F19</f>
        <v>326</v>
      </c>
      <c r="E9">
        <f>Weather_Site!G19</f>
        <v>43</v>
      </c>
      <c r="F9">
        <f>'Forest(McArthur)'!M16</f>
        <v>7.882539682539683</v>
      </c>
      <c r="G9">
        <f>Grass!$C$4</f>
        <v>85</v>
      </c>
      <c r="H9">
        <v>0</v>
      </c>
    </row>
    <row r="10" spans="1:8" x14ac:dyDescent="0.25">
      <c r="A10" s="230">
        <f>Weather_Site!B20+Weather_Site!C20</f>
        <v>44549.5</v>
      </c>
      <c r="B10">
        <f>Weather_Site!D20</f>
        <v>29.1</v>
      </c>
      <c r="C10">
        <f>Weather_Site!E20</f>
        <v>39</v>
      </c>
      <c r="D10">
        <f>Weather_Site!F20</f>
        <v>292</v>
      </c>
      <c r="E10">
        <f>Weather_Site!G20</f>
        <v>45</v>
      </c>
      <c r="F10">
        <f>'Forest(McArthur)'!M17</f>
        <v>7.882539682539683</v>
      </c>
      <c r="G10">
        <f>Grass!$C$4</f>
        <v>85</v>
      </c>
      <c r="H10">
        <v>0</v>
      </c>
    </row>
    <row r="11" spans="1:8" x14ac:dyDescent="0.25">
      <c r="A11" s="230">
        <f>Weather_Site!B21+Weather_Site!C21</f>
        <v>44549.541666666664</v>
      </c>
      <c r="B11">
        <f>Weather_Site!D21</f>
        <v>29.1</v>
      </c>
      <c r="C11">
        <f>Weather_Site!E21</f>
        <v>38.200000000000003</v>
      </c>
      <c r="D11">
        <f>Weather_Site!F21</f>
        <v>285</v>
      </c>
      <c r="E11">
        <f>Weather_Site!G21</f>
        <v>40</v>
      </c>
      <c r="F11">
        <f>'Forest(McArthur)'!M18</f>
        <v>7.882539682539683</v>
      </c>
      <c r="G11">
        <f>Grass!$C$4</f>
        <v>85</v>
      </c>
      <c r="H11">
        <v>0</v>
      </c>
    </row>
    <row r="12" spans="1:8" x14ac:dyDescent="0.25">
      <c r="A12" s="230">
        <f>Weather_Site!B22+Weather_Site!C22</f>
        <v>44549.583333333336</v>
      </c>
      <c r="B12">
        <f>Weather_Site!D22</f>
        <v>30.8</v>
      </c>
      <c r="C12">
        <f>Weather_Site!E22</f>
        <v>35.799999999999997</v>
      </c>
      <c r="D12">
        <f>Weather_Site!F22</f>
        <v>277</v>
      </c>
      <c r="E12">
        <f>Weather_Site!G22</f>
        <v>42</v>
      </c>
      <c r="F12">
        <f>'Forest(McArthur)'!M19</f>
        <v>7.882539682539683</v>
      </c>
      <c r="G12">
        <f>Grass!$C$4</f>
        <v>85</v>
      </c>
      <c r="H12">
        <v>0</v>
      </c>
    </row>
    <row r="13" spans="1:8" x14ac:dyDescent="0.25">
      <c r="A13" s="230">
        <f>Weather_Site!B23+Weather_Site!C23</f>
        <v>44549.625</v>
      </c>
      <c r="B13">
        <f>Weather_Site!D23</f>
        <v>31.1</v>
      </c>
      <c r="C13">
        <f>Weather_Site!E23</f>
        <v>29.9</v>
      </c>
      <c r="D13">
        <f>Weather_Site!F23</f>
        <v>258</v>
      </c>
      <c r="E13">
        <f>Weather_Site!G23</f>
        <v>37</v>
      </c>
      <c r="F13">
        <f>'Forest(McArthur)'!M20</f>
        <v>7.882539682539683</v>
      </c>
      <c r="G13">
        <f>Grass!$C$4</f>
        <v>85</v>
      </c>
      <c r="H13">
        <v>0</v>
      </c>
    </row>
    <row r="14" spans="1:8" x14ac:dyDescent="0.25">
      <c r="A14" s="230">
        <f>Weather_Site!B24+Weather_Site!C24</f>
        <v>44549.666666666664</v>
      </c>
      <c r="B14">
        <f>Weather_Site!D24</f>
        <v>32.4</v>
      </c>
      <c r="C14">
        <f>Weather_Site!E24</f>
        <v>25.1</v>
      </c>
      <c r="D14">
        <f>Weather_Site!F24</f>
        <v>261</v>
      </c>
      <c r="E14">
        <f>Weather_Site!G24</f>
        <v>37</v>
      </c>
      <c r="F14">
        <f>'Forest(McArthur)'!M21</f>
        <v>7.882539682539683</v>
      </c>
      <c r="G14">
        <f>Grass!$C$4</f>
        <v>85</v>
      </c>
      <c r="H14">
        <v>0</v>
      </c>
    </row>
    <row r="15" spans="1:8" x14ac:dyDescent="0.25">
      <c r="A15" s="230">
        <f>Weather_Site!B25+Weather_Site!C25</f>
        <v>44549.708333333336</v>
      </c>
      <c r="B15">
        <f>Weather_Site!D25</f>
        <v>32.299999999999997</v>
      </c>
      <c r="C15">
        <f>Weather_Site!E25</f>
        <v>22.5</v>
      </c>
      <c r="D15">
        <f>Weather_Site!F25</f>
        <v>243</v>
      </c>
      <c r="E15">
        <f>Weather_Site!G25</f>
        <v>34</v>
      </c>
      <c r="F15">
        <f>'Forest(McArthur)'!M22</f>
        <v>7.882539682539683</v>
      </c>
      <c r="G15">
        <f>Grass!$C$4</f>
        <v>85</v>
      </c>
      <c r="H15">
        <v>0</v>
      </c>
    </row>
    <row r="16" spans="1:8" x14ac:dyDescent="0.25">
      <c r="A16" s="230">
        <f>Weather_Site!B26+Weather_Site!C26</f>
        <v>44549.75</v>
      </c>
      <c r="B16">
        <f>Weather_Site!D26</f>
        <v>31.4</v>
      </c>
      <c r="C16">
        <f>Weather_Site!E26</f>
        <v>21.8</v>
      </c>
      <c r="D16">
        <f>Weather_Site!F26</f>
        <v>237</v>
      </c>
      <c r="E16">
        <f>Weather_Site!G26</f>
        <v>37</v>
      </c>
      <c r="F16">
        <f>'Forest(McArthur)'!M23</f>
        <v>7.882539682539683</v>
      </c>
      <c r="G16">
        <f>Grass!$C$4</f>
        <v>85</v>
      </c>
      <c r="H16">
        <v>0</v>
      </c>
    </row>
    <row r="17" spans="1:8" x14ac:dyDescent="0.25">
      <c r="A17" s="230">
        <f>Weather_Site!B27+Weather_Site!C27</f>
        <v>44549.791666666664</v>
      </c>
      <c r="B17">
        <f>Weather_Site!D27</f>
        <v>30.1</v>
      </c>
      <c r="C17">
        <f>Weather_Site!E27</f>
        <v>21.8</v>
      </c>
      <c r="D17">
        <f>Weather_Site!F27</f>
        <v>226</v>
      </c>
      <c r="E17">
        <f>Weather_Site!G27</f>
        <v>37</v>
      </c>
      <c r="F17">
        <f>'Forest(McArthur)'!M24</f>
        <v>7.882539682539683</v>
      </c>
      <c r="G17">
        <f>Grass!$C$4</f>
        <v>85</v>
      </c>
      <c r="H17">
        <v>0</v>
      </c>
    </row>
    <row r="18" spans="1:8" x14ac:dyDescent="0.25">
      <c r="A18" s="230">
        <f>Weather_Site!B28+Weather_Site!C28</f>
        <v>44549.833333333336</v>
      </c>
      <c r="B18">
        <f>Weather_Site!D28</f>
        <v>27.2</v>
      </c>
      <c r="C18">
        <f>Weather_Site!E28</f>
        <v>25.6</v>
      </c>
      <c r="D18">
        <f>Weather_Site!F28</f>
        <v>215</v>
      </c>
      <c r="E18">
        <f>Weather_Site!G28</f>
        <v>33</v>
      </c>
      <c r="F18">
        <f>'Forest(McArthur)'!M25</f>
        <v>7.882539682539683</v>
      </c>
      <c r="G18">
        <f>Grass!$C$4</f>
        <v>85</v>
      </c>
      <c r="H18">
        <v>0</v>
      </c>
    </row>
    <row r="19" spans="1:8" x14ac:dyDescent="0.25">
      <c r="A19" s="230">
        <f>Weather_Site!B29+Weather_Site!C29</f>
        <v>44549.875</v>
      </c>
      <c r="B19">
        <f>Weather_Site!D29</f>
        <v>24.6</v>
      </c>
      <c r="C19">
        <f>Weather_Site!E29</f>
        <v>25.8</v>
      </c>
      <c r="D19">
        <f>Weather_Site!F29</f>
        <v>210</v>
      </c>
      <c r="E19">
        <f>Weather_Site!G29</f>
        <v>34</v>
      </c>
      <c r="F19">
        <f>'Forest(McArthur)'!M26</f>
        <v>0</v>
      </c>
      <c r="G19">
        <f>Grass!$C$4</f>
        <v>85</v>
      </c>
      <c r="H19">
        <v>0</v>
      </c>
    </row>
    <row r="20" spans="1:8" x14ac:dyDescent="0.25">
      <c r="A20" s="230">
        <f>Weather_Site!B30+Weather_Site!C30</f>
        <v>44549.916666666664</v>
      </c>
      <c r="B20">
        <f>Weather_Site!D30</f>
        <v>21.9</v>
      </c>
      <c r="C20">
        <f>Weather_Site!E30</f>
        <v>28.9</v>
      </c>
      <c r="D20">
        <f>Weather_Site!F30</f>
        <v>210</v>
      </c>
      <c r="E20">
        <f>Weather_Site!G30</f>
        <v>33</v>
      </c>
      <c r="F20">
        <f>'Forest(McArthur)'!M27</f>
        <v>0</v>
      </c>
      <c r="G20">
        <f>Grass!$C$4</f>
        <v>85</v>
      </c>
      <c r="H20">
        <v>0</v>
      </c>
    </row>
    <row r="21" spans="1:8" x14ac:dyDescent="0.25">
      <c r="A21" s="230">
        <f>Weather_Site!B31+Weather_Site!C31</f>
        <v>44549.958333333336</v>
      </c>
      <c r="B21">
        <f>Weather_Site!D31</f>
        <v>19.7</v>
      </c>
      <c r="C21">
        <f>Weather_Site!E31</f>
        <v>31.5</v>
      </c>
      <c r="D21">
        <f>Weather_Site!F31</f>
        <v>205</v>
      </c>
      <c r="E21">
        <f>Weather_Site!G31</f>
        <v>29</v>
      </c>
      <c r="F21">
        <f>'Forest(McArthur)'!M28</f>
        <v>0</v>
      </c>
      <c r="G21">
        <f>Grass!$C$4</f>
        <v>85</v>
      </c>
      <c r="H21">
        <v>0</v>
      </c>
    </row>
    <row r="22" spans="1:8" x14ac:dyDescent="0.25">
      <c r="A22" s="230">
        <f>Weather_Site!B32+Weather_Site!C32</f>
        <v>44550</v>
      </c>
      <c r="B22">
        <f>Weather_Site!D32</f>
        <v>18.899999999999999</v>
      </c>
      <c r="C22">
        <f>Weather_Site!E32</f>
        <v>32.4</v>
      </c>
      <c r="D22">
        <f>Weather_Site!F32</f>
        <v>203</v>
      </c>
      <c r="E22">
        <f>Weather_Site!G32</f>
        <v>24</v>
      </c>
      <c r="F22">
        <f>'Forest(McArthur)'!M29</f>
        <v>0</v>
      </c>
      <c r="G22">
        <f>Grass!$C$4</f>
        <v>85</v>
      </c>
      <c r="H22">
        <v>0</v>
      </c>
    </row>
    <row r="23" spans="1:8" x14ac:dyDescent="0.25">
      <c r="A23" s="230">
        <f>Weather_Site!B33+Weather_Site!C33</f>
        <v>44550.041666666664</v>
      </c>
      <c r="B23">
        <f>Weather_Site!D33</f>
        <v>17.7</v>
      </c>
      <c r="C23">
        <f>Weather_Site!E33</f>
        <v>34.9</v>
      </c>
      <c r="D23">
        <f>Weather_Site!F33</f>
        <v>200</v>
      </c>
      <c r="E23">
        <f>Weather_Site!G33</f>
        <v>24</v>
      </c>
      <c r="F23">
        <f>'Forest(McArthur)'!M30</f>
        <v>0</v>
      </c>
      <c r="G23">
        <f>Grass!$C$4</f>
        <v>85</v>
      </c>
      <c r="H23">
        <v>0</v>
      </c>
    </row>
    <row r="24" spans="1:8" x14ac:dyDescent="0.25">
      <c r="A24" s="230">
        <f>Weather_Site!B34+Weather_Site!C34</f>
        <v>44550.083333333336</v>
      </c>
      <c r="B24">
        <f>Weather_Site!D34</f>
        <v>16.399999999999999</v>
      </c>
      <c r="C24">
        <f>Weather_Site!E34</f>
        <v>37.6</v>
      </c>
      <c r="D24">
        <f>Weather_Site!F34</f>
        <v>197</v>
      </c>
      <c r="E24">
        <f>Weather_Site!G34</f>
        <v>21</v>
      </c>
      <c r="F24">
        <f>'Forest(McArthur)'!M31</f>
        <v>0</v>
      </c>
      <c r="G24">
        <f>Grass!$C$4</f>
        <v>85</v>
      </c>
      <c r="H24">
        <v>0</v>
      </c>
    </row>
    <row r="25" spans="1:8" x14ac:dyDescent="0.25">
      <c r="A25" s="230">
        <f>Weather_Site!B35+Weather_Site!C35</f>
        <v>44550.125</v>
      </c>
      <c r="B25">
        <f>Weather_Site!D35</f>
        <v>15.4</v>
      </c>
      <c r="C25">
        <f>Weather_Site!E35</f>
        <v>41.3</v>
      </c>
      <c r="D25">
        <f>Weather_Site!F35</f>
        <v>193</v>
      </c>
      <c r="E25">
        <f>Weather_Site!G35</f>
        <v>18</v>
      </c>
      <c r="F25">
        <f>'Forest(McArthur)'!M32</f>
        <v>0</v>
      </c>
      <c r="G25">
        <f>Grass!$C$4</f>
        <v>85</v>
      </c>
      <c r="H25">
        <v>0</v>
      </c>
    </row>
    <row r="26" spans="1:8" x14ac:dyDescent="0.25">
      <c r="A26" s="230">
        <f>Weather_Site!B36+Weather_Site!C36</f>
        <v>44550.166666666664</v>
      </c>
      <c r="B26">
        <f>Weather_Site!D36</f>
        <v>14.5</v>
      </c>
      <c r="C26">
        <f>Weather_Site!E36</f>
        <v>44.7</v>
      </c>
      <c r="D26">
        <f>Weather_Site!F36</f>
        <v>190</v>
      </c>
      <c r="E26">
        <f>Weather_Site!G36</f>
        <v>15</v>
      </c>
      <c r="F26">
        <f>'Forest(McArthur)'!M33</f>
        <v>0</v>
      </c>
      <c r="G26">
        <f>Grass!$C$4</f>
        <v>85</v>
      </c>
      <c r="H26">
        <v>0</v>
      </c>
    </row>
    <row r="27" spans="1:8" x14ac:dyDescent="0.25">
      <c r="A27" s="230">
        <f>Weather_Site!B37+Weather_Site!C37</f>
        <v>44550.208333333336</v>
      </c>
      <c r="B27">
        <f>Weather_Site!D37</f>
        <v>13.5</v>
      </c>
      <c r="C27">
        <f>Weather_Site!E37</f>
        <v>48.3</v>
      </c>
      <c r="D27">
        <f>Weather_Site!F37</f>
        <v>189</v>
      </c>
      <c r="E27">
        <f>Weather_Site!G37</f>
        <v>15</v>
      </c>
      <c r="F27">
        <f>'Forest(McArthur)'!M34</f>
        <v>0</v>
      </c>
      <c r="G27">
        <f>Grass!$C$4</f>
        <v>85</v>
      </c>
      <c r="H27">
        <v>0</v>
      </c>
    </row>
    <row r="28" spans="1:8" x14ac:dyDescent="0.25">
      <c r="A28" s="230">
        <f>Weather_Site!B38+Weather_Site!C38</f>
        <v>44550.25</v>
      </c>
      <c r="B28">
        <f>Weather_Site!D38</f>
        <v>12.5</v>
      </c>
      <c r="C28">
        <f>Weather_Site!E38</f>
        <v>53.1</v>
      </c>
      <c r="D28">
        <f>Weather_Site!F38</f>
        <v>185</v>
      </c>
      <c r="E28">
        <f>Weather_Site!G38</f>
        <v>14</v>
      </c>
      <c r="F28">
        <f>'Forest(McArthur)'!M35</f>
        <v>0</v>
      </c>
      <c r="G28">
        <f>Grass!$C$4</f>
        <v>85</v>
      </c>
      <c r="H28">
        <v>0</v>
      </c>
    </row>
    <row r="29" spans="1:8" x14ac:dyDescent="0.25">
      <c r="A29" s="230">
        <f>Weather_Site!B39+Weather_Site!C39</f>
        <v>44550.291666666664</v>
      </c>
      <c r="B29">
        <f>Weather_Site!D39</f>
        <v>13.4</v>
      </c>
      <c r="C29">
        <f>Weather_Site!E39</f>
        <v>50.4</v>
      </c>
      <c r="D29">
        <f>Weather_Site!F39</f>
        <v>181</v>
      </c>
      <c r="E29">
        <f>Weather_Site!G39</f>
        <v>16</v>
      </c>
      <c r="F29">
        <f>'Forest(McArthur)'!M36</f>
        <v>0</v>
      </c>
      <c r="G29">
        <f>Grass!$C$4</f>
        <v>85</v>
      </c>
      <c r="H29">
        <v>0</v>
      </c>
    </row>
    <row r="30" spans="1:8" x14ac:dyDescent="0.25">
      <c r="A30" s="230">
        <f>Weather_Site!B40+Weather_Site!C40</f>
        <v>44550.333333333336</v>
      </c>
      <c r="B30">
        <f>Weather_Site!D40</f>
        <v>15.8</v>
      </c>
      <c r="C30">
        <f>Weather_Site!E40</f>
        <v>44.1</v>
      </c>
      <c r="D30">
        <f>Weather_Site!F40</f>
        <v>178</v>
      </c>
      <c r="E30">
        <f>Weather_Site!G40</f>
        <v>21</v>
      </c>
      <c r="F30">
        <f>'Forest(McArthur)'!M37</f>
        <v>0</v>
      </c>
      <c r="G30">
        <f>Grass!$C$4</f>
        <v>85</v>
      </c>
      <c r="H30">
        <v>0</v>
      </c>
    </row>
    <row r="31" spans="1:8" x14ac:dyDescent="0.25">
      <c r="A31" s="230">
        <f>Weather_Site!B41+Weather_Site!C41</f>
        <v>44550.375</v>
      </c>
      <c r="B31">
        <f>Weather_Site!D41</f>
        <v>17.100000000000001</v>
      </c>
      <c r="C31">
        <f>Weather_Site!E41</f>
        <v>39.799999999999997</v>
      </c>
      <c r="D31">
        <f>Weather_Site!F41</f>
        <v>177</v>
      </c>
      <c r="E31">
        <f>Weather_Site!G41</f>
        <v>14</v>
      </c>
      <c r="F31">
        <f>'Forest(McArthur)'!M38</f>
        <v>0</v>
      </c>
      <c r="G31">
        <f>Grass!$C$4</f>
        <v>85</v>
      </c>
      <c r="H31">
        <v>0</v>
      </c>
    </row>
    <row r="32" spans="1:8" x14ac:dyDescent="0.25">
      <c r="A32" s="230">
        <f>Weather_Site!B42+Weather_Site!C42</f>
        <v>44550.416666666664</v>
      </c>
      <c r="B32">
        <f>Weather_Site!D42</f>
        <v>19</v>
      </c>
      <c r="C32">
        <f>Weather_Site!E42</f>
        <v>33.6</v>
      </c>
      <c r="D32">
        <f>Weather_Site!F42</f>
        <v>176</v>
      </c>
      <c r="E32">
        <f>Weather_Site!G42</f>
        <v>18</v>
      </c>
      <c r="F32">
        <f>'Forest(McArthur)'!M39</f>
        <v>0</v>
      </c>
      <c r="G32">
        <f>Grass!$C$4</f>
        <v>85</v>
      </c>
      <c r="H32">
        <v>0</v>
      </c>
    </row>
    <row r="33" spans="1:8" x14ac:dyDescent="0.25">
      <c r="A33" s="230">
        <f>Weather_Site!B43+Weather_Site!C43</f>
        <v>44550.458333333336</v>
      </c>
      <c r="B33">
        <f>Weather_Site!D43</f>
        <v>20.5</v>
      </c>
      <c r="C33">
        <f>Weather_Site!E43</f>
        <v>29.9</v>
      </c>
      <c r="D33">
        <f>Weather_Site!F43</f>
        <v>166</v>
      </c>
      <c r="E33">
        <f>Weather_Site!G43</f>
        <v>16</v>
      </c>
      <c r="F33">
        <f>'Forest(McArthur)'!M40</f>
        <v>0</v>
      </c>
      <c r="G33">
        <f>Grass!$C$4</f>
        <v>85</v>
      </c>
      <c r="H33">
        <v>0</v>
      </c>
    </row>
    <row r="34" spans="1:8" x14ac:dyDescent="0.25">
      <c r="A34" s="230">
        <f>Weather_Site!B44+Weather_Site!C44</f>
        <v>44550.5</v>
      </c>
      <c r="B34">
        <f>Weather_Site!D44</f>
        <v>22.3</v>
      </c>
      <c r="C34">
        <f>Weather_Site!E44</f>
        <v>25.7</v>
      </c>
      <c r="D34">
        <f>Weather_Site!F44</f>
        <v>169</v>
      </c>
      <c r="E34">
        <f>Weather_Site!G44</f>
        <v>15</v>
      </c>
      <c r="F34">
        <f>'Forest(McArthur)'!M41</f>
        <v>0</v>
      </c>
      <c r="G34">
        <f>Grass!$C$4</f>
        <v>85</v>
      </c>
      <c r="H34">
        <v>0</v>
      </c>
    </row>
    <row r="35" spans="1:8" x14ac:dyDescent="0.25">
      <c r="A35" s="230">
        <f>Weather_Site!B45+Weather_Site!C45</f>
        <v>44550.541666666664</v>
      </c>
      <c r="B35">
        <f>Weather_Site!D45</f>
        <v>24</v>
      </c>
      <c r="C35">
        <f>Weather_Site!E45</f>
        <v>22.2</v>
      </c>
      <c r="D35">
        <f>Weather_Site!F45</f>
        <v>185</v>
      </c>
      <c r="E35">
        <f>Weather_Site!G45</f>
        <v>14</v>
      </c>
      <c r="F35">
        <f>'Forest(McArthur)'!M42</f>
        <v>0</v>
      </c>
      <c r="G35">
        <f>Grass!$C$4</f>
        <v>85</v>
      </c>
      <c r="H35">
        <v>0</v>
      </c>
    </row>
    <row r="36" spans="1:8" x14ac:dyDescent="0.25">
      <c r="A36" s="230">
        <f>Weather_Site!B46+Weather_Site!C46</f>
        <v>44550.583333333336</v>
      </c>
      <c r="B36">
        <f>Weather_Site!D46</f>
        <v>26</v>
      </c>
      <c r="C36">
        <f>Weather_Site!E46</f>
        <v>18.8</v>
      </c>
      <c r="D36">
        <f>Weather_Site!F46</f>
        <v>199</v>
      </c>
      <c r="E36">
        <f>Weather_Site!G46</f>
        <v>13</v>
      </c>
      <c r="F36">
        <f>'Forest(McArthur)'!M43</f>
        <v>0</v>
      </c>
      <c r="G36">
        <f>Grass!$C$4</f>
        <v>85</v>
      </c>
      <c r="H36">
        <v>0</v>
      </c>
    </row>
    <row r="37" spans="1:8" x14ac:dyDescent="0.25">
      <c r="A37" s="230">
        <f>Weather_Site!B47+Weather_Site!C47</f>
        <v>44550.625</v>
      </c>
      <c r="B37">
        <f>Weather_Site!D47</f>
        <v>27.5</v>
      </c>
      <c r="C37">
        <f>Weather_Site!E47</f>
        <v>16.600000000000001</v>
      </c>
      <c r="D37">
        <f>Weather_Site!F47</f>
        <v>204</v>
      </c>
      <c r="E37">
        <f>Weather_Site!G47</f>
        <v>11</v>
      </c>
      <c r="F37">
        <f>'Forest(McArthur)'!M44</f>
        <v>0</v>
      </c>
      <c r="G37">
        <f>Grass!$C$4</f>
        <v>85</v>
      </c>
      <c r="H37">
        <v>0</v>
      </c>
    </row>
    <row r="38" spans="1:8" x14ac:dyDescent="0.25">
      <c r="A38" s="230">
        <f>Weather_Site!B48+Weather_Site!C48</f>
        <v>44550.666666666664</v>
      </c>
      <c r="B38">
        <f>Weather_Site!D48</f>
        <v>28.5</v>
      </c>
      <c r="C38">
        <f>Weather_Site!E48</f>
        <v>16</v>
      </c>
      <c r="D38">
        <f>Weather_Site!F48</f>
        <v>209</v>
      </c>
      <c r="E38">
        <f>Weather_Site!G48</f>
        <v>12</v>
      </c>
      <c r="F38">
        <f>'Forest(McArthur)'!M45</f>
        <v>0</v>
      </c>
      <c r="G38">
        <f>Grass!$C$4</f>
        <v>85</v>
      </c>
      <c r="H38">
        <v>0</v>
      </c>
    </row>
    <row r="39" spans="1:8" x14ac:dyDescent="0.25">
      <c r="A39" s="230">
        <f>Weather_Site!B49+Weather_Site!C49</f>
        <v>44550.708333333336</v>
      </c>
      <c r="B39">
        <f>Weather_Site!D49</f>
        <v>29.2</v>
      </c>
      <c r="C39">
        <f>Weather_Site!E49</f>
        <v>15.3</v>
      </c>
      <c r="D39">
        <f>Weather_Site!F49</f>
        <v>212</v>
      </c>
      <c r="E39">
        <f>Weather_Site!G49</f>
        <v>11</v>
      </c>
      <c r="F39">
        <f>'Forest(McArthur)'!M46</f>
        <v>0</v>
      </c>
      <c r="G39">
        <f>Grass!$C$4</f>
        <v>85</v>
      </c>
      <c r="H39">
        <v>0</v>
      </c>
    </row>
    <row r="40" spans="1:8" x14ac:dyDescent="0.25">
      <c r="A40" s="230">
        <f>Weather_Site!B50+Weather_Site!C50</f>
        <v>44550.75</v>
      </c>
      <c r="B40">
        <f>Weather_Site!D50</f>
        <v>29.1</v>
      </c>
      <c r="C40">
        <f>Weather_Site!E50</f>
        <v>15.9</v>
      </c>
      <c r="D40">
        <f>Weather_Site!F50</f>
        <v>211</v>
      </c>
      <c r="E40">
        <f>Weather_Site!G50</f>
        <v>11</v>
      </c>
      <c r="F40">
        <f>'Forest(McArthur)'!M47</f>
        <v>0</v>
      </c>
      <c r="G40">
        <f>Grass!$C$4</f>
        <v>85</v>
      </c>
      <c r="H40">
        <v>0</v>
      </c>
    </row>
    <row r="41" spans="1:8" x14ac:dyDescent="0.25">
      <c r="A41" s="230">
        <f>Weather_Site!B51+Weather_Site!C51</f>
        <v>44550.791666666664</v>
      </c>
      <c r="B41">
        <f>Weather_Site!D51</f>
        <v>29.1</v>
      </c>
      <c r="C41">
        <f>Weather_Site!E51</f>
        <v>16.2</v>
      </c>
      <c r="D41">
        <f>Weather_Site!F51</f>
        <v>208</v>
      </c>
      <c r="E41">
        <f>Weather_Site!G51</f>
        <v>10</v>
      </c>
      <c r="F41">
        <f>'Forest(McArthur)'!M48</f>
        <v>0</v>
      </c>
      <c r="G41">
        <f>Grass!$C$4</f>
        <v>85</v>
      </c>
      <c r="H41">
        <v>0</v>
      </c>
    </row>
    <row r="42" spans="1:8" x14ac:dyDescent="0.25">
      <c r="A42" s="230">
        <f>Weather_Site!B52+Weather_Site!C52</f>
        <v>44550.833333333336</v>
      </c>
      <c r="B42">
        <f>Weather_Site!D52</f>
        <v>28.3</v>
      </c>
      <c r="C42">
        <f>Weather_Site!E52</f>
        <v>17.7</v>
      </c>
      <c r="D42">
        <f>Weather_Site!F52</f>
        <v>202</v>
      </c>
      <c r="E42">
        <f>Weather_Site!G52</f>
        <v>8</v>
      </c>
      <c r="F42">
        <f>'Forest(McArthur)'!M49</f>
        <v>0</v>
      </c>
      <c r="G42">
        <f>Grass!$C$4</f>
        <v>85</v>
      </c>
      <c r="H42">
        <v>0</v>
      </c>
    </row>
    <row r="43" spans="1:8" x14ac:dyDescent="0.25">
      <c r="A43" s="230">
        <f>Weather_Site!B53+Weather_Site!C53</f>
        <v>44550.875</v>
      </c>
      <c r="B43">
        <f>Weather_Site!D53</f>
        <v>25.4</v>
      </c>
      <c r="C43">
        <f>Weather_Site!E53</f>
        <v>26.2</v>
      </c>
      <c r="D43">
        <f>Weather_Site!F53</f>
        <v>207</v>
      </c>
      <c r="E43">
        <f>Weather_Site!G53</f>
        <v>6</v>
      </c>
      <c r="F43">
        <f>'Forest(McArthur)'!M50</f>
        <v>0</v>
      </c>
      <c r="G43">
        <f>Grass!$C$4</f>
        <v>85</v>
      </c>
      <c r="H43">
        <v>0</v>
      </c>
    </row>
    <row r="44" spans="1:8" x14ac:dyDescent="0.25">
      <c r="A44" s="230">
        <f>Weather_Site!B54+Weather_Site!C54</f>
        <v>44550.916666666664</v>
      </c>
      <c r="B44">
        <f>Weather_Site!D54</f>
        <v>22.8</v>
      </c>
      <c r="C44">
        <f>Weather_Site!E54</f>
        <v>30.8</v>
      </c>
      <c r="D44">
        <f>Weather_Site!F54</f>
        <v>197</v>
      </c>
      <c r="E44">
        <f>Weather_Site!G54</f>
        <v>6</v>
      </c>
      <c r="F44">
        <f>'Forest(McArthur)'!M51</f>
        <v>0</v>
      </c>
      <c r="G44">
        <f>Grass!$C$4</f>
        <v>85</v>
      </c>
      <c r="H44">
        <v>0</v>
      </c>
    </row>
    <row r="45" spans="1:8" x14ac:dyDescent="0.25">
      <c r="A45" s="230">
        <f>Weather_Site!B55+Weather_Site!C55</f>
        <v>44550.958333333336</v>
      </c>
      <c r="B45">
        <f>Weather_Site!D55</f>
        <v>20.9</v>
      </c>
      <c r="C45">
        <f>Weather_Site!E55</f>
        <v>34.9</v>
      </c>
      <c r="D45">
        <f>Weather_Site!F55</f>
        <v>188</v>
      </c>
      <c r="E45">
        <f>Weather_Site!G55</f>
        <v>5</v>
      </c>
      <c r="F45">
        <f>'Forest(McArthur)'!M52</f>
        <v>0</v>
      </c>
      <c r="G45">
        <f>Grass!$C$4</f>
        <v>85</v>
      </c>
      <c r="H45">
        <v>0</v>
      </c>
    </row>
    <row r="46" spans="1:8" x14ac:dyDescent="0.25">
      <c r="A46" s="230">
        <f>Weather_Site!B56+Weather_Site!C56</f>
        <v>44551</v>
      </c>
      <c r="B46">
        <f>Weather_Site!D56</f>
        <v>19.899999999999999</v>
      </c>
      <c r="C46">
        <f>Weather_Site!E56</f>
        <v>38.4</v>
      </c>
      <c r="D46">
        <f>Weather_Site!F56</f>
        <v>190</v>
      </c>
      <c r="E46">
        <f>Weather_Site!G56</f>
        <v>5</v>
      </c>
      <c r="F46">
        <f>'Forest(McArthur)'!M53</f>
        <v>0</v>
      </c>
      <c r="G46">
        <f>Grass!$C$4</f>
        <v>85</v>
      </c>
      <c r="H46">
        <v>0</v>
      </c>
    </row>
    <row r="47" spans="1:8" x14ac:dyDescent="0.25">
      <c r="A47" s="230">
        <f>Weather_Site!B57+Weather_Site!C57</f>
        <v>44551.041666666664</v>
      </c>
      <c r="B47">
        <f>Weather_Site!D57</f>
        <v>18.5</v>
      </c>
      <c r="C47">
        <f>Weather_Site!E57</f>
        <v>42.5</v>
      </c>
      <c r="D47">
        <f>Weather_Site!F57</f>
        <v>267</v>
      </c>
      <c r="E47">
        <f>Weather_Site!G57</f>
        <v>6</v>
      </c>
      <c r="F47">
        <f>'Forest(McArthur)'!M54</f>
        <v>0</v>
      </c>
      <c r="G47">
        <f>Grass!$C$4</f>
        <v>85</v>
      </c>
      <c r="H47">
        <v>0</v>
      </c>
    </row>
    <row r="48" spans="1:8" x14ac:dyDescent="0.25">
      <c r="A48" s="230">
        <f>Weather_Site!B58+Weather_Site!C58</f>
        <v>44551.083333333336</v>
      </c>
      <c r="B48">
        <f>Weather_Site!D58</f>
        <v>17.2</v>
      </c>
      <c r="C48">
        <f>Weather_Site!E58</f>
        <v>47.4</v>
      </c>
      <c r="D48">
        <f>Weather_Site!F58</f>
        <v>245</v>
      </c>
      <c r="E48">
        <f>Weather_Site!G58</f>
        <v>6</v>
      </c>
      <c r="F48">
        <f>'Forest(McArthur)'!M55</f>
        <v>0</v>
      </c>
      <c r="G48">
        <f>Grass!$C$4</f>
        <v>85</v>
      </c>
      <c r="H48">
        <v>0</v>
      </c>
    </row>
    <row r="49" spans="1:8" x14ac:dyDescent="0.25">
      <c r="A49" s="230">
        <f>Weather_Site!B59+Weather_Site!C59</f>
        <v>44551.125</v>
      </c>
      <c r="B49">
        <f>Weather_Site!D59</f>
        <v>16.3</v>
      </c>
      <c r="C49">
        <f>Weather_Site!E59</f>
        <v>50.2</v>
      </c>
      <c r="D49">
        <f>Weather_Site!F59</f>
        <v>226</v>
      </c>
      <c r="E49">
        <f>Weather_Site!G59</f>
        <v>6</v>
      </c>
      <c r="F49">
        <f>'Forest(McArthur)'!M56</f>
        <v>0</v>
      </c>
      <c r="G49">
        <f>Grass!$C$4</f>
        <v>85</v>
      </c>
      <c r="H49">
        <v>0</v>
      </c>
    </row>
    <row r="50" spans="1:8" x14ac:dyDescent="0.25">
      <c r="A50" s="230">
        <f>Weather_Site!B60+Weather_Site!C60</f>
        <v>44551.166666666664</v>
      </c>
      <c r="B50">
        <f>Weather_Site!D60</f>
        <v>15.5</v>
      </c>
      <c r="C50">
        <f>Weather_Site!E60</f>
        <v>54.3</v>
      </c>
      <c r="D50">
        <f>Weather_Site!F60</f>
        <v>216</v>
      </c>
      <c r="E50">
        <f>Weather_Site!G60</f>
        <v>6</v>
      </c>
      <c r="F50">
        <f>'Forest(McArthur)'!M57</f>
        <v>0</v>
      </c>
      <c r="G50">
        <f>Grass!$C$4</f>
        <v>85</v>
      </c>
      <c r="H50">
        <v>0</v>
      </c>
    </row>
    <row r="51" spans="1:8" x14ac:dyDescent="0.25">
      <c r="A51" s="230">
        <f>Weather_Site!B61+Weather_Site!C61</f>
        <v>44551.208333333336</v>
      </c>
      <c r="B51">
        <f>Weather_Site!D61</f>
        <v>14.5</v>
      </c>
      <c r="C51">
        <f>Weather_Site!E61</f>
        <v>62.4</v>
      </c>
      <c r="D51">
        <f>Weather_Site!F61</f>
        <v>188</v>
      </c>
      <c r="E51">
        <f>Weather_Site!G61</f>
        <v>9</v>
      </c>
      <c r="F51">
        <f>'Forest(McArthur)'!M58</f>
        <v>0</v>
      </c>
      <c r="G51">
        <f>Grass!$C$4</f>
        <v>85</v>
      </c>
      <c r="H51">
        <v>0</v>
      </c>
    </row>
    <row r="52" spans="1:8" x14ac:dyDescent="0.25">
      <c r="A52" s="230">
        <f>Weather_Site!B62+Weather_Site!C62</f>
        <v>44551.25</v>
      </c>
      <c r="B52">
        <f>Weather_Site!D62</f>
        <v>13.9</v>
      </c>
      <c r="C52">
        <f>Weather_Site!E62</f>
        <v>65.3</v>
      </c>
      <c r="D52">
        <f>Weather_Site!F62</f>
        <v>189</v>
      </c>
      <c r="E52">
        <f>Weather_Site!G62</f>
        <v>10</v>
      </c>
      <c r="F52">
        <f>'Forest(McArthur)'!M59</f>
        <v>0</v>
      </c>
      <c r="G52">
        <f>Grass!$C$4</f>
        <v>85</v>
      </c>
      <c r="H52">
        <v>0</v>
      </c>
    </row>
    <row r="53" spans="1:8" x14ac:dyDescent="0.25">
      <c r="A53" s="230">
        <f>Weather_Site!B63+Weather_Site!C63</f>
        <v>44551.291666666664</v>
      </c>
      <c r="B53">
        <f>Weather_Site!D63</f>
        <v>15.8</v>
      </c>
      <c r="C53">
        <f>Weather_Site!E63</f>
        <v>58.6</v>
      </c>
      <c r="D53">
        <f>Weather_Site!F63</f>
        <v>178</v>
      </c>
      <c r="E53">
        <f>Weather_Site!G63</f>
        <v>12</v>
      </c>
      <c r="F53">
        <f>'Forest(McArthur)'!M60</f>
        <v>0</v>
      </c>
      <c r="G53">
        <f>Grass!$C$4</f>
        <v>85</v>
      </c>
      <c r="H53">
        <v>0</v>
      </c>
    </row>
    <row r="54" spans="1:8" x14ac:dyDescent="0.25">
      <c r="A54" s="230">
        <f>Weather_Site!B64+Weather_Site!C64</f>
        <v>44551.333333333336</v>
      </c>
      <c r="B54">
        <f>Weather_Site!D64</f>
        <v>19.100000000000001</v>
      </c>
      <c r="C54">
        <f>Weather_Site!E64</f>
        <v>48.2</v>
      </c>
      <c r="D54">
        <f>Weather_Site!F64</f>
        <v>183</v>
      </c>
      <c r="E54">
        <f>Weather_Site!G64</f>
        <v>16</v>
      </c>
      <c r="F54">
        <f>'Forest(McArthur)'!M61</f>
        <v>0</v>
      </c>
      <c r="G54">
        <f>Grass!$C$4</f>
        <v>85</v>
      </c>
      <c r="H54">
        <v>0</v>
      </c>
    </row>
    <row r="55" spans="1:8" x14ac:dyDescent="0.25">
      <c r="A55" s="230">
        <f>Weather_Site!B65+Weather_Site!C65</f>
        <v>44551.375</v>
      </c>
      <c r="B55">
        <f>Weather_Site!D65</f>
        <v>21.8</v>
      </c>
      <c r="C55">
        <f>Weather_Site!E65</f>
        <v>42</v>
      </c>
      <c r="D55">
        <f>Weather_Site!F65</f>
        <v>179</v>
      </c>
      <c r="E55">
        <f>Weather_Site!G65</f>
        <v>10</v>
      </c>
      <c r="F55">
        <f>'Forest(McArthur)'!M62</f>
        <v>0</v>
      </c>
      <c r="G55">
        <f>Grass!$C$4</f>
        <v>85</v>
      </c>
      <c r="H55">
        <v>0</v>
      </c>
    </row>
    <row r="56" spans="1:8" x14ac:dyDescent="0.25">
      <c r="A56" s="230">
        <f>Weather_Site!B66+Weather_Site!C66</f>
        <v>44551.416666666664</v>
      </c>
      <c r="B56">
        <f>Weather_Site!D66</f>
        <v>24.5</v>
      </c>
      <c r="C56">
        <f>Weather_Site!E66</f>
        <v>33.1</v>
      </c>
      <c r="D56">
        <f>Weather_Site!F66</f>
        <v>158</v>
      </c>
      <c r="E56">
        <f>Weather_Site!G66</f>
        <v>14</v>
      </c>
      <c r="F56">
        <f>'Forest(McArthur)'!M63</f>
        <v>0</v>
      </c>
      <c r="G56">
        <f>Grass!$C$4</f>
        <v>85</v>
      </c>
      <c r="H56">
        <v>0</v>
      </c>
    </row>
    <row r="57" spans="1:8" x14ac:dyDescent="0.25">
      <c r="A57" s="230">
        <f>Weather_Site!B67+Weather_Site!C67</f>
        <v>44551.458333333336</v>
      </c>
      <c r="B57">
        <f>Weather_Site!D67</f>
        <v>26.9</v>
      </c>
      <c r="C57">
        <f>Weather_Site!E67</f>
        <v>27.9</v>
      </c>
      <c r="D57">
        <f>Weather_Site!F67</f>
        <v>153</v>
      </c>
      <c r="E57">
        <f>Weather_Site!G67</f>
        <v>11</v>
      </c>
      <c r="F57">
        <f>'Forest(McArthur)'!M64</f>
        <v>0</v>
      </c>
      <c r="G57">
        <f>Grass!$C$4</f>
        <v>85</v>
      </c>
      <c r="H57">
        <v>0</v>
      </c>
    </row>
    <row r="58" spans="1:8" x14ac:dyDescent="0.25">
      <c r="A58" s="230">
        <f>Weather_Site!B68+Weather_Site!C68</f>
        <v>44551.5</v>
      </c>
      <c r="B58">
        <f>Weather_Site!D68</f>
        <v>28</v>
      </c>
      <c r="C58">
        <f>Weather_Site!E68</f>
        <v>25</v>
      </c>
      <c r="D58">
        <f>Weather_Site!F68</f>
        <v>162</v>
      </c>
      <c r="E58">
        <f>Weather_Site!G68</f>
        <v>11</v>
      </c>
      <c r="F58">
        <f>'Forest(McArthur)'!M65</f>
        <v>0</v>
      </c>
      <c r="G58">
        <f>Grass!$C$4</f>
        <v>85</v>
      </c>
      <c r="H58">
        <v>0</v>
      </c>
    </row>
    <row r="59" spans="1:8" x14ac:dyDescent="0.25">
      <c r="A59" s="230">
        <f>Weather_Site!B69+Weather_Site!C69</f>
        <v>44551.541666666664</v>
      </c>
      <c r="B59">
        <f>Weather_Site!D69</f>
        <v>29.5</v>
      </c>
      <c r="C59">
        <f>Weather_Site!E69</f>
        <v>22</v>
      </c>
      <c r="D59">
        <f>Weather_Site!F69</f>
        <v>198</v>
      </c>
      <c r="E59">
        <f>Weather_Site!G69</f>
        <v>11</v>
      </c>
      <c r="F59">
        <f>'Forest(McArthur)'!M66</f>
        <v>0</v>
      </c>
      <c r="G59">
        <f>Grass!$C$4</f>
        <v>85</v>
      </c>
      <c r="H59">
        <v>0</v>
      </c>
    </row>
    <row r="60" spans="1:8" x14ac:dyDescent="0.25">
      <c r="A60" s="230">
        <f>Weather_Site!B70+Weather_Site!C70</f>
        <v>44551.583333333336</v>
      </c>
      <c r="B60">
        <f>Weather_Site!D70</f>
        <v>31.4</v>
      </c>
      <c r="C60">
        <f>Weather_Site!E70</f>
        <v>18.600000000000001</v>
      </c>
      <c r="D60">
        <f>Weather_Site!F70</f>
        <v>208</v>
      </c>
      <c r="E60">
        <f>Weather_Site!G70</f>
        <v>11</v>
      </c>
      <c r="F60">
        <f>'Forest(McArthur)'!M67</f>
        <v>0</v>
      </c>
      <c r="G60">
        <f>Grass!$C$4</f>
        <v>85</v>
      </c>
      <c r="H60">
        <v>0</v>
      </c>
    </row>
    <row r="61" spans="1:8" x14ac:dyDescent="0.25">
      <c r="A61" s="230">
        <f>Weather_Site!B71+Weather_Site!C71</f>
        <v>44551.625</v>
      </c>
      <c r="B61">
        <f>Weather_Site!D71</f>
        <v>32.4</v>
      </c>
      <c r="C61">
        <f>Weather_Site!E71</f>
        <v>16.5</v>
      </c>
      <c r="D61">
        <f>Weather_Site!F71</f>
        <v>212</v>
      </c>
      <c r="E61">
        <f>Weather_Site!G71</f>
        <v>9</v>
      </c>
      <c r="F61">
        <f>'Forest(McArthur)'!M68</f>
        <v>0</v>
      </c>
      <c r="G61">
        <f>Grass!$C$4</f>
        <v>85</v>
      </c>
      <c r="H61">
        <v>0</v>
      </c>
    </row>
    <row r="62" spans="1:8" x14ac:dyDescent="0.25">
      <c r="A62" s="230">
        <f>Weather_Site!B72+Weather_Site!C72</f>
        <v>44551.666666666664</v>
      </c>
      <c r="B62">
        <f>Weather_Site!D72</f>
        <v>33.299999999999997</v>
      </c>
      <c r="C62">
        <f>Weather_Site!E72</f>
        <v>15.6</v>
      </c>
      <c r="D62">
        <f>Weather_Site!F72</f>
        <v>216</v>
      </c>
      <c r="E62">
        <f>Weather_Site!G72</f>
        <v>11</v>
      </c>
      <c r="F62">
        <f>'Forest(McArthur)'!M69</f>
        <v>0</v>
      </c>
      <c r="G62">
        <f>Grass!$C$4</f>
        <v>85</v>
      </c>
      <c r="H62">
        <v>0</v>
      </c>
    </row>
    <row r="63" spans="1:8" x14ac:dyDescent="0.25">
      <c r="A63" s="230">
        <f>Weather_Site!B73+Weather_Site!C73</f>
        <v>44551.708333333336</v>
      </c>
      <c r="B63">
        <f>Weather_Site!D73</f>
        <v>34</v>
      </c>
      <c r="C63">
        <f>Weather_Site!E73</f>
        <v>14.5</v>
      </c>
      <c r="D63">
        <f>Weather_Site!F73</f>
        <v>218</v>
      </c>
      <c r="E63">
        <f>Weather_Site!G73</f>
        <v>10</v>
      </c>
      <c r="F63">
        <f>'Forest(McArthur)'!M70</f>
        <v>0</v>
      </c>
      <c r="G63">
        <f>Grass!$C$4</f>
        <v>85</v>
      </c>
      <c r="H63">
        <v>0</v>
      </c>
    </row>
    <row r="64" spans="1:8" x14ac:dyDescent="0.25">
      <c r="A64" s="230">
        <f>Weather_Site!B74+Weather_Site!C74</f>
        <v>44551.75</v>
      </c>
      <c r="B64">
        <f>Weather_Site!D74</f>
        <v>33.5</v>
      </c>
      <c r="C64">
        <f>Weather_Site!E74</f>
        <v>15.3</v>
      </c>
      <c r="D64">
        <f>Weather_Site!F74</f>
        <v>205</v>
      </c>
      <c r="E64">
        <f>Weather_Site!G74</f>
        <v>12</v>
      </c>
      <c r="F64">
        <f>'Forest(McArthur)'!M71</f>
        <v>0</v>
      </c>
      <c r="G64">
        <f>Grass!$C$4</f>
        <v>85</v>
      </c>
      <c r="H64">
        <v>0</v>
      </c>
    </row>
    <row r="65" spans="1:8" x14ac:dyDescent="0.25">
      <c r="A65" s="230">
        <f>Weather_Site!B75+Weather_Site!C75</f>
        <v>44551.791666666664</v>
      </c>
      <c r="B65">
        <f>Weather_Site!D75</f>
        <v>33.299999999999997</v>
      </c>
      <c r="C65">
        <f>Weather_Site!E75</f>
        <v>15.4</v>
      </c>
      <c r="D65">
        <f>Weather_Site!F75</f>
        <v>202</v>
      </c>
      <c r="E65">
        <f>Weather_Site!G75</f>
        <v>11</v>
      </c>
      <c r="F65">
        <f>'Forest(McArthur)'!M72</f>
        <v>0</v>
      </c>
      <c r="G65">
        <f>Grass!$C$4</f>
        <v>85</v>
      </c>
      <c r="H65">
        <v>0</v>
      </c>
    </row>
    <row r="66" spans="1:8" x14ac:dyDescent="0.25">
      <c r="A66" s="230">
        <f>Weather_Site!B76+Weather_Site!C76</f>
        <v>44551.833333333336</v>
      </c>
      <c r="B66">
        <f>Weather_Site!D76</f>
        <v>32.200000000000003</v>
      </c>
      <c r="C66">
        <f>Weather_Site!E76</f>
        <v>17.600000000000001</v>
      </c>
      <c r="D66">
        <f>Weather_Site!F76</f>
        <v>206</v>
      </c>
      <c r="E66">
        <f>Weather_Site!G76</f>
        <v>11</v>
      </c>
      <c r="F66">
        <f>'Forest(McArthur)'!M73</f>
        <v>0</v>
      </c>
      <c r="G66">
        <f>Grass!$C$4</f>
        <v>85</v>
      </c>
      <c r="H66">
        <v>0</v>
      </c>
    </row>
    <row r="67" spans="1:8" x14ac:dyDescent="0.25">
      <c r="A67" s="230">
        <f>Weather_Site!B77+Weather_Site!C77</f>
        <v>44551.875</v>
      </c>
      <c r="B67">
        <f>Weather_Site!D77</f>
        <v>29.1</v>
      </c>
      <c r="C67">
        <f>Weather_Site!E77</f>
        <v>23.4</v>
      </c>
      <c r="D67">
        <f>Weather_Site!F77</f>
        <v>199</v>
      </c>
      <c r="E67">
        <f>Weather_Site!G77</f>
        <v>9</v>
      </c>
      <c r="F67">
        <f>'Forest(McArthur)'!M74</f>
        <v>0</v>
      </c>
      <c r="G67">
        <f>Grass!$C$4</f>
        <v>85</v>
      </c>
      <c r="H67">
        <v>0</v>
      </c>
    </row>
    <row r="68" spans="1:8" x14ac:dyDescent="0.25">
      <c r="A68" s="230">
        <f>Weather_Site!B78+Weather_Site!C78</f>
        <v>44551.916666666664</v>
      </c>
      <c r="B68">
        <f>Weather_Site!D78</f>
        <v>26.6</v>
      </c>
      <c r="C68">
        <f>Weather_Site!E78</f>
        <v>28</v>
      </c>
      <c r="D68">
        <f>Weather_Site!F78</f>
        <v>192</v>
      </c>
      <c r="E68">
        <f>Weather_Site!G78</f>
        <v>8</v>
      </c>
      <c r="F68">
        <f>'Forest(McArthur)'!M75</f>
        <v>0</v>
      </c>
      <c r="G68">
        <f>Grass!$C$4</f>
        <v>85</v>
      </c>
      <c r="H68">
        <v>0</v>
      </c>
    </row>
    <row r="69" spans="1:8" x14ac:dyDescent="0.25">
      <c r="A69" s="230">
        <f>Weather_Site!B79+Weather_Site!C79</f>
        <v>44551.958333333336</v>
      </c>
      <c r="B69">
        <f>Weather_Site!D79</f>
        <v>24.5</v>
      </c>
      <c r="C69">
        <f>Weather_Site!E79</f>
        <v>31.5</v>
      </c>
      <c r="D69">
        <f>Weather_Site!F79</f>
        <v>185</v>
      </c>
      <c r="E69">
        <f>Weather_Site!G79</f>
        <v>7</v>
      </c>
      <c r="F69">
        <f>'Forest(McArthur)'!M76</f>
        <v>0</v>
      </c>
      <c r="G69">
        <f>Grass!$C$4</f>
        <v>85</v>
      </c>
      <c r="H69">
        <v>0</v>
      </c>
    </row>
    <row r="70" spans="1:8" x14ac:dyDescent="0.25">
      <c r="A70" s="230">
        <f>Weather_Site!B80+Weather_Site!C80</f>
        <v>44552</v>
      </c>
      <c r="B70">
        <f>Weather_Site!D80</f>
        <v>23.6</v>
      </c>
      <c r="C70">
        <f>Weather_Site!E80</f>
        <v>34</v>
      </c>
      <c r="D70">
        <f>Weather_Site!F80</f>
        <v>182</v>
      </c>
      <c r="E70">
        <f>Weather_Site!G80</f>
        <v>7</v>
      </c>
      <c r="F70">
        <f>'Forest(McArthur)'!M77</f>
        <v>0</v>
      </c>
      <c r="G70">
        <f>Grass!$C$4</f>
        <v>85</v>
      </c>
      <c r="H70">
        <v>0</v>
      </c>
    </row>
    <row r="71" spans="1:8" x14ac:dyDescent="0.25">
      <c r="A71" s="230">
        <f>Weather_Site!B81+Weather_Site!C81</f>
        <v>44552.041666666664</v>
      </c>
      <c r="B71">
        <f>Weather_Site!D81</f>
        <v>22.5</v>
      </c>
      <c r="C71">
        <f>Weather_Site!E81</f>
        <v>35.6</v>
      </c>
      <c r="D71">
        <f>Weather_Site!F81</f>
        <v>196</v>
      </c>
      <c r="E71">
        <f>Weather_Site!G81</f>
        <v>9</v>
      </c>
      <c r="F71">
        <f>'Forest(McArthur)'!M78</f>
        <v>0</v>
      </c>
      <c r="G71">
        <f>Grass!$C$4</f>
        <v>85</v>
      </c>
      <c r="H71">
        <v>0</v>
      </c>
    </row>
    <row r="72" spans="1:8" x14ac:dyDescent="0.25">
      <c r="A72" s="230">
        <f>Weather_Site!B82+Weather_Site!C82</f>
        <v>44552.083333333336</v>
      </c>
      <c r="B72">
        <f>Weather_Site!D82</f>
        <v>21.6</v>
      </c>
      <c r="C72">
        <f>Weather_Site!E82</f>
        <v>37.299999999999997</v>
      </c>
      <c r="D72">
        <f>Weather_Site!F82</f>
        <v>179</v>
      </c>
      <c r="E72">
        <f>Weather_Site!G82</f>
        <v>11</v>
      </c>
      <c r="F72">
        <f>'Forest(McArthur)'!M79</f>
        <v>0</v>
      </c>
      <c r="G72">
        <f>Grass!$C$4</f>
        <v>85</v>
      </c>
      <c r="H72">
        <v>0</v>
      </c>
    </row>
    <row r="73" spans="1:8" x14ac:dyDescent="0.25">
      <c r="A73" s="230">
        <f>Weather_Site!B83+Weather_Site!C83</f>
        <v>44552.125</v>
      </c>
      <c r="B73">
        <f>Weather_Site!D83</f>
        <v>20.6</v>
      </c>
      <c r="C73">
        <f>Weather_Site!E83</f>
        <v>41.6</v>
      </c>
      <c r="D73">
        <f>Weather_Site!F83</f>
        <v>177</v>
      </c>
      <c r="E73">
        <f>Weather_Site!G83</f>
        <v>11</v>
      </c>
      <c r="F73">
        <f>'Forest(McArthur)'!M80</f>
        <v>0</v>
      </c>
      <c r="G73">
        <f>Grass!$C$4</f>
        <v>85</v>
      </c>
      <c r="H73">
        <v>0</v>
      </c>
    </row>
    <row r="74" spans="1:8" x14ac:dyDescent="0.25">
      <c r="A74" s="230">
        <f>Weather_Site!B84+Weather_Site!C84</f>
        <v>44552.166666666664</v>
      </c>
      <c r="B74">
        <f>Weather_Site!D84</f>
        <v>20</v>
      </c>
      <c r="C74">
        <f>Weather_Site!E84</f>
        <v>45</v>
      </c>
      <c r="D74">
        <f>Weather_Site!F84</f>
        <v>181</v>
      </c>
      <c r="E74">
        <f>Weather_Site!G84</f>
        <v>12</v>
      </c>
      <c r="F74">
        <f>'Forest(McArthur)'!M81</f>
        <v>0</v>
      </c>
      <c r="G74">
        <f>Grass!$C$4</f>
        <v>85</v>
      </c>
      <c r="H74">
        <v>0</v>
      </c>
    </row>
    <row r="75" spans="1:8" x14ac:dyDescent="0.25">
      <c r="A75" s="230">
        <f>Weather_Site!B85+Weather_Site!C85</f>
        <v>44552.208333333336</v>
      </c>
      <c r="B75">
        <f>Weather_Site!D85</f>
        <v>19.2</v>
      </c>
      <c r="C75">
        <f>Weather_Site!E85</f>
        <v>49.3</v>
      </c>
      <c r="D75">
        <f>Weather_Site!F85</f>
        <v>184</v>
      </c>
      <c r="E75">
        <f>Weather_Site!G85</f>
        <v>16</v>
      </c>
      <c r="F75">
        <f>'Forest(McArthur)'!M82</f>
        <v>0</v>
      </c>
      <c r="G75">
        <f>Grass!$C$4</f>
        <v>85</v>
      </c>
      <c r="H75">
        <v>0</v>
      </c>
    </row>
    <row r="76" spans="1:8" x14ac:dyDescent="0.25">
      <c r="A76" s="230">
        <f>Weather_Site!B86+Weather_Site!C86</f>
        <v>44552.25</v>
      </c>
      <c r="B76">
        <f>Weather_Site!D86</f>
        <v>18.3</v>
      </c>
      <c r="C76">
        <f>Weather_Site!E86</f>
        <v>51.8</v>
      </c>
      <c r="D76">
        <f>Weather_Site!F86</f>
        <v>182</v>
      </c>
      <c r="E76">
        <f>Weather_Site!G86</f>
        <v>17</v>
      </c>
      <c r="F76">
        <f>'Forest(McArthur)'!M83</f>
        <v>0</v>
      </c>
      <c r="G76">
        <f>Grass!$C$4</f>
        <v>85</v>
      </c>
      <c r="H76">
        <v>0</v>
      </c>
    </row>
    <row r="77" spans="1:8" x14ac:dyDescent="0.25">
      <c r="A77" s="230">
        <f>Weather_Site!B87+Weather_Site!C87</f>
        <v>44552.291666666664</v>
      </c>
      <c r="B77">
        <f>Weather_Site!D87</f>
        <v>19</v>
      </c>
      <c r="C77">
        <f>Weather_Site!E87</f>
        <v>48.9</v>
      </c>
      <c r="D77">
        <f>Weather_Site!F87</f>
        <v>176</v>
      </c>
      <c r="E77">
        <f>Weather_Site!G87</f>
        <v>18</v>
      </c>
      <c r="F77">
        <f>'Forest(McArthur)'!M84</f>
        <v>0</v>
      </c>
      <c r="G77">
        <f>Grass!$C$4</f>
        <v>85</v>
      </c>
      <c r="H77">
        <v>0</v>
      </c>
    </row>
    <row r="78" spans="1:8" x14ac:dyDescent="0.25">
      <c r="A78" s="230">
        <f>Weather_Site!B88+Weather_Site!C88</f>
        <v>44552.333333333336</v>
      </c>
      <c r="B78">
        <f>Weather_Site!D88</f>
        <v>21.4</v>
      </c>
      <c r="C78">
        <f>Weather_Site!E88</f>
        <v>43</v>
      </c>
      <c r="D78">
        <f>Weather_Site!F88</f>
        <v>179</v>
      </c>
      <c r="E78">
        <f>Weather_Site!G88</f>
        <v>22</v>
      </c>
      <c r="F78">
        <f>'Forest(McArthur)'!M85</f>
        <v>0</v>
      </c>
      <c r="G78">
        <f>Grass!$C$4</f>
        <v>85</v>
      </c>
      <c r="H78">
        <v>0</v>
      </c>
    </row>
    <row r="79" spans="1:8" x14ac:dyDescent="0.25">
      <c r="A79" s="230">
        <f>Weather_Site!B89+Weather_Site!C89</f>
        <v>44552.375</v>
      </c>
      <c r="B79">
        <f>Weather_Site!D89</f>
        <v>23.5</v>
      </c>
      <c r="C79">
        <f>Weather_Site!E89</f>
        <v>40</v>
      </c>
      <c r="D79">
        <f>Weather_Site!F89</f>
        <v>167</v>
      </c>
      <c r="E79">
        <f>Weather_Site!G89</f>
        <v>15</v>
      </c>
      <c r="F79">
        <f>'Forest(McArthur)'!M86</f>
        <v>0</v>
      </c>
      <c r="G79">
        <f>Grass!$C$4</f>
        <v>85</v>
      </c>
      <c r="H79">
        <v>0</v>
      </c>
    </row>
    <row r="80" spans="1:8" x14ac:dyDescent="0.25">
      <c r="A80" s="230">
        <f>Weather_Site!B90+Weather_Site!C90</f>
        <v>44552.416666666664</v>
      </c>
      <c r="B80">
        <f>Weather_Site!D90</f>
        <v>25.9</v>
      </c>
      <c r="C80">
        <f>Weather_Site!E90</f>
        <v>34.200000000000003</v>
      </c>
      <c r="D80">
        <f>Weather_Site!F90</f>
        <v>164</v>
      </c>
      <c r="E80">
        <f>Weather_Site!G90</f>
        <v>20</v>
      </c>
      <c r="F80">
        <f>'Forest(McArthur)'!M87</f>
        <v>0</v>
      </c>
      <c r="G80">
        <f>Grass!$C$4</f>
        <v>85</v>
      </c>
      <c r="H80">
        <v>0</v>
      </c>
    </row>
    <row r="81" spans="1:8" x14ac:dyDescent="0.25">
      <c r="A81" s="230">
        <f>Weather_Site!B91+Weather_Site!C91</f>
        <v>44552.458333333336</v>
      </c>
      <c r="B81">
        <f>Weather_Site!D91</f>
        <v>28.1</v>
      </c>
      <c r="C81">
        <f>Weather_Site!E91</f>
        <v>30</v>
      </c>
      <c r="D81">
        <f>Weather_Site!F91</f>
        <v>165</v>
      </c>
      <c r="E81">
        <f>Weather_Site!G91</f>
        <v>18</v>
      </c>
      <c r="F81">
        <f>'Forest(McArthur)'!M88</f>
        <v>0</v>
      </c>
      <c r="G81">
        <f>Grass!$C$4</f>
        <v>85</v>
      </c>
      <c r="H81">
        <v>0</v>
      </c>
    </row>
    <row r="82" spans="1:8" x14ac:dyDescent="0.25">
      <c r="A82" s="230">
        <f>Weather_Site!B92+Weather_Site!C92</f>
        <v>44552.5</v>
      </c>
      <c r="B82">
        <f>Weather_Site!D92</f>
        <v>29.8</v>
      </c>
      <c r="C82">
        <f>Weather_Site!E92</f>
        <v>26.2</v>
      </c>
      <c r="D82">
        <f>Weather_Site!F92</f>
        <v>170</v>
      </c>
      <c r="E82">
        <f>Weather_Site!G92</f>
        <v>17</v>
      </c>
      <c r="F82">
        <f>'Forest(McArthur)'!M89</f>
        <v>0</v>
      </c>
      <c r="G82">
        <f>Grass!$C$4</f>
        <v>85</v>
      </c>
      <c r="H82">
        <v>0</v>
      </c>
    </row>
    <row r="83" spans="1:8" x14ac:dyDescent="0.25">
      <c r="A83" s="230">
        <f>Weather_Site!B93+Weather_Site!C93</f>
        <v>44552.541666666664</v>
      </c>
      <c r="B83">
        <f>Weather_Site!D93</f>
        <v>31.4</v>
      </c>
      <c r="C83">
        <f>Weather_Site!E93</f>
        <v>22.5</v>
      </c>
      <c r="D83">
        <f>Weather_Site!F93</f>
        <v>194</v>
      </c>
      <c r="E83">
        <f>Weather_Site!G93</f>
        <v>18</v>
      </c>
      <c r="F83">
        <f>'Forest(McArthur)'!M90</f>
        <v>0</v>
      </c>
      <c r="G83">
        <f>Grass!$C$4</f>
        <v>85</v>
      </c>
      <c r="H83">
        <v>0</v>
      </c>
    </row>
    <row r="84" spans="1:8" x14ac:dyDescent="0.25">
      <c r="A84" s="230">
        <f>Weather_Site!B94+Weather_Site!C94</f>
        <v>44552.583333333336</v>
      </c>
      <c r="B84">
        <f>Weather_Site!D94</f>
        <v>33.1</v>
      </c>
      <c r="C84">
        <f>Weather_Site!E94</f>
        <v>18.8</v>
      </c>
      <c r="D84">
        <f>Weather_Site!F94</f>
        <v>198</v>
      </c>
      <c r="E84">
        <f>Weather_Site!G94</f>
        <v>18</v>
      </c>
      <c r="F84">
        <f>'Forest(McArthur)'!M91</f>
        <v>0</v>
      </c>
      <c r="G84">
        <f>Grass!$C$4</f>
        <v>85</v>
      </c>
      <c r="H84">
        <v>0</v>
      </c>
    </row>
    <row r="85" spans="1:8" x14ac:dyDescent="0.25">
      <c r="A85" s="230">
        <f>Weather_Site!B95+Weather_Site!C95</f>
        <v>44552.625</v>
      </c>
      <c r="B85">
        <f>Weather_Site!D95</f>
        <v>34</v>
      </c>
      <c r="C85">
        <f>Weather_Site!E95</f>
        <v>16.100000000000001</v>
      </c>
      <c r="D85">
        <f>Weather_Site!F95</f>
        <v>200</v>
      </c>
      <c r="E85">
        <f>Weather_Site!G95</f>
        <v>17</v>
      </c>
      <c r="F85">
        <f>'Forest(McArthur)'!M92</f>
        <v>0</v>
      </c>
      <c r="G85">
        <f>Grass!$C$4</f>
        <v>85</v>
      </c>
      <c r="H85">
        <v>0</v>
      </c>
    </row>
    <row r="86" spans="1:8" x14ac:dyDescent="0.25">
      <c r="A86" s="230">
        <f>Weather_Site!B96+Weather_Site!C96</f>
        <v>44552.666666666664</v>
      </c>
      <c r="B86">
        <f>Weather_Site!D96</f>
        <v>34.5</v>
      </c>
      <c r="C86">
        <f>Weather_Site!E96</f>
        <v>14.9</v>
      </c>
      <c r="D86">
        <f>Weather_Site!F96</f>
        <v>202</v>
      </c>
      <c r="E86">
        <f>Weather_Site!G96</f>
        <v>19</v>
      </c>
      <c r="F86">
        <f>'Forest(McArthur)'!M93</f>
        <v>0</v>
      </c>
      <c r="G86">
        <f>Grass!$C$4</f>
        <v>85</v>
      </c>
      <c r="H86">
        <v>0</v>
      </c>
    </row>
    <row r="87" spans="1:8" x14ac:dyDescent="0.25">
      <c r="A87" s="230">
        <f>Weather_Site!B97+Weather_Site!C97</f>
        <v>44552.708333333336</v>
      </c>
      <c r="B87">
        <f>Weather_Site!D97</f>
        <v>34.700000000000003</v>
      </c>
      <c r="C87">
        <f>Weather_Site!E97</f>
        <v>13.7</v>
      </c>
      <c r="D87">
        <f>Weather_Site!F97</f>
        <v>203</v>
      </c>
      <c r="E87">
        <f>Weather_Site!G97</f>
        <v>19</v>
      </c>
      <c r="F87">
        <f>'Forest(McArthur)'!M94</f>
        <v>0</v>
      </c>
      <c r="G87">
        <f>Grass!$C$4</f>
        <v>85</v>
      </c>
      <c r="H87">
        <v>0</v>
      </c>
    </row>
    <row r="88" spans="1:8" x14ac:dyDescent="0.25">
      <c r="A88" s="230">
        <f>Weather_Site!B98+Weather_Site!C98</f>
        <v>44552.75</v>
      </c>
      <c r="B88">
        <f>Weather_Site!D98</f>
        <v>34</v>
      </c>
      <c r="C88">
        <f>Weather_Site!E98</f>
        <v>14.3</v>
      </c>
      <c r="D88">
        <f>Weather_Site!F98</f>
        <v>204</v>
      </c>
      <c r="E88">
        <f>Weather_Site!G98</f>
        <v>21</v>
      </c>
      <c r="F88">
        <f>'Forest(McArthur)'!M95</f>
        <v>0</v>
      </c>
      <c r="G88">
        <f>Grass!$C$4</f>
        <v>85</v>
      </c>
      <c r="H88">
        <v>0</v>
      </c>
    </row>
    <row r="89" spans="1:8" x14ac:dyDescent="0.25">
      <c r="A89" s="230">
        <f>Weather_Site!B99+Weather_Site!C99</f>
        <v>44552.791666666664</v>
      </c>
      <c r="B89">
        <f>Weather_Site!D99</f>
        <v>33.4</v>
      </c>
      <c r="C89">
        <f>Weather_Site!E99</f>
        <v>14.5</v>
      </c>
      <c r="D89">
        <f>Weather_Site!F99</f>
        <v>204</v>
      </c>
      <c r="E89">
        <f>Weather_Site!G99</f>
        <v>19</v>
      </c>
      <c r="F89">
        <f>'Forest(McArthur)'!M96</f>
        <v>0</v>
      </c>
      <c r="G89">
        <f>Grass!$C$4</f>
        <v>85</v>
      </c>
      <c r="H89">
        <v>0</v>
      </c>
    </row>
    <row r="90" spans="1:8" x14ac:dyDescent="0.25">
      <c r="A90" s="230">
        <f>Weather_Site!B100+Weather_Site!C100</f>
        <v>44552.833333333336</v>
      </c>
      <c r="B90">
        <f>Weather_Site!D100</f>
        <v>31.9</v>
      </c>
      <c r="C90">
        <f>Weather_Site!E100</f>
        <v>16</v>
      </c>
      <c r="D90">
        <f>Weather_Site!F100</f>
        <v>204</v>
      </c>
      <c r="E90">
        <f>Weather_Site!G100</f>
        <v>17</v>
      </c>
      <c r="F90">
        <f>'Forest(McArthur)'!M97</f>
        <v>0</v>
      </c>
      <c r="G90">
        <f>Grass!$C$4</f>
        <v>85</v>
      </c>
      <c r="H90">
        <v>0</v>
      </c>
    </row>
    <row r="91" spans="1:8" x14ac:dyDescent="0.25">
      <c r="A91" s="230">
        <f>Weather_Site!B101+Weather_Site!C101</f>
        <v>44552.875</v>
      </c>
      <c r="B91">
        <f>Weather_Site!D101</f>
        <v>29.2</v>
      </c>
      <c r="C91">
        <f>Weather_Site!E101</f>
        <v>19.3</v>
      </c>
      <c r="D91">
        <f>Weather_Site!F101</f>
        <v>198</v>
      </c>
      <c r="E91">
        <f>Weather_Site!G101</f>
        <v>15</v>
      </c>
      <c r="F91">
        <f>'Forest(McArthur)'!M98</f>
        <v>0</v>
      </c>
      <c r="G91">
        <f>Grass!$C$4</f>
        <v>85</v>
      </c>
      <c r="H91">
        <v>0</v>
      </c>
    </row>
    <row r="92" spans="1:8" x14ac:dyDescent="0.25">
      <c r="A92" s="230">
        <f>Weather_Site!B102+Weather_Site!C102</f>
        <v>44552.916666666664</v>
      </c>
      <c r="B92">
        <f>Weather_Site!D102</f>
        <v>26.8</v>
      </c>
      <c r="C92">
        <f>Weather_Site!E102</f>
        <v>23.5</v>
      </c>
      <c r="D92">
        <f>Weather_Site!F102</f>
        <v>191</v>
      </c>
      <c r="E92">
        <f>Weather_Site!G102</f>
        <v>14</v>
      </c>
      <c r="F92">
        <f>'Forest(McArthur)'!M99</f>
        <v>0</v>
      </c>
      <c r="G92">
        <f>Grass!$C$4</f>
        <v>85</v>
      </c>
      <c r="H92">
        <v>0</v>
      </c>
    </row>
    <row r="93" spans="1:8" x14ac:dyDescent="0.25">
      <c r="A93" s="230">
        <f>Weather_Site!B103+Weather_Site!C103</f>
        <v>44552.958333333336</v>
      </c>
      <c r="B93">
        <f>Weather_Site!D103</f>
        <v>24.9</v>
      </c>
      <c r="C93">
        <f>Weather_Site!E103</f>
        <v>26.8</v>
      </c>
      <c r="D93">
        <f>Weather_Site!F103</f>
        <v>185</v>
      </c>
      <c r="E93">
        <f>Weather_Site!G103</f>
        <v>12</v>
      </c>
      <c r="F93">
        <f>'Forest(McArthur)'!M100</f>
        <v>0</v>
      </c>
      <c r="G93">
        <f>Grass!$C$4</f>
        <v>85</v>
      </c>
      <c r="H93">
        <v>0</v>
      </c>
    </row>
    <row r="94" spans="1:8" x14ac:dyDescent="0.25">
      <c r="A94" s="230">
        <f>Weather_Site!B104+Weather_Site!C104</f>
        <v>44553</v>
      </c>
      <c r="B94">
        <f>Weather_Site!D104</f>
        <v>24.1</v>
      </c>
      <c r="C94">
        <f>Weather_Site!E104</f>
        <v>27.3</v>
      </c>
      <c r="D94">
        <f>Weather_Site!F104</f>
        <v>175</v>
      </c>
      <c r="E94">
        <f>Weather_Site!G104</f>
        <v>12</v>
      </c>
      <c r="F94">
        <f>'Forest(McArthur)'!M101</f>
        <v>0</v>
      </c>
      <c r="G94">
        <f>Grass!$C$4</f>
        <v>85</v>
      </c>
      <c r="H94">
        <v>0</v>
      </c>
    </row>
    <row r="95" spans="1:8" x14ac:dyDescent="0.25">
      <c r="A95" s="230">
        <f>Weather_Site!B105+Weather_Site!C105</f>
        <v>44553.041666666664</v>
      </c>
      <c r="B95">
        <f>Weather_Site!D105</f>
        <v>23</v>
      </c>
      <c r="C95">
        <f>Weather_Site!E105</f>
        <v>28.2</v>
      </c>
      <c r="D95">
        <f>Weather_Site!F105</f>
        <v>177</v>
      </c>
      <c r="E95">
        <f>Weather_Site!G105</f>
        <v>14</v>
      </c>
      <c r="F95">
        <f>'Forest(McArthur)'!M102</f>
        <v>0</v>
      </c>
      <c r="G95">
        <f>Grass!$C$4</f>
        <v>85</v>
      </c>
      <c r="H95">
        <v>0</v>
      </c>
    </row>
    <row r="96" spans="1:8" x14ac:dyDescent="0.25">
      <c r="A96" s="230">
        <f>Weather_Site!B106+Weather_Site!C106</f>
        <v>44553.083333333336</v>
      </c>
      <c r="B96">
        <f>Weather_Site!D106</f>
        <v>21.8</v>
      </c>
      <c r="C96">
        <f>Weather_Site!E106</f>
        <v>30.1</v>
      </c>
      <c r="D96">
        <f>Weather_Site!F106</f>
        <v>180</v>
      </c>
      <c r="E96">
        <f>Weather_Site!G106</f>
        <v>14</v>
      </c>
      <c r="F96">
        <f>'Forest(McArthur)'!M103</f>
        <v>0</v>
      </c>
      <c r="G96">
        <f>Grass!$C$4</f>
        <v>85</v>
      </c>
      <c r="H96">
        <v>0</v>
      </c>
    </row>
    <row r="97" spans="1:8" x14ac:dyDescent="0.25">
      <c r="A97" s="230">
        <f>Weather_Site!B107+Weather_Site!C107</f>
        <v>44553.125</v>
      </c>
      <c r="B97">
        <f>Weather_Site!D107</f>
        <v>20.399999999999999</v>
      </c>
      <c r="C97">
        <f>Weather_Site!E107</f>
        <v>36.200000000000003</v>
      </c>
      <c r="D97">
        <f>Weather_Site!F107</f>
        <v>173</v>
      </c>
      <c r="E97">
        <f>Weather_Site!G107</f>
        <v>14</v>
      </c>
      <c r="F97">
        <f>'Forest(McArthur)'!M104</f>
        <v>0</v>
      </c>
      <c r="G97">
        <f>Grass!$C$4</f>
        <v>85</v>
      </c>
      <c r="H97">
        <v>0</v>
      </c>
    </row>
    <row r="98" spans="1:8" x14ac:dyDescent="0.25">
      <c r="A98" s="230">
        <f>Weather_Site!B108+Weather_Site!C108</f>
        <v>44553.166666666664</v>
      </c>
      <c r="B98">
        <f>Weather_Site!D108</f>
        <v>19.3</v>
      </c>
      <c r="C98">
        <f>Weather_Site!E108</f>
        <v>43.6</v>
      </c>
      <c r="D98">
        <f>Weather_Site!F108</f>
        <v>171</v>
      </c>
      <c r="E98">
        <f>Weather_Site!G108</f>
        <v>14</v>
      </c>
      <c r="F98">
        <f>'Forest(McArthur)'!M105</f>
        <v>0</v>
      </c>
      <c r="G98">
        <f>Grass!$C$4</f>
        <v>85</v>
      </c>
      <c r="H98">
        <v>0</v>
      </c>
    </row>
    <row r="99" spans="1:8" x14ac:dyDescent="0.25">
      <c r="A99" s="230">
        <f>Weather_Site!B109+Weather_Site!C109</f>
        <v>44553.208333333336</v>
      </c>
      <c r="B99">
        <f>Weather_Site!D109</f>
        <v>18.5</v>
      </c>
      <c r="C99">
        <f>Weather_Site!E109</f>
        <v>49.4</v>
      </c>
      <c r="D99">
        <f>Weather_Site!F109</f>
        <v>168</v>
      </c>
      <c r="E99">
        <f>Weather_Site!G109</f>
        <v>16</v>
      </c>
      <c r="F99">
        <f>'Forest(McArthur)'!M106</f>
        <v>0</v>
      </c>
      <c r="G99">
        <f>Grass!$C$4</f>
        <v>85</v>
      </c>
      <c r="H99">
        <v>0</v>
      </c>
    </row>
    <row r="100" spans="1:8" x14ac:dyDescent="0.25">
      <c r="A100" s="230">
        <f>Weather_Site!B110+Weather_Site!C110</f>
        <v>44553.25</v>
      </c>
      <c r="B100">
        <f>Weather_Site!D110</f>
        <v>17.3</v>
      </c>
      <c r="C100">
        <f>Weather_Site!E110</f>
        <v>51.8</v>
      </c>
      <c r="D100">
        <f>Weather_Site!F110</f>
        <v>174</v>
      </c>
      <c r="E100">
        <f>Weather_Site!G110</f>
        <v>17</v>
      </c>
      <c r="F100">
        <f>'Forest(McArthur)'!M107</f>
        <v>0</v>
      </c>
      <c r="G100">
        <f>Grass!$C$4</f>
        <v>85</v>
      </c>
      <c r="H100">
        <v>0</v>
      </c>
    </row>
    <row r="101" spans="1:8" x14ac:dyDescent="0.25">
      <c r="A101" s="230">
        <f>Weather_Site!B111+Weather_Site!C111</f>
        <v>44553.291666666664</v>
      </c>
      <c r="B101">
        <f>Weather_Site!D111</f>
        <v>17.7</v>
      </c>
      <c r="C101">
        <f>Weather_Site!E111</f>
        <v>48.5</v>
      </c>
      <c r="D101">
        <f>Weather_Site!F111</f>
        <v>156</v>
      </c>
      <c r="E101">
        <f>Weather_Site!G111</f>
        <v>19</v>
      </c>
      <c r="F101">
        <f>'Forest(McArthur)'!M108</f>
        <v>0</v>
      </c>
      <c r="G101">
        <f>Grass!$C$4</f>
        <v>85</v>
      </c>
      <c r="H101">
        <v>0</v>
      </c>
    </row>
    <row r="102" spans="1:8" x14ac:dyDescent="0.25">
      <c r="A102" s="230">
        <f>Weather_Site!B112+Weather_Site!C112</f>
        <v>44553.333333333336</v>
      </c>
      <c r="B102">
        <f>Weather_Site!D112</f>
        <v>20</v>
      </c>
      <c r="C102">
        <f>Weather_Site!E112</f>
        <v>41.5</v>
      </c>
      <c r="D102">
        <f>Weather_Site!F112</f>
        <v>157</v>
      </c>
      <c r="E102">
        <f>Weather_Site!G112</f>
        <v>24</v>
      </c>
      <c r="F102">
        <f>'Forest(McArthur)'!M109</f>
        <v>0</v>
      </c>
      <c r="G102">
        <f>Grass!$C$4</f>
        <v>85</v>
      </c>
      <c r="H102">
        <v>0</v>
      </c>
    </row>
    <row r="103" spans="1:8" x14ac:dyDescent="0.25">
      <c r="A103" s="230">
        <f>Weather_Site!B113+Weather_Site!C113</f>
        <v>44553.375</v>
      </c>
      <c r="B103">
        <f>Weather_Site!D113</f>
        <v>22.1</v>
      </c>
      <c r="C103">
        <f>Weather_Site!E113</f>
        <v>37.5</v>
      </c>
      <c r="D103">
        <f>Weather_Site!F113</f>
        <v>161</v>
      </c>
      <c r="E103">
        <f>Weather_Site!G113</f>
        <v>17</v>
      </c>
      <c r="F103">
        <f>'Forest(McArthur)'!M110</f>
        <v>0</v>
      </c>
      <c r="G103">
        <f>Grass!$C$4</f>
        <v>85</v>
      </c>
      <c r="H103">
        <v>0</v>
      </c>
    </row>
    <row r="104" spans="1:8" x14ac:dyDescent="0.25">
      <c r="A104" s="230">
        <f>Weather_Site!B114+Weather_Site!C114</f>
        <v>44553.416666666664</v>
      </c>
      <c r="B104">
        <f>Weather_Site!D114</f>
        <v>24.6</v>
      </c>
      <c r="C104">
        <f>Weather_Site!E114</f>
        <v>31.3</v>
      </c>
      <c r="D104">
        <f>Weather_Site!F114</f>
        <v>163</v>
      </c>
      <c r="E104">
        <f>Weather_Site!G114</f>
        <v>22</v>
      </c>
      <c r="F104">
        <f>'Forest(McArthur)'!M111</f>
        <v>0</v>
      </c>
      <c r="G104">
        <f>Grass!$C$4</f>
        <v>85</v>
      </c>
      <c r="H104">
        <v>0</v>
      </c>
    </row>
    <row r="105" spans="1:8" x14ac:dyDescent="0.25">
      <c r="A105" s="230">
        <f>Weather_Site!B115+Weather_Site!C115</f>
        <v>44553.458333333336</v>
      </c>
      <c r="B105">
        <f>Weather_Site!D115</f>
        <v>26.7</v>
      </c>
      <c r="C105">
        <f>Weather_Site!E115</f>
        <v>28.1</v>
      </c>
      <c r="D105">
        <f>Weather_Site!F115</f>
        <v>159</v>
      </c>
      <c r="E105">
        <f>Weather_Site!G115</f>
        <v>20</v>
      </c>
      <c r="F105">
        <f>'Forest(McArthur)'!M112</f>
        <v>0</v>
      </c>
      <c r="G105">
        <f>Grass!$C$4</f>
        <v>85</v>
      </c>
      <c r="H105">
        <v>0</v>
      </c>
    </row>
    <row r="106" spans="1:8" x14ac:dyDescent="0.25">
      <c r="A106" s="230">
        <f>Weather_Site!B116+Weather_Site!C116</f>
        <v>44553.5</v>
      </c>
      <c r="B106">
        <f>Weather_Site!D116</f>
        <v>28.6</v>
      </c>
      <c r="C106">
        <f>Weather_Site!E116</f>
        <v>23.8</v>
      </c>
      <c r="D106">
        <f>Weather_Site!F116</f>
        <v>164</v>
      </c>
      <c r="E106">
        <f>Weather_Site!G116</f>
        <v>20</v>
      </c>
      <c r="F106">
        <f>'Forest(McArthur)'!M113</f>
        <v>0</v>
      </c>
      <c r="G106">
        <f>Grass!$C$4</f>
        <v>85</v>
      </c>
      <c r="H106">
        <v>0</v>
      </c>
    </row>
    <row r="107" spans="1:8" x14ac:dyDescent="0.25">
      <c r="A107" s="230">
        <f>Weather_Site!B117+Weather_Site!C117</f>
        <v>44553.541666666664</v>
      </c>
      <c r="B107">
        <f>Weather_Site!D117</f>
        <v>30.2</v>
      </c>
      <c r="C107">
        <f>Weather_Site!E117</f>
        <v>19.899999999999999</v>
      </c>
      <c r="D107">
        <f>Weather_Site!F117</f>
        <v>178</v>
      </c>
      <c r="E107">
        <f>Weather_Site!G117</f>
        <v>20</v>
      </c>
      <c r="F107">
        <f>'Forest(McArthur)'!M114</f>
        <v>0</v>
      </c>
      <c r="G107">
        <f>Grass!$C$4</f>
        <v>85</v>
      </c>
      <c r="H107">
        <v>0</v>
      </c>
    </row>
    <row r="108" spans="1:8" x14ac:dyDescent="0.25">
      <c r="A108" s="230">
        <f>Weather_Site!B118+Weather_Site!C118</f>
        <v>44553.583333333336</v>
      </c>
      <c r="B108">
        <f>Weather_Site!D118</f>
        <v>32.1</v>
      </c>
      <c r="C108">
        <f>Weather_Site!E118</f>
        <v>16.100000000000001</v>
      </c>
      <c r="D108">
        <f>Weather_Site!F118</f>
        <v>176</v>
      </c>
      <c r="E108">
        <f>Weather_Site!G118</f>
        <v>20</v>
      </c>
      <c r="F108">
        <f>'Forest(McArthur)'!M115</f>
        <v>0</v>
      </c>
      <c r="G108">
        <f>Grass!$C$4</f>
        <v>85</v>
      </c>
      <c r="H108">
        <v>0</v>
      </c>
    </row>
    <row r="109" spans="1:8" x14ac:dyDescent="0.25">
      <c r="A109" s="230">
        <f>Weather_Site!B119+Weather_Site!C119</f>
        <v>44553.625</v>
      </c>
      <c r="B109">
        <f>Weather_Site!D119</f>
        <v>33</v>
      </c>
      <c r="C109">
        <f>Weather_Site!E119</f>
        <v>14.1</v>
      </c>
      <c r="D109">
        <f>Weather_Site!F119</f>
        <v>176</v>
      </c>
      <c r="E109">
        <f>Weather_Site!G119</f>
        <v>18</v>
      </c>
      <c r="F109">
        <f>'Forest(McArthur)'!M116</f>
        <v>0</v>
      </c>
      <c r="G109">
        <f>Grass!$C$4</f>
        <v>85</v>
      </c>
      <c r="H109">
        <v>0</v>
      </c>
    </row>
    <row r="110" spans="1:8" x14ac:dyDescent="0.25">
      <c r="A110" s="230">
        <f>Weather_Site!B120+Weather_Site!C120</f>
        <v>44553.666666666664</v>
      </c>
      <c r="B110">
        <f>Weather_Site!D120</f>
        <v>33.6</v>
      </c>
      <c r="C110">
        <f>Weather_Site!E120</f>
        <v>12.8</v>
      </c>
      <c r="D110">
        <f>Weather_Site!F120</f>
        <v>179</v>
      </c>
      <c r="E110">
        <f>Weather_Site!G120</f>
        <v>19</v>
      </c>
      <c r="F110">
        <f>'Forest(McArthur)'!M117</f>
        <v>0</v>
      </c>
      <c r="G110">
        <f>Grass!$C$4</f>
        <v>85</v>
      </c>
      <c r="H110">
        <v>0</v>
      </c>
    </row>
    <row r="111" spans="1:8" x14ac:dyDescent="0.25">
      <c r="A111" s="230">
        <f>Weather_Site!B121+Weather_Site!C121</f>
        <v>44553.708333333336</v>
      </c>
      <c r="B111">
        <f>Weather_Site!D121</f>
        <v>33.799999999999997</v>
      </c>
      <c r="C111">
        <f>Weather_Site!E121</f>
        <v>11.6</v>
      </c>
      <c r="D111">
        <f>Weather_Site!F121</f>
        <v>177</v>
      </c>
      <c r="E111">
        <f>Weather_Site!G121</f>
        <v>19</v>
      </c>
      <c r="F111">
        <f>'Forest(McArthur)'!M118</f>
        <v>0</v>
      </c>
      <c r="G111">
        <f>Grass!$C$4</f>
        <v>85</v>
      </c>
      <c r="H111">
        <v>0</v>
      </c>
    </row>
    <row r="112" spans="1:8" x14ac:dyDescent="0.25">
      <c r="A112" s="230">
        <f>Weather_Site!B122+Weather_Site!C122</f>
        <v>44553.75</v>
      </c>
      <c r="B112">
        <f>Weather_Site!D122</f>
        <v>33.200000000000003</v>
      </c>
      <c r="C112">
        <f>Weather_Site!E122</f>
        <v>11.8</v>
      </c>
      <c r="D112">
        <f>Weather_Site!F122</f>
        <v>173</v>
      </c>
      <c r="E112">
        <f>Weather_Site!G122</f>
        <v>21</v>
      </c>
      <c r="F112">
        <f>'Forest(McArthur)'!M119</f>
        <v>0</v>
      </c>
      <c r="G112">
        <f>Grass!$C$4</f>
        <v>85</v>
      </c>
      <c r="H112">
        <v>0</v>
      </c>
    </row>
    <row r="113" spans="1:8" x14ac:dyDescent="0.25">
      <c r="A113" s="230">
        <f>Weather_Site!B123+Weather_Site!C123</f>
        <v>44553.791666666664</v>
      </c>
      <c r="B113">
        <f>Weather_Site!D123</f>
        <v>32.700000000000003</v>
      </c>
      <c r="C113">
        <f>Weather_Site!E123</f>
        <v>12</v>
      </c>
      <c r="D113">
        <f>Weather_Site!F123</f>
        <v>176</v>
      </c>
      <c r="E113">
        <f>Weather_Site!G123</f>
        <v>19</v>
      </c>
      <c r="F113">
        <f>'Forest(McArthur)'!M120</f>
        <v>0</v>
      </c>
      <c r="G113">
        <f>Grass!$C$4</f>
        <v>85</v>
      </c>
      <c r="H113">
        <v>0</v>
      </c>
    </row>
    <row r="114" spans="1:8" x14ac:dyDescent="0.25">
      <c r="A114" s="230">
        <f>Weather_Site!B124+Weather_Site!C124</f>
        <v>44553.833333333336</v>
      </c>
      <c r="B114">
        <f>Weather_Site!D124</f>
        <v>31.1</v>
      </c>
      <c r="C114">
        <f>Weather_Site!E124</f>
        <v>14.3</v>
      </c>
      <c r="D114">
        <f>Weather_Site!F124</f>
        <v>170</v>
      </c>
      <c r="E114">
        <f>Weather_Site!G124</f>
        <v>17</v>
      </c>
      <c r="F114">
        <f>'Forest(McArthur)'!M121</f>
        <v>0</v>
      </c>
      <c r="G114">
        <f>Grass!$C$4</f>
        <v>85</v>
      </c>
      <c r="H114">
        <v>0</v>
      </c>
    </row>
    <row r="115" spans="1:8" x14ac:dyDescent="0.25">
      <c r="A115" s="230">
        <f>Weather_Site!B125+Weather_Site!C125</f>
        <v>44553.875</v>
      </c>
      <c r="B115">
        <f>Weather_Site!D125</f>
        <v>28.5</v>
      </c>
      <c r="C115">
        <f>Weather_Site!E125</f>
        <v>17.7</v>
      </c>
      <c r="D115">
        <f>Weather_Site!F125</f>
        <v>169</v>
      </c>
      <c r="E115">
        <f>Weather_Site!G125</f>
        <v>14</v>
      </c>
      <c r="F115">
        <f>'Forest(McArthur)'!M122</f>
        <v>0</v>
      </c>
      <c r="G115">
        <f>Grass!$C$4</f>
        <v>85</v>
      </c>
      <c r="H115">
        <v>0</v>
      </c>
    </row>
    <row r="116" spans="1:8" x14ac:dyDescent="0.25">
      <c r="A116" s="230">
        <f>Weather_Site!B126+Weather_Site!C126</f>
        <v>44553.916666666664</v>
      </c>
      <c r="B116">
        <f>Weather_Site!D126</f>
        <v>26.2</v>
      </c>
      <c r="C116">
        <f>Weather_Site!E126</f>
        <v>22</v>
      </c>
      <c r="D116">
        <f>Weather_Site!F126</f>
        <v>172</v>
      </c>
      <c r="E116">
        <f>Weather_Site!G126</f>
        <v>12</v>
      </c>
      <c r="F116">
        <f>'Forest(McArthur)'!M123</f>
        <v>0</v>
      </c>
      <c r="G116">
        <f>Grass!$C$4</f>
        <v>85</v>
      </c>
      <c r="H116">
        <v>0</v>
      </c>
    </row>
    <row r="117" spans="1:8" x14ac:dyDescent="0.25">
      <c r="A117" s="230">
        <f>Weather_Site!B127+Weather_Site!C127</f>
        <v>44553.958333333336</v>
      </c>
      <c r="B117">
        <f>Weather_Site!D127</f>
        <v>24.3</v>
      </c>
      <c r="C117">
        <f>Weather_Site!E127</f>
        <v>25.5</v>
      </c>
      <c r="D117">
        <f>Weather_Site!F127</f>
        <v>169</v>
      </c>
      <c r="E117">
        <f>Weather_Site!G127</f>
        <v>11</v>
      </c>
      <c r="F117">
        <f>'Forest(McArthur)'!M124</f>
        <v>0</v>
      </c>
      <c r="G117">
        <f>Grass!$C$4</f>
        <v>85</v>
      </c>
      <c r="H117">
        <v>0</v>
      </c>
    </row>
    <row r="118" spans="1:8" x14ac:dyDescent="0.25">
      <c r="A118" s="230">
        <f>Weather_Site!B128+Weather_Site!C128</f>
        <v>44554</v>
      </c>
      <c r="B118">
        <f>Weather_Site!D128</f>
        <v>24.1</v>
      </c>
      <c r="C118">
        <f>Weather_Site!E128</f>
        <v>26</v>
      </c>
      <c r="D118">
        <f>Weather_Site!F128</f>
        <v>153</v>
      </c>
      <c r="E118">
        <f>Weather_Site!G128</f>
        <v>10</v>
      </c>
      <c r="F118">
        <f>'Forest(McArthur)'!M125</f>
        <v>0</v>
      </c>
      <c r="G118">
        <f>Grass!$C$4</f>
        <v>85</v>
      </c>
      <c r="H118">
        <v>0</v>
      </c>
    </row>
    <row r="119" spans="1:8" x14ac:dyDescent="0.25">
      <c r="A119" s="230">
        <f>Weather_Site!B129+Weather_Site!C129</f>
        <v>44554.041666666664</v>
      </c>
      <c r="B119">
        <f>Weather_Site!D129</f>
        <v>22.8</v>
      </c>
      <c r="C119">
        <f>Weather_Site!E129</f>
        <v>27.7</v>
      </c>
      <c r="D119">
        <f>Weather_Site!F129</f>
        <v>152</v>
      </c>
      <c r="E119">
        <f>Weather_Site!G129</f>
        <v>12</v>
      </c>
      <c r="F119">
        <f>'Forest(McArthur)'!M126</f>
        <v>0</v>
      </c>
      <c r="G119">
        <f>Grass!$C$4</f>
        <v>85</v>
      </c>
      <c r="H119">
        <v>0</v>
      </c>
    </row>
    <row r="120" spans="1:8" x14ac:dyDescent="0.25">
      <c r="A120" s="230">
        <f>Weather_Site!B130+Weather_Site!C130</f>
        <v>44554.083333333336</v>
      </c>
      <c r="B120">
        <f>Weather_Site!D130</f>
        <v>21.6</v>
      </c>
      <c r="C120">
        <f>Weather_Site!E130</f>
        <v>29.6</v>
      </c>
      <c r="D120">
        <f>Weather_Site!F130</f>
        <v>151</v>
      </c>
      <c r="E120">
        <f>Weather_Site!G130</f>
        <v>13</v>
      </c>
      <c r="F120">
        <f>'Forest(McArthur)'!M127</f>
        <v>0</v>
      </c>
      <c r="G120">
        <f>Grass!$C$4</f>
        <v>85</v>
      </c>
      <c r="H120">
        <v>0</v>
      </c>
    </row>
    <row r="121" spans="1:8" x14ac:dyDescent="0.25">
      <c r="A121" s="230">
        <f>Weather_Site!B131+Weather_Site!C131</f>
        <v>44554.125</v>
      </c>
      <c r="B121">
        <f>Weather_Site!D131</f>
        <v>20.3</v>
      </c>
      <c r="C121">
        <f>Weather_Site!E131</f>
        <v>32.1</v>
      </c>
      <c r="D121">
        <f>Weather_Site!F131</f>
        <v>151</v>
      </c>
      <c r="E121">
        <f>Weather_Site!G131</f>
        <v>11</v>
      </c>
      <c r="F121">
        <f>'Forest(McArthur)'!M128</f>
        <v>0</v>
      </c>
      <c r="G121">
        <f>Grass!$C$4</f>
        <v>85</v>
      </c>
      <c r="H121">
        <v>0</v>
      </c>
    </row>
    <row r="122" spans="1:8" x14ac:dyDescent="0.25">
      <c r="A122" s="230">
        <f>Weather_Site!B132+Weather_Site!C132</f>
        <v>44554.166666666664</v>
      </c>
      <c r="B122">
        <f>Weather_Site!D132</f>
        <v>19.5</v>
      </c>
      <c r="C122">
        <f>Weather_Site!E132</f>
        <v>34</v>
      </c>
      <c r="D122">
        <f>Weather_Site!F132</f>
        <v>149</v>
      </c>
      <c r="E122">
        <f>Weather_Site!G132</f>
        <v>10</v>
      </c>
      <c r="F122">
        <f>'Forest(McArthur)'!M129</f>
        <v>0</v>
      </c>
      <c r="G122">
        <f>Grass!$C$4</f>
        <v>85</v>
      </c>
      <c r="H122">
        <v>0</v>
      </c>
    </row>
    <row r="123" spans="1:8" x14ac:dyDescent="0.25">
      <c r="A123" s="230">
        <f>Weather_Site!B133+Weather_Site!C133</f>
        <v>44554.208333333336</v>
      </c>
      <c r="B123">
        <f>Weather_Site!D133</f>
        <v>18.8</v>
      </c>
      <c r="C123">
        <f>Weather_Site!E133</f>
        <v>34.5</v>
      </c>
      <c r="D123">
        <f>Weather_Site!F133</f>
        <v>145</v>
      </c>
      <c r="E123">
        <f>Weather_Site!G133</f>
        <v>11</v>
      </c>
      <c r="F123">
        <f>'Forest(McArthur)'!M130</f>
        <v>0</v>
      </c>
      <c r="G123">
        <f>Grass!$C$4</f>
        <v>85</v>
      </c>
      <c r="H123">
        <v>0</v>
      </c>
    </row>
    <row r="124" spans="1:8" x14ac:dyDescent="0.25">
      <c r="A124" s="230">
        <f>Weather_Site!B134+Weather_Site!C134</f>
        <v>44554.25</v>
      </c>
      <c r="B124">
        <f>Weather_Site!D134</f>
        <v>18.100000000000001</v>
      </c>
      <c r="C124">
        <f>Weather_Site!E134</f>
        <v>37.299999999999997</v>
      </c>
      <c r="D124">
        <f>Weather_Site!F134</f>
        <v>142</v>
      </c>
      <c r="E124">
        <f>Weather_Site!G134</f>
        <v>12</v>
      </c>
      <c r="F124">
        <f>'Forest(McArthur)'!M131</f>
        <v>0</v>
      </c>
      <c r="G124">
        <f>Grass!$C$4</f>
        <v>85</v>
      </c>
      <c r="H124">
        <v>0</v>
      </c>
    </row>
    <row r="125" spans="1:8" x14ac:dyDescent="0.25">
      <c r="A125" s="230">
        <f>Weather_Site!B135+Weather_Site!C135</f>
        <v>44554.291666666664</v>
      </c>
      <c r="B125">
        <f>Weather_Site!D135</f>
        <v>19.2</v>
      </c>
      <c r="C125">
        <f>Weather_Site!E135</f>
        <v>35.799999999999997</v>
      </c>
      <c r="D125">
        <f>Weather_Site!F135</f>
        <v>141</v>
      </c>
      <c r="E125">
        <f>Weather_Site!G135</f>
        <v>14</v>
      </c>
      <c r="F125">
        <f>'Forest(McArthur)'!M132</f>
        <v>0</v>
      </c>
      <c r="G125">
        <f>Grass!$C$4</f>
        <v>85</v>
      </c>
      <c r="H125">
        <v>0</v>
      </c>
    </row>
    <row r="126" spans="1:8" x14ac:dyDescent="0.25">
      <c r="A126" s="230">
        <f>Weather_Site!B136+Weather_Site!C136</f>
        <v>44554.333333333336</v>
      </c>
      <c r="B126">
        <f>Weather_Site!D136</f>
        <v>22</v>
      </c>
      <c r="C126">
        <f>Weather_Site!E136</f>
        <v>31.5</v>
      </c>
      <c r="D126">
        <f>Weather_Site!F136</f>
        <v>138</v>
      </c>
      <c r="E126">
        <f>Weather_Site!G136</f>
        <v>19</v>
      </c>
      <c r="F126">
        <f>'Forest(McArthur)'!M133</f>
        <v>0</v>
      </c>
      <c r="G126">
        <f>Grass!$C$4</f>
        <v>85</v>
      </c>
      <c r="H126">
        <v>0</v>
      </c>
    </row>
    <row r="127" spans="1:8" x14ac:dyDescent="0.25">
      <c r="A127" s="230">
        <f>Weather_Site!B137+Weather_Site!C137</f>
        <v>44554.375</v>
      </c>
      <c r="B127">
        <f>Weather_Site!D137</f>
        <v>24.3</v>
      </c>
      <c r="C127">
        <f>Weather_Site!E137</f>
        <v>28</v>
      </c>
      <c r="D127">
        <f>Weather_Site!F137</f>
        <v>136</v>
      </c>
      <c r="E127">
        <f>Weather_Site!G137</f>
        <v>12</v>
      </c>
      <c r="F127">
        <f>'Forest(McArthur)'!M134</f>
        <v>0</v>
      </c>
      <c r="G127">
        <f>Grass!$C$4</f>
        <v>85</v>
      </c>
      <c r="H127">
        <v>0</v>
      </c>
    </row>
    <row r="128" spans="1:8" x14ac:dyDescent="0.25">
      <c r="A128" s="230">
        <f>Weather_Site!B138+Weather_Site!C138</f>
        <v>44554.416666666664</v>
      </c>
      <c r="B128">
        <f>Weather_Site!D138</f>
        <v>26.9</v>
      </c>
      <c r="C128">
        <f>Weather_Site!E138</f>
        <v>23.2</v>
      </c>
      <c r="D128">
        <f>Weather_Site!F138</f>
        <v>138</v>
      </c>
      <c r="E128">
        <f>Weather_Site!G138</f>
        <v>16</v>
      </c>
      <c r="F128">
        <f>'Forest(McArthur)'!M135</f>
        <v>0</v>
      </c>
      <c r="G128">
        <f>Grass!$C$4</f>
        <v>85</v>
      </c>
      <c r="H128">
        <v>0</v>
      </c>
    </row>
    <row r="129" spans="1:8" x14ac:dyDescent="0.25">
      <c r="A129" s="230">
        <f>Weather_Site!B139+Weather_Site!C139</f>
        <v>44554.458333333336</v>
      </c>
      <c r="B129">
        <f>Weather_Site!D139</f>
        <v>28.8</v>
      </c>
      <c r="C129">
        <f>Weather_Site!E139</f>
        <v>20.399999999999999</v>
      </c>
      <c r="D129">
        <f>Weather_Site!F139</f>
        <v>136</v>
      </c>
      <c r="E129">
        <f>Weather_Site!G139</f>
        <v>13</v>
      </c>
      <c r="F129">
        <f>'Forest(McArthur)'!M136</f>
        <v>0</v>
      </c>
      <c r="G129">
        <f>Grass!$C$4</f>
        <v>85</v>
      </c>
      <c r="H129">
        <v>0</v>
      </c>
    </row>
    <row r="130" spans="1:8" x14ac:dyDescent="0.25">
      <c r="A130" s="230">
        <f>Weather_Site!B140+Weather_Site!C140</f>
        <v>44554.5</v>
      </c>
      <c r="B130">
        <f>Weather_Site!D140</f>
        <v>30.8</v>
      </c>
      <c r="C130">
        <f>Weather_Site!E140</f>
        <v>17.600000000000001</v>
      </c>
      <c r="D130">
        <f>Weather_Site!F140</f>
        <v>141</v>
      </c>
      <c r="E130">
        <f>Weather_Site!G140</f>
        <v>13</v>
      </c>
      <c r="F130">
        <f>'Forest(McArthur)'!M137</f>
        <v>0</v>
      </c>
      <c r="G130">
        <f>Grass!$C$4</f>
        <v>85</v>
      </c>
      <c r="H130">
        <v>0</v>
      </c>
    </row>
    <row r="131" spans="1:8" x14ac:dyDescent="0.25">
      <c r="A131" s="230">
        <f>Weather_Site!B141+Weather_Site!C141</f>
        <v>44554.541666666664</v>
      </c>
      <c r="B131">
        <f>Weather_Site!D141</f>
        <v>32.6</v>
      </c>
      <c r="C131">
        <f>Weather_Site!E141</f>
        <v>15.3</v>
      </c>
      <c r="D131">
        <f>Weather_Site!F141</f>
        <v>145</v>
      </c>
      <c r="E131">
        <f>Weather_Site!G141</f>
        <v>13</v>
      </c>
      <c r="F131">
        <f>'Forest(McArthur)'!M138</f>
        <v>0</v>
      </c>
      <c r="G131">
        <f>Grass!$C$4</f>
        <v>85</v>
      </c>
      <c r="H131">
        <v>0</v>
      </c>
    </row>
    <row r="132" spans="1:8" x14ac:dyDescent="0.25">
      <c r="A132" s="230">
        <f>Weather_Site!B142+Weather_Site!C142</f>
        <v>44554.583333333336</v>
      </c>
      <c r="B132">
        <f>Weather_Site!D142</f>
        <v>34.299999999999997</v>
      </c>
      <c r="C132">
        <f>Weather_Site!E142</f>
        <v>13.4</v>
      </c>
      <c r="D132">
        <f>Weather_Site!F142</f>
        <v>150</v>
      </c>
      <c r="E132">
        <f>Weather_Site!G142</f>
        <v>13</v>
      </c>
      <c r="F132">
        <f>'Forest(McArthur)'!M139</f>
        <v>0</v>
      </c>
      <c r="G132">
        <f>Grass!$C$4</f>
        <v>85</v>
      </c>
      <c r="H132">
        <v>0</v>
      </c>
    </row>
    <row r="133" spans="1:8" x14ac:dyDescent="0.25">
      <c r="A133" s="230">
        <f>Weather_Site!B143+Weather_Site!C143</f>
        <v>44554.625</v>
      </c>
      <c r="B133">
        <f>Weather_Site!D143</f>
        <v>35.4</v>
      </c>
      <c r="C133">
        <f>Weather_Site!E143</f>
        <v>12.1</v>
      </c>
      <c r="D133">
        <f>Weather_Site!F143</f>
        <v>154</v>
      </c>
      <c r="E133">
        <f>Weather_Site!G143</f>
        <v>11</v>
      </c>
      <c r="F133">
        <f>'Forest(McArthur)'!M140</f>
        <v>0</v>
      </c>
      <c r="G133">
        <f>Grass!$C$4</f>
        <v>85</v>
      </c>
      <c r="H133">
        <v>0</v>
      </c>
    </row>
    <row r="134" spans="1:8" x14ac:dyDescent="0.25">
      <c r="A134" s="230">
        <f>Weather_Site!B144+Weather_Site!C144</f>
        <v>44554.666666666664</v>
      </c>
      <c r="B134">
        <f>Weather_Site!D144</f>
        <v>36.1</v>
      </c>
      <c r="C134">
        <f>Weather_Site!E144</f>
        <v>11.4</v>
      </c>
      <c r="D134">
        <f>Weather_Site!F144</f>
        <v>159</v>
      </c>
      <c r="E134">
        <f>Weather_Site!G144</f>
        <v>12</v>
      </c>
      <c r="F134">
        <f>'Forest(McArthur)'!M141</f>
        <v>0</v>
      </c>
      <c r="G134">
        <f>Grass!$C$4</f>
        <v>85</v>
      </c>
      <c r="H134">
        <v>0</v>
      </c>
    </row>
    <row r="135" spans="1:8" x14ac:dyDescent="0.25">
      <c r="A135" s="230">
        <f>Weather_Site!B145+Weather_Site!C145</f>
        <v>44554.708333333336</v>
      </c>
      <c r="B135">
        <f>Weather_Site!D145</f>
        <v>36.6</v>
      </c>
      <c r="C135">
        <f>Weather_Site!E145</f>
        <v>10.8</v>
      </c>
      <c r="D135">
        <f>Weather_Site!F145</f>
        <v>164</v>
      </c>
      <c r="E135">
        <f>Weather_Site!G145</f>
        <v>11</v>
      </c>
      <c r="F135">
        <f>'Forest(McArthur)'!M142</f>
        <v>0</v>
      </c>
      <c r="G135">
        <f>Grass!$C$4</f>
        <v>85</v>
      </c>
      <c r="H135">
        <v>0</v>
      </c>
    </row>
    <row r="136" spans="1:8" x14ac:dyDescent="0.25">
      <c r="A136" s="230">
        <f>Weather_Site!B146+Weather_Site!C146</f>
        <v>44554.75</v>
      </c>
      <c r="B136">
        <f>Weather_Site!D146</f>
        <v>36</v>
      </c>
      <c r="C136">
        <f>Weather_Site!E146</f>
        <v>11.3</v>
      </c>
      <c r="D136">
        <f>Weather_Site!F146</f>
        <v>157</v>
      </c>
      <c r="E136">
        <f>Weather_Site!G146</f>
        <v>12</v>
      </c>
      <c r="F136">
        <f>'Forest(McArthur)'!M143</f>
        <v>0</v>
      </c>
      <c r="G136">
        <f>Grass!$C$4</f>
        <v>85</v>
      </c>
      <c r="H136">
        <v>0</v>
      </c>
    </row>
    <row r="137" spans="1:8" x14ac:dyDescent="0.25">
      <c r="A137" s="230">
        <f>Weather_Site!B147+Weather_Site!C147</f>
        <v>44554.791666666664</v>
      </c>
      <c r="B137">
        <f>Weather_Site!D147</f>
        <v>35.5</v>
      </c>
      <c r="C137">
        <f>Weather_Site!E147</f>
        <v>11.5</v>
      </c>
      <c r="D137">
        <f>Weather_Site!F147</f>
        <v>154</v>
      </c>
      <c r="E137">
        <f>Weather_Site!G147</f>
        <v>11</v>
      </c>
      <c r="F137">
        <f>'Forest(McArthur)'!M144</f>
        <v>0</v>
      </c>
      <c r="G137">
        <f>Grass!$C$4</f>
        <v>85</v>
      </c>
      <c r="H137">
        <v>0</v>
      </c>
    </row>
    <row r="138" spans="1:8" x14ac:dyDescent="0.25">
      <c r="A138" s="230">
        <f>Weather_Site!B148+Weather_Site!C148</f>
        <v>44554.833333333336</v>
      </c>
      <c r="B138">
        <f>Weather_Site!D148</f>
        <v>34</v>
      </c>
      <c r="C138">
        <f>Weather_Site!E148</f>
        <v>12.6</v>
      </c>
      <c r="D138">
        <f>Weather_Site!F148</f>
        <v>152</v>
      </c>
      <c r="E138">
        <f>Weather_Site!G148</f>
        <v>9</v>
      </c>
      <c r="F138">
        <f>'Forest(McArthur)'!M145</f>
        <v>0</v>
      </c>
      <c r="G138">
        <f>Grass!$C$4</f>
        <v>85</v>
      </c>
      <c r="H138">
        <v>0</v>
      </c>
    </row>
    <row r="139" spans="1:8" x14ac:dyDescent="0.25">
      <c r="A139" s="230">
        <f>Weather_Site!B149+Weather_Site!C149</f>
        <v>44554.875</v>
      </c>
      <c r="B139">
        <f>Weather_Site!D149</f>
        <v>30.8</v>
      </c>
      <c r="C139">
        <f>Weather_Site!E149</f>
        <v>16.3</v>
      </c>
      <c r="D139">
        <f>Weather_Site!F149</f>
        <v>150</v>
      </c>
      <c r="E139">
        <f>Weather_Site!G149</f>
        <v>8</v>
      </c>
      <c r="F139">
        <f>'Forest(McArthur)'!M146</f>
        <v>0</v>
      </c>
      <c r="G139">
        <f>Grass!$C$4</f>
        <v>85</v>
      </c>
      <c r="H139">
        <v>0</v>
      </c>
    </row>
    <row r="140" spans="1:8" x14ac:dyDescent="0.25">
      <c r="A140" s="230">
        <f>Weather_Site!B150+Weather_Site!C150</f>
        <v>44554.916666666664</v>
      </c>
      <c r="B140">
        <f>Weather_Site!D150</f>
        <v>28.5</v>
      </c>
      <c r="C140">
        <f>Weather_Site!E150</f>
        <v>19.399999999999999</v>
      </c>
      <c r="D140">
        <f>Weather_Site!F150</f>
        <v>148</v>
      </c>
      <c r="E140">
        <f>Weather_Site!G150</f>
        <v>9</v>
      </c>
      <c r="F140">
        <f>'Forest(McArthur)'!M147</f>
        <v>0</v>
      </c>
      <c r="G140">
        <f>Grass!$C$4</f>
        <v>85</v>
      </c>
      <c r="H140">
        <v>0</v>
      </c>
    </row>
    <row r="141" spans="1:8" x14ac:dyDescent="0.25">
      <c r="A141" s="230">
        <f>Weather_Site!B151+Weather_Site!C151</f>
        <v>44554.958333333336</v>
      </c>
      <c r="B141">
        <f>Weather_Site!D151</f>
        <v>26.7</v>
      </c>
      <c r="C141">
        <f>Weather_Site!E151</f>
        <v>22</v>
      </c>
      <c r="D141">
        <f>Weather_Site!F151</f>
        <v>145</v>
      </c>
      <c r="E141">
        <f>Weather_Site!G151</f>
        <v>9</v>
      </c>
      <c r="F141">
        <f>'Forest(McArthur)'!M148</f>
        <v>0</v>
      </c>
      <c r="G141">
        <f>Grass!$C$4</f>
        <v>85</v>
      </c>
      <c r="H141">
        <v>0</v>
      </c>
    </row>
    <row r="142" spans="1:8" x14ac:dyDescent="0.25">
      <c r="A142" s="230">
        <f>Weather_Site!B152+Weather_Site!C152</f>
        <v>44555</v>
      </c>
      <c r="B142">
        <f>Weather_Site!D152</f>
        <v>26</v>
      </c>
      <c r="C142">
        <f>Weather_Site!E152</f>
        <v>23.4</v>
      </c>
      <c r="D142">
        <f>Weather_Site!F152</f>
        <v>131</v>
      </c>
      <c r="E142">
        <f>Weather_Site!G152</f>
        <v>9</v>
      </c>
      <c r="F142">
        <f>'Forest(McArthur)'!M149</f>
        <v>0</v>
      </c>
      <c r="G142">
        <f>Grass!$C$4</f>
        <v>85</v>
      </c>
      <c r="H142">
        <v>0</v>
      </c>
    </row>
    <row r="143" spans="1:8" x14ac:dyDescent="0.25">
      <c r="A143" s="230">
        <f>Weather_Site!B153+Weather_Site!C153</f>
        <v>44555.041666666664</v>
      </c>
      <c r="B143">
        <f>Weather_Site!D153</f>
        <v>24.8</v>
      </c>
      <c r="C143">
        <f>Weather_Site!E153</f>
        <v>25</v>
      </c>
      <c r="D143">
        <f>Weather_Site!F153</f>
        <v>122</v>
      </c>
      <c r="E143">
        <f>Weather_Site!G153</f>
        <v>10</v>
      </c>
      <c r="F143">
        <f>'Forest(McArthur)'!M150</f>
        <v>0</v>
      </c>
      <c r="G143">
        <f>Grass!$C$4</f>
        <v>85</v>
      </c>
      <c r="H143">
        <v>0</v>
      </c>
    </row>
    <row r="144" spans="1:8" x14ac:dyDescent="0.25">
      <c r="A144" s="230">
        <f>Weather_Site!B154+Weather_Site!C154</f>
        <v>44555.083333333336</v>
      </c>
      <c r="B144">
        <f>Weather_Site!D154</f>
        <v>23.8</v>
      </c>
      <c r="C144">
        <f>Weather_Site!E154</f>
        <v>26.7</v>
      </c>
      <c r="D144">
        <f>Weather_Site!F154</f>
        <v>123</v>
      </c>
      <c r="E144">
        <f>Weather_Site!G154</f>
        <v>10</v>
      </c>
      <c r="F144">
        <f>'Forest(McArthur)'!M151</f>
        <v>0</v>
      </c>
      <c r="G144">
        <f>Grass!$C$4</f>
        <v>85</v>
      </c>
      <c r="H144">
        <v>0</v>
      </c>
    </row>
    <row r="145" spans="1:8" x14ac:dyDescent="0.25">
      <c r="A145" s="230">
        <f>Weather_Site!B155+Weather_Site!C155</f>
        <v>44555.125</v>
      </c>
      <c r="B145">
        <f>Weather_Site!D155</f>
        <v>22.5</v>
      </c>
      <c r="C145">
        <f>Weather_Site!E155</f>
        <v>32.700000000000003</v>
      </c>
      <c r="D145">
        <f>Weather_Site!F155</f>
        <v>121</v>
      </c>
      <c r="E145">
        <f>Weather_Site!G155</f>
        <v>10</v>
      </c>
      <c r="F145">
        <f>'Forest(McArthur)'!M152</f>
        <v>0</v>
      </c>
      <c r="G145">
        <f>Grass!$C$4</f>
        <v>85</v>
      </c>
      <c r="H145">
        <v>0</v>
      </c>
    </row>
    <row r="146" spans="1:8" x14ac:dyDescent="0.25">
      <c r="A146" s="230">
        <f>Weather_Site!B156+Weather_Site!C156</f>
        <v>44555.166666666664</v>
      </c>
      <c r="B146">
        <f>Weather_Site!D156</f>
        <v>21.6</v>
      </c>
      <c r="C146">
        <f>Weather_Site!E156</f>
        <v>38.4</v>
      </c>
      <c r="D146">
        <f>Weather_Site!F156</f>
        <v>119</v>
      </c>
      <c r="E146">
        <f>Weather_Site!G156</f>
        <v>9</v>
      </c>
      <c r="F146">
        <f>'Forest(McArthur)'!M153</f>
        <v>0</v>
      </c>
      <c r="G146">
        <f>Grass!$C$4</f>
        <v>85</v>
      </c>
      <c r="H146">
        <v>0</v>
      </c>
    </row>
    <row r="147" spans="1:8" x14ac:dyDescent="0.25">
      <c r="A147" s="230">
        <f>Weather_Site!B157+Weather_Site!C157</f>
        <v>44555.208333333336</v>
      </c>
      <c r="B147">
        <f>Weather_Site!D157</f>
        <v>20.7</v>
      </c>
      <c r="C147">
        <f>Weather_Site!E157</f>
        <v>44.9</v>
      </c>
      <c r="D147">
        <f>Weather_Site!F157</f>
        <v>117</v>
      </c>
      <c r="E147">
        <f>Weather_Site!G157</f>
        <v>9</v>
      </c>
      <c r="F147">
        <f>'Forest(McArthur)'!M154</f>
        <v>0</v>
      </c>
      <c r="G147">
        <f>Grass!$C$4</f>
        <v>85</v>
      </c>
      <c r="H147">
        <v>0</v>
      </c>
    </row>
    <row r="148" spans="1:8" x14ac:dyDescent="0.25">
      <c r="A148" s="230">
        <f>Weather_Site!B158+Weather_Site!C158</f>
        <v>44555.25</v>
      </c>
      <c r="B148">
        <f>Weather_Site!D158</f>
        <v>20.6</v>
      </c>
      <c r="C148">
        <f>Weather_Site!E158</f>
        <v>46.4</v>
      </c>
      <c r="D148">
        <f>Weather_Site!F158</f>
        <v>113</v>
      </c>
      <c r="E148">
        <f>Weather_Site!G158</f>
        <v>9</v>
      </c>
      <c r="F148">
        <f>'Forest(McArthur)'!M155</f>
        <v>0</v>
      </c>
      <c r="G148">
        <f>Grass!$C$4</f>
        <v>85</v>
      </c>
      <c r="H148">
        <v>0</v>
      </c>
    </row>
    <row r="149" spans="1:8" x14ac:dyDescent="0.25">
      <c r="A149" s="230">
        <f>Weather_Site!B159+Weather_Site!C159</f>
        <v>44555.291666666664</v>
      </c>
      <c r="B149">
        <f>Weather_Site!D159</f>
        <v>22.2</v>
      </c>
      <c r="C149">
        <f>Weather_Site!E159</f>
        <v>42.7</v>
      </c>
      <c r="D149">
        <f>Weather_Site!F159</f>
        <v>111</v>
      </c>
      <c r="E149">
        <f>Weather_Site!G159</f>
        <v>10</v>
      </c>
      <c r="F149">
        <f>'Forest(McArthur)'!M156</f>
        <v>0</v>
      </c>
      <c r="G149">
        <f>Grass!$C$4</f>
        <v>85</v>
      </c>
      <c r="H149">
        <v>0</v>
      </c>
    </row>
    <row r="150" spans="1:8" x14ac:dyDescent="0.25">
      <c r="A150" s="230">
        <f>Weather_Site!B160+Weather_Site!C160</f>
        <v>44555.333333333336</v>
      </c>
      <c r="B150">
        <f>Weather_Site!D160</f>
        <v>25.5</v>
      </c>
      <c r="C150">
        <f>Weather_Site!E160</f>
        <v>35.700000000000003</v>
      </c>
      <c r="D150">
        <f>Weather_Site!F160</f>
        <v>98</v>
      </c>
      <c r="E150">
        <f>Weather_Site!G160</f>
        <v>14</v>
      </c>
      <c r="F150">
        <f>'Forest(McArthur)'!M157</f>
        <v>0</v>
      </c>
      <c r="G150">
        <f>Grass!$C$4</f>
        <v>85</v>
      </c>
      <c r="H150">
        <v>0</v>
      </c>
    </row>
    <row r="151" spans="1:8" x14ac:dyDescent="0.25">
      <c r="A151" s="230">
        <f>Weather_Site!B161+Weather_Site!C161</f>
        <v>44555.375</v>
      </c>
      <c r="B151">
        <f>Weather_Site!D161</f>
        <v>28.4</v>
      </c>
      <c r="C151">
        <f>Weather_Site!E161</f>
        <v>31.8</v>
      </c>
      <c r="D151">
        <f>Weather_Site!F161</f>
        <v>79</v>
      </c>
      <c r="E151">
        <f>Weather_Site!G161</f>
        <v>10</v>
      </c>
      <c r="F151">
        <f>'Forest(McArthur)'!M158</f>
        <v>0</v>
      </c>
      <c r="G151">
        <f>Grass!$C$4</f>
        <v>85</v>
      </c>
      <c r="H151">
        <v>0</v>
      </c>
    </row>
    <row r="152" spans="1:8" x14ac:dyDescent="0.25">
      <c r="A152" s="230">
        <f>Weather_Site!B162+Weather_Site!C162</f>
        <v>44555.416666666664</v>
      </c>
      <c r="B152">
        <f>Weather_Site!D162</f>
        <v>31.4</v>
      </c>
      <c r="C152">
        <f>Weather_Site!E162</f>
        <v>24.7</v>
      </c>
      <c r="D152">
        <f>Weather_Site!F162</f>
        <v>61</v>
      </c>
      <c r="E152">
        <f>Weather_Site!G162</f>
        <v>16</v>
      </c>
      <c r="F152">
        <f>'Forest(McArthur)'!M159</f>
        <v>0</v>
      </c>
      <c r="G152">
        <f>Grass!$C$4</f>
        <v>85</v>
      </c>
      <c r="H152">
        <v>0</v>
      </c>
    </row>
    <row r="153" spans="1:8" x14ac:dyDescent="0.25">
      <c r="A153" s="230">
        <f>Weather_Site!B163+Weather_Site!C163</f>
        <v>44555.458333333336</v>
      </c>
      <c r="B153">
        <f>Weather_Site!D163</f>
        <v>33.9</v>
      </c>
      <c r="C153">
        <f>Weather_Site!E163</f>
        <v>20.3</v>
      </c>
      <c r="D153">
        <f>Weather_Site!F163</f>
        <v>56</v>
      </c>
      <c r="E153">
        <f>Weather_Site!G163</f>
        <v>17</v>
      </c>
      <c r="F153">
        <f>'Forest(McArthur)'!M160</f>
        <v>0</v>
      </c>
      <c r="G153">
        <f>Grass!$C$4</f>
        <v>85</v>
      </c>
      <c r="H153">
        <v>0</v>
      </c>
    </row>
    <row r="154" spans="1:8" x14ac:dyDescent="0.25">
      <c r="A154" s="230">
        <f>Weather_Site!B164+Weather_Site!C164</f>
        <v>44555.5</v>
      </c>
      <c r="B154">
        <f>Weather_Site!D164</f>
        <v>35.4</v>
      </c>
      <c r="C154">
        <f>Weather_Site!E164</f>
        <v>18.5</v>
      </c>
      <c r="D154">
        <f>Weather_Site!F164</f>
        <v>90</v>
      </c>
      <c r="E154">
        <f>Weather_Site!G164</f>
        <v>17</v>
      </c>
      <c r="F154">
        <f>'Forest(McArthur)'!M161</f>
        <v>0</v>
      </c>
      <c r="G154">
        <f>Grass!$C$4</f>
        <v>85</v>
      </c>
      <c r="H154">
        <v>0</v>
      </c>
    </row>
    <row r="155" spans="1:8" x14ac:dyDescent="0.25">
      <c r="A155" s="230">
        <f>Weather_Site!B165+Weather_Site!C165</f>
        <v>44555.541666666664</v>
      </c>
      <c r="B155">
        <f>Weather_Site!D165</f>
        <v>36.6</v>
      </c>
      <c r="C155">
        <f>Weather_Site!E165</f>
        <v>16.899999999999999</v>
      </c>
      <c r="D155">
        <f>Weather_Site!F165</f>
        <v>117</v>
      </c>
      <c r="E155">
        <f>Weather_Site!G165</f>
        <v>18</v>
      </c>
      <c r="F155">
        <f>'Forest(McArthur)'!M162</f>
        <v>0</v>
      </c>
      <c r="G155">
        <f>Grass!$C$4</f>
        <v>85</v>
      </c>
      <c r="H155">
        <v>0</v>
      </c>
    </row>
    <row r="156" spans="1:8" x14ac:dyDescent="0.25">
      <c r="A156" s="230">
        <f>Weather_Site!B166+Weather_Site!C166</f>
        <v>44555.583333333336</v>
      </c>
      <c r="B156">
        <f>Weather_Site!D166</f>
        <v>37.6</v>
      </c>
      <c r="C156">
        <f>Weather_Site!E166</f>
        <v>14.9</v>
      </c>
      <c r="D156">
        <f>Weather_Site!F166</f>
        <v>131</v>
      </c>
      <c r="E156">
        <f>Weather_Site!G166</f>
        <v>19</v>
      </c>
      <c r="F156">
        <f>'Forest(McArthur)'!M163</f>
        <v>0</v>
      </c>
      <c r="G156">
        <f>Grass!$C$4</f>
        <v>85</v>
      </c>
      <c r="H156">
        <v>0</v>
      </c>
    </row>
    <row r="157" spans="1:8" x14ac:dyDescent="0.25">
      <c r="A157" s="230">
        <f>Weather_Site!B167+Weather_Site!C167</f>
        <v>44555.625</v>
      </c>
      <c r="B157">
        <f>Weather_Site!D167</f>
        <v>38</v>
      </c>
      <c r="C157">
        <f>Weather_Site!E167</f>
        <v>14.2</v>
      </c>
      <c r="D157">
        <f>Weather_Site!F167</f>
        <v>176</v>
      </c>
      <c r="E157">
        <f>Weather_Site!G167</f>
        <v>17</v>
      </c>
      <c r="F157">
        <f>'Forest(McArthur)'!M164</f>
        <v>0</v>
      </c>
      <c r="G157">
        <f>Grass!$C$4</f>
        <v>85</v>
      </c>
      <c r="H157">
        <v>0</v>
      </c>
    </row>
    <row r="158" spans="1:8" x14ac:dyDescent="0.25">
      <c r="A158" s="230">
        <f>Weather_Site!B168+Weather_Site!C168</f>
        <v>44555.666666666664</v>
      </c>
      <c r="B158">
        <f>Weather_Site!D168</f>
        <v>38.6</v>
      </c>
      <c r="C158">
        <f>Weather_Site!E168</f>
        <v>13.4</v>
      </c>
      <c r="D158">
        <f>Weather_Site!F168</f>
        <v>188</v>
      </c>
      <c r="E158">
        <f>Weather_Site!G168</f>
        <v>18</v>
      </c>
      <c r="F158">
        <f>'Forest(McArthur)'!M165</f>
        <v>0</v>
      </c>
      <c r="G158">
        <f>Grass!$C$4</f>
        <v>85</v>
      </c>
      <c r="H158">
        <v>0</v>
      </c>
    </row>
    <row r="159" spans="1:8" x14ac:dyDescent="0.25">
      <c r="A159" s="230">
        <f>Weather_Site!B169+Weather_Site!C169</f>
        <v>44555.708333333336</v>
      </c>
      <c r="B159">
        <f>Weather_Site!D169</f>
        <v>38.6</v>
      </c>
      <c r="C159">
        <f>Weather_Site!E169</f>
        <v>13.1</v>
      </c>
      <c r="D159">
        <f>Weather_Site!F169</f>
        <v>195</v>
      </c>
      <c r="E159">
        <f>Weather_Site!G169</f>
        <v>17</v>
      </c>
      <c r="F159">
        <f>'Forest(McArthur)'!M166</f>
        <v>0</v>
      </c>
      <c r="G159">
        <f>Grass!$C$4</f>
        <v>85</v>
      </c>
      <c r="H159">
        <v>0</v>
      </c>
    </row>
    <row r="160" spans="1:8" x14ac:dyDescent="0.25">
      <c r="A160" s="230">
        <f>Weather_Site!B170+Weather_Site!C170</f>
        <v>44555.75</v>
      </c>
      <c r="B160">
        <f>Weather_Site!D170</f>
        <v>37.799999999999997</v>
      </c>
      <c r="C160">
        <f>Weather_Site!E170</f>
        <v>13.6</v>
      </c>
      <c r="D160">
        <f>Weather_Site!F170</f>
        <v>191</v>
      </c>
      <c r="E160">
        <f>Weather_Site!G170</f>
        <v>19</v>
      </c>
      <c r="F160">
        <f>'Forest(McArthur)'!M167</f>
        <v>0</v>
      </c>
      <c r="G160">
        <f>Grass!$C$4</f>
        <v>85</v>
      </c>
      <c r="H160">
        <v>0</v>
      </c>
    </row>
    <row r="161" spans="1:8" x14ac:dyDescent="0.25">
      <c r="A161" s="230">
        <f>Weather_Site!B171+Weather_Site!C171</f>
        <v>44555.791666666664</v>
      </c>
      <c r="B161">
        <f>Weather_Site!D171</f>
        <v>37</v>
      </c>
      <c r="C161">
        <f>Weather_Site!E171</f>
        <v>14.3</v>
      </c>
      <c r="D161">
        <f>Weather_Site!F171</f>
        <v>185</v>
      </c>
      <c r="E161">
        <f>Weather_Site!G171</f>
        <v>16</v>
      </c>
      <c r="F161">
        <f>'Forest(McArthur)'!M168</f>
        <v>0</v>
      </c>
      <c r="G161">
        <f>Grass!$C$4</f>
        <v>85</v>
      </c>
      <c r="H161">
        <v>0</v>
      </c>
    </row>
    <row r="162" spans="1:8" x14ac:dyDescent="0.25">
      <c r="A162" s="230">
        <f>Weather_Site!B172+Weather_Site!C172</f>
        <v>44555.833333333336</v>
      </c>
      <c r="B162">
        <f>Weather_Site!D172</f>
        <v>35.4</v>
      </c>
      <c r="C162">
        <f>Weather_Site!E172</f>
        <v>16.3</v>
      </c>
      <c r="D162">
        <f>Weather_Site!F172</f>
        <v>175</v>
      </c>
      <c r="E162">
        <f>Weather_Site!G172</f>
        <v>15</v>
      </c>
      <c r="F162">
        <f>'Forest(McArthur)'!M169</f>
        <v>0</v>
      </c>
      <c r="G162">
        <f>Grass!$C$4</f>
        <v>85</v>
      </c>
      <c r="H162">
        <v>0</v>
      </c>
    </row>
    <row r="163" spans="1:8" x14ac:dyDescent="0.25">
      <c r="A163" s="230">
        <f>Weather_Site!B173+Weather_Site!C173</f>
        <v>44555.875</v>
      </c>
      <c r="B163">
        <f>Weather_Site!D173</f>
        <v>32.799999999999997</v>
      </c>
      <c r="C163">
        <f>Weather_Site!E173</f>
        <v>19.899999999999999</v>
      </c>
      <c r="D163">
        <f>Weather_Site!F173</f>
        <v>175</v>
      </c>
      <c r="E163">
        <f>Weather_Site!G173</f>
        <v>14</v>
      </c>
      <c r="F163">
        <f>'Forest(McArthur)'!M170</f>
        <v>0</v>
      </c>
      <c r="G163">
        <f>Grass!$C$4</f>
        <v>85</v>
      </c>
      <c r="H163">
        <v>0</v>
      </c>
    </row>
    <row r="164" spans="1:8" x14ac:dyDescent="0.25">
      <c r="A164" s="230">
        <f>Weather_Site!B174+Weather_Site!C174</f>
        <v>44555.916666666664</v>
      </c>
      <c r="B164">
        <f>Weather_Site!D174</f>
        <v>30.4</v>
      </c>
      <c r="C164">
        <f>Weather_Site!E174</f>
        <v>23.9</v>
      </c>
      <c r="D164">
        <f>Weather_Site!F174</f>
        <v>155</v>
      </c>
      <c r="E164">
        <f>Weather_Site!G174</f>
        <v>14</v>
      </c>
      <c r="F164">
        <f>'Forest(McArthur)'!M171</f>
        <v>0</v>
      </c>
      <c r="G164">
        <f>Grass!$C$4</f>
        <v>85</v>
      </c>
      <c r="H164">
        <v>0</v>
      </c>
    </row>
    <row r="165" spans="1:8" x14ac:dyDescent="0.25">
      <c r="A165" s="230">
        <f>Weather_Site!B175+Weather_Site!C175</f>
        <v>44555.958333333336</v>
      </c>
      <c r="B165">
        <f>Weather_Site!D175</f>
        <v>28.7</v>
      </c>
      <c r="C165">
        <f>Weather_Site!E175</f>
        <v>27.7</v>
      </c>
      <c r="D165">
        <f>Weather_Site!F175</f>
        <v>152</v>
      </c>
      <c r="E165">
        <f>Weather_Site!G175</f>
        <v>15</v>
      </c>
      <c r="F165">
        <f>'Forest(McArthur)'!M172</f>
        <v>0</v>
      </c>
      <c r="G165">
        <f>Grass!$C$4</f>
        <v>85</v>
      </c>
      <c r="H165">
        <v>0</v>
      </c>
    </row>
    <row r="166" spans="1:8" x14ac:dyDescent="0.25">
      <c r="A166" s="230">
        <f>Weather_Site!B176+Weather_Site!C176</f>
        <v>44556</v>
      </c>
      <c r="B166">
        <f>Weather_Site!D176</f>
        <v>26.9</v>
      </c>
      <c r="C166">
        <f>Weather_Site!E176</f>
        <v>32</v>
      </c>
      <c r="D166">
        <f>Weather_Site!F176</f>
        <v>160</v>
      </c>
      <c r="E166">
        <f>Weather_Site!G176</f>
        <v>14</v>
      </c>
      <c r="F166">
        <f>'Forest(McArthur)'!M173</f>
        <v>0</v>
      </c>
      <c r="G166">
        <f>Grass!$C$4</f>
        <v>85</v>
      </c>
      <c r="H166">
        <v>0</v>
      </c>
    </row>
    <row r="167" spans="1:8" x14ac:dyDescent="0.25">
      <c r="A167" s="230">
        <f>Weather_Site!B177+Weather_Site!C177</f>
        <v>44556.041666666664</v>
      </c>
      <c r="B167">
        <f>Weather_Site!D177</f>
        <v>25.2</v>
      </c>
      <c r="C167">
        <f>Weather_Site!E177</f>
        <v>35.4</v>
      </c>
      <c r="D167">
        <f>Weather_Site!F177</f>
        <v>190</v>
      </c>
      <c r="E167">
        <f>Weather_Site!G177</f>
        <v>15</v>
      </c>
      <c r="F167">
        <f>'Forest(McArthur)'!M174</f>
        <v>0</v>
      </c>
      <c r="G167">
        <f>Grass!$C$4</f>
        <v>85</v>
      </c>
      <c r="H167">
        <v>0</v>
      </c>
    </row>
    <row r="168" spans="1:8" x14ac:dyDescent="0.25">
      <c r="A168" s="230">
        <f>Weather_Site!B178+Weather_Site!C178</f>
        <v>0</v>
      </c>
      <c r="B168">
        <f>Weather_Site!D178</f>
        <v>0</v>
      </c>
      <c r="C168">
        <f>Weather_Site!E178</f>
        <v>0</v>
      </c>
      <c r="D168">
        <f>Weather_Site!F178</f>
        <v>0</v>
      </c>
      <c r="E168">
        <f>Weather_Site!G178</f>
        <v>0</v>
      </c>
      <c r="F168">
        <f>'Forest(McArthur)'!M175</f>
        <v>0</v>
      </c>
      <c r="G168">
        <f>Grass!$C$4</f>
        <v>85</v>
      </c>
      <c r="H168">
        <v>0</v>
      </c>
    </row>
    <row r="169" spans="1:8" x14ac:dyDescent="0.25">
      <c r="A169" s="230">
        <f>Weather_Site!B179+Weather_Site!C179</f>
        <v>0</v>
      </c>
      <c r="B169">
        <f>Weather_Site!D179</f>
        <v>0</v>
      </c>
      <c r="C169">
        <f>Weather_Site!E179</f>
        <v>0</v>
      </c>
      <c r="D169">
        <f>Weather_Site!F179</f>
        <v>0</v>
      </c>
      <c r="E169">
        <f>Weather_Site!G179</f>
        <v>0</v>
      </c>
      <c r="F169">
        <f>'Forest(McArthur)'!M176</f>
        <v>0</v>
      </c>
      <c r="G169">
        <f>Grass!$C$4</f>
        <v>85</v>
      </c>
      <c r="H169">
        <v>0</v>
      </c>
    </row>
    <row r="170" spans="1:8" x14ac:dyDescent="0.25">
      <c r="A170" s="230">
        <f>Weather_Site!B180+Weather_Site!C180</f>
        <v>0</v>
      </c>
      <c r="B170">
        <f>Weather_Site!D180</f>
        <v>0</v>
      </c>
      <c r="C170">
        <f>Weather_Site!E180</f>
        <v>0</v>
      </c>
      <c r="D170">
        <f>Weather_Site!F180</f>
        <v>0</v>
      </c>
      <c r="E170">
        <f>Weather_Site!G180</f>
        <v>0</v>
      </c>
      <c r="F170">
        <f>'Forest(McArthur)'!M177</f>
        <v>0</v>
      </c>
      <c r="G170">
        <f>Grass!$C$4</f>
        <v>85</v>
      </c>
      <c r="H170">
        <v>0</v>
      </c>
    </row>
    <row r="171" spans="1:8" x14ac:dyDescent="0.25">
      <c r="A171" s="230">
        <f>Weather_Site!B181+Weather_Site!C181</f>
        <v>0</v>
      </c>
      <c r="B171">
        <f>Weather_Site!D181</f>
        <v>0</v>
      </c>
      <c r="C171">
        <f>Weather_Site!E181</f>
        <v>0</v>
      </c>
      <c r="D171">
        <f>Weather_Site!F181</f>
        <v>0</v>
      </c>
      <c r="E171">
        <f>Weather_Site!G181</f>
        <v>0</v>
      </c>
      <c r="F171">
        <f>'Forest(McArthur)'!M178</f>
        <v>0</v>
      </c>
      <c r="G171">
        <f>Grass!$C$4</f>
        <v>85</v>
      </c>
      <c r="H171">
        <v>0</v>
      </c>
    </row>
    <row r="172" spans="1:8" x14ac:dyDescent="0.25">
      <c r="A172" s="230">
        <f>Weather_Site!B182+Weather_Site!C182</f>
        <v>0</v>
      </c>
      <c r="B172">
        <f>Weather_Site!D182</f>
        <v>0</v>
      </c>
      <c r="C172">
        <f>Weather_Site!E182</f>
        <v>0</v>
      </c>
      <c r="D172">
        <f>Weather_Site!F182</f>
        <v>0</v>
      </c>
      <c r="E172">
        <f>Weather_Site!G182</f>
        <v>0</v>
      </c>
      <c r="F172">
        <f>'Forest(McArthur)'!M179</f>
        <v>0</v>
      </c>
      <c r="G172">
        <f>Grass!$C$4</f>
        <v>85</v>
      </c>
      <c r="H172">
        <v>0</v>
      </c>
    </row>
    <row r="173" spans="1:8" x14ac:dyDescent="0.25">
      <c r="A173" s="230">
        <f>Weather_Site!B183+Weather_Site!C183</f>
        <v>0</v>
      </c>
      <c r="B173">
        <f>Weather_Site!D183</f>
        <v>0</v>
      </c>
      <c r="C173">
        <f>Weather_Site!E183</f>
        <v>0</v>
      </c>
      <c r="D173">
        <f>Weather_Site!F183</f>
        <v>0</v>
      </c>
      <c r="E173">
        <f>Weather_Site!G183</f>
        <v>0</v>
      </c>
      <c r="F173">
        <f>'Forest(McArthur)'!M180</f>
        <v>0</v>
      </c>
      <c r="G173">
        <f>Grass!$C$4</f>
        <v>85</v>
      </c>
      <c r="H173">
        <v>0</v>
      </c>
    </row>
    <row r="174" spans="1:8" x14ac:dyDescent="0.25">
      <c r="A174" s="230">
        <f>Weather_Site!B184+Weather_Site!C184</f>
        <v>0</v>
      </c>
      <c r="B174">
        <f>Weather_Site!D184</f>
        <v>0</v>
      </c>
      <c r="C174">
        <f>Weather_Site!E184</f>
        <v>0</v>
      </c>
      <c r="D174">
        <f>Weather_Site!F184</f>
        <v>0</v>
      </c>
      <c r="E174">
        <f>Weather_Site!G184</f>
        <v>0</v>
      </c>
      <c r="F174">
        <f>'Forest(McArthur)'!M181</f>
        <v>0</v>
      </c>
      <c r="G174">
        <f>Grass!$C$4</f>
        <v>85</v>
      </c>
      <c r="H174">
        <v>0</v>
      </c>
    </row>
    <row r="175" spans="1:8" x14ac:dyDescent="0.25">
      <c r="A175" s="230">
        <f>Weather_Site!B185+Weather_Site!C185</f>
        <v>0</v>
      </c>
      <c r="B175">
        <f>Weather_Site!D185</f>
        <v>0</v>
      </c>
      <c r="C175">
        <f>Weather_Site!E185</f>
        <v>0</v>
      </c>
      <c r="D175">
        <f>Weather_Site!F185</f>
        <v>0</v>
      </c>
      <c r="E175">
        <f>Weather_Site!G185</f>
        <v>0</v>
      </c>
      <c r="F175">
        <f>'Forest(McArthur)'!M182</f>
        <v>0</v>
      </c>
      <c r="G175">
        <f>Grass!$C$4</f>
        <v>85</v>
      </c>
      <c r="H175">
        <v>0</v>
      </c>
    </row>
    <row r="176" spans="1:8" x14ac:dyDescent="0.25">
      <c r="A176" s="230">
        <f>Weather_Site!B186+Weather_Site!C186</f>
        <v>0</v>
      </c>
      <c r="B176">
        <f>Weather_Site!D186</f>
        <v>0</v>
      </c>
      <c r="C176">
        <f>Weather_Site!E186</f>
        <v>0</v>
      </c>
      <c r="D176">
        <f>Weather_Site!F186</f>
        <v>0</v>
      </c>
      <c r="E176">
        <f>Weather_Site!G186</f>
        <v>0</v>
      </c>
      <c r="F176">
        <f>'Forest(McArthur)'!M183</f>
        <v>0</v>
      </c>
      <c r="G176">
        <f>Grass!$C$4</f>
        <v>85</v>
      </c>
      <c r="H176">
        <v>0</v>
      </c>
    </row>
    <row r="177" spans="1:8" x14ac:dyDescent="0.25">
      <c r="A177" s="230">
        <f>Weather_Site!B187+Weather_Site!C187</f>
        <v>0</v>
      </c>
      <c r="B177">
        <f>Weather_Site!D187</f>
        <v>0</v>
      </c>
      <c r="C177">
        <f>Weather_Site!E187</f>
        <v>0</v>
      </c>
      <c r="D177">
        <f>Weather_Site!F187</f>
        <v>0</v>
      </c>
      <c r="E177">
        <f>Weather_Site!G187</f>
        <v>0</v>
      </c>
      <c r="F177">
        <f>'Forest(McArthur)'!M184</f>
        <v>0</v>
      </c>
      <c r="G177">
        <f>Grass!$C$4</f>
        <v>85</v>
      </c>
      <c r="H177">
        <v>0</v>
      </c>
    </row>
    <row r="178" spans="1:8" x14ac:dyDescent="0.25">
      <c r="A178" s="230">
        <f>Weather_Site!B188+Weather_Site!C188</f>
        <v>0</v>
      </c>
      <c r="B178">
        <f>Weather_Site!D188</f>
        <v>0</v>
      </c>
      <c r="C178">
        <f>Weather_Site!E188</f>
        <v>0</v>
      </c>
      <c r="D178">
        <f>Weather_Site!F188</f>
        <v>0</v>
      </c>
      <c r="E178">
        <f>Weather_Site!G188</f>
        <v>0</v>
      </c>
      <c r="F178">
        <f>'Forest(McArthur)'!M185</f>
        <v>0</v>
      </c>
      <c r="G178">
        <f>Grass!$C$4</f>
        <v>85</v>
      </c>
      <c r="H178">
        <v>0</v>
      </c>
    </row>
    <row r="179" spans="1:8" x14ac:dyDescent="0.25">
      <c r="A179" s="230">
        <f>Weather_Site!B189+Weather_Site!C189</f>
        <v>0</v>
      </c>
      <c r="B179">
        <f>Weather_Site!D189</f>
        <v>0</v>
      </c>
      <c r="C179">
        <f>Weather_Site!E189</f>
        <v>0</v>
      </c>
      <c r="D179">
        <f>Weather_Site!F189</f>
        <v>0</v>
      </c>
      <c r="E179">
        <f>Weather_Site!G189</f>
        <v>0</v>
      </c>
      <c r="F179">
        <f>'Forest(McArthur)'!M186</f>
        <v>0</v>
      </c>
      <c r="G179">
        <f>Grass!$C$4</f>
        <v>85</v>
      </c>
      <c r="H179">
        <v>0</v>
      </c>
    </row>
    <row r="180" spans="1:8" x14ac:dyDescent="0.25">
      <c r="A180" s="230">
        <f>Weather_Site!B190+Weather_Site!C190</f>
        <v>0</v>
      </c>
      <c r="B180">
        <f>Weather_Site!D190</f>
        <v>0</v>
      </c>
      <c r="C180">
        <f>Weather_Site!E190</f>
        <v>0</v>
      </c>
      <c r="D180">
        <f>Weather_Site!F190</f>
        <v>0</v>
      </c>
      <c r="E180">
        <f>Weather_Site!G190</f>
        <v>0</v>
      </c>
      <c r="F180">
        <f>'Forest(McArthur)'!M187</f>
        <v>0</v>
      </c>
      <c r="G180">
        <f>Grass!$C$4</f>
        <v>85</v>
      </c>
      <c r="H180">
        <v>0</v>
      </c>
    </row>
    <row r="181" spans="1:8" x14ac:dyDescent="0.25">
      <c r="A181" s="230">
        <f>Weather_Site!B191+Weather_Site!C191</f>
        <v>0</v>
      </c>
      <c r="B181">
        <f>Weather_Site!D191</f>
        <v>0</v>
      </c>
      <c r="C181">
        <f>Weather_Site!E191</f>
        <v>0</v>
      </c>
      <c r="D181">
        <f>Weather_Site!F191</f>
        <v>0</v>
      </c>
      <c r="E181">
        <f>Weather_Site!G191</f>
        <v>0</v>
      </c>
      <c r="F181">
        <f>'Forest(McArthur)'!M188</f>
        <v>0</v>
      </c>
      <c r="G181">
        <f>Grass!$C$4</f>
        <v>85</v>
      </c>
      <c r="H181">
        <v>0</v>
      </c>
    </row>
    <row r="182" spans="1:8" x14ac:dyDescent="0.25">
      <c r="A182" s="230">
        <f>Weather_Site!B192+Weather_Site!C192</f>
        <v>0</v>
      </c>
      <c r="B182">
        <f>Weather_Site!D192</f>
        <v>0</v>
      </c>
      <c r="C182">
        <f>Weather_Site!E192</f>
        <v>0</v>
      </c>
      <c r="D182">
        <f>Weather_Site!F192</f>
        <v>0</v>
      </c>
      <c r="E182">
        <f>Weather_Site!G192</f>
        <v>0</v>
      </c>
      <c r="F182">
        <f>'Forest(McArthur)'!M189</f>
        <v>0</v>
      </c>
      <c r="G182">
        <f>Grass!$C$4</f>
        <v>85</v>
      </c>
      <c r="H182">
        <v>0</v>
      </c>
    </row>
    <row r="183" spans="1:8" x14ac:dyDescent="0.25">
      <c r="A183" s="230">
        <f>Weather_Site!B193+Weather_Site!C193</f>
        <v>0</v>
      </c>
      <c r="B183">
        <f>Weather_Site!D193</f>
        <v>0</v>
      </c>
      <c r="C183">
        <f>Weather_Site!E193</f>
        <v>0</v>
      </c>
      <c r="D183">
        <f>Weather_Site!F193</f>
        <v>0</v>
      </c>
      <c r="E183">
        <f>Weather_Site!G193</f>
        <v>0</v>
      </c>
      <c r="F183">
        <f>'Forest(McArthur)'!M190</f>
        <v>0</v>
      </c>
      <c r="G183">
        <f>Grass!$C$4</f>
        <v>85</v>
      </c>
      <c r="H183">
        <v>0</v>
      </c>
    </row>
    <row r="184" spans="1:8" x14ac:dyDescent="0.25">
      <c r="A184" s="230">
        <f>Weather_Site!B194+Weather_Site!C194</f>
        <v>0</v>
      </c>
      <c r="B184">
        <f>Weather_Site!D194</f>
        <v>0</v>
      </c>
      <c r="C184">
        <f>Weather_Site!E194</f>
        <v>0</v>
      </c>
      <c r="D184">
        <f>Weather_Site!F194</f>
        <v>0</v>
      </c>
      <c r="E184">
        <f>Weather_Site!G194</f>
        <v>0</v>
      </c>
      <c r="F184">
        <f>'Forest(McArthur)'!M191</f>
        <v>0</v>
      </c>
      <c r="G184">
        <f>Grass!$C$4</f>
        <v>85</v>
      </c>
      <c r="H184">
        <v>0</v>
      </c>
    </row>
    <row r="185" spans="1:8" x14ac:dyDescent="0.25">
      <c r="A185" s="230">
        <f>Weather_Site!B195+Weather_Site!C195</f>
        <v>0</v>
      </c>
      <c r="B185">
        <f>Weather_Site!D195</f>
        <v>0</v>
      </c>
      <c r="C185">
        <f>Weather_Site!E195</f>
        <v>0</v>
      </c>
      <c r="D185">
        <f>Weather_Site!F195</f>
        <v>0</v>
      </c>
      <c r="E185">
        <f>Weather_Site!G195</f>
        <v>0</v>
      </c>
      <c r="F185">
        <f>'Forest(McArthur)'!M192</f>
        <v>0</v>
      </c>
      <c r="G185">
        <f>Grass!$C$4</f>
        <v>85</v>
      </c>
      <c r="H185">
        <v>0</v>
      </c>
    </row>
    <row r="186" spans="1:8" x14ac:dyDescent="0.25">
      <c r="A186" s="230">
        <f>Weather_Site!B196+Weather_Site!C196</f>
        <v>0</v>
      </c>
      <c r="B186">
        <f>Weather_Site!D196</f>
        <v>0</v>
      </c>
      <c r="C186">
        <f>Weather_Site!E196</f>
        <v>0</v>
      </c>
      <c r="D186">
        <f>Weather_Site!F196</f>
        <v>0</v>
      </c>
      <c r="E186">
        <f>Weather_Site!G196</f>
        <v>0</v>
      </c>
      <c r="F186">
        <f>'Forest(McArthur)'!M193</f>
        <v>0</v>
      </c>
      <c r="G186">
        <f>Grass!$C$4</f>
        <v>85</v>
      </c>
      <c r="H186">
        <v>0</v>
      </c>
    </row>
    <row r="187" spans="1:8" x14ac:dyDescent="0.25">
      <c r="A187" s="230">
        <f>Weather_Site!B197+Weather_Site!C197</f>
        <v>0</v>
      </c>
      <c r="B187">
        <f>Weather_Site!D197</f>
        <v>0</v>
      </c>
      <c r="C187">
        <f>Weather_Site!E197</f>
        <v>0</v>
      </c>
      <c r="D187">
        <f>Weather_Site!F197</f>
        <v>0</v>
      </c>
      <c r="E187">
        <f>Weather_Site!G197</f>
        <v>0</v>
      </c>
      <c r="F187">
        <f>'Forest(McArthur)'!M194</f>
        <v>0</v>
      </c>
      <c r="G187">
        <f>Grass!$C$4</f>
        <v>85</v>
      </c>
      <c r="H187">
        <v>0</v>
      </c>
    </row>
    <row r="188" spans="1:8" x14ac:dyDescent="0.25">
      <c r="A188" s="230">
        <f>Weather_Site!B198+Weather_Site!C198</f>
        <v>0</v>
      </c>
      <c r="B188">
        <f>Weather_Site!D198</f>
        <v>0</v>
      </c>
      <c r="C188">
        <f>Weather_Site!E198</f>
        <v>0</v>
      </c>
      <c r="D188">
        <f>Weather_Site!F198</f>
        <v>0</v>
      </c>
      <c r="E188">
        <f>Weather_Site!G198</f>
        <v>0</v>
      </c>
      <c r="F188">
        <f>'Forest(McArthur)'!M195</f>
        <v>0</v>
      </c>
      <c r="G188">
        <f>Grass!$C$4</f>
        <v>85</v>
      </c>
      <c r="H188">
        <v>0</v>
      </c>
    </row>
    <row r="189" spans="1:8" x14ac:dyDescent="0.25">
      <c r="A189" s="230">
        <f>Weather_Site!B199+Weather_Site!C199</f>
        <v>0</v>
      </c>
      <c r="B189">
        <f>Weather_Site!D199</f>
        <v>0</v>
      </c>
      <c r="C189">
        <f>Weather_Site!E199</f>
        <v>0</v>
      </c>
      <c r="D189">
        <f>Weather_Site!F199</f>
        <v>0</v>
      </c>
      <c r="E189">
        <f>Weather_Site!G199</f>
        <v>0</v>
      </c>
      <c r="F189">
        <f>'Forest(McArthur)'!M196</f>
        <v>0</v>
      </c>
      <c r="G189">
        <f>Grass!$C$4</f>
        <v>85</v>
      </c>
      <c r="H189">
        <v>0</v>
      </c>
    </row>
    <row r="190" spans="1:8" x14ac:dyDescent="0.25">
      <c r="A190" s="230">
        <f>Weather_Site!B200+Weather_Site!C200</f>
        <v>0</v>
      </c>
      <c r="B190">
        <f>Weather_Site!D200</f>
        <v>0</v>
      </c>
      <c r="C190">
        <f>Weather_Site!E200</f>
        <v>0</v>
      </c>
      <c r="D190">
        <f>Weather_Site!F200</f>
        <v>0</v>
      </c>
      <c r="E190">
        <f>Weather_Site!G200</f>
        <v>0</v>
      </c>
      <c r="F190">
        <f>'Forest(McArthur)'!M197</f>
        <v>0</v>
      </c>
      <c r="G190">
        <f>Grass!$C$4</f>
        <v>85</v>
      </c>
      <c r="H190">
        <v>0</v>
      </c>
    </row>
    <row r="191" spans="1:8" x14ac:dyDescent="0.25">
      <c r="A191" s="230">
        <f>Weather_Site!B201+Weather_Site!C201</f>
        <v>0</v>
      </c>
      <c r="B191">
        <f>Weather_Site!D201</f>
        <v>0</v>
      </c>
      <c r="C191">
        <f>Weather_Site!E201</f>
        <v>0</v>
      </c>
      <c r="D191">
        <f>Weather_Site!F201</f>
        <v>0</v>
      </c>
      <c r="E191">
        <f>Weather_Site!G201</f>
        <v>0</v>
      </c>
      <c r="F191">
        <f>'Forest(McArthur)'!M198</f>
        <v>0</v>
      </c>
      <c r="G191">
        <f>Grass!$C$4</f>
        <v>85</v>
      </c>
      <c r="H191">
        <v>0</v>
      </c>
    </row>
    <row r="192" spans="1:8" x14ac:dyDescent="0.25">
      <c r="A192" s="230">
        <f>Weather_Site!B202+Weather_Site!C202</f>
        <v>0</v>
      </c>
      <c r="B192">
        <f>Weather_Site!D202</f>
        <v>0</v>
      </c>
      <c r="C192">
        <f>Weather_Site!E202</f>
        <v>0</v>
      </c>
      <c r="D192">
        <f>Weather_Site!F202</f>
        <v>0</v>
      </c>
      <c r="E192">
        <f>Weather_Site!G202</f>
        <v>0</v>
      </c>
      <c r="F192">
        <f>'Forest(McArthur)'!M199</f>
        <v>0</v>
      </c>
      <c r="G192">
        <f>Grass!$C$4</f>
        <v>85</v>
      </c>
      <c r="H192">
        <v>0</v>
      </c>
    </row>
    <row r="193" spans="1:8" x14ac:dyDescent="0.25">
      <c r="A193" s="230">
        <f>Weather_Site!B203+Weather_Site!C203</f>
        <v>0</v>
      </c>
      <c r="B193">
        <f>Weather_Site!D203</f>
        <v>0</v>
      </c>
      <c r="C193">
        <f>Weather_Site!E203</f>
        <v>0</v>
      </c>
      <c r="D193">
        <f>Weather_Site!F203</f>
        <v>0</v>
      </c>
      <c r="E193">
        <f>Weather_Site!G203</f>
        <v>0</v>
      </c>
      <c r="F193">
        <f>'Forest(McArthur)'!M200</f>
        <v>0</v>
      </c>
      <c r="G193">
        <f>Grass!$C$4</f>
        <v>85</v>
      </c>
      <c r="H193">
        <v>0</v>
      </c>
    </row>
    <row r="194" spans="1:8" x14ac:dyDescent="0.25">
      <c r="A194" s="230">
        <f>Weather_Site!B204+Weather_Site!C204</f>
        <v>0</v>
      </c>
      <c r="B194">
        <f>Weather_Site!D204</f>
        <v>0</v>
      </c>
      <c r="C194">
        <f>Weather_Site!E204</f>
        <v>0</v>
      </c>
      <c r="D194">
        <f>Weather_Site!F204</f>
        <v>0</v>
      </c>
      <c r="E194">
        <f>Weather_Site!G204</f>
        <v>0</v>
      </c>
      <c r="F194">
        <f>'Forest(McArthur)'!M201</f>
        <v>0</v>
      </c>
      <c r="G194">
        <f>Grass!$C$4</f>
        <v>85</v>
      </c>
      <c r="H194">
        <v>0</v>
      </c>
    </row>
    <row r="195" spans="1:8" x14ac:dyDescent="0.25">
      <c r="A195" s="230">
        <f>Weather_Site!B205+Weather_Site!C205</f>
        <v>0</v>
      </c>
      <c r="B195">
        <f>Weather_Site!D205</f>
        <v>0</v>
      </c>
      <c r="C195">
        <f>Weather_Site!E205</f>
        <v>0</v>
      </c>
      <c r="D195">
        <f>Weather_Site!F205</f>
        <v>0</v>
      </c>
      <c r="E195">
        <f>Weather_Site!G205</f>
        <v>0</v>
      </c>
      <c r="F195">
        <f>'Forest(McArthur)'!M202</f>
        <v>0</v>
      </c>
      <c r="G195">
        <f>Grass!$C$4</f>
        <v>85</v>
      </c>
      <c r="H195">
        <v>0</v>
      </c>
    </row>
    <row r="196" spans="1:8" x14ac:dyDescent="0.25">
      <c r="A196" s="230">
        <f>Weather_Site!B206+Weather_Site!C206</f>
        <v>0</v>
      </c>
      <c r="B196">
        <f>Weather_Site!D206</f>
        <v>0</v>
      </c>
      <c r="C196">
        <f>Weather_Site!E206</f>
        <v>0</v>
      </c>
      <c r="D196">
        <f>Weather_Site!F206</f>
        <v>0</v>
      </c>
      <c r="E196">
        <f>Weather_Site!G206</f>
        <v>0</v>
      </c>
      <c r="F196">
        <f>'Forest(McArthur)'!M203</f>
        <v>0</v>
      </c>
      <c r="G196">
        <f>Grass!$C$4</f>
        <v>85</v>
      </c>
      <c r="H196">
        <v>0</v>
      </c>
    </row>
    <row r="197" spans="1:8" x14ac:dyDescent="0.25">
      <c r="A197" s="230">
        <f>Weather_Site!B207+Weather_Site!C207</f>
        <v>0</v>
      </c>
      <c r="B197">
        <f>Weather_Site!D207</f>
        <v>0</v>
      </c>
      <c r="C197">
        <f>Weather_Site!E207</f>
        <v>0</v>
      </c>
      <c r="D197">
        <f>Weather_Site!F207</f>
        <v>0</v>
      </c>
      <c r="E197">
        <f>Weather_Site!G207</f>
        <v>0</v>
      </c>
      <c r="F197">
        <f>'Forest(McArthur)'!M204</f>
        <v>0</v>
      </c>
      <c r="G197">
        <f>Grass!$C$4</f>
        <v>85</v>
      </c>
      <c r="H197">
        <v>0</v>
      </c>
    </row>
    <row r="198" spans="1:8" x14ac:dyDescent="0.25">
      <c r="A198" s="230">
        <f>Weather_Site!B208+Weather_Site!C208</f>
        <v>0</v>
      </c>
      <c r="B198">
        <f>Weather_Site!D208</f>
        <v>0</v>
      </c>
      <c r="C198">
        <f>Weather_Site!E208</f>
        <v>0</v>
      </c>
      <c r="D198">
        <f>Weather_Site!F208</f>
        <v>0</v>
      </c>
      <c r="E198">
        <f>Weather_Site!G208</f>
        <v>0</v>
      </c>
      <c r="F198">
        <f>'Forest(McArthur)'!M205</f>
        <v>0</v>
      </c>
      <c r="G198">
        <f>Grass!$C$4</f>
        <v>85</v>
      </c>
      <c r="H198">
        <v>0</v>
      </c>
    </row>
    <row r="199" spans="1:8" x14ac:dyDescent="0.25">
      <c r="A199" s="230">
        <f>Weather_Site!B209+Weather_Site!C209</f>
        <v>0</v>
      </c>
      <c r="B199">
        <f>Weather_Site!D209</f>
        <v>0</v>
      </c>
      <c r="C199">
        <f>Weather_Site!E209</f>
        <v>0</v>
      </c>
      <c r="D199">
        <f>Weather_Site!F209</f>
        <v>0</v>
      </c>
      <c r="E199">
        <f>Weather_Site!G209</f>
        <v>0</v>
      </c>
      <c r="F199">
        <f>'Forest(McArthur)'!M206</f>
        <v>0</v>
      </c>
      <c r="G199">
        <f>Grass!$C$4</f>
        <v>85</v>
      </c>
      <c r="H199">
        <v>0</v>
      </c>
    </row>
    <row r="200" spans="1:8" x14ac:dyDescent="0.25">
      <c r="A200" s="230">
        <f>Weather_Site!B210+Weather_Site!C210</f>
        <v>0</v>
      </c>
      <c r="B200">
        <f>Weather_Site!D210</f>
        <v>0</v>
      </c>
      <c r="C200">
        <f>Weather_Site!E210</f>
        <v>0</v>
      </c>
      <c r="D200">
        <f>Weather_Site!F210</f>
        <v>0</v>
      </c>
      <c r="E200">
        <f>Weather_Site!G210</f>
        <v>0</v>
      </c>
      <c r="F200">
        <f>'Forest(McArthur)'!M207</f>
        <v>0</v>
      </c>
      <c r="G200">
        <f>Grass!$C$4</f>
        <v>85</v>
      </c>
      <c r="H200">
        <v>0</v>
      </c>
    </row>
    <row r="201" spans="1:8" x14ac:dyDescent="0.25">
      <c r="A201" s="230">
        <f>Weather_Site!B211+Weather_Site!C211</f>
        <v>0</v>
      </c>
      <c r="B201">
        <f>Weather_Site!D211</f>
        <v>0</v>
      </c>
      <c r="C201">
        <f>Weather_Site!E211</f>
        <v>0</v>
      </c>
      <c r="D201">
        <f>Weather_Site!F211</f>
        <v>0</v>
      </c>
      <c r="E201">
        <f>Weather_Site!G211</f>
        <v>0</v>
      </c>
      <c r="F201">
        <f>'Forest(McArthur)'!M208</f>
        <v>0</v>
      </c>
      <c r="G201">
        <f>Grass!$C$4</f>
        <v>85</v>
      </c>
      <c r="H201">
        <v>0</v>
      </c>
    </row>
  </sheetData>
  <sheetProtection algorithmName="SHA-512" hashValue="AX/tXE/UD40kNnd5KYchttSO4gDTHsjhzXSCAUdv+TKxqpEiE36/dtp2AqYuoY/pIzhtY3qmaB7LBZxyLH8qlQ==" saltValue="OE+eLZpD2Lo7AY+Pgf17Ow==" spinCount="100000" sheet="1" objects="1" scenarios="1"/>
  <phoneticPr fontId="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46"/>
  </sheetPr>
  <dimension ref="A1:B13"/>
  <sheetViews>
    <sheetView workbookViewId="0">
      <selection activeCell="A2" sqref="A2"/>
    </sheetView>
  </sheetViews>
  <sheetFormatPr defaultRowHeight="13.2" x14ac:dyDescent="0.25"/>
  <cols>
    <col min="1" max="1" width="11.33203125" customWidth="1"/>
    <col min="2" max="2" width="42.44140625" customWidth="1"/>
  </cols>
  <sheetData>
    <row r="1" spans="1:2" x14ac:dyDescent="0.25">
      <c r="A1" s="317" t="s">
        <v>645</v>
      </c>
    </row>
    <row r="3" spans="1:2" ht="39.6" x14ac:dyDescent="0.25">
      <c r="A3" s="316" t="s">
        <v>366</v>
      </c>
      <c r="B3" s="315" t="s">
        <v>646</v>
      </c>
    </row>
    <row r="4" spans="1:2" x14ac:dyDescent="0.25">
      <c r="A4" s="29">
        <v>1</v>
      </c>
      <c r="B4" s="5" t="s">
        <v>647</v>
      </c>
    </row>
    <row r="5" spans="1:2" x14ac:dyDescent="0.25">
      <c r="A5" s="29">
        <v>1.2</v>
      </c>
      <c r="B5" s="5" t="s">
        <v>648</v>
      </c>
    </row>
    <row r="6" spans="1:2" x14ac:dyDescent="0.25">
      <c r="A6" s="29">
        <v>1.5</v>
      </c>
      <c r="B6" s="5" t="s">
        <v>649</v>
      </c>
    </row>
    <row r="7" spans="1:2" x14ac:dyDescent="0.25">
      <c r="A7" s="29">
        <v>2</v>
      </c>
      <c r="B7" s="5" t="s">
        <v>650</v>
      </c>
    </row>
    <row r="8" spans="1:2" x14ac:dyDescent="0.25">
      <c r="A8" s="29">
        <v>2.5</v>
      </c>
      <c r="B8" s="5" t="s">
        <v>655</v>
      </c>
    </row>
    <row r="9" spans="1:2" x14ac:dyDescent="0.25">
      <c r="A9" s="293">
        <v>3</v>
      </c>
      <c r="B9" s="280" t="s">
        <v>654</v>
      </c>
    </row>
    <row r="10" spans="1:2" x14ac:dyDescent="0.25">
      <c r="A10" s="29">
        <v>3.5</v>
      </c>
      <c r="B10" s="5" t="s">
        <v>651</v>
      </c>
    </row>
    <row r="11" spans="1:2" x14ac:dyDescent="0.25">
      <c r="A11" s="29" t="s">
        <v>691</v>
      </c>
      <c r="B11" s="5" t="s">
        <v>652</v>
      </c>
    </row>
    <row r="12" spans="1:2" x14ac:dyDescent="0.25">
      <c r="A12" s="29" t="s">
        <v>692</v>
      </c>
      <c r="B12" s="5" t="s">
        <v>653</v>
      </c>
    </row>
    <row r="13" spans="1:2" x14ac:dyDescent="0.25">
      <c r="A13" s="29" t="s">
        <v>693</v>
      </c>
      <c r="B13" s="5" t="s">
        <v>556</v>
      </c>
    </row>
  </sheetData>
  <phoneticPr fontId="6"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AI83"/>
  <sheetViews>
    <sheetView topLeftCell="G1" zoomScale="75" workbookViewId="0">
      <selection activeCell="AL38" sqref="AL38"/>
    </sheetView>
  </sheetViews>
  <sheetFormatPr defaultRowHeight="13.2" x14ac:dyDescent="0.25"/>
  <cols>
    <col min="1" max="1" width="12.5546875" customWidth="1"/>
    <col min="2" max="2" width="15.88671875" customWidth="1"/>
    <col min="3" max="3" width="10.33203125" customWidth="1"/>
    <col min="5" max="5" width="29.5546875" customWidth="1"/>
    <col min="6" max="6" width="72.88671875" customWidth="1"/>
    <col min="7" max="7" width="10.33203125" customWidth="1"/>
    <col min="8" max="8" width="12.109375" customWidth="1"/>
    <col min="12" max="23" width="6.109375" customWidth="1"/>
    <col min="24" max="27" width="8.109375" customWidth="1"/>
  </cols>
  <sheetData>
    <row r="2" spans="1:35" x14ac:dyDescent="0.25">
      <c r="C2" t="s">
        <v>403</v>
      </c>
      <c r="X2" t="s">
        <v>694</v>
      </c>
      <c r="AC2" s="358" t="s">
        <v>695</v>
      </c>
      <c r="AD2" s="358"/>
      <c r="AE2" s="366">
        <v>3</v>
      </c>
    </row>
    <row r="3" spans="1:35" ht="17.399999999999999" x14ac:dyDescent="0.3">
      <c r="E3" s="284" t="s">
        <v>404</v>
      </c>
      <c r="J3" s="2" t="s">
        <v>405</v>
      </c>
      <c r="L3" t="s">
        <v>406</v>
      </c>
      <c r="O3" t="s">
        <v>407</v>
      </c>
      <c r="R3" t="s">
        <v>408</v>
      </c>
      <c r="U3" t="s">
        <v>409</v>
      </c>
      <c r="V3" s="241" t="s">
        <v>366</v>
      </c>
      <c r="Y3" t="s">
        <v>127</v>
      </c>
      <c r="AA3" t="s">
        <v>643</v>
      </c>
      <c r="AC3" s="367" t="s">
        <v>696</v>
      </c>
      <c r="AD3" s="368"/>
      <c r="AE3" s="368"/>
      <c r="AF3" s="359"/>
      <c r="AG3" s="360" t="s">
        <v>127</v>
      </c>
      <c r="AH3" s="359"/>
      <c r="AI3" s="361" t="s">
        <v>643</v>
      </c>
    </row>
    <row r="4" spans="1:35" ht="13.8" x14ac:dyDescent="0.25">
      <c r="A4" t="s">
        <v>410</v>
      </c>
      <c r="B4" s="285" t="s">
        <v>411</v>
      </c>
      <c r="C4" s="286" t="s">
        <v>412</v>
      </c>
      <c r="D4" s="287" t="s">
        <v>413</v>
      </c>
      <c r="E4" s="286" t="s">
        <v>414</v>
      </c>
      <c r="F4" s="286" t="s">
        <v>415</v>
      </c>
      <c r="G4" s="286" t="s">
        <v>416</v>
      </c>
      <c r="H4" s="286" t="s">
        <v>417</v>
      </c>
      <c r="I4" s="286" t="s">
        <v>418</v>
      </c>
      <c r="J4" s="286" t="s">
        <v>419</v>
      </c>
      <c r="K4" s="286" t="s">
        <v>420</v>
      </c>
      <c r="L4" s="288" t="s">
        <v>421</v>
      </c>
      <c r="M4" s="288" t="s">
        <v>422</v>
      </c>
      <c r="N4" s="288" t="s">
        <v>423</v>
      </c>
      <c r="O4" s="288" t="s">
        <v>421</v>
      </c>
      <c r="P4" s="288" t="s">
        <v>422</v>
      </c>
      <c r="Q4" s="288" t="s">
        <v>423</v>
      </c>
      <c r="R4" s="288" t="s">
        <v>421</v>
      </c>
      <c r="S4" s="288" t="s">
        <v>422</v>
      </c>
      <c r="T4" s="288" t="s">
        <v>423</v>
      </c>
      <c r="V4" s="241"/>
      <c r="X4" s="7" t="s">
        <v>406</v>
      </c>
      <c r="Y4" s="7" t="s">
        <v>407</v>
      </c>
      <c r="Z4" s="7" t="s">
        <v>408</v>
      </c>
      <c r="AA4" s="280" t="s">
        <v>644</v>
      </c>
      <c r="AC4" s="369" t="s">
        <v>406</v>
      </c>
      <c r="AD4" s="369" t="s">
        <v>407</v>
      </c>
      <c r="AE4" s="369" t="s">
        <v>408</v>
      </c>
      <c r="AF4" s="363" t="s">
        <v>406</v>
      </c>
      <c r="AG4" s="363" t="s">
        <v>407</v>
      </c>
      <c r="AH4" s="363" t="s">
        <v>408</v>
      </c>
      <c r="AI4" s="362" t="s">
        <v>644</v>
      </c>
    </row>
    <row r="5" spans="1:35" x14ac:dyDescent="0.25">
      <c r="B5" s="289" t="s">
        <v>424</v>
      </c>
      <c r="C5" s="157" t="s">
        <v>425</v>
      </c>
      <c r="D5" s="265">
        <v>0</v>
      </c>
      <c r="E5" s="290" t="s">
        <v>426</v>
      </c>
      <c r="F5" s="5" t="s">
        <v>427</v>
      </c>
      <c r="G5" s="29">
        <v>0</v>
      </c>
      <c r="H5" s="5"/>
      <c r="I5" s="29">
        <v>0</v>
      </c>
      <c r="J5" s="29">
        <v>0</v>
      </c>
      <c r="K5" s="29">
        <v>0</v>
      </c>
      <c r="L5" s="5">
        <v>0</v>
      </c>
      <c r="M5" s="5">
        <v>0</v>
      </c>
      <c r="N5" s="5">
        <v>0</v>
      </c>
      <c r="O5" s="5">
        <v>0</v>
      </c>
      <c r="P5" s="5">
        <v>0</v>
      </c>
      <c r="Q5" s="5">
        <v>0</v>
      </c>
      <c r="R5" s="5">
        <v>0</v>
      </c>
      <c r="S5" s="5">
        <v>0</v>
      </c>
      <c r="T5" s="5">
        <v>0</v>
      </c>
      <c r="U5" s="2"/>
      <c r="V5" s="241">
        <v>1</v>
      </c>
      <c r="X5" s="313">
        <v>0</v>
      </c>
      <c r="Y5" s="313">
        <v>1.0362554112554113E-2</v>
      </c>
      <c r="Z5" s="313">
        <v>7.9218150830847895E-3</v>
      </c>
      <c r="AA5" s="314">
        <v>1.8284369195638903E-2</v>
      </c>
      <c r="AC5" s="370">
        <f>L5*(1-EXP(-M5*$AE$2))+N5</f>
        <v>0</v>
      </c>
      <c r="AD5" s="370">
        <f>O5*(1-EXP(-P5*$AE$2))+Q5</f>
        <v>0</v>
      </c>
      <c r="AE5" s="370">
        <f>R5*(1-EXP(-S5*$AE$2))+T5</f>
        <v>0</v>
      </c>
      <c r="AF5" s="364">
        <f>(-22.17*AC5)/(-9.605+AC5)</f>
        <v>0</v>
      </c>
      <c r="AG5" s="364">
        <f>11.49/(1+1107.8*EXP(-1.78*AD5))</f>
        <v>1.0362554112554113E-2</v>
      </c>
      <c r="AH5" s="364">
        <f>7.437/(1+937.8*EXP(-1.905*AE5))</f>
        <v>7.9218150830847895E-3</v>
      </c>
      <c r="AI5" s="365">
        <f>SUM(AF5:AH5)</f>
        <v>1.8284369195638903E-2</v>
      </c>
    </row>
    <row r="6" spans="1:35" x14ac:dyDescent="0.25">
      <c r="B6" s="291" t="s">
        <v>428</v>
      </c>
      <c r="C6" s="292" t="s">
        <v>429</v>
      </c>
      <c r="D6" s="265">
        <v>30</v>
      </c>
      <c r="E6" s="280" t="s">
        <v>430</v>
      </c>
      <c r="F6" s="280" t="s">
        <v>431</v>
      </c>
      <c r="G6" s="293">
        <v>100</v>
      </c>
      <c r="H6" s="294">
        <v>8</v>
      </c>
      <c r="I6" s="293">
        <v>1</v>
      </c>
      <c r="J6" s="293">
        <v>0</v>
      </c>
      <c r="K6" s="293">
        <v>0</v>
      </c>
      <c r="L6" s="280">
        <v>0.7</v>
      </c>
      <c r="M6" s="280">
        <v>0.15</v>
      </c>
      <c r="N6" s="280">
        <v>0.3</v>
      </c>
      <c r="O6" s="280">
        <v>0</v>
      </c>
      <c r="P6" s="280">
        <v>0</v>
      </c>
      <c r="Q6" s="280">
        <v>0</v>
      </c>
      <c r="R6" s="280">
        <v>0</v>
      </c>
      <c r="S6" s="280">
        <v>0</v>
      </c>
      <c r="T6" s="280">
        <v>0</v>
      </c>
      <c r="U6" s="2"/>
      <c r="V6" s="241">
        <v>1</v>
      </c>
      <c r="X6" s="313">
        <v>2.5752957158156216</v>
      </c>
      <c r="Y6" s="313">
        <v>1.0362554112554113E-2</v>
      </c>
      <c r="Z6" s="313">
        <v>7.9218150830847895E-3</v>
      </c>
      <c r="AA6" s="314">
        <v>2.5935800850112605</v>
      </c>
      <c r="AC6" s="370">
        <f t="shared" ref="AC6:AC45" si="0">L6*(1-EXP(-M6*$AE$2))+N6</f>
        <v>0.55366029386475857</v>
      </c>
      <c r="AD6" s="370">
        <f t="shared" ref="AD6:AD53" si="1">O6*(1-EXP(-P6*$AE$2))+Q6</f>
        <v>0</v>
      </c>
      <c r="AE6" s="370">
        <f t="shared" ref="AE6:AE53" si="2">R6*(1-EXP(-S6*$AE$2))+T6</f>
        <v>0</v>
      </c>
      <c r="AF6" s="364">
        <f t="shared" ref="AF6:AF44" si="3">(-22.17*AC6)/(-9.605+AC6)</f>
        <v>1.3561140243870873</v>
      </c>
      <c r="AG6" s="364">
        <f t="shared" ref="AG6:AG44" si="4">11.49/(1+1107.8*EXP(-1.78*AD6))</f>
        <v>1.0362554112554113E-2</v>
      </c>
      <c r="AH6" s="364">
        <f t="shared" ref="AH6:AH44" si="5">7.437/(1+937.8*EXP(-1.905*AE6))</f>
        <v>7.9218150830847895E-3</v>
      </c>
      <c r="AI6" s="365">
        <f t="shared" ref="AI6:AI45" si="6">SUM(AF6:AH6)</f>
        <v>1.3743983935827262</v>
      </c>
    </row>
    <row r="7" spans="1:35" x14ac:dyDescent="0.25">
      <c r="B7" s="34"/>
      <c r="C7" s="292" t="s">
        <v>432</v>
      </c>
      <c r="D7" s="265">
        <v>36</v>
      </c>
      <c r="E7" s="280" t="s">
        <v>433</v>
      </c>
      <c r="F7" s="280" t="s">
        <v>434</v>
      </c>
      <c r="G7" s="293">
        <v>100</v>
      </c>
      <c r="H7" s="294">
        <v>8</v>
      </c>
      <c r="I7" s="293">
        <v>2</v>
      </c>
      <c r="J7" s="293">
        <v>0</v>
      </c>
      <c r="K7" s="293">
        <v>0</v>
      </c>
      <c r="L7" s="280">
        <v>1.5</v>
      </c>
      <c r="M7" s="280">
        <v>0.2</v>
      </c>
      <c r="N7" s="280">
        <v>0.5</v>
      </c>
      <c r="O7" s="280">
        <v>0</v>
      </c>
      <c r="P7" s="280">
        <v>0</v>
      </c>
      <c r="Q7" s="280">
        <v>0</v>
      </c>
      <c r="R7" s="280">
        <v>0</v>
      </c>
      <c r="S7" s="280">
        <v>0</v>
      </c>
      <c r="T7" s="280">
        <v>0</v>
      </c>
      <c r="U7" s="2"/>
      <c r="V7" s="241">
        <v>1.2</v>
      </c>
      <c r="X7" s="313">
        <v>5.8301240229459594</v>
      </c>
      <c r="Y7" s="313">
        <v>1.0362554112554113E-2</v>
      </c>
      <c r="Z7" s="313">
        <v>7.9218150830847895E-3</v>
      </c>
      <c r="AA7" s="314">
        <v>5.8484083921415984</v>
      </c>
      <c r="AC7" s="370">
        <f t="shared" si="0"/>
        <v>1.1767825458589605</v>
      </c>
      <c r="AD7" s="370">
        <f t="shared" si="1"/>
        <v>0</v>
      </c>
      <c r="AE7" s="370">
        <f t="shared" si="2"/>
        <v>0</v>
      </c>
      <c r="AF7" s="364">
        <f>(-22.17*AC7)/(-9.605+AC7)</f>
        <v>3.0954670051701982</v>
      </c>
      <c r="AG7" s="364">
        <f>11.49/(1+1107.8*EXP(-1.78*AD7))</f>
        <v>1.0362554112554113E-2</v>
      </c>
      <c r="AH7" s="364">
        <f>7.437/(1+937.8*EXP(-1.905*AE7))</f>
        <v>7.9218150830847895E-3</v>
      </c>
      <c r="AI7" s="365">
        <f>SUM(AF7:AH7)</f>
        <v>3.1137513743658372</v>
      </c>
    </row>
    <row r="8" spans="1:35" x14ac:dyDescent="0.25">
      <c r="B8" s="34"/>
      <c r="C8" s="292" t="s">
        <v>435</v>
      </c>
      <c r="D8" s="265">
        <v>34</v>
      </c>
      <c r="E8" s="280" t="s">
        <v>436</v>
      </c>
      <c r="F8" s="280" t="s">
        <v>437</v>
      </c>
      <c r="G8" s="293">
        <v>100</v>
      </c>
      <c r="H8" s="294">
        <v>2</v>
      </c>
      <c r="I8" s="293">
        <v>2</v>
      </c>
      <c r="J8" s="293">
        <v>0</v>
      </c>
      <c r="K8" s="293">
        <v>0</v>
      </c>
      <c r="L8" s="280">
        <v>1</v>
      </c>
      <c r="M8" s="280">
        <v>0.6</v>
      </c>
      <c r="N8" s="280">
        <v>0.6</v>
      </c>
      <c r="O8" s="280">
        <v>0</v>
      </c>
      <c r="P8" s="280">
        <v>0</v>
      </c>
      <c r="Q8" s="280">
        <v>0</v>
      </c>
      <c r="R8" s="280">
        <v>0</v>
      </c>
      <c r="S8" s="280">
        <v>0</v>
      </c>
      <c r="T8" s="280">
        <v>0</v>
      </c>
      <c r="U8" s="2"/>
      <c r="V8" s="241">
        <v>1.2</v>
      </c>
      <c r="X8" s="313">
        <v>4.431230480949095</v>
      </c>
      <c r="Y8" s="313">
        <v>1.0362554112554113E-2</v>
      </c>
      <c r="Z8" s="313">
        <v>7.9218150830847895E-3</v>
      </c>
      <c r="AA8" s="314">
        <v>4.4495148501447339</v>
      </c>
      <c r="AC8" s="370">
        <f t="shared" si="0"/>
        <v>1.4347011117784134</v>
      </c>
      <c r="AD8" s="370">
        <f t="shared" si="1"/>
        <v>0</v>
      </c>
      <c r="AE8" s="370">
        <f t="shared" si="2"/>
        <v>0</v>
      </c>
      <c r="AF8" s="364">
        <f t="shared" si="3"/>
        <v>3.8930428474264622</v>
      </c>
      <c r="AG8" s="364">
        <f t="shared" si="4"/>
        <v>1.0362554112554113E-2</v>
      </c>
      <c r="AH8" s="364">
        <f t="shared" si="5"/>
        <v>7.9218150830847895E-3</v>
      </c>
      <c r="AI8" s="365">
        <f t="shared" si="6"/>
        <v>3.9113272166221011</v>
      </c>
    </row>
    <row r="9" spans="1:35" x14ac:dyDescent="0.25">
      <c r="B9" s="34"/>
      <c r="C9" s="292" t="s">
        <v>435</v>
      </c>
      <c r="D9" s="265">
        <v>37</v>
      </c>
      <c r="E9" s="280" t="s">
        <v>438</v>
      </c>
      <c r="F9" s="280" t="s">
        <v>439</v>
      </c>
      <c r="G9" s="293">
        <v>100</v>
      </c>
      <c r="H9" s="294" t="s">
        <v>440</v>
      </c>
      <c r="I9" s="293">
        <v>1</v>
      </c>
      <c r="J9" s="293">
        <v>0</v>
      </c>
      <c r="K9" s="293">
        <v>0</v>
      </c>
      <c r="L9" s="280">
        <v>1</v>
      </c>
      <c r="M9" s="280">
        <v>0.7</v>
      </c>
      <c r="N9" s="280">
        <v>0</v>
      </c>
      <c r="O9" s="280">
        <v>0</v>
      </c>
      <c r="P9" s="280">
        <v>0</v>
      </c>
      <c r="Q9" s="280">
        <v>0</v>
      </c>
      <c r="R9" s="280">
        <v>0</v>
      </c>
      <c r="S9" s="280">
        <v>0</v>
      </c>
      <c r="T9" s="280">
        <v>0</v>
      </c>
      <c r="U9" s="2"/>
      <c r="V9" s="241">
        <v>1.2</v>
      </c>
      <c r="X9" s="313">
        <v>2.5764090644973838</v>
      </c>
      <c r="Y9" s="313">
        <v>1.0362554112554113E-2</v>
      </c>
      <c r="Z9" s="313">
        <v>7.9218150830847895E-3</v>
      </c>
      <c r="AA9" s="314">
        <v>2.5946934336930227</v>
      </c>
      <c r="AC9" s="370">
        <f t="shared" si="0"/>
        <v>0.87754357174701803</v>
      </c>
      <c r="AD9" s="370">
        <f t="shared" si="1"/>
        <v>0</v>
      </c>
      <c r="AE9" s="370">
        <f t="shared" si="2"/>
        <v>0</v>
      </c>
      <c r="AF9" s="364">
        <f t="shared" si="3"/>
        <v>2.229187982268257</v>
      </c>
      <c r="AG9" s="364">
        <f t="shared" si="4"/>
        <v>1.0362554112554113E-2</v>
      </c>
      <c r="AH9" s="364">
        <f t="shared" si="5"/>
        <v>7.9218150830847895E-3</v>
      </c>
      <c r="AI9" s="365">
        <f t="shared" si="6"/>
        <v>2.2474723514638959</v>
      </c>
    </row>
    <row r="10" spans="1:35" x14ac:dyDescent="0.25">
      <c r="A10" t="s">
        <v>441</v>
      </c>
      <c r="B10" s="295" t="s">
        <v>442</v>
      </c>
      <c r="C10" s="186" t="s">
        <v>443</v>
      </c>
      <c r="D10" s="265">
        <v>16</v>
      </c>
      <c r="E10" s="280" t="s">
        <v>444</v>
      </c>
      <c r="F10" s="280" t="s">
        <v>445</v>
      </c>
      <c r="G10" s="293">
        <v>150</v>
      </c>
      <c r="H10" s="294">
        <v>8</v>
      </c>
      <c r="I10" s="293">
        <v>2.7</v>
      </c>
      <c r="J10" s="293">
        <v>0</v>
      </c>
      <c r="K10" s="293">
        <v>0</v>
      </c>
      <c r="L10" s="280">
        <v>2.2999999999999998</v>
      </c>
      <c r="M10" s="280">
        <v>0.67</v>
      </c>
      <c r="N10" s="280">
        <v>0.4</v>
      </c>
      <c r="O10" s="280">
        <v>0</v>
      </c>
      <c r="P10" s="280">
        <v>0</v>
      </c>
      <c r="Q10" s="280">
        <v>0</v>
      </c>
      <c r="R10" s="280">
        <v>0</v>
      </c>
      <c r="S10" s="280">
        <v>0</v>
      </c>
      <c r="T10" s="280">
        <v>0</v>
      </c>
      <c r="U10" s="2"/>
      <c r="V10" s="241">
        <v>1.2</v>
      </c>
      <c r="X10" s="313">
        <v>8.6689355539463868</v>
      </c>
      <c r="Y10" s="313">
        <v>1.0362554112554113E-2</v>
      </c>
      <c r="Z10" s="313">
        <v>7.9218150830847895E-3</v>
      </c>
      <c r="AA10" s="314">
        <v>8.6872199231420257</v>
      </c>
      <c r="AC10" s="370">
        <f t="shared" si="0"/>
        <v>2.3918260482617484</v>
      </c>
      <c r="AD10" s="370">
        <f t="shared" si="1"/>
        <v>0</v>
      </c>
      <c r="AE10" s="370">
        <f t="shared" si="2"/>
        <v>0</v>
      </c>
      <c r="AF10" s="364">
        <f t="shared" si="3"/>
        <v>7.3513801060051263</v>
      </c>
      <c r="AG10" s="364">
        <f t="shared" si="4"/>
        <v>1.0362554112554113E-2</v>
      </c>
      <c r="AH10" s="364">
        <f t="shared" si="5"/>
        <v>7.9218150830847895E-3</v>
      </c>
      <c r="AI10" s="365">
        <f t="shared" si="6"/>
        <v>7.3696644752007652</v>
      </c>
    </row>
    <row r="11" spans="1:35" x14ac:dyDescent="0.25">
      <c r="B11" s="34"/>
      <c r="C11" s="186" t="s">
        <v>446</v>
      </c>
      <c r="D11" s="265">
        <v>4</v>
      </c>
      <c r="E11" s="280" t="s">
        <v>447</v>
      </c>
      <c r="F11" s="280" t="s">
        <v>448</v>
      </c>
      <c r="G11" s="293">
        <v>150</v>
      </c>
      <c r="H11" s="294">
        <v>1</v>
      </c>
      <c r="I11" s="293">
        <v>3.8</v>
      </c>
      <c r="J11" s="293">
        <v>0</v>
      </c>
      <c r="K11" s="293">
        <v>0</v>
      </c>
      <c r="L11" s="280">
        <v>3.8</v>
      </c>
      <c r="M11" s="280">
        <v>0.7</v>
      </c>
      <c r="N11" s="280">
        <v>0</v>
      </c>
      <c r="O11" s="280">
        <v>0</v>
      </c>
      <c r="P11" s="280">
        <v>0</v>
      </c>
      <c r="Q11" s="280">
        <v>0</v>
      </c>
      <c r="R11" s="280">
        <v>0</v>
      </c>
      <c r="S11" s="280">
        <v>0</v>
      </c>
      <c r="T11" s="280">
        <v>0</v>
      </c>
      <c r="U11" s="2"/>
      <c r="V11" s="241">
        <v>1.5</v>
      </c>
      <c r="X11" s="313">
        <v>14.512661498707992</v>
      </c>
      <c r="Y11" s="313">
        <v>1.0362554112554113E-2</v>
      </c>
      <c r="Z11" s="313">
        <v>7.9218150830847895E-3</v>
      </c>
      <c r="AA11" s="314">
        <v>14.530945867903631</v>
      </c>
      <c r="AC11" s="370">
        <f t="shared" si="0"/>
        <v>3.3346655726386683</v>
      </c>
      <c r="AD11" s="370">
        <f t="shared" si="1"/>
        <v>0</v>
      </c>
      <c r="AE11" s="370">
        <f t="shared" si="2"/>
        <v>0</v>
      </c>
      <c r="AF11" s="364">
        <f>(-22.17*AC11)/(-9.605+AC11)</f>
        <v>11.790365665792747</v>
      </c>
      <c r="AG11" s="364">
        <f>11.49/(1+1107.8*EXP(-1.78*AD11))</f>
        <v>1.0362554112554113E-2</v>
      </c>
      <c r="AH11" s="364">
        <f>7.437/(1+937.8*EXP(-1.905*AE11))</f>
        <v>7.9218150830847895E-3</v>
      </c>
      <c r="AI11" s="365">
        <f>SUM(AF11:AH11)</f>
        <v>11.808650034988386</v>
      </c>
    </row>
    <row r="12" spans="1:35" x14ac:dyDescent="0.25">
      <c r="B12" s="34"/>
      <c r="C12" s="186" t="s">
        <v>449</v>
      </c>
      <c r="D12" s="265">
        <v>29</v>
      </c>
      <c r="E12" s="280" t="s">
        <v>450</v>
      </c>
      <c r="F12" s="280" t="s">
        <v>451</v>
      </c>
      <c r="G12" s="293">
        <v>150</v>
      </c>
      <c r="H12" s="294">
        <v>2</v>
      </c>
      <c r="I12" s="293">
        <v>3.5</v>
      </c>
      <c r="J12" s="293">
        <v>0</v>
      </c>
      <c r="K12" s="293">
        <v>0</v>
      </c>
      <c r="L12" s="280">
        <v>2.5</v>
      </c>
      <c r="M12" s="280">
        <v>0.25</v>
      </c>
      <c r="N12" s="280">
        <v>1</v>
      </c>
      <c r="O12" s="280">
        <v>0</v>
      </c>
      <c r="P12" s="280">
        <v>0</v>
      </c>
      <c r="Q12" s="280">
        <v>0</v>
      </c>
      <c r="R12" s="280">
        <v>0</v>
      </c>
      <c r="S12" s="280">
        <v>0</v>
      </c>
      <c r="T12" s="280">
        <v>0</v>
      </c>
      <c r="U12" s="2"/>
      <c r="V12" s="241">
        <v>1.2</v>
      </c>
      <c r="X12" s="313">
        <v>12.710020480860376</v>
      </c>
      <c r="Y12" s="313">
        <v>1.0362554112554113E-2</v>
      </c>
      <c r="Z12" s="313">
        <v>7.9218150830847895E-3</v>
      </c>
      <c r="AA12" s="314">
        <v>12.728304850056015</v>
      </c>
      <c r="AC12" s="370">
        <f t="shared" si="0"/>
        <v>2.319083618147463</v>
      </c>
      <c r="AD12" s="370">
        <f t="shared" si="1"/>
        <v>0</v>
      </c>
      <c r="AE12" s="370">
        <f t="shared" si="2"/>
        <v>0</v>
      </c>
      <c r="AF12" s="364">
        <f t="shared" si="3"/>
        <v>7.0566392914403133</v>
      </c>
      <c r="AG12" s="364">
        <f t="shared" si="4"/>
        <v>1.0362554112554113E-2</v>
      </c>
      <c r="AH12" s="364">
        <f t="shared" si="5"/>
        <v>7.9218150830847895E-3</v>
      </c>
      <c r="AI12" s="365">
        <f t="shared" si="6"/>
        <v>7.0749236606359522</v>
      </c>
    </row>
    <row r="13" spans="1:35" x14ac:dyDescent="0.25">
      <c r="A13" t="s">
        <v>441</v>
      </c>
      <c r="B13" s="34"/>
      <c r="C13" s="186" t="s">
        <v>452</v>
      </c>
      <c r="D13" s="265">
        <v>20</v>
      </c>
      <c r="E13" s="280" t="s">
        <v>453</v>
      </c>
      <c r="F13" s="280" t="s">
        <v>454</v>
      </c>
      <c r="G13" s="293">
        <v>150</v>
      </c>
      <c r="H13" s="294" t="s">
        <v>455</v>
      </c>
      <c r="I13" s="293">
        <v>1.8</v>
      </c>
      <c r="J13" s="293">
        <v>0</v>
      </c>
      <c r="K13" s="293">
        <v>0</v>
      </c>
      <c r="L13" s="280">
        <v>1.2</v>
      </c>
      <c r="M13" s="280">
        <v>0.9</v>
      </c>
      <c r="N13" s="280">
        <v>0.6</v>
      </c>
      <c r="O13" s="280">
        <v>0</v>
      </c>
      <c r="P13" s="280">
        <v>0</v>
      </c>
      <c r="Q13" s="280">
        <v>0</v>
      </c>
      <c r="R13" s="280">
        <v>0</v>
      </c>
      <c r="S13" s="280">
        <v>0</v>
      </c>
      <c r="T13" s="280">
        <v>0</v>
      </c>
      <c r="U13" s="2"/>
      <c r="V13" s="241">
        <v>1.2</v>
      </c>
      <c r="X13" s="313">
        <v>5.1128763613068537</v>
      </c>
      <c r="Y13" s="313">
        <v>1.0362554112554113E-2</v>
      </c>
      <c r="Z13" s="313">
        <v>7.9218150830847895E-3</v>
      </c>
      <c r="AA13" s="314">
        <v>5.1311607305024927</v>
      </c>
      <c r="AC13" s="370">
        <f t="shared" si="0"/>
        <v>1.7193533847123001</v>
      </c>
      <c r="AD13" s="370">
        <f t="shared" si="1"/>
        <v>0</v>
      </c>
      <c r="AE13" s="370">
        <f t="shared" si="2"/>
        <v>0</v>
      </c>
      <c r="AF13" s="364">
        <f>(-22.17*AC13)/(-9.605+AC13)</f>
        <v>4.8338540133377501</v>
      </c>
      <c r="AG13" s="364">
        <f>11.49/(1+1107.8*EXP(-1.78*AD13))</f>
        <v>1.0362554112554113E-2</v>
      </c>
      <c r="AH13" s="364">
        <f>7.437/(1+937.8*EXP(-1.905*AE13))</f>
        <v>7.9218150830847895E-3</v>
      </c>
      <c r="AI13" s="365">
        <f>SUM(AF13:AH13)</f>
        <v>4.852138382533389</v>
      </c>
    </row>
    <row r="14" spans="1:35" x14ac:dyDescent="0.25">
      <c r="A14" t="s">
        <v>441</v>
      </c>
      <c r="B14" s="34"/>
      <c r="C14" s="186" t="s">
        <v>456</v>
      </c>
      <c r="D14" s="265">
        <v>44</v>
      </c>
      <c r="E14" s="280" t="s">
        <v>457</v>
      </c>
      <c r="F14" s="280" t="s">
        <v>458</v>
      </c>
      <c r="G14" s="293">
        <v>150</v>
      </c>
      <c r="H14" s="294">
        <v>4</v>
      </c>
      <c r="I14" s="293">
        <v>4</v>
      </c>
      <c r="J14" s="293">
        <v>0</v>
      </c>
      <c r="K14" s="293">
        <v>0</v>
      </c>
      <c r="L14" s="280">
        <v>3.7</v>
      </c>
      <c r="M14" s="280">
        <v>0.15</v>
      </c>
      <c r="N14" s="280">
        <v>0.3</v>
      </c>
      <c r="O14" s="280">
        <v>0</v>
      </c>
      <c r="P14" s="280">
        <v>0</v>
      </c>
      <c r="Q14" s="280">
        <v>0</v>
      </c>
      <c r="R14" s="280">
        <v>0</v>
      </c>
      <c r="S14" s="280">
        <v>0</v>
      </c>
      <c r="T14" s="280">
        <v>0</v>
      </c>
      <c r="U14" s="2"/>
      <c r="V14" s="241">
        <v>1.2</v>
      </c>
      <c r="X14" s="313">
        <v>15.807722020960686</v>
      </c>
      <c r="Y14" s="313">
        <v>1.0362554112554113E-2</v>
      </c>
      <c r="Z14" s="313">
        <v>7.9218150830847895E-3</v>
      </c>
      <c r="AA14" s="314">
        <v>15.826006390156325</v>
      </c>
      <c r="AC14" s="370">
        <f t="shared" si="0"/>
        <v>1.6407758389994387</v>
      </c>
      <c r="AD14" s="370">
        <f t="shared" si="1"/>
        <v>0</v>
      </c>
      <c r="AE14" s="370">
        <f t="shared" si="2"/>
        <v>0</v>
      </c>
      <c r="AF14" s="364">
        <f t="shared" si="3"/>
        <v>4.5674254786479498</v>
      </c>
      <c r="AG14" s="364">
        <f t="shared" si="4"/>
        <v>1.0362554112554113E-2</v>
      </c>
      <c r="AH14" s="364">
        <f t="shared" si="5"/>
        <v>7.9218150830847895E-3</v>
      </c>
      <c r="AI14" s="365">
        <f t="shared" si="6"/>
        <v>4.5857098478435887</v>
      </c>
    </row>
    <row r="15" spans="1:35" x14ac:dyDescent="0.25">
      <c r="A15" t="s">
        <v>441</v>
      </c>
      <c r="B15" s="296" t="s">
        <v>459</v>
      </c>
      <c r="C15" s="297" t="s">
        <v>460</v>
      </c>
      <c r="D15" s="265">
        <v>17</v>
      </c>
      <c r="E15" s="5" t="s">
        <v>461</v>
      </c>
      <c r="F15" s="5" t="s">
        <v>462</v>
      </c>
      <c r="G15" s="29">
        <v>200</v>
      </c>
      <c r="H15" s="298">
        <v>8</v>
      </c>
      <c r="I15" s="29">
        <v>2</v>
      </c>
      <c r="J15" s="29">
        <v>4</v>
      </c>
      <c r="K15" s="29">
        <v>0</v>
      </c>
      <c r="L15" s="5">
        <v>1.6</v>
      </c>
      <c r="M15" s="5">
        <v>0.1</v>
      </c>
      <c r="N15" s="5">
        <v>0.6</v>
      </c>
      <c r="O15" s="5">
        <v>2.5</v>
      </c>
      <c r="P15" s="5">
        <v>0.25</v>
      </c>
      <c r="Q15" s="5">
        <v>1.5</v>
      </c>
      <c r="R15" s="5">
        <v>0</v>
      </c>
      <c r="S15" s="5">
        <v>0</v>
      </c>
      <c r="T15" s="5">
        <v>0</v>
      </c>
      <c r="U15" s="2"/>
      <c r="V15" s="241">
        <v>1.5</v>
      </c>
      <c r="X15" s="313">
        <v>6.5448256101446844</v>
      </c>
      <c r="Y15" s="313">
        <v>6.0602331313706408</v>
      </c>
      <c r="Z15" s="313">
        <v>7.9218150830847895E-3</v>
      </c>
      <c r="AA15" s="314">
        <v>12.61298055659841</v>
      </c>
      <c r="AC15" s="370">
        <f t="shared" si="0"/>
        <v>1.0146908469092515</v>
      </c>
      <c r="AD15" s="370">
        <f t="shared" si="1"/>
        <v>2.819083618147463</v>
      </c>
      <c r="AE15" s="370">
        <f t="shared" si="2"/>
        <v>0</v>
      </c>
      <c r="AF15" s="364">
        <f>(-22.17*AC15)/(-9.605+AC15)</f>
        <v>2.618729509622395</v>
      </c>
      <c r="AG15" s="364">
        <f>11.49/(1+1107.8*EXP(-1.78*AD15))</f>
        <v>1.3791247959526158</v>
      </c>
      <c r="AH15" s="364">
        <f>7.437/(1+937.8*EXP(-1.905*AE15))</f>
        <v>7.9218150830847895E-3</v>
      </c>
      <c r="AI15" s="365">
        <f>SUM(AF15:AH15)</f>
        <v>4.005776120658096</v>
      </c>
    </row>
    <row r="16" spans="1:35" x14ac:dyDescent="0.25">
      <c r="B16" s="34"/>
      <c r="C16" s="297" t="s">
        <v>463</v>
      </c>
      <c r="D16" s="265">
        <v>14</v>
      </c>
      <c r="E16" s="5" t="s">
        <v>464</v>
      </c>
      <c r="F16" s="5" t="s">
        <v>465</v>
      </c>
      <c r="G16" s="29">
        <v>200</v>
      </c>
      <c r="H16" s="299" t="s">
        <v>466</v>
      </c>
      <c r="I16" s="29">
        <v>3</v>
      </c>
      <c r="J16" s="29">
        <v>4</v>
      </c>
      <c r="K16" s="29">
        <v>0</v>
      </c>
      <c r="L16" s="5">
        <v>1.8</v>
      </c>
      <c r="M16" s="5">
        <v>0.2</v>
      </c>
      <c r="N16" s="5">
        <v>1</v>
      </c>
      <c r="O16" s="5">
        <v>2.7</v>
      </c>
      <c r="P16" s="5">
        <v>0.25</v>
      </c>
      <c r="Q16" s="5">
        <v>1</v>
      </c>
      <c r="R16" s="5">
        <v>0</v>
      </c>
      <c r="S16" s="5">
        <v>0</v>
      </c>
      <c r="T16" s="5">
        <v>0</v>
      </c>
      <c r="U16" s="2"/>
      <c r="V16" s="241">
        <v>2.5</v>
      </c>
      <c r="X16" s="313">
        <v>9.1217403149063347</v>
      </c>
      <c r="Y16" s="313">
        <v>4.5445741748800508</v>
      </c>
      <c r="Z16" s="313">
        <v>7.9218150830847895E-3</v>
      </c>
      <c r="AA16" s="314">
        <v>13.674236304869471</v>
      </c>
      <c r="AC16" s="370">
        <f t="shared" si="0"/>
        <v>1.8121390550307526</v>
      </c>
      <c r="AD16" s="370">
        <f t="shared" si="1"/>
        <v>2.4246103075992602</v>
      </c>
      <c r="AE16" s="370">
        <f t="shared" si="2"/>
        <v>0</v>
      </c>
      <c r="AF16" s="364">
        <f t="shared" si="3"/>
        <v>5.1553753023101487</v>
      </c>
      <c r="AG16" s="364">
        <f t="shared" si="4"/>
        <v>0.72742106054286648</v>
      </c>
      <c r="AH16" s="364">
        <f t="shared" si="5"/>
        <v>7.9218150830847895E-3</v>
      </c>
      <c r="AI16" s="365">
        <f t="shared" si="6"/>
        <v>5.8907181779361002</v>
      </c>
    </row>
    <row r="17" spans="1:35" x14ac:dyDescent="0.25">
      <c r="B17" s="34"/>
      <c r="C17" s="297" t="s">
        <v>467</v>
      </c>
      <c r="D17" s="265">
        <v>35</v>
      </c>
      <c r="E17" s="290" t="s">
        <v>468</v>
      </c>
      <c r="F17" s="290" t="s">
        <v>469</v>
      </c>
      <c r="G17" s="29">
        <v>200</v>
      </c>
      <c r="H17" s="300" t="s">
        <v>470</v>
      </c>
      <c r="I17" s="240">
        <v>2</v>
      </c>
      <c r="J17" s="240">
        <v>5</v>
      </c>
      <c r="K17" s="240">
        <v>3</v>
      </c>
      <c r="L17" s="290">
        <v>1.5</v>
      </c>
      <c r="M17" s="290">
        <v>0.35</v>
      </c>
      <c r="N17" s="290">
        <v>1</v>
      </c>
      <c r="O17" s="290">
        <v>4</v>
      </c>
      <c r="P17" s="290">
        <v>0.5</v>
      </c>
      <c r="Q17" s="290">
        <v>1</v>
      </c>
      <c r="R17" s="290">
        <v>2.5</v>
      </c>
      <c r="S17" s="290">
        <v>0.15</v>
      </c>
      <c r="T17" s="290">
        <v>0.5</v>
      </c>
      <c r="U17" s="2"/>
      <c r="V17" s="241">
        <v>1.5</v>
      </c>
      <c r="X17" s="313">
        <v>7.8008443168400454</v>
      </c>
      <c r="Y17" s="313">
        <v>9.9818289641256968</v>
      </c>
      <c r="Z17" s="313">
        <v>1.8142197383897651</v>
      </c>
      <c r="AA17" s="314">
        <v>19.596893019355509</v>
      </c>
      <c r="AC17" s="370">
        <f t="shared" si="0"/>
        <v>1.9750933763332668</v>
      </c>
      <c r="AD17" s="370">
        <f t="shared" si="1"/>
        <v>4.1074793594062804</v>
      </c>
      <c r="AE17" s="370">
        <f t="shared" si="2"/>
        <v>1.4059296209455667</v>
      </c>
      <c r="AF17" s="364">
        <f>(-22.17*AC17)/(-9.605+AC17)</f>
        <v>5.738971957728265</v>
      </c>
      <c r="AG17" s="364">
        <f>11.49/(1+1107.8*EXP(-1.78*AD17))</f>
        <v>6.6036640168940561</v>
      </c>
      <c r="AH17" s="364">
        <f>7.437/(1+937.8*EXP(-1.905*AE17))</f>
        <v>0.11370135984206252</v>
      </c>
      <c r="AI17" s="365">
        <f>SUM(AF17:AH17)</f>
        <v>12.456337334464385</v>
      </c>
    </row>
    <row r="18" spans="1:35" x14ac:dyDescent="0.25">
      <c r="B18" s="34"/>
      <c r="C18" s="297" t="s">
        <v>471</v>
      </c>
      <c r="D18" s="265">
        <v>1</v>
      </c>
      <c r="E18" s="5" t="s">
        <v>472</v>
      </c>
      <c r="F18" s="5" t="s">
        <v>473</v>
      </c>
      <c r="G18" s="29">
        <v>200</v>
      </c>
      <c r="H18" s="299">
        <v>1</v>
      </c>
      <c r="I18" s="29">
        <v>2</v>
      </c>
      <c r="J18" s="29">
        <v>4</v>
      </c>
      <c r="K18" s="29">
        <v>0</v>
      </c>
      <c r="L18" s="5">
        <v>1.5</v>
      </c>
      <c r="M18" s="5">
        <v>0.25</v>
      </c>
      <c r="N18" s="5">
        <v>0.5</v>
      </c>
      <c r="O18" s="5">
        <v>2.5</v>
      </c>
      <c r="P18" s="5">
        <v>0.2</v>
      </c>
      <c r="Q18" s="5">
        <v>1.5</v>
      </c>
      <c r="R18" s="5"/>
      <c r="S18" s="5"/>
      <c r="T18" s="5"/>
      <c r="U18" s="2"/>
      <c r="V18" s="241">
        <v>2</v>
      </c>
      <c r="X18" s="313">
        <v>5.8303541720692902</v>
      </c>
      <c r="Y18" s="313">
        <v>6.0597020386440121</v>
      </c>
      <c r="Z18" s="313">
        <v>7.9218150830847895E-3</v>
      </c>
      <c r="AA18" s="314">
        <v>11.897978025796387</v>
      </c>
      <c r="AC18" s="370">
        <f t="shared" si="0"/>
        <v>1.291450170888478</v>
      </c>
      <c r="AD18" s="370">
        <f t="shared" si="1"/>
        <v>2.627970909764934</v>
      </c>
      <c r="AE18" s="370">
        <f t="shared" si="2"/>
        <v>0</v>
      </c>
      <c r="AF18" s="364">
        <f t="shared" si="3"/>
        <v>3.4439500426567395</v>
      </c>
      <c r="AG18" s="364">
        <f t="shared" si="4"/>
        <v>1.0166295210586076</v>
      </c>
      <c r="AH18" s="364">
        <f t="shared" si="5"/>
        <v>7.9218150830847895E-3</v>
      </c>
      <c r="AI18" s="365">
        <f t="shared" si="6"/>
        <v>4.4685013787984325</v>
      </c>
    </row>
    <row r="19" spans="1:35" x14ac:dyDescent="0.25">
      <c r="A19" t="s">
        <v>441</v>
      </c>
      <c r="B19" s="34"/>
      <c r="C19" s="297" t="s">
        <v>474</v>
      </c>
      <c r="D19" s="265">
        <v>31</v>
      </c>
      <c r="E19" s="290" t="s">
        <v>475</v>
      </c>
      <c r="F19" s="290" t="s">
        <v>476</v>
      </c>
      <c r="G19" s="29">
        <v>200</v>
      </c>
      <c r="H19" s="300" t="s">
        <v>477</v>
      </c>
      <c r="I19" s="240">
        <v>2</v>
      </c>
      <c r="J19" s="240">
        <v>4</v>
      </c>
      <c r="K19" s="240">
        <v>3</v>
      </c>
      <c r="L19" s="290">
        <v>1.8</v>
      </c>
      <c r="M19" s="290">
        <v>0.2</v>
      </c>
      <c r="N19" s="290">
        <v>0.2</v>
      </c>
      <c r="O19" s="290">
        <v>3</v>
      </c>
      <c r="P19" s="290">
        <v>0.35</v>
      </c>
      <c r="Q19" s="290">
        <v>1</v>
      </c>
      <c r="R19" s="290">
        <v>2.5</v>
      </c>
      <c r="S19" s="290">
        <v>0.15</v>
      </c>
      <c r="T19" s="290">
        <v>0.5</v>
      </c>
      <c r="U19" s="2"/>
      <c r="V19" s="241">
        <v>4</v>
      </c>
      <c r="X19" s="313">
        <v>5.8300738773836587</v>
      </c>
      <c r="Y19" s="313">
        <v>6.0602802403288401</v>
      </c>
      <c r="Z19" s="313">
        <v>1.8142197383897651</v>
      </c>
      <c r="AA19" s="314">
        <v>13.704573856102263</v>
      </c>
      <c r="AC19" s="370">
        <f t="shared" si="0"/>
        <v>1.0121390550307525</v>
      </c>
      <c r="AD19" s="370">
        <f t="shared" si="1"/>
        <v>2.9501867526665335</v>
      </c>
      <c r="AE19" s="370">
        <f t="shared" si="2"/>
        <v>1.4059296209455667</v>
      </c>
      <c r="AF19" s="364">
        <f t="shared" si="3"/>
        <v>2.611368087268878</v>
      </c>
      <c r="AG19" s="364">
        <f t="shared" si="4"/>
        <v>1.6883501330033124</v>
      </c>
      <c r="AH19" s="364">
        <f t="shared" si="5"/>
        <v>0.11370135984206252</v>
      </c>
      <c r="AI19" s="365">
        <f t="shared" si="6"/>
        <v>4.4134195801142528</v>
      </c>
    </row>
    <row r="20" spans="1:35" x14ac:dyDescent="0.25">
      <c r="A20" t="s">
        <v>441</v>
      </c>
      <c r="B20" s="34"/>
      <c r="C20" s="297" t="s">
        <v>478</v>
      </c>
      <c r="D20" s="265">
        <v>21</v>
      </c>
      <c r="E20" s="5" t="s">
        <v>479</v>
      </c>
      <c r="F20" s="5" t="s">
        <v>480</v>
      </c>
      <c r="G20" s="29">
        <v>200</v>
      </c>
      <c r="H20" s="299" t="s">
        <v>481</v>
      </c>
      <c r="I20" s="29">
        <v>2</v>
      </c>
      <c r="J20" s="29">
        <v>3</v>
      </c>
      <c r="K20" s="29">
        <v>0</v>
      </c>
      <c r="L20" s="5">
        <v>1.5</v>
      </c>
      <c r="M20" s="5">
        <v>0.25</v>
      </c>
      <c r="N20" s="5">
        <v>0.5</v>
      </c>
      <c r="O20" s="5">
        <v>2</v>
      </c>
      <c r="P20" s="5">
        <v>0.35</v>
      </c>
      <c r="Q20" s="5">
        <v>1</v>
      </c>
      <c r="R20" s="5">
        <v>0</v>
      </c>
      <c r="S20" s="5">
        <v>0</v>
      </c>
      <c r="T20" s="5">
        <v>0</v>
      </c>
      <c r="U20" s="2"/>
      <c r="V20" s="241">
        <v>2</v>
      </c>
      <c r="X20" s="313">
        <v>5.8303541720692902</v>
      </c>
      <c r="Y20" s="313">
        <v>1.8200924766998905</v>
      </c>
      <c r="Z20" s="313">
        <v>7.9218150830847895E-3</v>
      </c>
      <c r="AA20" s="314">
        <v>7.6583684638522662</v>
      </c>
      <c r="AC20" s="370">
        <f t="shared" si="0"/>
        <v>1.291450170888478</v>
      </c>
      <c r="AD20" s="370">
        <f t="shared" si="1"/>
        <v>2.300124501777689</v>
      </c>
      <c r="AE20" s="370">
        <f t="shared" si="2"/>
        <v>0</v>
      </c>
      <c r="AF20" s="364">
        <f t="shared" si="3"/>
        <v>3.4439500426567395</v>
      </c>
      <c r="AG20" s="364">
        <f t="shared" si="4"/>
        <v>0.5902719628919374</v>
      </c>
      <c r="AH20" s="364">
        <f t="shared" si="5"/>
        <v>7.9218150830847895E-3</v>
      </c>
      <c r="AI20" s="365">
        <f t="shared" si="6"/>
        <v>4.0421438206317619</v>
      </c>
    </row>
    <row r="21" spans="1:35" x14ac:dyDescent="0.25">
      <c r="B21" s="34"/>
      <c r="C21" s="297" t="s">
        <v>482</v>
      </c>
      <c r="D21" s="265">
        <v>10</v>
      </c>
      <c r="E21" s="5" t="s">
        <v>483</v>
      </c>
      <c r="F21" s="5" t="s">
        <v>484</v>
      </c>
      <c r="G21" s="29">
        <v>200</v>
      </c>
      <c r="H21" s="299" t="s">
        <v>485</v>
      </c>
      <c r="I21" s="29">
        <v>2</v>
      </c>
      <c r="J21" s="29">
        <v>2</v>
      </c>
      <c r="K21" s="29">
        <v>0</v>
      </c>
      <c r="L21" s="5">
        <v>1.5</v>
      </c>
      <c r="M21" s="5">
        <v>0.25</v>
      </c>
      <c r="N21" s="5">
        <v>0.5</v>
      </c>
      <c r="O21" s="5">
        <v>1.5</v>
      </c>
      <c r="P21" s="5">
        <v>0.2</v>
      </c>
      <c r="Q21" s="5">
        <v>0.5</v>
      </c>
      <c r="R21" s="5">
        <v>0</v>
      </c>
      <c r="S21" s="5">
        <v>0</v>
      </c>
      <c r="T21" s="5">
        <v>0</v>
      </c>
      <c r="U21" s="2"/>
      <c r="V21" s="241">
        <v>1.8</v>
      </c>
      <c r="X21" s="313">
        <v>5.8303541720692902</v>
      </c>
      <c r="Y21" s="313">
        <v>0.35344766181232734</v>
      </c>
      <c r="Z21" s="313">
        <v>7.9218150830847895E-3</v>
      </c>
      <c r="AA21" s="314">
        <v>6.191723648964703</v>
      </c>
      <c r="AC21" s="370">
        <f t="shared" si="0"/>
        <v>1.291450170888478</v>
      </c>
      <c r="AD21" s="370">
        <f t="shared" si="1"/>
        <v>1.1767825458589605</v>
      </c>
      <c r="AE21" s="370">
        <f t="shared" si="2"/>
        <v>0</v>
      </c>
      <c r="AF21" s="364">
        <f>(-22.17*AC21)/(-9.605+AC21)</f>
        <v>3.4439500426567395</v>
      </c>
      <c r="AG21" s="364">
        <f>11.49/(1+1107.8*EXP(-1.78*AD21))</f>
        <v>8.3635523496247852E-2</v>
      </c>
      <c r="AH21" s="364">
        <f>7.437/(1+937.8*EXP(-1.905*AE21))</f>
        <v>7.9218150830847895E-3</v>
      </c>
      <c r="AI21" s="365">
        <f>SUM(AF21:AH21)</f>
        <v>3.535507381236072</v>
      </c>
    </row>
    <row r="22" spans="1:35" x14ac:dyDescent="0.25">
      <c r="B22" s="34"/>
      <c r="C22" s="297" t="s">
        <v>486</v>
      </c>
      <c r="D22" s="265">
        <v>3</v>
      </c>
      <c r="E22" s="280" t="s">
        <v>487</v>
      </c>
      <c r="F22" s="280" t="s">
        <v>488</v>
      </c>
      <c r="G22" s="293">
        <v>200</v>
      </c>
      <c r="H22" s="294" t="s">
        <v>489</v>
      </c>
      <c r="I22" s="293">
        <v>1</v>
      </c>
      <c r="J22" s="293">
        <v>0</v>
      </c>
      <c r="K22" s="293">
        <v>0</v>
      </c>
      <c r="L22" s="280">
        <v>1</v>
      </c>
      <c r="M22" s="280">
        <v>0.2</v>
      </c>
      <c r="N22" s="280">
        <v>0.2</v>
      </c>
      <c r="O22" s="280">
        <v>0</v>
      </c>
      <c r="P22" s="280">
        <v>0</v>
      </c>
      <c r="Q22" s="280">
        <v>0</v>
      </c>
      <c r="R22" s="280">
        <v>0</v>
      </c>
      <c r="S22" s="280">
        <v>0</v>
      </c>
      <c r="T22" s="280">
        <v>0</v>
      </c>
      <c r="U22" s="2"/>
      <c r="V22" s="241">
        <v>1.2</v>
      </c>
      <c r="X22" s="313">
        <v>3.1651219259064889</v>
      </c>
      <c r="Y22" s="313">
        <v>1.0362554112554113E-2</v>
      </c>
      <c r="Z22" s="313">
        <v>7.9218150830847895E-3</v>
      </c>
      <c r="AA22" s="314">
        <v>3.1834062951021278</v>
      </c>
      <c r="AC22" s="370">
        <f t="shared" si="0"/>
        <v>0.65118836390597368</v>
      </c>
      <c r="AD22" s="370">
        <f t="shared" si="1"/>
        <v>0</v>
      </c>
      <c r="AE22" s="370">
        <f t="shared" si="2"/>
        <v>0</v>
      </c>
      <c r="AF22" s="364">
        <f t="shared" si="3"/>
        <v>1.6123687446805959</v>
      </c>
      <c r="AG22" s="364">
        <f t="shared" si="4"/>
        <v>1.0362554112554113E-2</v>
      </c>
      <c r="AH22" s="364">
        <f t="shared" si="5"/>
        <v>7.9218150830847895E-3</v>
      </c>
      <c r="AI22" s="365">
        <f t="shared" si="6"/>
        <v>1.6306531138762348</v>
      </c>
    </row>
    <row r="23" spans="1:35" x14ac:dyDescent="0.25">
      <c r="B23" s="34"/>
      <c r="C23" s="297" t="s">
        <v>490</v>
      </c>
      <c r="D23" s="265">
        <v>38</v>
      </c>
      <c r="E23" s="290" t="s">
        <v>491</v>
      </c>
      <c r="F23" s="290" t="s">
        <v>492</v>
      </c>
      <c r="G23" s="29">
        <v>200</v>
      </c>
      <c r="H23" s="300" t="s">
        <v>493</v>
      </c>
      <c r="I23" s="240">
        <v>0</v>
      </c>
      <c r="J23" s="240">
        <v>0</v>
      </c>
      <c r="K23" s="240">
        <v>0</v>
      </c>
      <c r="L23" s="290">
        <v>0</v>
      </c>
      <c r="M23" s="290">
        <v>0</v>
      </c>
      <c r="N23" s="290">
        <v>0</v>
      </c>
      <c r="O23" s="290">
        <v>0</v>
      </c>
      <c r="P23" s="290">
        <v>0</v>
      </c>
      <c r="Q23" s="290">
        <v>0</v>
      </c>
      <c r="R23" s="290">
        <v>0</v>
      </c>
      <c r="S23" s="290">
        <v>0</v>
      </c>
      <c r="T23" s="290">
        <v>0</v>
      </c>
      <c r="U23" s="2"/>
      <c r="V23" s="241">
        <v>3.5</v>
      </c>
      <c r="X23" s="313">
        <v>0</v>
      </c>
      <c r="Y23" s="313">
        <v>1.0362554112554113E-2</v>
      </c>
      <c r="Z23" s="313">
        <v>7.9218150830847895E-3</v>
      </c>
      <c r="AA23" s="314">
        <v>1.8284369195638903E-2</v>
      </c>
      <c r="AC23" s="370">
        <f t="shared" si="0"/>
        <v>0</v>
      </c>
      <c r="AD23" s="370">
        <f t="shared" si="1"/>
        <v>0</v>
      </c>
      <c r="AE23" s="370">
        <f t="shared" si="2"/>
        <v>0</v>
      </c>
      <c r="AF23" s="364">
        <f>(-22.17*AC23)/(-9.605+AC23)</f>
        <v>0</v>
      </c>
      <c r="AG23" s="364">
        <f>11.49/(1+1107.8*EXP(-1.78*AD23))</f>
        <v>1.0362554112554113E-2</v>
      </c>
      <c r="AH23" s="364">
        <f>7.437/(1+937.8*EXP(-1.905*AE23))</f>
        <v>7.9218150830847895E-3</v>
      </c>
      <c r="AI23" s="365">
        <f>SUM(AF23:AH23)</f>
        <v>1.8284369195638903E-2</v>
      </c>
    </row>
    <row r="24" spans="1:35" x14ac:dyDescent="0.25">
      <c r="A24" t="s">
        <v>441</v>
      </c>
      <c r="B24" s="301" t="s">
        <v>494</v>
      </c>
      <c r="C24" s="156" t="s">
        <v>495</v>
      </c>
      <c r="D24" s="265">
        <v>23</v>
      </c>
      <c r="E24" s="5" t="s">
        <v>496</v>
      </c>
      <c r="F24" s="5" t="s">
        <v>497</v>
      </c>
      <c r="G24" s="29">
        <v>250</v>
      </c>
      <c r="H24" s="299">
        <v>1</v>
      </c>
      <c r="I24" s="29">
        <v>2</v>
      </c>
      <c r="J24" s="29">
        <v>5</v>
      </c>
      <c r="K24" s="29">
        <v>0</v>
      </c>
      <c r="L24" s="5">
        <v>2</v>
      </c>
      <c r="M24" s="5">
        <v>0.56999999999999995</v>
      </c>
      <c r="N24" s="5">
        <v>0</v>
      </c>
      <c r="O24" s="5">
        <v>3.6</v>
      </c>
      <c r="P24" s="5">
        <v>0.47</v>
      </c>
      <c r="Q24" s="5">
        <v>1</v>
      </c>
      <c r="R24" s="5">
        <v>0</v>
      </c>
      <c r="S24" s="5">
        <v>0</v>
      </c>
      <c r="T24" s="5">
        <v>0</v>
      </c>
      <c r="U24" s="2"/>
      <c r="V24" s="241">
        <v>2</v>
      </c>
      <c r="X24" s="313">
        <v>5.8303747534485888</v>
      </c>
      <c r="Y24" s="313">
        <v>8.7848445619006661</v>
      </c>
      <c r="Z24" s="313">
        <v>7.9218150830847895E-3</v>
      </c>
      <c r="AA24" s="314">
        <v>14.623141130432339</v>
      </c>
      <c r="AC24" s="370">
        <f t="shared" si="0"/>
        <v>1.6382684147657558</v>
      </c>
      <c r="AD24" s="370">
        <f t="shared" si="1"/>
        <v>3.7210841806476265</v>
      </c>
      <c r="AE24" s="370">
        <f t="shared" si="2"/>
        <v>0</v>
      </c>
      <c r="AF24" s="364">
        <f t="shared" si="3"/>
        <v>4.5590102248046165</v>
      </c>
      <c r="AG24" s="364">
        <f t="shared" si="4"/>
        <v>4.6481150369473534</v>
      </c>
      <c r="AH24" s="364">
        <f t="shared" si="5"/>
        <v>7.9218150830847895E-3</v>
      </c>
      <c r="AI24" s="365">
        <f t="shared" si="6"/>
        <v>9.2150470768350541</v>
      </c>
    </row>
    <row r="25" spans="1:35" x14ac:dyDescent="0.25">
      <c r="A25" t="s">
        <v>441</v>
      </c>
      <c r="B25" s="34"/>
      <c r="C25" s="156" t="s">
        <v>498</v>
      </c>
      <c r="D25" s="265">
        <v>24</v>
      </c>
      <c r="E25" s="5" t="s">
        <v>499</v>
      </c>
      <c r="F25" s="5" t="s">
        <v>500</v>
      </c>
      <c r="G25" s="29">
        <v>250</v>
      </c>
      <c r="H25" s="299" t="s">
        <v>501</v>
      </c>
      <c r="I25" s="29">
        <v>2</v>
      </c>
      <c r="J25" s="29">
        <v>5</v>
      </c>
      <c r="K25" s="29">
        <v>0</v>
      </c>
      <c r="L25" s="5">
        <v>1.2</v>
      </c>
      <c r="M25" s="5">
        <v>0.6</v>
      </c>
      <c r="N25" s="5">
        <v>0.8</v>
      </c>
      <c r="O25" s="5">
        <v>3.8</v>
      </c>
      <c r="P25" s="5">
        <v>0.6</v>
      </c>
      <c r="Q25" s="5">
        <v>0.7</v>
      </c>
      <c r="R25" s="5">
        <v>0</v>
      </c>
      <c r="S25" s="5">
        <v>0</v>
      </c>
      <c r="T25" s="5">
        <v>0</v>
      </c>
      <c r="U25" s="2"/>
      <c r="V25" s="241">
        <v>1.5</v>
      </c>
      <c r="X25" s="313">
        <v>5.8303747534512631</v>
      </c>
      <c r="Y25" s="313">
        <v>8.39956634040397</v>
      </c>
      <c r="Z25" s="313">
        <v>7.9218150830847895E-3</v>
      </c>
      <c r="AA25" s="314">
        <v>14.237862908938318</v>
      </c>
      <c r="AC25" s="370">
        <f t="shared" si="0"/>
        <v>1.8016413341340962</v>
      </c>
      <c r="AD25" s="370">
        <f t="shared" si="1"/>
        <v>3.8718642247579709</v>
      </c>
      <c r="AE25" s="370">
        <f t="shared" si="2"/>
        <v>0</v>
      </c>
      <c r="AF25" s="364">
        <f>(-22.17*AC25)/(-9.605+AC25)</f>
        <v>5.118614956463837</v>
      </c>
      <c r="AG25" s="364">
        <f>11.49/(1+1107.8*EXP(-1.78*AD25))</f>
        <v>5.4058279670645764</v>
      </c>
      <c r="AH25" s="364">
        <f>7.437/(1+937.8*EXP(-1.905*AE25))</f>
        <v>7.9218150830847895E-3</v>
      </c>
      <c r="AI25" s="365">
        <f>SUM(AF25:AH25)</f>
        <v>10.532364738611498</v>
      </c>
    </row>
    <row r="26" spans="1:35" x14ac:dyDescent="0.25">
      <c r="B26" s="302" t="s">
        <v>502</v>
      </c>
      <c r="C26" s="138" t="s">
        <v>503</v>
      </c>
      <c r="D26" s="265">
        <v>27</v>
      </c>
      <c r="E26" s="5" t="s">
        <v>504</v>
      </c>
      <c r="F26" s="5" t="s">
        <v>488</v>
      </c>
      <c r="G26" s="29">
        <v>300</v>
      </c>
      <c r="H26" s="299">
        <v>4</v>
      </c>
      <c r="I26" s="29">
        <v>3</v>
      </c>
      <c r="J26" s="29">
        <v>1</v>
      </c>
      <c r="K26" s="29">
        <v>4</v>
      </c>
      <c r="L26" s="5">
        <v>1.5</v>
      </c>
      <c r="M26" s="5">
        <v>0.3</v>
      </c>
      <c r="N26" s="5">
        <v>0.5</v>
      </c>
      <c r="O26" s="5">
        <v>1</v>
      </c>
      <c r="P26" s="5">
        <v>0.25</v>
      </c>
      <c r="Q26" s="5">
        <v>0</v>
      </c>
      <c r="R26" s="5">
        <v>3</v>
      </c>
      <c r="S26" s="5">
        <v>0.15</v>
      </c>
      <c r="T26" s="5">
        <v>1</v>
      </c>
      <c r="U26" s="2"/>
      <c r="V26" s="241">
        <v>2</v>
      </c>
      <c r="X26" s="313">
        <v>5.8303730640277918</v>
      </c>
      <c r="Y26" s="313">
        <v>6.1176056564800699E-2</v>
      </c>
      <c r="Z26" s="313">
        <v>5.0886545000746235</v>
      </c>
      <c r="AA26" s="314">
        <v>10.980203620667215</v>
      </c>
      <c r="AC26" s="370">
        <f t="shared" si="0"/>
        <v>1.3901455103891012</v>
      </c>
      <c r="AD26" s="370">
        <f t="shared" si="1"/>
        <v>0.52763344725898531</v>
      </c>
      <c r="AE26" s="370">
        <f t="shared" si="2"/>
        <v>2.0871155451346799</v>
      </c>
      <c r="AF26" s="364">
        <f t="shared" si="3"/>
        <v>3.7516825166292329</v>
      </c>
      <c r="AG26" s="364">
        <f t="shared" si="4"/>
        <v>2.6469211571588411E-2</v>
      </c>
      <c r="AH26" s="364">
        <f t="shared" si="5"/>
        <v>0.39995877795156198</v>
      </c>
      <c r="AI26" s="365">
        <f t="shared" si="6"/>
        <v>4.1781105061523833</v>
      </c>
    </row>
    <row r="27" spans="1:35" x14ac:dyDescent="0.25">
      <c r="A27" t="s">
        <v>441</v>
      </c>
      <c r="B27" s="34"/>
      <c r="C27" s="138" t="s">
        <v>505</v>
      </c>
      <c r="D27" s="265">
        <v>42</v>
      </c>
      <c r="E27" s="290" t="s">
        <v>506</v>
      </c>
      <c r="F27" s="290" t="s">
        <v>507</v>
      </c>
      <c r="G27" s="29">
        <v>300</v>
      </c>
      <c r="H27" s="300">
        <v>4</v>
      </c>
      <c r="I27" s="240">
        <v>3</v>
      </c>
      <c r="J27" s="240">
        <v>2</v>
      </c>
      <c r="K27" s="240">
        <v>3</v>
      </c>
      <c r="L27" s="290">
        <v>2.8</v>
      </c>
      <c r="M27" s="290">
        <v>0.4</v>
      </c>
      <c r="N27" s="290">
        <v>0.2</v>
      </c>
      <c r="O27" s="290">
        <v>2</v>
      </c>
      <c r="P27" s="290">
        <v>0.15</v>
      </c>
      <c r="Q27" s="290">
        <v>0</v>
      </c>
      <c r="R27" s="290">
        <v>2.5</v>
      </c>
      <c r="S27" s="290">
        <v>0.15</v>
      </c>
      <c r="T27" s="290">
        <v>0.5</v>
      </c>
      <c r="U27" s="2"/>
      <c r="V27" s="241">
        <v>1.5</v>
      </c>
      <c r="X27" s="313">
        <v>10.069644180762694</v>
      </c>
      <c r="Y27" s="313">
        <v>0.35281521283506317</v>
      </c>
      <c r="Z27" s="313">
        <v>1.8142197383897651</v>
      </c>
      <c r="AA27" s="314">
        <v>12.236679131987522</v>
      </c>
      <c r="AC27" s="370">
        <f t="shared" si="0"/>
        <v>2.1566562066458346</v>
      </c>
      <c r="AD27" s="370">
        <f t="shared" si="1"/>
        <v>0.72474369675645334</v>
      </c>
      <c r="AE27" s="370">
        <f t="shared" si="2"/>
        <v>1.4059296209455667</v>
      </c>
      <c r="AF27" s="364">
        <f>(-22.17*AC27)/(-9.605+AC27)</f>
        <v>6.4192885596929186</v>
      </c>
      <c r="AG27" s="364">
        <f>11.49/(1+1107.8*EXP(-1.78*AD27))</f>
        <v>3.7557411941757442E-2</v>
      </c>
      <c r="AH27" s="364">
        <f>7.437/(1+937.8*EXP(-1.905*AE27))</f>
        <v>0.11370135984206252</v>
      </c>
      <c r="AI27" s="365">
        <f>SUM(AF27:AH27)</f>
        <v>6.5705473314767389</v>
      </c>
    </row>
    <row r="28" spans="1:35" x14ac:dyDescent="0.25">
      <c r="A28" t="s">
        <v>441</v>
      </c>
      <c r="B28" s="34"/>
      <c r="C28" s="138" t="s">
        <v>508</v>
      </c>
      <c r="D28" s="265">
        <v>25</v>
      </c>
      <c r="E28" s="5" t="s">
        <v>509</v>
      </c>
      <c r="F28" s="5" t="s">
        <v>510</v>
      </c>
      <c r="G28" s="29">
        <v>300</v>
      </c>
      <c r="H28" s="299">
        <v>4</v>
      </c>
      <c r="I28" s="29">
        <v>3</v>
      </c>
      <c r="J28" s="29">
        <v>4</v>
      </c>
      <c r="K28" s="29">
        <v>4</v>
      </c>
      <c r="L28" s="5">
        <v>1.5</v>
      </c>
      <c r="M28" s="5">
        <v>0.25</v>
      </c>
      <c r="N28" s="5">
        <v>1</v>
      </c>
      <c r="O28" s="5">
        <v>3.4</v>
      </c>
      <c r="P28" s="5">
        <v>0.8</v>
      </c>
      <c r="Q28" s="5">
        <v>0.5</v>
      </c>
      <c r="R28" s="5">
        <v>3</v>
      </c>
      <c r="S28" s="5">
        <v>0.3</v>
      </c>
      <c r="T28" s="5">
        <v>1</v>
      </c>
      <c r="U28" s="2"/>
      <c r="V28" s="241">
        <v>1.5</v>
      </c>
      <c r="X28" s="313">
        <v>7.8008208956675373</v>
      </c>
      <c r="Y28" s="313">
        <v>5.5493683787928951</v>
      </c>
      <c r="Z28" s="313">
        <v>5.09372769410259</v>
      </c>
      <c r="AA28" s="314">
        <v>18.443916968563023</v>
      </c>
      <c r="AC28" s="370">
        <f t="shared" si="0"/>
        <v>1.791450170888478</v>
      </c>
      <c r="AD28" s="370">
        <f t="shared" si="1"/>
        <v>3.5915589588159977</v>
      </c>
      <c r="AE28" s="370">
        <f t="shared" si="2"/>
        <v>2.7802910207782023</v>
      </c>
      <c r="AF28" s="364">
        <f t="shared" si="3"/>
        <v>5.0830225898890458</v>
      </c>
      <c r="AG28" s="364">
        <f t="shared" si="4"/>
        <v>4.026423005869975</v>
      </c>
      <c r="AH28" s="364">
        <f t="shared" si="5"/>
        <v>1.3052535352872545</v>
      </c>
      <c r="AI28" s="365">
        <f t="shared" si="6"/>
        <v>10.414699131046275</v>
      </c>
    </row>
    <row r="29" spans="1:35" x14ac:dyDescent="0.25">
      <c r="A29" t="s">
        <v>441</v>
      </c>
      <c r="B29" s="34"/>
      <c r="C29" s="138" t="s">
        <v>511</v>
      </c>
      <c r="D29" s="265">
        <v>26</v>
      </c>
      <c r="E29" s="5" t="s">
        <v>512</v>
      </c>
      <c r="F29" s="5" t="s">
        <v>513</v>
      </c>
      <c r="G29" s="29">
        <v>300</v>
      </c>
      <c r="H29" s="299">
        <v>4</v>
      </c>
      <c r="I29" s="29">
        <v>5</v>
      </c>
      <c r="J29" s="29">
        <v>2</v>
      </c>
      <c r="K29" s="29">
        <v>4</v>
      </c>
      <c r="L29" s="5">
        <v>4.7</v>
      </c>
      <c r="M29" s="5">
        <v>0.1</v>
      </c>
      <c r="N29" s="5">
        <v>0.5</v>
      </c>
      <c r="O29" s="5">
        <v>1.5</v>
      </c>
      <c r="P29" s="5">
        <v>0.7</v>
      </c>
      <c r="Q29" s="5">
        <v>0.5</v>
      </c>
      <c r="R29" s="5">
        <v>3</v>
      </c>
      <c r="S29" s="5">
        <v>0.15</v>
      </c>
      <c r="T29" s="5">
        <v>1</v>
      </c>
      <c r="U29" s="2"/>
      <c r="V29" s="241">
        <v>1.5</v>
      </c>
      <c r="X29" s="313">
        <v>25.826116265262378</v>
      </c>
      <c r="Y29" s="313">
        <v>0.35348919038377463</v>
      </c>
      <c r="Z29" s="313">
        <v>5.0886545000746235</v>
      </c>
      <c r="AA29" s="314">
        <v>31.268259955720779</v>
      </c>
      <c r="AC29" s="370">
        <f t="shared" si="0"/>
        <v>1.7181543627959259</v>
      </c>
      <c r="AD29" s="370">
        <f t="shared" si="1"/>
        <v>1.8163153576205271</v>
      </c>
      <c r="AE29" s="370">
        <f t="shared" si="2"/>
        <v>2.0871155451346799</v>
      </c>
      <c r="AF29" s="364">
        <f t="shared" si="3"/>
        <v>4.8297486695440508</v>
      </c>
      <c r="AG29" s="364">
        <f t="shared" si="4"/>
        <v>0.25711184574297147</v>
      </c>
      <c r="AH29" s="364">
        <f t="shared" si="5"/>
        <v>0.39995877795156198</v>
      </c>
      <c r="AI29" s="365">
        <f t="shared" si="6"/>
        <v>5.4868192932385842</v>
      </c>
    </row>
    <row r="30" spans="1:35" x14ac:dyDescent="0.25">
      <c r="B30" s="221" t="s">
        <v>514</v>
      </c>
      <c r="C30" s="137" t="s">
        <v>515</v>
      </c>
      <c r="D30" s="265">
        <v>18</v>
      </c>
      <c r="E30" s="5" t="s">
        <v>516</v>
      </c>
      <c r="F30" s="5" t="s">
        <v>517</v>
      </c>
      <c r="G30" s="29">
        <v>500</v>
      </c>
      <c r="H30" s="298">
        <v>8</v>
      </c>
      <c r="I30" s="29">
        <v>3</v>
      </c>
      <c r="J30" s="29">
        <v>4</v>
      </c>
      <c r="K30" s="29">
        <v>3</v>
      </c>
      <c r="L30" s="5">
        <v>2</v>
      </c>
      <c r="M30" s="5">
        <v>0.2</v>
      </c>
      <c r="N30" s="5">
        <v>1</v>
      </c>
      <c r="O30" s="5">
        <v>2.5</v>
      </c>
      <c r="P30" s="5">
        <v>0.15</v>
      </c>
      <c r="Q30" s="5">
        <v>1</v>
      </c>
      <c r="R30" s="5">
        <v>2</v>
      </c>
      <c r="S30" s="5">
        <v>0.25</v>
      </c>
      <c r="T30" s="5">
        <v>1</v>
      </c>
      <c r="U30" s="2"/>
      <c r="V30" s="241">
        <v>2.5</v>
      </c>
      <c r="X30" s="313">
        <v>10.069201012123679</v>
      </c>
      <c r="Y30" s="313">
        <v>3.6051184493121906</v>
      </c>
      <c r="Z30" s="313">
        <v>1.8178156867315935</v>
      </c>
      <c r="AA30" s="314">
        <v>15.492135148167463</v>
      </c>
      <c r="AC30" s="370">
        <f t="shared" si="0"/>
        <v>1.9023767278119472</v>
      </c>
      <c r="AD30" s="370">
        <f t="shared" si="1"/>
        <v>1.9059296209455667</v>
      </c>
      <c r="AE30" s="370">
        <f t="shared" si="2"/>
        <v>2.0552668945179704</v>
      </c>
      <c r="AF30" s="364">
        <f t="shared" si="3"/>
        <v>5.4754971865072397</v>
      </c>
      <c r="AG30" s="364">
        <f t="shared" si="4"/>
        <v>0.30041419298846528</v>
      </c>
      <c r="AH30" s="364">
        <f t="shared" si="5"/>
        <v>0.37760954654795176</v>
      </c>
      <c r="AI30" s="365">
        <f t="shared" si="6"/>
        <v>6.1535209260436563</v>
      </c>
    </row>
    <row r="31" spans="1:35" x14ac:dyDescent="0.25">
      <c r="A31" t="s">
        <v>441</v>
      </c>
      <c r="B31" s="34"/>
      <c r="C31" s="137" t="s">
        <v>518</v>
      </c>
      <c r="D31" s="265">
        <v>19</v>
      </c>
      <c r="E31" s="5" t="s">
        <v>519</v>
      </c>
      <c r="F31" s="5" t="s">
        <v>520</v>
      </c>
      <c r="G31" s="29">
        <v>500</v>
      </c>
      <c r="H31" s="299">
        <v>8</v>
      </c>
      <c r="I31" s="29">
        <v>4</v>
      </c>
      <c r="J31" s="29">
        <v>1</v>
      </c>
      <c r="K31" s="29">
        <v>3</v>
      </c>
      <c r="L31" s="5">
        <v>3</v>
      </c>
      <c r="M31" s="5">
        <v>0.25</v>
      </c>
      <c r="N31" s="5">
        <v>1</v>
      </c>
      <c r="O31" s="5">
        <v>1</v>
      </c>
      <c r="P31" s="5">
        <v>0.35</v>
      </c>
      <c r="Q31" s="5">
        <v>1</v>
      </c>
      <c r="R31" s="5">
        <v>1</v>
      </c>
      <c r="S31" s="5">
        <v>0.25</v>
      </c>
      <c r="T31" s="5">
        <v>1</v>
      </c>
      <c r="U31" s="2"/>
      <c r="V31" s="241">
        <v>2.5</v>
      </c>
      <c r="X31" s="313">
        <v>15.821512088569648</v>
      </c>
      <c r="Y31" s="313">
        <v>0.3534891750703687</v>
      </c>
      <c r="Z31" s="313">
        <v>0.34160576795660641</v>
      </c>
      <c r="AA31" s="314">
        <v>16.516607031596624</v>
      </c>
      <c r="AC31" s="370">
        <f t="shared" si="0"/>
        <v>2.582900341776956</v>
      </c>
      <c r="AD31" s="370">
        <f t="shared" si="1"/>
        <v>1.6500622508888445</v>
      </c>
      <c r="AE31" s="370">
        <f t="shared" si="2"/>
        <v>1.5276334472589852</v>
      </c>
      <c r="AF31" s="364">
        <f t="shared" si="3"/>
        <v>8.154669310359175</v>
      </c>
      <c r="AG31" s="364">
        <f t="shared" si="4"/>
        <v>0.1923524303831757</v>
      </c>
      <c r="AH31" s="364">
        <f t="shared" si="5"/>
        <v>0.14279926487314393</v>
      </c>
      <c r="AI31" s="365">
        <f t="shared" si="6"/>
        <v>8.4898210056154948</v>
      </c>
    </row>
    <row r="32" spans="1:35" x14ac:dyDescent="0.25">
      <c r="B32" s="34"/>
      <c r="C32" s="137" t="s">
        <v>521</v>
      </c>
      <c r="D32" s="265">
        <v>97</v>
      </c>
      <c r="E32" s="280" t="s">
        <v>522</v>
      </c>
      <c r="F32" s="280" t="s">
        <v>523</v>
      </c>
      <c r="G32" s="293">
        <v>500</v>
      </c>
      <c r="H32" s="294" t="s">
        <v>524</v>
      </c>
      <c r="I32" s="293">
        <v>1</v>
      </c>
      <c r="J32" s="293">
        <v>0</v>
      </c>
      <c r="K32" s="293">
        <v>0</v>
      </c>
      <c r="L32" s="280">
        <v>1</v>
      </c>
      <c r="M32" s="280">
        <v>0.8</v>
      </c>
      <c r="N32" s="280">
        <v>0.1</v>
      </c>
      <c r="O32" s="280">
        <v>0</v>
      </c>
      <c r="P32" s="280">
        <v>0</v>
      </c>
      <c r="Q32" s="280">
        <v>0</v>
      </c>
      <c r="R32" s="280">
        <v>0</v>
      </c>
      <c r="S32" s="280">
        <v>0</v>
      </c>
      <c r="T32" s="280">
        <v>0</v>
      </c>
      <c r="U32" s="2"/>
      <c r="V32" s="241">
        <v>1.5</v>
      </c>
      <c r="X32" s="313">
        <v>2.867372134038801</v>
      </c>
      <c r="Y32" s="313">
        <v>1.0362554112554113E-2</v>
      </c>
      <c r="Z32" s="313">
        <v>7.9218150830847895E-3</v>
      </c>
      <c r="AA32" s="314">
        <v>2.8856565032344399</v>
      </c>
      <c r="AC32" s="370">
        <f t="shared" si="0"/>
        <v>1.0092820467105876</v>
      </c>
      <c r="AD32" s="370">
        <f t="shared" si="1"/>
        <v>0</v>
      </c>
      <c r="AE32" s="370">
        <f t="shared" si="2"/>
        <v>0</v>
      </c>
      <c r="AF32" s="364">
        <f t="shared" si="3"/>
        <v>2.6031313611227738</v>
      </c>
      <c r="AG32" s="364">
        <f t="shared" si="4"/>
        <v>1.0362554112554113E-2</v>
      </c>
      <c r="AH32" s="364">
        <f t="shared" si="5"/>
        <v>7.9218150830847895E-3</v>
      </c>
      <c r="AI32" s="365">
        <f t="shared" si="6"/>
        <v>2.6214157303184127</v>
      </c>
    </row>
    <row r="33" spans="1:35" x14ac:dyDescent="0.25">
      <c r="A33" t="s">
        <v>441</v>
      </c>
      <c r="B33" s="34"/>
      <c r="C33" s="137" t="s">
        <v>525</v>
      </c>
      <c r="D33" s="265">
        <v>2</v>
      </c>
      <c r="E33" s="5" t="s">
        <v>526</v>
      </c>
      <c r="F33" s="5" t="s">
        <v>527</v>
      </c>
      <c r="G33" s="29">
        <v>500</v>
      </c>
      <c r="H33" s="299">
        <v>1</v>
      </c>
      <c r="I33" s="29">
        <v>4</v>
      </c>
      <c r="J33" s="29">
        <v>4</v>
      </c>
      <c r="K33" s="29">
        <v>5</v>
      </c>
      <c r="L33" s="5">
        <v>2</v>
      </c>
      <c r="M33" s="5">
        <v>0.2</v>
      </c>
      <c r="N33" s="5">
        <v>2</v>
      </c>
      <c r="O33" s="5">
        <v>2.5</v>
      </c>
      <c r="P33" s="5">
        <v>0.15</v>
      </c>
      <c r="Q33" s="5">
        <v>1.5</v>
      </c>
      <c r="R33" s="5">
        <v>2</v>
      </c>
      <c r="S33" s="5">
        <v>0.25</v>
      </c>
      <c r="T33" s="5">
        <v>2</v>
      </c>
      <c r="U33" s="2" t="s">
        <v>441</v>
      </c>
      <c r="V33" s="241">
        <v>3</v>
      </c>
      <c r="X33" s="313">
        <v>15.820972421951986</v>
      </c>
      <c r="Y33" s="313">
        <v>6.0532315742033465</v>
      </c>
      <c r="Z33" s="313">
        <v>5.0937077119576148</v>
      </c>
      <c r="AA33" s="314">
        <v>26.967911708112943</v>
      </c>
      <c r="AC33" s="370">
        <f t="shared" si="0"/>
        <v>2.902376727811947</v>
      </c>
      <c r="AD33" s="370">
        <f t="shared" si="1"/>
        <v>2.4059296209455665</v>
      </c>
      <c r="AE33" s="370">
        <f t="shared" si="2"/>
        <v>3.0552668945179704</v>
      </c>
      <c r="AF33" s="364">
        <f t="shared" si="3"/>
        <v>9.6000758870915028</v>
      </c>
      <c r="AG33" s="364">
        <f t="shared" si="4"/>
        <v>0.70509075402060339</v>
      </c>
      <c r="AH33" s="364">
        <f t="shared" si="5"/>
        <v>1.9662995692755647</v>
      </c>
      <c r="AI33" s="365">
        <f t="shared" si="6"/>
        <v>12.27146621038767</v>
      </c>
    </row>
    <row r="34" spans="1:35" x14ac:dyDescent="0.25">
      <c r="A34" t="s">
        <v>441</v>
      </c>
      <c r="B34" s="34"/>
      <c r="C34" s="137" t="s">
        <v>528</v>
      </c>
      <c r="D34" s="265">
        <v>22</v>
      </c>
      <c r="E34" s="5" t="s">
        <v>529</v>
      </c>
      <c r="F34" s="5" t="s">
        <v>530</v>
      </c>
      <c r="G34" s="29">
        <v>500</v>
      </c>
      <c r="H34" s="299" t="s">
        <v>531</v>
      </c>
      <c r="I34" s="29">
        <v>4</v>
      </c>
      <c r="J34" s="29">
        <v>4</v>
      </c>
      <c r="K34" s="29">
        <v>5</v>
      </c>
      <c r="L34" s="5">
        <v>3</v>
      </c>
      <c r="M34" s="5">
        <v>0.25</v>
      </c>
      <c r="N34" s="5">
        <v>1</v>
      </c>
      <c r="O34" s="5">
        <v>3</v>
      </c>
      <c r="P34" s="5">
        <v>0.25</v>
      </c>
      <c r="Q34" s="5">
        <v>1.2</v>
      </c>
      <c r="R34" s="5">
        <v>2.5</v>
      </c>
      <c r="S34" s="5">
        <v>0.2</v>
      </c>
      <c r="T34" s="5">
        <v>2</v>
      </c>
      <c r="U34" s="2" t="s">
        <v>441</v>
      </c>
      <c r="V34" s="241">
        <v>3</v>
      </c>
      <c r="X34" s="313">
        <v>15.821512088569648</v>
      </c>
      <c r="Y34" s="313">
        <v>7.0594645337973132</v>
      </c>
      <c r="Z34" s="313">
        <v>6.3158877739491794</v>
      </c>
      <c r="AA34" s="314">
        <v>29.19686439631614</v>
      </c>
      <c r="AC34" s="370">
        <f t="shared" si="0"/>
        <v>2.582900341776956</v>
      </c>
      <c r="AD34" s="370">
        <f t="shared" si="1"/>
        <v>2.7829003417769558</v>
      </c>
      <c r="AE34" s="370">
        <f t="shared" si="2"/>
        <v>3.127970909764934</v>
      </c>
      <c r="AF34" s="364">
        <f t="shared" si="3"/>
        <v>8.154669310359175</v>
      </c>
      <c r="AG34" s="364">
        <f t="shared" si="4"/>
        <v>1.3028548657807417</v>
      </c>
      <c r="AH34" s="364">
        <f t="shared" si="5"/>
        <v>2.1730467104286486</v>
      </c>
      <c r="AI34" s="365">
        <f t="shared" si="6"/>
        <v>11.630570886568565</v>
      </c>
    </row>
    <row r="35" spans="1:35" x14ac:dyDescent="0.25">
      <c r="A35" t="s">
        <v>441</v>
      </c>
      <c r="B35" s="34"/>
      <c r="C35" s="137" t="s">
        <v>532</v>
      </c>
      <c r="D35" s="265">
        <v>9</v>
      </c>
      <c r="E35" s="5" t="s">
        <v>533</v>
      </c>
      <c r="F35" s="5" t="s">
        <v>534</v>
      </c>
      <c r="G35" s="29">
        <v>500</v>
      </c>
      <c r="H35" s="299" t="s">
        <v>535</v>
      </c>
      <c r="I35" s="29">
        <v>3</v>
      </c>
      <c r="J35" s="29">
        <v>2</v>
      </c>
      <c r="K35" s="29">
        <v>3</v>
      </c>
      <c r="L35" s="5">
        <v>1.7</v>
      </c>
      <c r="M35" s="5">
        <v>0.25</v>
      </c>
      <c r="N35" s="5">
        <v>0.7</v>
      </c>
      <c r="O35" s="5">
        <v>1.5</v>
      </c>
      <c r="P35" s="5">
        <v>0.2</v>
      </c>
      <c r="Q35" s="5">
        <v>1</v>
      </c>
      <c r="R35" s="5">
        <v>2.5</v>
      </c>
      <c r="S35" s="5">
        <v>0.2</v>
      </c>
      <c r="T35" s="5">
        <v>0.7</v>
      </c>
      <c r="U35" s="2"/>
      <c r="V35" s="241">
        <v>2.5</v>
      </c>
      <c r="X35" s="313">
        <v>7.3848456295460565</v>
      </c>
      <c r="Y35" s="313">
        <v>0.82430088703723192</v>
      </c>
      <c r="Z35" s="313">
        <v>2.3895908327973365</v>
      </c>
      <c r="AA35" s="314">
        <v>10.598737349380626</v>
      </c>
      <c r="AC35" s="370">
        <f t="shared" si="0"/>
        <v>1.596976860340275</v>
      </c>
      <c r="AD35" s="370">
        <f t="shared" si="1"/>
        <v>1.6767825458589605</v>
      </c>
      <c r="AE35" s="370">
        <f t="shared" si="2"/>
        <v>1.8279709097649339</v>
      </c>
      <c r="AF35" s="364">
        <f>(-22.17*AC35)/(-9.605+AC35)</f>
        <v>4.4211881479713506</v>
      </c>
      <c r="AG35" s="364">
        <f>11.49/(1+1107.8*EXP(-1.78*AD35))</f>
        <v>0.20155781272311019</v>
      </c>
      <c r="AH35" s="364">
        <f>7.437/(1+937.8*EXP(-1.905*AE35))</f>
        <v>0.24935238554596875</v>
      </c>
      <c r="AI35" s="365">
        <f>SUM(AF35:AH35)</f>
        <v>4.8720983462404295</v>
      </c>
    </row>
    <row r="36" spans="1:35" x14ac:dyDescent="0.25">
      <c r="A36" t="s">
        <v>441</v>
      </c>
      <c r="B36" s="34"/>
      <c r="C36" s="137" t="s">
        <v>536</v>
      </c>
      <c r="D36" s="265">
        <v>5</v>
      </c>
      <c r="E36" s="5" t="s">
        <v>537</v>
      </c>
      <c r="F36" s="5" t="s">
        <v>538</v>
      </c>
      <c r="G36" s="29">
        <v>500</v>
      </c>
      <c r="H36" s="299" t="s">
        <v>539</v>
      </c>
      <c r="I36" s="29">
        <v>4</v>
      </c>
      <c r="J36" s="29">
        <v>4</v>
      </c>
      <c r="K36" s="29">
        <v>5</v>
      </c>
      <c r="L36" s="5">
        <v>2.5</v>
      </c>
      <c r="M36" s="5">
        <v>0.15</v>
      </c>
      <c r="N36" s="5">
        <v>1</v>
      </c>
      <c r="O36" s="5">
        <v>3.5</v>
      </c>
      <c r="P36" s="5">
        <v>0.08</v>
      </c>
      <c r="Q36" s="5">
        <v>1</v>
      </c>
      <c r="R36" s="5">
        <v>3</v>
      </c>
      <c r="S36" s="5">
        <v>0.1</v>
      </c>
      <c r="T36" s="5">
        <v>1</v>
      </c>
      <c r="U36" s="2" t="s">
        <v>441</v>
      </c>
      <c r="V36" s="241">
        <v>2.5</v>
      </c>
      <c r="X36" s="313">
        <v>12.702175571146006</v>
      </c>
      <c r="Y36" s="313">
        <v>8.1350908661343286</v>
      </c>
      <c r="Z36" s="313">
        <v>5.0314927709223518</v>
      </c>
      <c r="AA36" s="314">
        <v>25.868759208202686</v>
      </c>
      <c r="AC36" s="370">
        <f t="shared" si="0"/>
        <v>1.9059296209455667</v>
      </c>
      <c r="AD36" s="370">
        <f t="shared" si="1"/>
        <v>1.7468024862670628</v>
      </c>
      <c r="AE36" s="370">
        <f t="shared" si="2"/>
        <v>1.7775453379548463</v>
      </c>
      <c r="AF36" s="364">
        <f t="shared" si="3"/>
        <v>5.4882547653178779</v>
      </c>
      <c r="AG36" s="364">
        <f t="shared" si="4"/>
        <v>0.22778131044373615</v>
      </c>
      <c r="AH36" s="364">
        <f t="shared" si="5"/>
        <v>0.22721166651878552</v>
      </c>
      <c r="AI36" s="365">
        <f t="shared" si="6"/>
        <v>5.9432477422803993</v>
      </c>
    </row>
    <row r="37" spans="1:35" x14ac:dyDescent="0.25">
      <c r="A37" t="s">
        <v>441</v>
      </c>
      <c r="B37" s="34"/>
      <c r="C37" s="137" t="s">
        <v>540</v>
      </c>
      <c r="D37" s="265">
        <v>41</v>
      </c>
      <c r="E37" s="290" t="s">
        <v>541</v>
      </c>
      <c r="F37" s="290" t="s">
        <v>542</v>
      </c>
      <c r="G37" s="240">
        <v>500</v>
      </c>
      <c r="H37" s="300" t="s">
        <v>543</v>
      </c>
      <c r="I37" s="240">
        <v>3</v>
      </c>
      <c r="J37" s="240">
        <v>3</v>
      </c>
      <c r="K37" s="240">
        <v>2</v>
      </c>
      <c r="L37" s="290">
        <v>2.5</v>
      </c>
      <c r="M37" s="290">
        <v>0.4</v>
      </c>
      <c r="N37" s="290">
        <v>0.5</v>
      </c>
      <c r="O37" s="290">
        <v>3</v>
      </c>
      <c r="P37" s="290">
        <v>0.3</v>
      </c>
      <c r="Q37" s="290">
        <v>0</v>
      </c>
      <c r="R37" s="290">
        <v>1</v>
      </c>
      <c r="S37" s="290">
        <v>0.2</v>
      </c>
      <c r="T37" s="290">
        <v>1</v>
      </c>
      <c r="U37" s="2"/>
      <c r="V37" s="241">
        <v>2.5</v>
      </c>
      <c r="X37" s="313">
        <v>10.0696441837809</v>
      </c>
      <c r="Y37" s="313">
        <v>1.8200901114420835</v>
      </c>
      <c r="Z37" s="313">
        <v>0.34157989530636101</v>
      </c>
      <c r="AA37" s="314">
        <v>12.231314190529345</v>
      </c>
      <c r="AC37" s="370">
        <f t="shared" si="0"/>
        <v>2.247014470219495</v>
      </c>
      <c r="AD37" s="370">
        <f t="shared" si="1"/>
        <v>1.7802910207782023</v>
      </c>
      <c r="AE37" s="370">
        <f t="shared" si="2"/>
        <v>1.4511883639059735</v>
      </c>
      <c r="AF37" s="364">
        <f t="shared" si="3"/>
        <v>6.7703735761834629</v>
      </c>
      <c r="AG37" s="364">
        <f t="shared" si="4"/>
        <v>0.24147807587961986</v>
      </c>
      <c r="AH37" s="364">
        <f t="shared" si="5"/>
        <v>0.1237690795886176</v>
      </c>
      <c r="AI37" s="365">
        <f t="shared" si="6"/>
        <v>7.1356207316517004</v>
      </c>
    </row>
    <row r="38" spans="1:35" x14ac:dyDescent="0.25">
      <c r="A38" t="s">
        <v>441</v>
      </c>
      <c r="B38" s="34"/>
      <c r="C38" s="137" t="s">
        <v>544</v>
      </c>
      <c r="D38" s="265">
        <v>43</v>
      </c>
      <c r="E38" s="290" t="s">
        <v>545</v>
      </c>
      <c r="F38" s="290" t="s">
        <v>546</v>
      </c>
      <c r="G38" s="240">
        <v>500</v>
      </c>
      <c r="H38" s="300" t="s">
        <v>543</v>
      </c>
      <c r="I38" s="240">
        <v>3</v>
      </c>
      <c r="J38" s="240">
        <v>2</v>
      </c>
      <c r="K38" s="240">
        <v>2</v>
      </c>
      <c r="L38" s="290">
        <v>2.5</v>
      </c>
      <c r="M38" s="290">
        <v>0.6</v>
      </c>
      <c r="N38" s="290">
        <v>0.5</v>
      </c>
      <c r="O38" s="290">
        <v>1.5</v>
      </c>
      <c r="P38" s="290">
        <v>0.2</v>
      </c>
      <c r="Q38" s="290">
        <v>0.5</v>
      </c>
      <c r="R38" s="290">
        <v>1</v>
      </c>
      <c r="S38" s="290">
        <v>0.2</v>
      </c>
      <c r="T38" s="290">
        <v>1</v>
      </c>
      <c r="U38" s="2"/>
      <c r="V38" s="241">
        <v>2.5</v>
      </c>
      <c r="X38" s="313">
        <v>10.069644208931484</v>
      </c>
      <c r="Y38" s="313">
        <v>0.35344766181232734</v>
      </c>
      <c r="Z38" s="313">
        <v>0.34157989530636101</v>
      </c>
      <c r="AA38" s="314">
        <v>10.764671766050173</v>
      </c>
      <c r="AC38" s="370">
        <f t="shared" si="0"/>
        <v>2.5867527794460337</v>
      </c>
      <c r="AD38" s="370">
        <f t="shared" si="1"/>
        <v>1.1767825458589605</v>
      </c>
      <c r="AE38" s="370">
        <f t="shared" si="2"/>
        <v>1.4511883639059735</v>
      </c>
      <c r="AF38" s="364">
        <f t="shared" si="3"/>
        <v>8.1713150474901521</v>
      </c>
      <c r="AG38" s="364">
        <f t="shared" si="4"/>
        <v>8.3635523496247852E-2</v>
      </c>
      <c r="AH38" s="364">
        <f t="shared" si="5"/>
        <v>0.1237690795886176</v>
      </c>
      <c r="AI38" s="365">
        <f t="shared" si="6"/>
        <v>8.3787196505750181</v>
      </c>
    </row>
    <row r="39" spans="1:35" x14ac:dyDescent="0.25">
      <c r="A39" t="s">
        <v>441</v>
      </c>
      <c r="B39" s="34"/>
      <c r="C39" s="137" t="s">
        <v>547</v>
      </c>
      <c r="D39" s="265">
        <v>39</v>
      </c>
      <c r="E39" s="290" t="s">
        <v>548</v>
      </c>
      <c r="F39" s="290" t="s">
        <v>549</v>
      </c>
      <c r="G39" s="240">
        <v>500</v>
      </c>
      <c r="H39" s="300" t="s">
        <v>550</v>
      </c>
      <c r="I39" s="240">
        <v>3</v>
      </c>
      <c r="J39" s="240">
        <v>2</v>
      </c>
      <c r="K39" s="240">
        <v>1</v>
      </c>
      <c r="L39" s="290">
        <v>2.5</v>
      </c>
      <c r="M39" s="290">
        <v>0.6</v>
      </c>
      <c r="N39" s="290">
        <v>0.5</v>
      </c>
      <c r="O39" s="290">
        <v>1.5</v>
      </c>
      <c r="P39" s="290">
        <v>0.2</v>
      </c>
      <c r="Q39" s="290">
        <v>0.5</v>
      </c>
      <c r="R39" s="290">
        <v>1</v>
      </c>
      <c r="S39" s="290">
        <v>0.15</v>
      </c>
      <c r="T39" s="290">
        <v>0.2</v>
      </c>
      <c r="U39" s="2"/>
      <c r="V39" s="241">
        <v>2</v>
      </c>
      <c r="X39" s="313">
        <v>10.069644208931484</v>
      </c>
      <c r="Y39" s="313">
        <v>0.35344766181232734</v>
      </c>
      <c r="Z39" s="313">
        <v>7.7108241805802322E-2</v>
      </c>
      <c r="AA39" s="314">
        <v>10.500200112549614</v>
      </c>
      <c r="AC39" s="370">
        <f t="shared" si="0"/>
        <v>2.5867527794460337</v>
      </c>
      <c r="AD39" s="370">
        <f t="shared" si="1"/>
        <v>1.1767825458589605</v>
      </c>
      <c r="AE39" s="370">
        <f t="shared" si="2"/>
        <v>0.56237184837822674</v>
      </c>
      <c r="AF39" s="364">
        <f t="shared" si="3"/>
        <v>8.1713150474901521</v>
      </c>
      <c r="AG39" s="364">
        <f t="shared" si="4"/>
        <v>8.3635523496247852E-2</v>
      </c>
      <c r="AH39" s="364">
        <f t="shared" si="5"/>
        <v>2.3078385239414627E-2</v>
      </c>
      <c r="AI39" s="365">
        <f t="shared" si="6"/>
        <v>8.2780289562258158</v>
      </c>
    </row>
    <row r="40" spans="1:35" x14ac:dyDescent="0.25">
      <c r="B40" s="34"/>
      <c r="C40" s="137" t="s">
        <v>551</v>
      </c>
      <c r="D40" s="265">
        <v>28</v>
      </c>
      <c r="E40" s="5" t="s">
        <v>552</v>
      </c>
      <c r="F40" s="5" t="s">
        <v>488</v>
      </c>
      <c r="G40" s="29">
        <v>500</v>
      </c>
      <c r="H40" s="299" t="s">
        <v>553</v>
      </c>
      <c r="I40" s="29">
        <v>3</v>
      </c>
      <c r="J40" s="29">
        <v>2</v>
      </c>
      <c r="K40" s="29">
        <v>0</v>
      </c>
      <c r="L40" s="5">
        <v>1.5</v>
      </c>
      <c r="M40" s="5">
        <v>0.35</v>
      </c>
      <c r="N40" s="5">
        <v>1.2</v>
      </c>
      <c r="O40" s="5">
        <v>1</v>
      </c>
      <c r="P40" s="5">
        <v>0.35</v>
      </c>
      <c r="Q40" s="5">
        <v>1</v>
      </c>
      <c r="R40" s="5">
        <v>0</v>
      </c>
      <c r="S40" s="5">
        <v>0</v>
      </c>
      <c r="T40" s="5">
        <v>0</v>
      </c>
      <c r="U40" s="2"/>
      <c r="V40" s="241">
        <v>2.5</v>
      </c>
      <c r="X40" s="313">
        <v>8.6689353857280071</v>
      </c>
      <c r="Y40" s="313">
        <v>0.3534891750703687</v>
      </c>
      <c r="Z40" s="313">
        <v>7.9218150830847895E-3</v>
      </c>
      <c r="AA40" s="314">
        <v>9.0303463758814608</v>
      </c>
      <c r="AC40" s="370">
        <f t="shared" si="0"/>
        <v>2.1750933763332667</v>
      </c>
      <c r="AD40" s="370">
        <f t="shared" si="1"/>
        <v>1.6500622508888445</v>
      </c>
      <c r="AE40" s="370">
        <f t="shared" si="2"/>
        <v>0</v>
      </c>
      <c r="AF40" s="364">
        <f t="shared" si="3"/>
        <v>6.4902323267032633</v>
      </c>
      <c r="AG40" s="364">
        <f t="shared" si="4"/>
        <v>0.1923524303831757</v>
      </c>
      <c r="AH40" s="364">
        <f t="shared" si="5"/>
        <v>7.9218150830847895E-3</v>
      </c>
      <c r="AI40" s="365">
        <f t="shared" si="6"/>
        <v>6.6905065721695243</v>
      </c>
    </row>
    <row r="41" spans="1:35" x14ac:dyDescent="0.25">
      <c r="B41" s="303" t="s">
        <v>554</v>
      </c>
      <c r="C41" s="304" t="s">
        <v>555</v>
      </c>
      <c r="D41" s="265">
        <v>15</v>
      </c>
      <c r="E41" s="5" t="s">
        <v>556</v>
      </c>
      <c r="F41" s="5" t="s">
        <v>557</v>
      </c>
      <c r="G41" s="29">
        <v>700</v>
      </c>
      <c r="H41" s="299" t="s">
        <v>558</v>
      </c>
      <c r="I41" s="29">
        <v>3</v>
      </c>
      <c r="J41" s="29">
        <v>2</v>
      </c>
      <c r="K41" s="29">
        <v>2</v>
      </c>
      <c r="L41" s="5">
        <v>1.8</v>
      </c>
      <c r="M41" s="5">
        <v>0.2</v>
      </c>
      <c r="N41" s="5">
        <v>1</v>
      </c>
      <c r="O41" s="5">
        <v>1</v>
      </c>
      <c r="P41" s="5">
        <v>0.35</v>
      </c>
      <c r="Q41" s="5">
        <v>1</v>
      </c>
      <c r="R41" s="5">
        <v>1</v>
      </c>
      <c r="S41" s="5">
        <v>0.25</v>
      </c>
      <c r="T41" s="5">
        <v>1</v>
      </c>
      <c r="U41" s="2"/>
      <c r="V41" s="241">
        <v>5</v>
      </c>
      <c r="X41" s="313">
        <v>9.1217403149063347</v>
      </c>
      <c r="Y41" s="313">
        <v>0.3534891750703687</v>
      </c>
      <c r="Z41" s="313">
        <v>0.34160576795660641</v>
      </c>
      <c r="AA41" s="314">
        <v>9.8168352579333096</v>
      </c>
      <c r="AC41" s="370">
        <f t="shared" si="0"/>
        <v>1.8121390550307526</v>
      </c>
      <c r="AD41" s="370">
        <f t="shared" si="1"/>
        <v>1.6500622508888445</v>
      </c>
      <c r="AE41" s="370">
        <f t="shared" si="2"/>
        <v>1.5276334472589852</v>
      </c>
      <c r="AF41" s="364">
        <f t="shared" si="3"/>
        <v>5.1553753023101487</v>
      </c>
      <c r="AG41" s="364">
        <f t="shared" si="4"/>
        <v>0.1923524303831757</v>
      </c>
      <c r="AH41" s="364">
        <f t="shared" si="5"/>
        <v>0.14279926487314393</v>
      </c>
      <c r="AI41" s="365">
        <f t="shared" si="6"/>
        <v>5.4905269975664686</v>
      </c>
    </row>
    <row r="42" spans="1:35" x14ac:dyDescent="0.25">
      <c r="B42" s="34"/>
      <c r="C42" s="304" t="s">
        <v>559</v>
      </c>
      <c r="D42" s="265">
        <v>32</v>
      </c>
      <c r="E42" s="290" t="s">
        <v>560</v>
      </c>
      <c r="F42" s="290" t="s">
        <v>561</v>
      </c>
      <c r="G42" s="240">
        <v>600</v>
      </c>
      <c r="H42" s="300" t="s">
        <v>562</v>
      </c>
      <c r="I42" s="240">
        <v>4</v>
      </c>
      <c r="J42" s="240">
        <v>2</v>
      </c>
      <c r="K42" s="240">
        <v>5</v>
      </c>
      <c r="L42" s="290">
        <v>2.5</v>
      </c>
      <c r="M42" s="290">
        <v>0.4</v>
      </c>
      <c r="N42" s="290">
        <v>1.5</v>
      </c>
      <c r="O42" s="290">
        <v>2</v>
      </c>
      <c r="P42" s="290">
        <v>0.25</v>
      </c>
      <c r="Q42" s="290">
        <v>0</v>
      </c>
      <c r="R42" s="290">
        <v>2.5</v>
      </c>
      <c r="S42" s="290">
        <v>0.2</v>
      </c>
      <c r="T42" s="290">
        <v>2.5</v>
      </c>
      <c r="U42" s="2"/>
      <c r="V42" s="241">
        <v>4.5</v>
      </c>
      <c r="X42" s="313">
        <v>15.821587833047948</v>
      </c>
      <c r="Y42" s="313">
        <v>0.35348464498989862</v>
      </c>
      <c r="Z42" s="313">
        <v>6.9603698536374745</v>
      </c>
      <c r="AA42" s="314">
        <v>23.135442331675321</v>
      </c>
      <c r="AC42" s="370">
        <f t="shared" si="0"/>
        <v>3.247014470219495</v>
      </c>
      <c r="AD42" s="370">
        <f t="shared" si="1"/>
        <v>1.0552668945179706</v>
      </c>
      <c r="AE42" s="370">
        <f t="shared" si="2"/>
        <v>3.627970909764934</v>
      </c>
      <c r="AF42" s="364">
        <f t="shared" si="3"/>
        <v>11.322188524586242</v>
      </c>
      <c r="AG42" s="364">
        <f t="shared" si="4"/>
        <v>6.7463539210164694E-2</v>
      </c>
      <c r="AH42" s="364">
        <f t="shared" si="5"/>
        <v>3.8444120839583573</v>
      </c>
      <c r="AI42" s="365">
        <f t="shared" si="6"/>
        <v>15.234064147754763</v>
      </c>
    </row>
    <row r="43" spans="1:35" x14ac:dyDescent="0.25">
      <c r="B43" s="34"/>
      <c r="C43" s="304" t="s">
        <v>563</v>
      </c>
      <c r="D43" s="265">
        <v>13</v>
      </c>
      <c r="E43" s="5" t="s">
        <v>564</v>
      </c>
      <c r="F43" s="5" t="s">
        <v>565</v>
      </c>
      <c r="G43" s="29">
        <v>600</v>
      </c>
      <c r="H43" s="299" t="s">
        <v>566</v>
      </c>
      <c r="I43" s="29">
        <v>4</v>
      </c>
      <c r="J43" s="29">
        <v>4</v>
      </c>
      <c r="K43" s="29">
        <v>5</v>
      </c>
      <c r="L43" s="5">
        <v>3</v>
      </c>
      <c r="M43" s="5">
        <v>0.2</v>
      </c>
      <c r="N43" s="5">
        <v>1</v>
      </c>
      <c r="O43" s="5">
        <v>2.7</v>
      </c>
      <c r="P43" s="5">
        <v>0.15</v>
      </c>
      <c r="Q43" s="5">
        <v>1</v>
      </c>
      <c r="R43" s="5">
        <v>2.2000000000000002</v>
      </c>
      <c r="S43" s="5">
        <v>0.12</v>
      </c>
      <c r="T43" s="5">
        <v>2</v>
      </c>
      <c r="U43" s="2" t="s">
        <v>441</v>
      </c>
      <c r="V43" s="241">
        <v>5</v>
      </c>
      <c r="X43" s="313">
        <v>15.820664706417856</v>
      </c>
      <c r="Y43" s="313">
        <v>4.5373232899934406</v>
      </c>
      <c r="Z43" s="313">
        <v>5.6445061448580587</v>
      </c>
      <c r="AA43" s="314">
        <v>26.002494141269356</v>
      </c>
      <c r="AC43" s="370">
        <f t="shared" si="0"/>
        <v>2.3535650917179209</v>
      </c>
      <c r="AD43" s="370">
        <f t="shared" si="1"/>
        <v>1.9784039906212121</v>
      </c>
      <c r="AE43" s="370">
        <f t="shared" si="2"/>
        <v>2.6651120826437316</v>
      </c>
      <c r="AF43" s="364">
        <f t="shared" si="3"/>
        <v>7.1956155910317356</v>
      </c>
      <c r="AG43" s="364">
        <f t="shared" si="4"/>
        <v>0.34055371710568755</v>
      </c>
      <c r="AH43" s="364">
        <f t="shared" si="5"/>
        <v>1.0856410190778258</v>
      </c>
      <c r="AI43" s="365">
        <f t="shared" si="6"/>
        <v>8.6218103272152486</v>
      </c>
    </row>
    <row r="44" spans="1:35" x14ac:dyDescent="0.25">
      <c r="B44" s="34"/>
      <c r="C44" s="304" t="s">
        <v>567</v>
      </c>
      <c r="D44" s="265">
        <v>11</v>
      </c>
      <c r="E44" s="5" t="s">
        <v>568</v>
      </c>
      <c r="F44" s="5" t="s">
        <v>569</v>
      </c>
      <c r="G44" s="29">
        <v>600</v>
      </c>
      <c r="H44" s="299" t="s">
        <v>570</v>
      </c>
      <c r="I44" s="29">
        <v>5</v>
      </c>
      <c r="J44" s="29">
        <v>5</v>
      </c>
      <c r="K44" s="29">
        <v>5</v>
      </c>
      <c r="L44" s="5">
        <v>3.7</v>
      </c>
      <c r="M44" s="5">
        <v>0.31</v>
      </c>
      <c r="N44" s="5">
        <v>1.5</v>
      </c>
      <c r="O44" s="5">
        <v>4</v>
      </c>
      <c r="P44" s="5">
        <v>0.3</v>
      </c>
      <c r="Q44" s="5">
        <v>1</v>
      </c>
      <c r="R44" s="5">
        <v>2.5</v>
      </c>
      <c r="S44" s="5">
        <v>0.2</v>
      </c>
      <c r="T44" s="5">
        <v>2.5</v>
      </c>
      <c r="U44" s="2" t="s">
        <v>441</v>
      </c>
      <c r="V44" s="241">
        <v>4.5</v>
      </c>
      <c r="X44" s="313">
        <v>26.17116159229143</v>
      </c>
      <c r="Y44" s="313">
        <v>9.9818261105848887</v>
      </c>
      <c r="Z44" s="313">
        <v>6.9603698536374745</v>
      </c>
      <c r="AA44" s="314">
        <v>43.11335755651379</v>
      </c>
      <c r="AC44" s="370">
        <f t="shared" si="0"/>
        <v>3.7401512716250758</v>
      </c>
      <c r="AD44" s="370">
        <f t="shared" si="1"/>
        <v>3.3737213610376031</v>
      </c>
      <c r="AE44" s="370">
        <f t="shared" si="2"/>
        <v>3.627970909764934</v>
      </c>
      <c r="AF44" s="364">
        <f t="shared" si="3"/>
        <v>14.13832777830295</v>
      </c>
      <c r="AG44" s="364">
        <f t="shared" si="4"/>
        <v>3.0790635181522839</v>
      </c>
      <c r="AH44" s="364">
        <f t="shared" si="5"/>
        <v>3.8444120839583573</v>
      </c>
      <c r="AI44" s="365">
        <f t="shared" si="6"/>
        <v>21.06180338041359</v>
      </c>
    </row>
    <row r="45" spans="1:35" x14ac:dyDescent="0.25">
      <c r="B45" s="34"/>
      <c r="C45" s="304" t="s">
        <v>571</v>
      </c>
      <c r="D45" s="265">
        <v>12</v>
      </c>
      <c r="E45" s="5" t="s">
        <v>572</v>
      </c>
      <c r="F45" s="5" t="s">
        <v>573</v>
      </c>
      <c r="G45" s="29">
        <v>600</v>
      </c>
      <c r="H45" s="299" t="s">
        <v>574</v>
      </c>
      <c r="I45" s="29">
        <v>5</v>
      </c>
      <c r="J45" s="29">
        <v>5</v>
      </c>
      <c r="K45" s="29">
        <v>5</v>
      </c>
      <c r="L45" s="5">
        <v>3.3</v>
      </c>
      <c r="M45" s="5">
        <v>0.67</v>
      </c>
      <c r="N45" s="5">
        <v>1.5</v>
      </c>
      <c r="O45" s="5">
        <v>3.5</v>
      </c>
      <c r="P45" s="5">
        <v>0.25</v>
      </c>
      <c r="Q45" s="5">
        <v>1.2</v>
      </c>
      <c r="R45" s="5">
        <v>3.5</v>
      </c>
      <c r="S45" s="5">
        <v>0.25</v>
      </c>
      <c r="T45" s="5">
        <v>2</v>
      </c>
      <c r="U45" s="2" t="s">
        <v>441</v>
      </c>
      <c r="V45" s="241">
        <v>4</v>
      </c>
      <c r="X45" s="313">
        <v>22.146930280957243</v>
      </c>
      <c r="Y45" s="313">
        <v>9.1355110546154048</v>
      </c>
      <c r="Z45" s="313">
        <v>7.2456287629871774</v>
      </c>
      <c r="AA45" s="314">
        <v>38.528070098559823</v>
      </c>
      <c r="AC45" s="370">
        <f t="shared" si="0"/>
        <v>4.3578373735929432</v>
      </c>
      <c r="AD45" s="370">
        <f t="shared" si="1"/>
        <v>3.0467170654064484</v>
      </c>
      <c r="AE45" s="370">
        <f t="shared" si="2"/>
        <v>3.8467170654064486</v>
      </c>
      <c r="AF45" s="364">
        <f>(-22.17*AC45)/(-9.605+AC45)</f>
        <v>18.412475741905972</v>
      </c>
      <c r="AG45" s="364">
        <f>11.49/(1+1107.8*EXP(-1.78*AD45))</f>
        <v>1.9511160190283967</v>
      </c>
      <c r="AH45" s="364">
        <f>7.437/(1+937.8*EXP(-1.905*AE45))</f>
        <v>4.6020179788583579</v>
      </c>
      <c r="AI45" s="365">
        <f t="shared" si="6"/>
        <v>24.965609739792725</v>
      </c>
    </row>
    <row r="46" spans="1:35" x14ac:dyDescent="0.25">
      <c r="A46" t="s">
        <v>441</v>
      </c>
      <c r="B46" s="34"/>
      <c r="C46" s="304" t="s">
        <v>575</v>
      </c>
      <c r="D46" s="265">
        <v>40</v>
      </c>
      <c r="E46" s="290" t="s">
        <v>576</v>
      </c>
      <c r="F46" s="290" t="s">
        <v>577</v>
      </c>
      <c r="G46" s="240">
        <v>600</v>
      </c>
      <c r="H46" s="300" t="s">
        <v>566</v>
      </c>
      <c r="I46" s="240">
        <v>4</v>
      </c>
      <c r="J46" s="240">
        <v>3</v>
      </c>
      <c r="K46" s="240">
        <v>4</v>
      </c>
      <c r="L46" s="290">
        <v>3.5</v>
      </c>
      <c r="M46" s="290">
        <v>0.6</v>
      </c>
      <c r="N46" s="290">
        <v>0.5</v>
      </c>
      <c r="O46" s="290">
        <v>2.5</v>
      </c>
      <c r="P46" s="290">
        <v>0.3</v>
      </c>
      <c r="Q46" s="290">
        <v>0.5</v>
      </c>
      <c r="R46" s="290">
        <v>3</v>
      </c>
      <c r="S46" s="290">
        <v>0.15</v>
      </c>
      <c r="T46" s="290">
        <v>1</v>
      </c>
      <c r="U46" s="2"/>
      <c r="V46" s="241">
        <v>3.5</v>
      </c>
      <c r="X46" s="313">
        <v>15.821587867972802</v>
      </c>
      <c r="Y46" s="313">
        <v>1.8200905284728606</v>
      </c>
      <c r="Z46" s="313">
        <v>5.0886545000746235</v>
      </c>
      <c r="AA46" s="314">
        <v>22.730332896520288</v>
      </c>
      <c r="AC46" s="370">
        <f t="shared" ref="AC46:AC53" si="7">L46*(1-EXP(-M46*$AE$2))+N46</f>
        <v>3.4214538912244472</v>
      </c>
      <c r="AD46" s="370">
        <f t="shared" si="1"/>
        <v>1.9835758506485019</v>
      </c>
      <c r="AE46" s="370">
        <f t="shared" si="2"/>
        <v>2.0871155451346799</v>
      </c>
      <c r="AF46" s="364">
        <f t="shared" ref="AF46:AF53" si="8">(-22.17*AC46)/(-9.605+AC46)</f>
        <v>12.267011749260863</v>
      </c>
      <c r="AG46" s="364">
        <f t="shared" ref="AG46:AG53" si="9">11.49/(1+1107.8*EXP(-1.78*AD46))</f>
        <v>0.34360911096795016</v>
      </c>
      <c r="AH46" s="364">
        <f t="shared" ref="AH46:AH53" si="10">7.437/(1+937.8*EXP(-1.905*AE46))</f>
        <v>0.39995877795156198</v>
      </c>
      <c r="AI46" s="365">
        <f t="shared" ref="AI46:AI53" si="11">SUM(AF46:AH46)</f>
        <v>13.010579638180376</v>
      </c>
    </row>
    <row r="47" spans="1:35" x14ac:dyDescent="0.25">
      <c r="B47" s="34"/>
      <c r="C47" s="304" t="s">
        <v>578</v>
      </c>
      <c r="D47" s="265">
        <v>33</v>
      </c>
      <c r="E47" s="290" t="s">
        <v>579</v>
      </c>
      <c r="F47" s="290" t="s">
        <v>580</v>
      </c>
      <c r="G47" s="240">
        <v>600</v>
      </c>
      <c r="H47" s="300" t="s">
        <v>581</v>
      </c>
      <c r="I47" s="240">
        <v>1</v>
      </c>
      <c r="J47" s="240">
        <v>1</v>
      </c>
      <c r="K47" s="240">
        <v>2</v>
      </c>
      <c r="L47" s="290">
        <v>1</v>
      </c>
      <c r="M47" s="290">
        <v>0.25</v>
      </c>
      <c r="N47" s="290">
        <v>0</v>
      </c>
      <c r="O47" s="290">
        <v>1</v>
      </c>
      <c r="P47" s="290">
        <v>0.35</v>
      </c>
      <c r="Q47" s="290">
        <v>0.5</v>
      </c>
      <c r="R47" s="290">
        <v>2</v>
      </c>
      <c r="S47" s="290">
        <v>0.15</v>
      </c>
      <c r="T47" s="290">
        <v>0.2</v>
      </c>
      <c r="U47" s="2"/>
      <c r="V47" s="241">
        <v>4</v>
      </c>
      <c r="X47" s="313">
        <v>2.5763983473278445</v>
      </c>
      <c r="Y47" s="313">
        <v>0.14784292420483852</v>
      </c>
      <c r="Z47" s="313">
        <v>0.48863587265004227</v>
      </c>
      <c r="AA47" s="314">
        <v>3.2128771441827255</v>
      </c>
      <c r="AC47" s="370">
        <f t="shared" si="7"/>
        <v>0.52763344725898531</v>
      </c>
      <c r="AD47" s="370">
        <f t="shared" si="1"/>
        <v>1.1500622508888445</v>
      </c>
      <c r="AE47" s="370">
        <f t="shared" si="2"/>
        <v>0.92474369675645329</v>
      </c>
      <c r="AF47" s="364">
        <f t="shared" si="8"/>
        <v>1.2886593768981898</v>
      </c>
      <c r="AG47" s="364">
        <f t="shared" si="9"/>
        <v>7.9777729295220742E-2</v>
      </c>
      <c r="AH47" s="364">
        <f t="shared" si="10"/>
        <v>4.5884801701606658E-2</v>
      </c>
      <c r="AI47" s="365">
        <f t="shared" si="11"/>
        <v>1.4143219078950171</v>
      </c>
    </row>
    <row r="48" spans="1:35" x14ac:dyDescent="0.25">
      <c r="A48" t="s">
        <v>441</v>
      </c>
      <c r="B48" s="34"/>
      <c r="C48" s="304" t="s">
        <v>582</v>
      </c>
      <c r="D48" s="265">
        <v>6</v>
      </c>
      <c r="E48" s="5" t="s">
        <v>583</v>
      </c>
      <c r="F48" s="5" t="s">
        <v>584</v>
      </c>
      <c r="G48" s="29">
        <v>600</v>
      </c>
      <c r="H48" s="299">
        <v>5</v>
      </c>
      <c r="I48" s="29">
        <v>4</v>
      </c>
      <c r="J48" s="29">
        <v>4</v>
      </c>
      <c r="K48" s="29">
        <v>5</v>
      </c>
      <c r="L48" s="5">
        <v>3</v>
      </c>
      <c r="M48" s="5">
        <v>0.15</v>
      </c>
      <c r="N48" s="5">
        <v>1.5</v>
      </c>
      <c r="O48" s="5">
        <v>2.8</v>
      </c>
      <c r="P48" s="5">
        <v>0.25</v>
      </c>
      <c r="Q48" s="5">
        <v>1.2</v>
      </c>
      <c r="R48" s="5">
        <v>2.1</v>
      </c>
      <c r="S48" s="5">
        <v>0.25</v>
      </c>
      <c r="T48" s="5">
        <v>2</v>
      </c>
      <c r="U48" s="2" t="s">
        <v>441</v>
      </c>
      <c r="V48" s="241">
        <v>3.5</v>
      </c>
      <c r="X48" s="313">
        <v>19.52905205057445</v>
      </c>
      <c r="Y48" s="313">
        <v>6.0602274322120406</v>
      </c>
      <c r="Z48" s="313">
        <v>5.3881870315099878</v>
      </c>
      <c r="AA48" s="314">
        <v>30.977466514296481</v>
      </c>
      <c r="AC48" s="370">
        <f t="shared" si="7"/>
        <v>2.5871155451346799</v>
      </c>
      <c r="AD48" s="370">
        <f t="shared" si="1"/>
        <v>2.6773736523251586</v>
      </c>
      <c r="AE48" s="370">
        <f t="shared" si="2"/>
        <v>3.1080302392438695</v>
      </c>
      <c r="AF48" s="364">
        <f t="shared" si="8"/>
        <v>8.1728834386653606</v>
      </c>
      <c r="AG48" s="364">
        <f t="shared" si="9"/>
        <v>1.1011219068234901</v>
      </c>
      <c r="AH48" s="364">
        <f t="shared" si="10"/>
        <v>2.1150836367068129</v>
      </c>
      <c r="AI48" s="365">
        <f t="shared" si="11"/>
        <v>11.389088982195663</v>
      </c>
    </row>
    <row r="49" spans="1:35" x14ac:dyDescent="0.25">
      <c r="A49" t="s">
        <v>441</v>
      </c>
      <c r="B49" s="34"/>
      <c r="C49" s="304" t="s">
        <v>585</v>
      </c>
      <c r="D49" s="265">
        <v>7</v>
      </c>
      <c r="E49" s="5" t="s">
        <v>586</v>
      </c>
      <c r="F49" s="5" t="s">
        <v>587</v>
      </c>
      <c r="G49" s="29">
        <v>600</v>
      </c>
      <c r="H49" s="299">
        <v>5</v>
      </c>
      <c r="I49" s="29">
        <v>4</v>
      </c>
      <c r="J49" s="29">
        <v>3</v>
      </c>
      <c r="K49" s="29">
        <v>5</v>
      </c>
      <c r="L49" s="5">
        <v>2.5</v>
      </c>
      <c r="M49" s="5">
        <v>0.25</v>
      </c>
      <c r="N49" s="5">
        <v>1.2</v>
      </c>
      <c r="O49" s="5">
        <v>1.5</v>
      </c>
      <c r="P49" s="5">
        <v>0.2</v>
      </c>
      <c r="Q49" s="5">
        <v>1.5</v>
      </c>
      <c r="R49" s="5">
        <v>2.1</v>
      </c>
      <c r="S49" s="5">
        <v>0.25</v>
      </c>
      <c r="T49" s="5">
        <v>2</v>
      </c>
      <c r="U49" s="2" t="s">
        <v>441</v>
      </c>
      <c r="V49" s="241">
        <v>3</v>
      </c>
      <c r="X49" s="313">
        <v>13.891391029510048</v>
      </c>
      <c r="Y49" s="313">
        <v>1.8199069425612422</v>
      </c>
      <c r="Z49" s="313">
        <v>5.3881870315099878</v>
      </c>
      <c r="AA49" s="314">
        <v>21.099485003581279</v>
      </c>
      <c r="AC49" s="370">
        <f t="shared" si="7"/>
        <v>2.5190836181474632</v>
      </c>
      <c r="AD49" s="370">
        <f t="shared" si="1"/>
        <v>2.1767825458589605</v>
      </c>
      <c r="AE49" s="370">
        <f t="shared" si="2"/>
        <v>3.1080302392438695</v>
      </c>
      <c r="AF49" s="364">
        <f t="shared" si="8"/>
        <v>7.8815612271913906</v>
      </c>
      <c r="AG49" s="364">
        <f t="shared" si="9"/>
        <v>0.47876642628296162</v>
      </c>
      <c r="AH49" s="364">
        <f t="shared" si="10"/>
        <v>2.1150836367068129</v>
      </c>
      <c r="AI49" s="365">
        <f t="shared" si="11"/>
        <v>10.475411290181164</v>
      </c>
    </row>
    <row r="50" spans="1:35" x14ac:dyDescent="0.25">
      <c r="A50" t="s">
        <v>441</v>
      </c>
      <c r="B50" s="34"/>
      <c r="C50" s="304" t="s">
        <v>588</v>
      </c>
      <c r="D50" s="265">
        <v>45</v>
      </c>
      <c r="E50" s="290" t="s">
        <v>589</v>
      </c>
      <c r="F50" s="5" t="s">
        <v>590</v>
      </c>
      <c r="G50" s="29">
        <v>600</v>
      </c>
      <c r="H50" s="299">
        <v>5</v>
      </c>
      <c r="I50" s="29">
        <v>4</v>
      </c>
      <c r="J50" s="29">
        <v>3</v>
      </c>
      <c r="K50" s="29">
        <v>4</v>
      </c>
      <c r="L50" s="5">
        <v>3.2</v>
      </c>
      <c r="M50" s="5">
        <v>0.15</v>
      </c>
      <c r="N50" s="5">
        <v>0.8</v>
      </c>
      <c r="O50" s="5">
        <v>2.8</v>
      </c>
      <c r="P50" s="5">
        <v>0.1</v>
      </c>
      <c r="Q50" s="5">
        <v>0.2</v>
      </c>
      <c r="R50" s="5">
        <v>3.8</v>
      </c>
      <c r="S50" s="5">
        <v>0.15</v>
      </c>
      <c r="T50" s="5">
        <v>0.2</v>
      </c>
      <c r="U50" s="2"/>
      <c r="V50" s="241">
        <v>3.5</v>
      </c>
      <c r="X50" s="313">
        <v>15.809595192586304</v>
      </c>
      <c r="Y50" s="313">
        <v>1.7692406816902826</v>
      </c>
      <c r="Z50" s="313">
        <v>5.087299900450355</v>
      </c>
      <c r="AA50" s="314">
        <v>22.666135774726939</v>
      </c>
      <c r="AC50" s="370">
        <f t="shared" si="7"/>
        <v>1.9595899148103255</v>
      </c>
      <c r="AD50" s="370">
        <f t="shared" si="1"/>
        <v>0.9257089820911899</v>
      </c>
      <c r="AE50" s="370">
        <f t="shared" si="2"/>
        <v>1.5770130238372613</v>
      </c>
      <c r="AF50" s="364">
        <f t="shared" si="8"/>
        <v>5.6823777831751343</v>
      </c>
      <c r="AG50" s="364">
        <f t="shared" si="9"/>
        <v>5.3634053614120887E-2</v>
      </c>
      <c r="AH50" s="364">
        <f t="shared" si="10"/>
        <v>0.15658764505238384</v>
      </c>
      <c r="AI50" s="365">
        <f t="shared" si="11"/>
        <v>5.8925994818416392</v>
      </c>
    </row>
    <row r="51" spans="1:35" x14ac:dyDescent="0.25">
      <c r="A51" t="s">
        <v>441</v>
      </c>
      <c r="B51" s="34"/>
      <c r="C51" s="304" t="s">
        <v>591</v>
      </c>
      <c r="D51" s="265">
        <v>8</v>
      </c>
      <c r="E51" s="5" t="s">
        <v>592</v>
      </c>
      <c r="F51" s="5" t="s">
        <v>593</v>
      </c>
      <c r="G51" s="29">
        <v>600</v>
      </c>
      <c r="H51" s="299">
        <v>5</v>
      </c>
      <c r="I51" s="29">
        <v>3</v>
      </c>
      <c r="J51" s="29">
        <v>3</v>
      </c>
      <c r="K51" s="29">
        <v>3</v>
      </c>
      <c r="L51" s="5">
        <v>1.5</v>
      </c>
      <c r="M51" s="5">
        <v>0.4</v>
      </c>
      <c r="N51" s="5">
        <v>1.2</v>
      </c>
      <c r="O51" s="5">
        <v>2</v>
      </c>
      <c r="P51" s="5">
        <v>0.35</v>
      </c>
      <c r="Q51" s="5">
        <v>1</v>
      </c>
      <c r="R51" s="5">
        <v>0.8</v>
      </c>
      <c r="S51" s="5">
        <v>0.35</v>
      </c>
      <c r="T51" s="5">
        <v>2.2000000000000002</v>
      </c>
      <c r="U51" s="2" t="s">
        <v>441</v>
      </c>
      <c r="V51" s="241">
        <v>3</v>
      </c>
      <c r="X51" s="313">
        <v>8.6689355401382091</v>
      </c>
      <c r="Y51" s="313">
        <v>1.8200924766998905</v>
      </c>
      <c r="Z51" s="313">
        <v>1.817835135799154</v>
      </c>
      <c r="AA51" s="314">
        <v>12.306863152637254</v>
      </c>
      <c r="AC51" s="370">
        <f t="shared" si="7"/>
        <v>2.2482086821316969</v>
      </c>
      <c r="AD51" s="370">
        <f t="shared" si="1"/>
        <v>2.300124501777689</v>
      </c>
      <c r="AE51" s="370">
        <f t="shared" si="2"/>
        <v>2.7200498007110756</v>
      </c>
      <c r="AF51" s="364">
        <f t="shared" si="8"/>
        <v>6.775071403996562</v>
      </c>
      <c r="AG51" s="364">
        <f t="shared" si="9"/>
        <v>0.5902719628919374</v>
      </c>
      <c r="AH51" s="364">
        <f t="shared" si="10"/>
        <v>1.1863123651998451</v>
      </c>
      <c r="AI51" s="365">
        <f t="shared" si="11"/>
        <v>8.551655732088344</v>
      </c>
    </row>
    <row r="52" spans="1:35" x14ac:dyDescent="0.25">
      <c r="B52" s="305" t="s">
        <v>594</v>
      </c>
      <c r="C52" s="306" t="s">
        <v>595</v>
      </c>
      <c r="D52" s="265">
        <v>98</v>
      </c>
      <c r="E52" s="290" t="s">
        <v>596</v>
      </c>
      <c r="F52" s="290" t="s">
        <v>597</v>
      </c>
      <c r="G52" s="29">
        <v>600</v>
      </c>
      <c r="H52" s="299" t="s">
        <v>524</v>
      </c>
      <c r="I52" s="29">
        <v>4</v>
      </c>
      <c r="J52" s="29">
        <v>3</v>
      </c>
      <c r="K52" s="29">
        <v>2</v>
      </c>
      <c r="L52" s="5">
        <v>3.3</v>
      </c>
      <c r="M52" s="5">
        <v>0.6</v>
      </c>
      <c r="N52" s="5">
        <v>0.7</v>
      </c>
      <c r="O52" s="5">
        <v>1.5</v>
      </c>
      <c r="P52" s="5">
        <v>0.2</v>
      </c>
      <c r="Q52" s="5">
        <v>1.5</v>
      </c>
      <c r="R52" s="5">
        <v>2</v>
      </c>
      <c r="S52" s="5">
        <v>0.34</v>
      </c>
      <c r="T52" s="5">
        <v>0</v>
      </c>
      <c r="U52" s="2"/>
      <c r="V52" s="241">
        <v>4.5</v>
      </c>
      <c r="X52" s="313">
        <v>15.821587867972928</v>
      </c>
      <c r="Y52" s="313">
        <v>1.8199069425612422</v>
      </c>
      <c r="Z52" s="313">
        <v>0.34160803031450632</v>
      </c>
      <c r="AA52" s="314">
        <v>17.983102840848677</v>
      </c>
      <c r="AC52" s="370">
        <f t="shared" si="7"/>
        <v>3.4545136688687643</v>
      </c>
      <c r="AD52" s="370">
        <f t="shared" si="1"/>
        <v>2.1767825458589605</v>
      </c>
      <c r="AE52" s="370">
        <f t="shared" si="2"/>
        <v>1.2788101196538433</v>
      </c>
      <c r="AF52" s="364">
        <f t="shared" si="8"/>
        <v>12.45211580280583</v>
      </c>
      <c r="AG52" s="364">
        <f t="shared" si="9"/>
        <v>0.47876642628296162</v>
      </c>
      <c r="AH52" s="364">
        <f t="shared" si="10"/>
        <v>8.954186415337391E-2</v>
      </c>
      <c r="AI52" s="365">
        <f t="shared" si="11"/>
        <v>13.020424093242164</v>
      </c>
    </row>
    <row r="53" spans="1:35" x14ac:dyDescent="0.25">
      <c r="B53" s="34"/>
      <c r="C53" s="306" t="s">
        <v>598</v>
      </c>
      <c r="D53" s="265">
        <v>99</v>
      </c>
      <c r="E53" s="290" t="s">
        <v>599</v>
      </c>
      <c r="F53" s="290" t="s">
        <v>600</v>
      </c>
      <c r="G53" s="29">
        <v>600</v>
      </c>
      <c r="H53" s="299" t="s">
        <v>524</v>
      </c>
      <c r="I53" s="29">
        <v>4</v>
      </c>
      <c r="J53" s="29">
        <v>1</v>
      </c>
      <c r="K53" s="29">
        <v>4</v>
      </c>
      <c r="L53" s="5">
        <v>3</v>
      </c>
      <c r="M53" s="5">
        <v>0.6</v>
      </c>
      <c r="N53" s="5">
        <v>0.7</v>
      </c>
      <c r="O53" s="5">
        <v>1</v>
      </c>
      <c r="P53" s="5">
        <v>0.5</v>
      </c>
      <c r="Q53" s="5">
        <v>0</v>
      </c>
      <c r="R53" s="5">
        <v>4</v>
      </c>
      <c r="S53" s="5">
        <v>0.45</v>
      </c>
      <c r="T53" s="5">
        <v>0</v>
      </c>
      <c r="U53" s="2"/>
      <c r="V53" s="241">
        <v>4</v>
      </c>
      <c r="X53" s="313">
        <v>13.891447925485162</v>
      </c>
      <c r="Y53" s="313">
        <v>6.1176460211846029E-2</v>
      </c>
      <c r="Z53" s="313">
        <v>5.0937304978519133</v>
      </c>
      <c r="AA53" s="314">
        <v>19.046354883548922</v>
      </c>
      <c r="AC53" s="370">
        <f t="shared" si="7"/>
        <v>3.2041033353352404</v>
      </c>
      <c r="AD53" s="370">
        <f t="shared" si="1"/>
        <v>0.77686983985157021</v>
      </c>
      <c r="AE53" s="370">
        <f t="shared" si="2"/>
        <v>2.9630389574164342</v>
      </c>
      <c r="AF53" s="364">
        <f t="shared" si="8"/>
        <v>11.097659385210941</v>
      </c>
      <c r="AG53" s="364">
        <f t="shared" si="9"/>
        <v>4.1195850356711548E-2</v>
      </c>
      <c r="AH53" s="364">
        <f t="shared" si="10"/>
        <v>1.722874046706752</v>
      </c>
      <c r="AI53" s="365">
        <f t="shared" si="11"/>
        <v>12.861729282274403</v>
      </c>
    </row>
    <row r="55" spans="1:35" x14ac:dyDescent="0.25">
      <c r="E55" s="212" t="s">
        <v>601</v>
      </c>
    </row>
    <row r="56" spans="1:35" x14ac:dyDescent="0.25">
      <c r="E56" t="s">
        <v>602</v>
      </c>
    </row>
    <row r="57" spans="1:35" x14ac:dyDescent="0.25">
      <c r="E57" t="s">
        <v>603</v>
      </c>
    </row>
    <row r="58" spans="1:35" x14ac:dyDescent="0.25">
      <c r="E58" t="s">
        <v>604</v>
      </c>
    </row>
    <row r="59" spans="1:35" x14ac:dyDescent="0.25">
      <c r="E59" t="s">
        <v>605</v>
      </c>
    </row>
    <row r="60" spans="1:35" x14ac:dyDescent="0.25">
      <c r="E60" t="s">
        <v>606</v>
      </c>
    </row>
    <row r="61" spans="1:35" x14ac:dyDescent="0.25">
      <c r="E61" t="s">
        <v>607</v>
      </c>
    </row>
    <row r="62" spans="1:35" x14ac:dyDescent="0.25">
      <c r="E62" t="s">
        <v>608</v>
      </c>
    </row>
    <row r="63" spans="1:35" x14ac:dyDescent="0.25">
      <c r="E63" t="s">
        <v>609</v>
      </c>
    </row>
    <row r="66" spans="4:14" x14ac:dyDescent="0.25">
      <c r="E66" s="307" t="s">
        <v>601</v>
      </c>
      <c r="F66" s="307" t="s">
        <v>610</v>
      </c>
      <c r="G66" s="307" t="s">
        <v>611</v>
      </c>
    </row>
    <row r="67" spans="4:14" x14ac:dyDescent="0.25">
      <c r="E67" s="5" t="s">
        <v>612</v>
      </c>
      <c r="F67" s="5" t="s">
        <v>613</v>
      </c>
      <c r="G67" s="299">
        <v>1</v>
      </c>
    </row>
    <row r="68" spans="4:14" x14ac:dyDescent="0.25">
      <c r="E68" s="5" t="s">
        <v>614</v>
      </c>
      <c r="F68" s="5" t="s">
        <v>615</v>
      </c>
      <c r="G68" s="299" t="s">
        <v>616</v>
      </c>
    </row>
    <row r="69" spans="4:14" x14ac:dyDescent="0.25">
      <c r="E69" s="5" t="s">
        <v>617</v>
      </c>
      <c r="F69" s="5" t="s">
        <v>618</v>
      </c>
      <c r="G69" s="299" t="s">
        <v>616</v>
      </c>
    </row>
    <row r="70" spans="4:14" x14ac:dyDescent="0.25">
      <c r="E70" s="5" t="s">
        <v>603</v>
      </c>
      <c r="F70" s="5" t="s">
        <v>619</v>
      </c>
      <c r="G70" s="299">
        <v>1</v>
      </c>
    </row>
    <row r="71" spans="4:14" x14ac:dyDescent="0.25">
      <c r="E71" s="5" t="s">
        <v>620</v>
      </c>
      <c r="F71" s="5" t="s">
        <v>621</v>
      </c>
      <c r="G71" s="299" t="s">
        <v>622</v>
      </c>
    </row>
    <row r="72" spans="4:14" x14ac:dyDescent="0.25">
      <c r="E72" s="5" t="s">
        <v>623</v>
      </c>
      <c r="F72" s="5" t="s">
        <v>624</v>
      </c>
      <c r="G72" s="299" t="s">
        <v>625</v>
      </c>
    </row>
    <row r="73" spans="4:14" x14ac:dyDescent="0.25">
      <c r="E73" s="5" t="s">
        <v>607</v>
      </c>
      <c r="F73" s="5" t="s">
        <v>626</v>
      </c>
      <c r="G73" s="299" t="s">
        <v>625</v>
      </c>
    </row>
    <row r="74" spans="4:14" x14ac:dyDescent="0.25">
      <c r="L74" s="308"/>
      <c r="M74" s="308"/>
      <c r="N74" s="308"/>
    </row>
    <row r="75" spans="4:14" x14ac:dyDescent="0.25">
      <c r="G75" s="309" t="s">
        <v>602</v>
      </c>
      <c r="H75" s="310" t="s">
        <v>603</v>
      </c>
      <c r="I75" s="310" t="s">
        <v>604</v>
      </c>
      <c r="J75" s="310" t="s">
        <v>605</v>
      </c>
      <c r="K75" s="310" t="s">
        <v>606</v>
      </c>
      <c r="L75" s="310" t="s">
        <v>627</v>
      </c>
      <c r="M75" s="310" t="s">
        <v>608</v>
      </c>
      <c r="N75" s="310" t="s">
        <v>628</v>
      </c>
    </row>
    <row r="76" spans="4:14" x14ac:dyDescent="0.25">
      <c r="E76" s="307" t="s">
        <v>601</v>
      </c>
      <c r="F76" s="311" t="s">
        <v>610</v>
      </c>
      <c r="G76" s="312">
        <v>1</v>
      </c>
      <c r="H76" s="312" t="s">
        <v>629</v>
      </c>
      <c r="I76" s="312" t="s">
        <v>630</v>
      </c>
      <c r="J76" s="312" t="s">
        <v>631</v>
      </c>
      <c r="K76" s="312" t="s">
        <v>632</v>
      </c>
      <c r="L76" s="312">
        <v>6</v>
      </c>
      <c r="M76" s="312">
        <v>7</v>
      </c>
      <c r="N76" s="312">
        <v>8</v>
      </c>
    </row>
    <row r="77" spans="4:14" x14ac:dyDescent="0.25">
      <c r="D77" s="2">
        <v>100</v>
      </c>
      <c r="E77" s="5" t="s">
        <v>612</v>
      </c>
      <c r="F77" s="199" t="s">
        <v>613</v>
      </c>
      <c r="G77" s="310" t="s">
        <v>602</v>
      </c>
      <c r="H77" s="310" t="s">
        <v>603</v>
      </c>
      <c r="I77" s="310" t="s">
        <v>604</v>
      </c>
      <c r="J77" s="310"/>
      <c r="K77" s="310"/>
      <c r="L77" s="310"/>
      <c r="M77" s="310"/>
      <c r="N77" s="310" t="s">
        <v>633</v>
      </c>
    </row>
    <row r="78" spans="4:14" x14ac:dyDescent="0.25">
      <c r="D78" s="2">
        <v>200</v>
      </c>
      <c r="E78" s="5" t="s">
        <v>614</v>
      </c>
      <c r="F78" s="199" t="s">
        <v>615</v>
      </c>
      <c r="G78" s="310" t="s">
        <v>602</v>
      </c>
      <c r="H78" s="310"/>
      <c r="I78" s="310"/>
      <c r="J78" s="310" t="s">
        <v>605</v>
      </c>
      <c r="K78" s="310"/>
      <c r="L78" s="310"/>
      <c r="M78" s="310"/>
      <c r="N78" s="310" t="s">
        <v>633</v>
      </c>
    </row>
    <row r="79" spans="4:14" x14ac:dyDescent="0.25">
      <c r="D79" s="2">
        <v>300</v>
      </c>
      <c r="E79" s="5" t="s">
        <v>617</v>
      </c>
      <c r="F79" s="199" t="s">
        <v>618</v>
      </c>
      <c r="G79" s="310" t="s">
        <v>602</v>
      </c>
      <c r="H79" s="310"/>
      <c r="I79" s="310" t="s">
        <v>604</v>
      </c>
      <c r="J79" s="310"/>
      <c r="K79" s="310" t="s">
        <v>606</v>
      </c>
      <c r="L79" s="310" t="s">
        <v>634</v>
      </c>
      <c r="M79" s="310" t="s">
        <v>608</v>
      </c>
      <c r="N79" s="310" t="s">
        <v>633</v>
      </c>
    </row>
    <row r="80" spans="4:14" x14ac:dyDescent="0.25">
      <c r="D80" s="2">
        <v>400</v>
      </c>
      <c r="E80" s="5" t="s">
        <v>603</v>
      </c>
      <c r="F80" s="199" t="s">
        <v>619</v>
      </c>
      <c r="G80" s="310" t="s">
        <v>635</v>
      </c>
      <c r="H80" s="310" t="s">
        <v>636</v>
      </c>
      <c r="I80" s="310" t="s">
        <v>637</v>
      </c>
      <c r="J80" s="310"/>
      <c r="K80" s="310"/>
      <c r="L80" s="310"/>
      <c r="M80" s="310"/>
      <c r="N80" s="310"/>
    </row>
    <row r="81" spans="4:14" x14ac:dyDescent="0.25">
      <c r="D81" s="2">
        <v>500</v>
      </c>
      <c r="E81" s="5" t="s">
        <v>620</v>
      </c>
      <c r="F81" s="199" t="s">
        <v>621</v>
      </c>
      <c r="G81" s="310" t="s">
        <v>602</v>
      </c>
      <c r="H81" s="310"/>
      <c r="I81" s="310" t="s">
        <v>604</v>
      </c>
      <c r="J81" s="310" t="s">
        <v>605</v>
      </c>
      <c r="K81" s="310" t="s">
        <v>606</v>
      </c>
      <c r="L81" s="310"/>
      <c r="M81" s="310"/>
      <c r="N81" s="310" t="s">
        <v>633</v>
      </c>
    </row>
    <row r="82" spans="4:14" x14ac:dyDescent="0.25">
      <c r="D82" s="2">
        <v>600</v>
      </c>
      <c r="E82" s="5" t="s">
        <v>623</v>
      </c>
      <c r="F82" s="199" t="s">
        <v>638</v>
      </c>
      <c r="G82" s="310" t="s">
        <v>602</v>
      </c>
      <c r="H82" s="310" t="s">
        <v>639</v>
      </c>
      <c r="I82" s="310" t="s">
        <v>604</v>
      </c>
      <c r="J82" s="310"/>
      <c r="K82" s="310" t="s">
        <v>606</v>
      </c>
      <c r="L82" s="310"/>
      <c r="M82" s="310" t="s">
        <v>608</v>
      </c>
      <c r="N82" s="310"/>
    </row>
    <row r="83" spans="4:14" x14ac:dyDescent="0.25">
      <c r="D83" s="2">
        <v>700</v>
      </c>
      <c r="E83" s="5" t="s">
        <v>607</v>
      </c>
      <c r="F83" s="199" t="s">
        <v>626</v>
      </c>
      <c r="G83" s="310" t="s">
        <v>640</v>
      </c>
      <c r="H83" s="310"/>
      <c r="I83" s="310"/>
      <c r="J83" s="310"/>
      <c r="K83" s="310"/>
      <c r="L83" s="310" t="s">
        <v>641</v>
      </c>
      <c r="M83" s="310" t="s">
        <v>642</v>
      </c>
      <c r="N83" s="310"/>
    </row>
  </sheetData>
  <phoneticPr fontId="6"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P74"/>
  <sheetViews>
    <sheetView workbookViewId="0">
      <selection activeCell="AI3" sqref="AI3"/>
    </sheetView>
  </sheetViews>
  <sheetFormatPr defaultRowHeight="13.2" x14ac:dyDescent="0.25"/>
  <cols>
    <col min="1" max="2" width="3.6640625" customWidth="1"/>
    <col min="3" max="3" width="30.33203125" bestFit="1" customWidth="1"/>
    <col min="4" max="4" width="53.88671875" bestFit="1" customWidth="1"/>
    <col min="5" max="13" width="4.88671875" customWidth="1"/>
    <col min="14" max="22" width="5.33203125" customWidth="1"/>
    <col min="23" max="25" width="7.5546875" customWidth="1"/>
    <col min="26" max="26" width="9.109375" bestFit="1" customWidth="1"/>
    <col min="27" max="27" width="7.6640625" bestFit="1" customWidth="1"/>
    <col min="35" max="35" width="9.44140625" bestFit="1" customWidth="1"/>
  </cols>
  <sheetData>
    <row r="1" spans="1:42" ht="14.4" x14ac:dyDescent="0.3">
      <c r="A1" s="553" t="s">
        <v>915</v>
      </c>
      <c r="B1" s="553"/>
      <c r="C1" s="553"/>
      <c r="D1" s="553"/>
      <c r="E1" s="554" t="s">
        <v>916</v>
      </c>
      <c r="F1" s="554"/>
      <c r="G1" s="554"/>
      <c r="H1" s="554"/>
      <c r="I1" s="554"/>
      <c r="J1" s="554"/>
      <c r="K1" s="554"/>
      <c r="L1" s="554"/>
      <c r="M1" s="554"/>
      <c r="N1" s="555" t="s">
        <v>917</v>
      </c>
      <c r="O1" s="555"/>
      <c r="P1" s="555"/>
      <c r="Q1" s="555"/>
      <c r="R1" s="555"/>
      <c r="S1" s="555"/>
      <c r="T1" s="555"/>
      <c r="U1" s="555"/>
      <c r="V1" s="555"/>
      <c r="W1" s="556" t="s">
        <v>918</v>
      </c>
      <c r="X1" s="557"/>
      <c r="Y1" s="558"/>
      <c r="Z1" s="559"/>
      <c r="AA1" s="560"/>
      <c r="AB1" s="561" t="s">
        <v>919</v>
      </c>
      <c r="AC1" s="562"/>
      <c r="AD1" s="562"/>
      <c r="AE1" s="563" t="s">
        <v>920</v>
      </c>
      <c r="AF1" s="564"/>
      <c r="AG1" s="564"/>
      <c r="AH1" s="565"/>
      <c r="AI1" s="571" t="s">
        <v>923</v>
      </c>
      <c r="AJ1" s="566" t="s">
        <v>921</v>
      </c>
      <c r="AK1" s="567"/>
      <c r="AL1" s="567"/>
      <c r="AM1" s="568" t="s">
        <v>922</v>
      </c>
      <c r="AN1" s="569"/>
      <c r="AO1" s="569"/>
      <c r="AP1" s="570"/>
    </row>
    <row r="2" spans="1:42" ht="131.4" x14ac:dyDescent="0.25">
      <c r="A2" s="572" t="s">
        <v>924</v>
      </c>
      <c r="B2" s="572" t="s">
        <v>925</v>
      </c>
      <c r="C2" s="573" t="s">
        <v>926</v>
      </c>
      <c r="D2" s="573" t="s">
        <v>915</v>
      </c>
      <c r="E2" s="574" t="s">
        <v>927</v>
      </c>
      <c r="F2" s="574" t="s">
        <v>928</v>
      </c>
      <c r="G2" s="574" t="s">
        <v>929</v>
      </c>
      <c r="H2" s="574" t="s">
        <v>930</v>
      </c>
      <c r="I2" s="574" t="s">
        <v>931</v>
      </c>
      <c r="J2" s="574" t="s">
        <v>932</v>
      </c>
      <c r="K2" s="574" t="s">
        <v>933</v>
      </c>
      <c r="L2" s="574" t="s">
        <v>934</v>
      </c>
      <c r="M2" s="574" t="s">
        <v>935</v>
      </c>
      <c r="N2" s="575" t="s">
        <v>927</v>
      </c>
      <c r="O2" s="575" t="s">
        <v>928</v>
      </c>
      <c r="P2" s="575" t="s">
        <v>929</v>
      </c>
      <c r="Q2" s="575" t="s">
        <v>930</v>
      </c>
      <c r="R2" s="575" t="s">
        <v>931</v>
      </c>
      <c r="S2" s="575" t="s">
        <v>932</v>
      </c>
      <c r="T2" s="575" t="s">
        <v>933</v>
      </c>
      <c r="U2" s="575" t="s">
        <v>934</v>
      </c>
      <c r="V2" s="575" t="s">
        <v>935</v>
      </c>
      <c r="W2" s="576" t="s">
        <v>366</v>
      </c>
      <c r="X2" s="577" t="s">
        <v>936</v>
      </c>
      <c r="Y2" s="578" t="s">
        <v>937</v>
      </c>
      <c r="Z2" s="579" t="s">
        <v>938</v>
      </c>
      <c r="AA2" s="579" t="s">
        <v>939</v>
      </c>
      <c r="AB2" s="580" t="s">
        <v>940</v>
      </c>
      <c r="AC2" s="580" t="s">
        <v>941</v>
      </c>
      <c r="AD2" s="580" t="s">
        <v>942</v>
      </c>
      <c r="AE2" s="581" t="s">
        <v>943</v>
      </c>
      <c r="AF2" s="581" t="s">
        <v>944</v>
      </c>
      <c r="AG2" s="581" t="s">
        <v>945</v>
      </c>
      <c r="AH2" s="582" t="s">
        <v>946</v>
      </c>
      <c r="AI2" s="618">
        <v>30</v>
      </c>
      <c r="AJ2" s="583" t="s">
        <v>940</v>
      </c>
      <c r="AK2" s="583" t="s">
        <v>941</v>
      </c>
      <c r="AL2" s="583" t="s">
        <v>942</v>
      </c>
      <c r="AM2" s="584" t="s">
        <v>943</v>
      </c>
      <c r="AN2" s="584" t="s">
        <v>944</v>
      </c>
      <c r="AO2" s="584" t="s">
        <v>945</v>
      </c>
      <c r="AP2" s="585" t="s">
        <v>946</v>
      </c>
    </row>
    <row r="3" spans="1:42" ht="14.4" x14ac:dyDescent="0.3">
      <c r="A3" s="586">
        <v>1</v>
      </c>
      <c r="B3" s="586">
        <v>1</v>
      </c>
      <c r="C3" s="586" t="s">
        <v>947</v>
      </c>
      <c r="D3" s="586" t="s">
        <v>947</v>
      </c>
      <c r="E3" s="587">
        <v>9</v>
      </c>
      <c r="F3" s="587">
        <v>0.75</v>
      </c>
      <c r="G3" s="587">
        <v>0</v>
      </c>
      <c r="H3" s="587">
        <v>0.9</v>
      </c>
      <c r="I3" s="587">
        <v>0.3</v>
      </c>
      <c r="J3" s="587">
        <v>0.1</v>
      </c>
      <c r="K3" s="587">
        <v>0.5</v>
      </c>
      <c r="L3" s="587">
        <v>0.1</v>
      </c>
      <c r="M3" s="587">
        <v>0.5</v>
      </c>
      <c r="N3" s="588">
        <v>2.77</v>
      </c>
      <c r="O3" s="588">
        <v>0.75</v>
      </c>
      <c r="P3" s="588">
        <v>0</v>
      </c>
      <c r="Q3" s="588">
        <v>1.62</v>
      </c>
      <c r="R3" s="588">
        <v>0.3</v>
      </c>
      <c r="S3" s="588">
        <v>1</v>
      </c>
      <c r="T3" s="589">
        <v>0.4</v>
      </c>
      <c r="U3" s="589">
        <v>0.1</v>
      </c>
      <c r="V3" s="589">
        <v>2.21</v>
      </c>
      <c r="W3" s="587">
        <v>5</v>
      </c>
      <c r="X3" s="587">
        <v>10</v>
      </c>
      <c r="Y3" s="590">
        <v>30</v>
      </c>
      <c r="Z3" s="591" t="s">
        <v>788</v>
      </c>
      <c r="AA3" s="591" t="s">
        <v>948</v>
      </c>
      <c r="AB3" s="592">
        <v>2.77</v>
      </c>
      <c r="AC3" s="592">
        <v>2.6199995044382409</v>
      </c>
      <c r="AD3" s="592">
        <v>2.6073048212003656</v>
      </c>
      <c r="AE3" s="592">
        <v>9</v>
      </c>
      <c r="AF3" s="592">
        <v>0.99999972468791154</v>
      </c>
      <c r="AG3" s="592">
        <v>0.99663102650045721</v>
      </c>
      <c r="AH3" s="592">
        <v>10.99663075118837</v>
      </c>
      <c r="AI3" s="593"/>
      <c r="AJ3" s="592">
        <f t="shared" ref="AJ3:AJ34" si="0">N3*(1-EXP(-O3*$AI$2))+P3</f>
        <v>2.7699999995313442</v>
      </c>
      <c r="AK3" s="592">
        <f t="shared" ref="AK3:AK34" si="1">Q3*(1-EXP(-R3*$AI$2))+S3</f>
        <v>2.6198000761173796</v>
      </c>
      <c r="AL3" s="592">
        <f t="shared" ref="AL3:AL34" si="2">T3*(1-EXP(-U3*$AI$2))+V3</f>
        <v>2.5900851726528544</v>
      </c>
      <c r="AM3" s="592">
        <f t="shared" ref="AM3:AM34" si="3">E3*(1-EXP(-F3*$AI$2))+G3</f>
        <v>8.9999999984772927</v>
      </c>
      <c r="AN3" s="592">
        <f t="shared" ref="AN3:AN34" si="4">H3*(1-EXP(-I3*$AI$2))+J3</f>
        <v>0.99988893117632205</v>
      </c>
      <c r="AO3" s="592">
        <f t="shared" ref="AO3:AO34" si="5">K3*(1-EXP(-L3*$AI$2))+M3</f>
        <v>0.97510646581606797</v>
      </c>
      <c r="AP3" s="592">
        <f>SUM(AM3:AO3)</f>
        <v>10.974995395469684</v>
      </c>
    </row>
    <row r="4" spans="1:42" ht="14.4" x14ac:dyDescent="0.3">
      <c r="A4" s="586">
        <v>2</v>
      </c>
      <c r="B4" s="586">
        <v>2</v>
      </c>
      <c r="C4" s="594" t="s">
        <v>949</v>
      </c>
      <c r="D4" s="595" t="s">
        <v>950</v>
      </c>
      <c r="E4" s="587">
        <v>18</v>
      </c>
      <c r="F4" s="587">
        <v>0.35</v>
      </c>
      <c r="G4" s="587">
        <v>1</v>
      </c>
      <c r="H4" s="587">
        <v>2.9</v>
      </c>
      <c r="I4" s="587">
        <v>0.15</v>
      </c>
      <c r="J4" s="587">
        <v>0.1</v>
      </c>
      <c r="K4" s="587">
        <v>2.5</v>
      </c>
      <c r="L4" s="587">
        <v>0.1</v>
      </c>
      <c r="M4" s="587">
        <v>1.38</v>
      </c>
      <c r="N4" s="588">
        <v>4.0199999999999996</v>
      </c>
      <c r="O4" s="588">
        <v>0.35</v>
      </c>
      <c r="P4" s="588">
        <v>0.41</v>
      </c>
      <c r="Q4" s="588">
        <v>2.36</v>
      </c>
      <c r="R4" s="588">
        <v>0.15</v>
      </c>
      <c r="S4" s="588">
        <v>1</v>
      </c>
      <c r="T4" s="596">
        <v>2</v>
      </c>
      <c r="U4" s="589">
        <v>0.1</v>
      </c>
      <c r="V4" s="596">
        <v>3</v>
      </c>
      <c r="W4" s="587">
        <v>4.5</v>
      </c>
      <c r="X4" s="593">
        <v>6.9</v>
      </c>
      <c r="Y4" s="597">
        <v>45</v>
      </c>
      <c r="Z4" s="591" t="s">
        <v>253</v>
      </c>
      <c r="AA4" s="591" t="s">
        <v>951</v>
      </c>
      <c r="AB4" s="592">
        <v>4.429999899057834</v>
      </c>
      <c r="AC4" s="592">
        <v>3.3586947208864513</v>
      </c>
      <c r="AD4" s="592">
        <v>4.9865241060018288</v>
      </c>
      <c r="AE4" s="592">
        <v>18.999999548020153</v>
      </c>
      <c r="AF4" s="592">
        <v>2.9983960553265714</v>
      </c>
      <c r="AG4" s="592">
        <v>3.8631551325022864</v>
      </c>
      <c r="AH4" s="592">
        <v>25.861550735849008</v>
      </c>
      <c r="AI4" s="593"/>
      <c r="AJ4" s="592">
        <f t="shared" si="0"/>
        <v>4.4298893034736135</v>
      </c>
      <c r="AK4" s="592">
        <f t="shared" si="1"/>
        <v>3.3337827681697481</v>
      </c>
      <c r="AL4" s="592">
        <f t="shared" si="2"/>
        <v>4.9004258632642719</v>
      </c>
      <c r="AM4" s="592">
        <f t="shared" si="3"/>
        <v>18.999504343911706</v>
      </c>
      <c r="AN4" s="592">
        <f t="shared" si="4"/>
        <v>2.9677839100390973</v>
      </c>
      <c r="AO4" s="592">
        <f t="shared" si="5"/>
        <v>3.75553232908034</v>
      </c>
      <c r="AP4" s="592">
        <f t="shared" ref="AP4:AP67" si="6">SUM(AM4:AO4)</f>
        <v>25.722820583031144</v>
      </c>
    </row>
    <row r="5" spans="1:42" ht="14.4" x14ac:dyDescent="0.3">
      <c r="A5" s="586">
        <v>3</v>
      </c>
      <c r="B5" s="586">
        <v>2</v>
      </c>
      <c r="C5" s="594" t="s">
        <v>949</v>
      </c>
      <c r="D5" s="595" t="s">
        <v>952</v>
      </c>
      <c r="E5" s="587">
        <v>18</v>
      </c>
      <c r="F5" s="587">
        <v>0.35</v>
      </c>
      <c r="G5" s="587">
        <v>1</v>
      </c>
      <c r="H5" s="587">
        <v>2.9</v>
      </c>
      <c r="I5" s="587">
        <v>0.15</v>
      </c>
      <c r="J5" s="587">
        <v>0.1</v>
      </c>
      <c r="K5" s="587">
        <v>2</v>
      </c>
      <c r="L5" s="587">
        <v>0.1</v>
      </c>
      <c r="M5" s="587">
        <v>1.25</v>
      </c>
      <c r="N5" s="588">
        <v>4.0199999999999996</v>
      </c>
      <c r="O5" s="588">
        <v>0.35</v>
      </c>
      <c r="P5" s="588">
        <v>0.41</v>
      </c>
      <c r="Q5" s="588">
        <v>2.36</v>
      </c>
      <c r="R5" s="588">
        <v>0.15</v>
      </c>
      <c r="S5" s="588">
        <v>1</v>
      </c>
      <c r="T5" s="596">
        <v>1</v>
      </c>
      <c r="U5" s="589">
        <v>0.1</v>
      </c>
      <c r="V5" s="596">
        <v>3</v>
      </c>
      <c r="W5" s="587">
        <v>4.5</v>
      </c>
      <c r="X5" s="593">
        <v>6.9</v>
      </c>
      <c r="Y5" s="597">
        <v>40</v>
      </c>
      <c r="Z5" s="591" t="s">
        <v>252</v>
      </c>
      <c r="AA5" s="591" t="s">
        <v>951</v>
      </c>
      <c r="AB5" s="592">
        <v>4.429999899057834</v>
      </c>
      <c r="AC5" s="592">
        <v>3.3586947208864513</v>
      </c>
      <c r="AD5" s="592">
        <v>3.9932620530009144</v>
      </c>
      <c r="AE5" s="592">
        <v>18.999999548020153</v>
      </c>
      <c r="AF5" s="592">
        <v>2.9983960553265714</v>
      </c>
      <c r="AG5" s="592">
        <v>3.2365241060018288</v>
      </c>
      <c r="AH5" s="592">
        <v>25.234919709348553</v>
      </c>
      <c r="AI5" s="593"/>
      <c r="AJ5" s="592">
        <f t="shared" si="0"/>
        <v>4.4298893034736135</v>
      </c>
      <c r="AK5" s="592">
        <f t="shared" si="1"/>
        <v>3.3337827681697481</v>
      </c>
      <c r="AL5" s="592">
        <f t="shared" si="2"/>
        <v>3.9502129316321359</v>
      </c>
      <c r="AM5" s="592">
        <f t="shared" si="3"/>
        <v>18.999504343911706</v>
      </c>
      <c r="AN5" s="592">
        <f t="shared" si="4"/>
        <v>2.9677839100390973</v>
      </c>
      <c r="AO5" s="592">
        <f t="shared" si="5"/>
        <v>3.1504258632642719</v>
      </c>
      <c r="AP5" s="592">
        <f t="shared" si="6"/>
        <v>25.117714117215076</v>
      </c>
    </row>
    <row r="6" spans="1:42" ht="14.4" x14ac:dyDescent="0.3">
      <c r="A6" s="586">
        <v>4</v>
      </c>
      <c r="B6" s="586">
        <v>2</v>
      </c>
      <c r="C6" s="594" t="s">
        <v>949</v>
      </c>
      <c r="D6" s="595" t="s">
        <v>953</v>
      </c>
      <c r="E6" s="587">
        <v>18</v>
      </c>
      <c r="F6" s="587">
        <v>0.35</v>
      </c>
      <c r="G6" s="587">
        <v>1</v>
      </c>
      <c r="H6" s="587">
        <v>2.9</v>
      </c>
      <c r="I6" s="587">
        <v>0.15</v>
      </c>
      <c r="J6" s="587">
        <v>0.1</v>
      </c>
      <c r="K6" s="587">
        <v>3</v>
      </c>
      <c r="L6" s="587">
        <v>0.1</v>
      </c>
      <c r="M6" s="587">
        <v>1.5</v>
      </c>
      <c r="N6" s="588">
        <v>4.0199999999999996</v>
      </c>
      <c r="O6" s="588">
        <v>0.35</v>
      </c>
      <c r="P6" s="588">
        <v>0.41</v>
      </c>
      <c r="Q6" s="588">
        <v>2.36</v>
      </c>
      <c r="R6" s="588">
        <v>0.15</v>
      </c>
      <c r="S6" s="588">
        <v>1</v>
      </c>
      <c r="T6" s="596">
        <v>2</v>
      </c>
      <c r="U6" s="589">
        <v>0.1</v>
      </c>
      <c r="V6" s="596">
        <v>3</v>
      </c>
      <c r="W6" s="587">
        <v>4.5</v>
      </c>
      <c r="X6" s="593">
        <v>6.9</v>
      </c>
      <c r="Y6" s="597">
        <v>60</v>
      </c>
      <c r="Z6" s="591" t="s">
        <v>253</v>
      </c>
      <c r="AA6" s="591" t="s">
        <v>951</v>
      </c>
      <c r="AB6" s="592">
        <v>4.429999899057834</v>
      </c>
      <c r="AC6" s="592">
        <v>3.3586947208864513</v>
      </c>
      <c r="AD6" s="592">
        <v>4.9865241060018288</v>
      </c>
      <c r="AE6" s="592">
        <v>18.999999548020153</v>
      </c>
      <c r="AF6" s="592">
        <v>2.9983960553265714</v>
      </c>
      <c r="AG6" s="592">
        <v>4.4797861590027441</v>
      </c>
      <c r="AH6" s="592">
        <v>26.478181762349465</v>
      </c>
      <c r="AI6" s="593"/>
      <c r="AJ6" s="592">
        <f t="shared" si="0"/>
        <v>4.4298893034736135</v>
      </c>
      <c r="AK6" s="592">
        <f t="shared" si="1"/>
        <v>3.3337827681697481</v>
      </c>
      <c r="AL6" s="592">
        <f t="shared" si="2"/>
        <v>4.9004258632642719</v>
      </c>
      <c r="AM6" s="592">
        <f t="shared" si="3"/>
        <v>18.999504343911706</v>
      </c>
      <c r="AN6" s="592">
        <f t="shared" si="4"/>
        <v>2.9677839100390973</v>
      </c>
      <c r="AO6" s="592">
        <f t="shared" si="5"/>
        <v>4.3506387948964083</v>
      </c>
      <c r="AP6" s="592">
        <f t="shared" si="6"/>
        <v>26.317927048847213</v>
      </c>
    </row>
    <row r="7" spans="1:42" ht="14.4" x14ac:dyDescent="0.3">
      <c r="A7" s="586">
        <v>5</v>
      </c>
      <c r="B7" s="586">
        <v>2</v>
      </c>
      <c r="C7" s="594" t="s">
        <v>949</v>
      </c>
      <c r="D7" s="595" t="s">
        <v>954</v>
      </c>
      <c r="E7" s="587">
        <v>18</v>
      </c>
      <c r="F7" s="587">
        <v>0.35</v>
      </c>
      <c r="G7" s="587">
        <v>1</v>
      </c>
      <c r="H7" s="587">
        <v>2.9</v>
      </c>
      <c r="I7" s="587">
        <v>0.15</v>
      </c>
      <c r="J7" s="587">
        <v>0.1</v>
      </c>
      <c r="K7" s="587">
        <v>2.6</v>
      </c>
      <c r="L7" s="587">
        <v>0.1</v>
      </c>
      <c r="M7" s="587">
        <v>1.4</v>
      </c>
      <c r="N7" s="588">
        <v>4.0199999999999996</v>
      </c>
      <c r="O7" s="588">
        <v>0.35</v>
      </c>
      <c r="P7" s="588">
        <v>0.41</v>
      </c>
      <c r="Q7" s="588">
        <v>2.36</v>
      </c>
      <c r="R7" s="588">
        <v>0.15</v>
      </c>
      <c r="S7" s="588">
        <v>1</v>
      </c>
      <c r="T7" s="596">
        <v>2</v>
      </c>
      <c r="U7" s="589">
        <v>0.1</v>
      </c>
      <c r="V7" s="596">
        <v>3</v>
      </c>
      <c r="W7" s="587">
        <v>4.5</v>
      </c>
      <c r="X7" s="593">
        <v>6.9</v>
      </c>
      <c r="Y7" s="597">
        <v>45</v>
      </c>
      <c r="Z7" s="591" t="s">
        <v>253</v>
      </c>
      <c r="AA7" s="591" t="s">
        <v>951</v>
      </c>
      <c r="AB7" s="592">
        <v>4.429999899057834</v>
      </c>
      <c r="AC7" s="592">
        <v>3.3586947208864513</v>
      </c>
      <c r="AD7" s="592">
        <v>4.9865241060018288</v>
      </c>
      <c r="AE7" s="592">
        <v>18.999999548020153</v>
      </c>
      <c r="AF7" s="592">
        <v>2.9983960553265714</v>
      </c>
      <c r="AG7" s="592">
        <v>3.9824813378023776</v>
      </c>
      <c r="AH7" s="592">
        <v>25.980876941149099</v>
      </c>
      <c r="AI7" s="593"/>
      <c r="AJ7" s="592">
        <f t="shared" si="0"/>
        <v>4.4298893034736135</v>
      </c>
      <c r="AK7" s="592">
        <f t="shared" si="1"/>
        <v>3.3337827681697481</v>
      </c>
      <c r="AL7" s="592">
        <f t="shared" si="2"/>
        <v>4.9004258632642719</v>
      </c>
      <c r="AM7" s="592">
        <f t="shared" si="3"/>
        <v>18.999504343911706</v>
      </c>
      <c r="AN7" s="592">
        <f t="shared" si="4"/>
        <v>2.9677839100390973</v>
      </c>
      <c r="AO7" s="592">
        <f t="shared" si="5"/>
        <v>3.8705536222435537</v>
      </c>
      <c r="AP7" s="592">
        <f t="shared" si="6"/>
        <v>25.837841876194361</v>
      </c>
    </row>
    <row r="8" spans="1:42" ht="14.4" x14ac:dyDescent="0.3">
      <c r="A8" s="586">
        <v>6</v>
      </c>
      <c r="B8" s="586">
        <v>2</v>
      </c>
      <c r="C8" s="594" t="s">
        <v>955</v>
      </c>
      <c r="D8" s="595" t="s">
        <v>956</v>
      </c>
      <c r="E8" s="587">
        <v>17</v>
      </c>
      <c r="F8" s="587">
        <v>0.35</v>
      </c>
      <c r="G8" s="587">
        <v>1</v>
      </c>
      <c r="H8" s="587">
        <v>1.9</v>
      </c>
      <c r="I8" s="587">
        <v>0.15</v>
      </c>
      <c r="J8" s="587">
        <v>0.1</v>
      </c>
      <c r="K8" s="587">
        <v>2.37</v>
      </c>
      <c r="L8" s="587">
        <v>0.1</v>
      </c>
      <c r="M8" s="587">
        <v>1.1299999999999999</v>
      </c>
      <c r="N8" s="588">
        <v>3.89</v>
      </c>
      <c r="O8" s="588">
        <v>0.35</v>
      </c>
      <c r="P8" s="588">
        <v>0.41</v>
      </c>
      <c r="Q8" s="588">
        <v>2.0699999999999998</v>
      </c>
      <c r="R8" s="588">
        <v>0.15</v>
      </c>
      <c r="S8" s="588">
        <v>1</v>
      </c>
      <c r="T8" s="596">
        <v>2</v>
      </c>
      <c r="U8" s="589">
        <v>0.1</v>
      </c>
      <c r="V8" s="596">
        <v>3</v>
      </c>
      <c r="W8" s="587">
        <v>4.5</v>
      </c>
      <c r="X8" s="593">
        <v>9.6</v>
      </c>
      <c r="Y8" s="597">
        <v>40</v>
      </c>
      <c r="Z8" s="591" t="s">
        <v>253</v>
      </c>
      <c r="AA8" s="591" t="s">
        <v>957</v>
      </c>
      <c r="AB8" s="592">
        <v>4.2999999023221331</v>
      </c>
      <c r="AC8" s="592">
        <v>3.0688551153537937</v>
      </c>
      <c r="AD8" s="592">
        <v>4.9865241060018288</v>
      </c>
      <c r="AE8" s="592">
        <v>17.999999573130143</v>
      </c>
      <c r="AF8" s="592">
        <v>1.9989491396967192</v>
      </c>
      <c r="AG8" s="592">
        <v>3.4840310656121676</v>
      </c>
      <c r="AH8" s="592">
        <v>23.482979778439031</v>
      </c>
      <c r="AI8" s="593"/>
      <c r="AJ8" s="592">
        <f t="shared" si="0"/>
        <v>4.2998928832120296</v>
      </c>
      <c r="AK8" s="592">
        <f t="shared" si="1"/>
        <v>3.0470043771658384</v>
      </c>
      <c r="AL8" s="592">
        <f t="shared" si="2"/>
        <v>4.9004258632642719</v>
      </c>
      <c r="AM8" s="592">
        <f t="shared" si="3"/>
        <v>17.999531880361054</v>
      </c>
      <c r="AN8" s="592">
        <f t="shared" si="4"/>
        <v>1.9788929065773397</v>
      </c>
      <c r="AO8" s="592">
        <f t="shared" si="5"/>
        <v>3.3820046479681625</v>
      </c>
      <c r="AP8" s="592">
        <f t="shared" si="6"/>
        <v>23.360429434906557</v>
      </c>
    </row>
    <row r="9" spans="1:42" ht="14.4" x14ac:dyDescent="0.3">
      <c r="A9" s="586">
        <v>7</v>
      </c>
      <c r="B9" s="586">
        <v>2</v>
      </c>
      <c r="C9" s="594" t="s">
        <v>955</v>
      </c>
      <c r="D9" s="595" t="s">
        <v>958</v>
      </c>
      <c r="E9" s="587">
        <v>17</v>
      </c>
      <c r="F9" s="587">
        <v>0.35</v>
      </c>
      <c r="G9" s="587">
        <v>1</v>
      </c>
      <c r="H9" s="587">
        <v>1.9</v>
      </c>
      <c r="I9" s="587">
        <v>0.15</v>
      </c>
      <c r="J9" s="587">
        <v>0.1</v>
      </c>
      <c r="K9" s="587">
        <v>2.1</v>
      </c>
      <c r="L9" s="587">
        <v>0.1</v>
      </c>
      <c r="M9" s="587">
        <v>1.1000000000000001</v>
      </c>
      <c r="N9" s="588">
        <v>3.89</v>
      </c>
      <c r="O9" s="588">
        <v>0.35</v>
      </c>
      <c r="P9" s="588">
        <v>0.41</v>
      </c>
      <c r="Q9" s="588">
        <v>2.0699999999999998</v>
      </c>
      <c r="R9" s="588">
        <v>0.15</v>
      </c>
      <c r="S9" s="588">
        <v>1</v>
      </c>
      <c r="T9" s="596">
        <v>2</v>
      </c>
      <c r="U9" s="589">
        <v>0.1</v>
      </c>
      <c r="V9" s="596">
        <v>3</v>
      </c>
      <c r="W9" s="587">
        <v>4.5</v>
      </c>
      <c r="X9" s="593">
        <v>9.6</v>
      </c>
      <c r="Y9" s="597">
        <v>30</v>
      </c>
      <c r="Z9" s="591" t="s">
        <v>253</v>
      </c>
      <c r="AA9" s="591" t="s">
        <v>957</v>
      </c>
      <c r="AB9" s="592">
        <v>4.2999999023221331</v>
      </c>
      <c r="AC9" s="592">
        <v>3.0688551153537937</v>
      </c>
      <c r="AD9" s="592">
        <v>4.9865241060018288</v>
      </c>
      <c r="AE9" s="592">
        <v>17.999999573130143</v>
      </c>
      <c r="AF9" s="592">
        <v>1.9989491396967192</v>
      </c>
      <c r="AG9" s="592">
        <v>3.1858503113019205</v>
      </c>
      <c r="AH9" s="592">
        <v>23.184799024128782</v>
      </c>
      <c r="AI9" s="593"/>
      <c r="AJ9" s="592">
        <f t="shared" si="0"/>
        <v>4.2998928832120296</v>
      </c>
      <c r="AK9" s="592">
        <f t="shared" si="1"/>
        <v>3.0470043771658384</v>
      </c>
      <c r="AL9" s="592">
        <f t="shared" si="2"/>
        <v>4.9004258632642719</v>
      </c>
      <c r="AM9" s="592">
        <f t="shared" si="3"/>
        <v>17.999531880361054</v>
      </c>
      <c r="AN9" s="592">
        <f t="shared" si="4"/>
        <v>1.9788929065773397</v>
      </c>
      <c r="AO9" s="592">
        <f t="shared" si="5"/>
        <v>3.0954471564274861</v>
      </c>
      <c r="AP9" s="592">
        <f t="shared" si="6"/>
        <v>23.07387194336588</v>
      </c>
    </row>
    <row r="10" spans="1:42" ht="14.4" x14ac:dyDescent="0.3">
      <c r="A10" s="586">
        <v>8</v>
      </c>
      <c r="B10" s="586">
        <v>2</v>
      </c>
      <c r="C10" s="594" t="s">
        <v>955</v>
      </c>
      <c r="D10" s="595" t="s">
        <v>959</v>
      </c>
      <c r="E10" s="587">
        <v>17</v>
      </c>
      <c r="F10" s="587">
        <v>0.35</v>
      </c>
      <c r="G10" s="587">
        <v>1</v>
      </c>
      <c r="H10" s="587">
        <v>1.9</v>
      </c>
      <c r="I10" s="587">
        <v>0.15</v>
      </c>
      <c r="J10" s="587">
        <v>0.1</v>
      </c>
      <c r="K10" s="587">
        <v>2.14</v>
      </c>
      <c r="L10" s="587">
        <v>0.1</v>
      </c>
      <c r="M10" s="587">
        <v>1.29</v>
      </c>
      <c r="N10" s="588">
        <v>3.89</v>
      </c>
      <c r="O10" s="588">
        <v>0.35</v>
      </c>
      <c r="P10" s="588">
        <v>0.41</v>
      </c>
      <c r="Q10" s="588">
        <v>2.0699999999999998</v>
      </c>
      <c r="R10" s="588">
        <v>0.15</v>
      </c>
      <c r="S10" s="588">
        <v>1</v>
      </c>
      <c r="T10" s="596">
        <v>1</v>
      </c>
      <c r="U10" s="589">
        <v>0.1</v>
      </c>
      <c r="V10" s="596">
        <v>3</v>
      </c>
      <c r="W10" s="587">
        <v>4.5</v>
      </c>
      <c r="X10" s="593">
        <v>6.8</v>
      </c>
      <c r="Y10" s="597">
        <v>35</v>
      </c>
      <c r="Z10" s="591" t="s">
        <v>252</v>
      </c>
      <c r="AA10" s="591" t="s">
        <v>951</v>
      </c>
      <c r="AB10" s="592">
        <v>4.2999999023221331</v>
      </c>
      <c r="AC10" s="592">
        <v>3.0688551153537937</v>
      </c>
      <c r="AD10" s="592">
        <v>3.9932620530009144</v>
      </c>
      <c r="AE10" s="592">
        <v>17.999999573130143</v>
      </c>
      <c r="AF10" s="592">
        <v>1.9989491396967192</v>
      </c>
      <c r="AG10" s="592">
        <v>3.4155807934219573</v>
      </c>
      <c r="AH10" s="592">
        <v>23.414529506248819</v>
      </c>
      <c r="AI10" s="593"/>
      <c r="AJ10" s="592">
        <f t="shared" si="0"/>
        <v>4.2998928832120296</v>
      </c>
      <c r="AK10" s="592">
        <f t="shared" si="1"/>
        <v>3.0470043771658384</v>
      </c>
      <c r="AL10" s="592">
        <f t="shared" si="2"/>
        <v>3.9502129316321359</v>
      </c>
      <c r="AM10" s="592">
        <f t="shared" si="3"/>
        <v>17.999531880361054</v>
      </c>
      <c r="AN10" s="592">
        <f t="shared" si="4"/>
        <v>1.9788929065773397</v>
      </c>
      <c r="AO10" s="592">
        <f t="shared" si="5"/>
        <v>3.3234556736927714</v>
      </c>
      <c r="AP10" s="592">
        <f t="shared" si="6"/>
        <v>23.301880460631164</v>
      </c>
    </row>
    <row r="11" spans="1:42" ht="14.4" x14ac:dyDescent="0.3">
      <c r="A11" s="586">
        <v>9</v>
      </c>
      <c r="B11" s="586">
        <v>2</v>
      </c>
      <c r="C11" s="594" t="s">
        <v>955</v>
      </c>
      <c r="D11" s="595" t="s">
        <v>960</v>
      </c>
      <c r="E11" s="587">
        <v>17</v>
      </c>
      <c r="F11" s="587">
        <v>0.35</v>
      </c>
      <c r="G11" s="587">
        <v>1</v>
      </c>
      <c r="H11" s="587">
        <v>1.9</v>
      </c>
      <c r="I11" s="587">
        <v>0.15</v>
      </c>
      <c r="J11" s="587">
        <v>0.1</v>
      </c>
      <c r="K11" s="587">
        <v>1</v>
      </c>
      <c r="L11" s="587">
        <v>0.1</v>
      </c>
      <c r="M11" s="587">
        <v>1</v>
      </c>
      <c r="N11" s="588">
        <v>3.89</v>
      </c>
      <c r="O11" s="588">
        <v>0.35</v>
      </c>
      <c r="P11" s="588">
        <v>0.41</v>
      </c>
      <c r="Q11" s="588">
        <v>2.0699999999999998</v>
      </c>
      <c r="R11" s="588">
        <v>0.15</v>
      </c>
      <c r="S11" s="588">
        <v>1</v>
      </c>
      <c r="T11" s="596">
        <v>1</v>
      </c>
      <c r="U11" s="589">
        <v>0.1</v>
      </c>
      <c r="V11" s="596">
        <v>3</v>
      </c>
      <c r="W11" s="587">
        <v>4.5</v>
      </c>
      <c r="X11" s="593">
        <v>6.8</v>
      </c>
      <c r="Y11" s="597">
        <v>30</v>
      </c>
      <c r="Z11" s="591" t="s">
        <v>252</v>
      </c>
      <c r="AA11" s="591" t="s">
        <v>951</v>
      </c>
      <c r="AB11" s="592">
        <v>4.2999999023221331</v>
      </c>
      <c r="AC11" s="592">
        <v>3.0688551153537937</v>
      </c>
      <c r="AD11" s="592">
        <v>3.9932620530009144</v>
      </c>
      <c r="AE11" s="592">
        <v>17.999999573130143</v>
      </c>
      <c r="AF11" s="592">
        <v>1.9989491396967192</v>
      </c>
      <c r="AG11" s="592">
        <v>1.9932620530009144</v>
      </c>
      <c r="AH11" s="592">
        <v>21.992210765827778</v>
      </c>
      <c r="AI11" s="593"/>
      <c r="AJ11" s="592">
        <f t="shared" si="0"/>
        <v>4.2998928832120296</v>
      </c>
      <c r="AK11" s="592">
        <f t="shared" si="1"/>
        <v>3.0470043771658384</v>
      </c>
      <c r="AL11" s="592">
        <f t="shared" si="2"/>
        <v>3.9502129316321359</v>
      </c>
      <c r="AM11" s="592">
        <f t="shared" si="3"/>
        <v>17.999531880361054</v>
      </c>
      <c r="AN11" s="592">
        <f t="shared" si="4"/>
        <v>1.9788929065773397</v>
      </c>
      <c r="AO11" s="592">
        <f t="shared" si="5"/>
        <v>1.9502129316321359</v>
      </c>
      <c r="AP11" s="592">
        <f t="shared" si="6"/>
        <v>21.928637718570531</v>
      </c>
    </row>
    <row r="12" spans="1:42" ht="14.4" x14ac:dyDescent="0.3">
      <c r="A12" s="586">
        <v>10</v>
      </c>
      <c r="B12" s="586">
        <v>2</v>
      </c>
      <c r="C12" s="594" t="s">
        <v>955</v>
      </c>
      <c r="D12" s="595" t="s">
        <v>961</v>
      </c>
      <c r="E12" s="587">
        <v>23</v>
      </c>
      <c r="F12" s="587">
        <v>0.2</v>
      </c>
      <c r="G12" s="587">
        <v>1</v>
      </c>
      <c r="H12" s="587">
        <v>1.9</v>
      </c>
      <c r="I12" s="587">
        <v>0.15</v>
      </c>
      <c r="J12" s="587">
        <v>0.1</v>
      </c>
      <c r="K12" s="587">
        <v>1.6</v>
      </c>
      <c r="L12" s="587">
        <v>0.1</v>
      </c>
      <c r="M12" s="587">
        <v>1</v>
      </c>
      <c r="N12" s="588">
        <v>4.58</v>
      </c>
      <c r="O12" s="588">
        <v>0.2</v>
      </c>
      <c r="P12" s="588">
        <v>0.41</v>
      </c>
      <c r="Q12" s="588">
        <v>2.0699999999999998</v>
      </c>
      <c r="R12" s="588">
        <v>0.15</v>
      </c>
      <c r="S12" s="588">
        <v>1</v>
      </c>
      <c r="T12" s="596">
        <v>1</v>
      </c>
      <c r="U12" s="589">
        <v>0.1</v>
      </c>
      <c r="V12" s="596">
        <v>3</v>
      </c>
      <c r="W12" s="587">
        <v>4.5</v>
      </c>
      <c r="X12" s="593">
        <v>8</v>
      </c>
      <c r="Y12" s="597">
        <v>30</v>
      </c>
      <c r="Z12" s="591" t="s">
        <v>252</v>
      </c>
      <c r="AA12" s="591" t="s">
        <v>951</v>
      </c>
      <c r="AB12" s="592">
        <v>4.9897920683216883</v>
      </c>
      <c r="AC12" s="592">
        <v>3.0688551153537937</v>
      </c>
      <c r="AD12" s="592">
        <v>3.9932620530009144</v>
      </c>
      <c r="AE12" s="592">
        <v>23.998955801615462</v>
      </c>
      <c r="AF12" s="592">
        <v>1.9989491396967192</v>
      </c>
      <c r="AG12" s="592">
        <v>2.5892192848014632</v>
      </c>
      <c r="AH12" s="592">
        <v>28.587124226113644</v>
      </c>
      <c r="AI12" s="593"/>
      <c r="AJ12" s="592">
        <f t="shared" si="0"/>
        <v>4.9786473150308685</v>
      </c>
      <c r="AK12" s="592">
        <f t="shared" si="1"/>
        <v>3.0470043771658384</v>
      </c>
      <c r="AL12" s="592">
        <f t="shared" si="2"/>
        <v>3.9502129316321359</v>
      </c>
      <c r="AM12" s="592">
        <f t="shared" si="3"/>
        <v>23.942988699936674</v>
      </c>
      <c r="AN12" s="592">
        <f t="shared" si="4"/>
        <v>1.9788929065773397</v>
      </c>
      <c r="AO12" s="592">
        <f t="shared" si="5"/>
        <v>2.5203406906114179</v>
      </c>
      <c r="AP12" s="592">
        <f t="shared" si="6"/>
        <v>28.442222297125433</v>
      </c>
    </row>
    <row r="13" spans="1:42" ht="14.4" x14ac:dyDescent="0.3">
      <c r="A13" s="586">
        <v>11</v>
      </c>
      <c r="B13" s="586">
        <v>3</v>
      </c>
      <c r="C13" s="594" t="s">
        <v>962</v>
      </c>
      <c r="D13" s="595" t="s">
        <v>963</v>
      </c>
      <c r="E13" s="587">
        <v>11</v>
      </c>
      <c r="F13" s="587">
        <v>0.3</v>
      </c>
      <c r="G13" s="587">
        <v>1</v>
      </c>
      <c r="H13" s="587">
        <v>1.9</v>
      </c>
      <c r="I13" s="587">
        <v>0.2</v>
      </c>
      <c r="J13" s="587">
        <v>0.1</v>
      </c>
      <c r="K13" s="587">
        <v>1.63</v>
      </c>
      <c r="L13" s="587">
        <v>0.1</v>
      </c>
      <c r="M13" s="587">
        <v>0.75</v>
      </c>
      <c r="N13" s="588">
        <v>2.96</v>
      </c>
      <c r="O13" s="588">
        <v>0.3</v>
      </c>
      <c r="P13" s="588">
        <v>0.41</v>
      </c>
      <c r="Q13" s="588">
        <v>2.0699999999999998</v>
      </c>
      <c r="R13" s="588">
        <v>0.2</v>
      </c>
      <c r="S13" s="588">
        <v>1</v>
      </c>
      <c r="T13" s="596">
        <v>1</v>
      </c>
      <c r="U13" s="589">
        <v>0.1</v>
      </c>
      <c r="V13" s="596">
        <v>3</v>
      </c>
      <c r="W13" s="587">
        <v>3</v>
      </c>
      <c r="X13" s="593">
        <v>4.5</v>
      </c>
      <c r="Y13" s="597">
        <v>30</v>
      </c>
      <c r="Z13" s="598" t="s">
        <v>252</v>
      </c>
      <c r="AA13" s="591" t="s">
        <v>957</v>
      </c>
      <c r="AB13" s="592">
        <v>3.3699990945291316</v>
      </c>
      <c r="AC13" s="592">
        <v>3.0699060221453913</v>
      </c>
      <c r="AD13" s="592">
        <v>3.9932620530009144</v>
      </c>
      <c r="AE13" s="592">
        <v>11.999996635074474</v>
      </c>
      <c r="AF13" s="592">
        <v>1.9999137401334512</v>
      </c>
      <c r="AG13" s="592">
        <v>2.3690171463914904</v>
      </c>
      <c r="AH13" s="592">
        <v>16.368927521599417</v>
      </c>
      <c r="AI13" s="593"/>
      <c r="AJ13" s="592">
        <f t="shared" si="0"/>
        <v>3.3696347069799035</v>
      </c>
      <c r="AK13" s="592">
        <f t="shared" si="1"/>
        <v>3.0648689829943003</v>
      </c>
      <c r="AL13" s="592">
        <f t="shared" si="2"/>
        <v>3.9502129316321359</v>
      </c>
      <c r="AM13" s="592">
        <f t="shared" si="3"/>
        <v>11.998642492155048</v>
      </c>
      <c r="AN13" s="592">
        <f t="shared" si="4"/>
        <v>1.9952903708643339</v>
      </c>
      <c r="AO13" s="592">
        <f t="shared" si="5"/>
        <v>2.2988470785603816</v>
      </c>
      <c r="AP13" s="592">
        <f t="shared" si="6"/>
        <v>16.292779941579763</v>
      </c>
    </row>
    <row r="14" spans="1:42" ht="14.4" x14ac:dyDescent="0.3">
      <c r="A14" s="586">
        <v>12</v>
      </c>
      <c r="B14" s="586">
        <v>3</v>
      </c>
      <c r="C14" s="594" t="s">
        <v>962</v>
      </c>
      <c r="D14" s="595" t="s">
        <v>964</v>
      </c>
      <c r="E14" s="587">
        <v>11</v>
      </c>
      <c r="F14" s="587">
        <v>0.3</v>
      </c>
      <c r="G14" s="587">
        <v>1</v>
      </c>
      <c r="H14" s="587">
        <v>1.9</v>
      </c>
      <c r="I14" s="587">
        <v>0.2</v>
      </c>
      <c r="J14" s="587">
        <v>0.1</v>
      </c>
      <c r="K14" s="587">
        <v>1.3</v>
      </c>
      <c r="L14" s="587">
        <v>0.1</v>
      </c>
      <c r="M14" s="587">
        <v>0.5</v>
      </c>
      <c r="N14" s="588">
        <v>2.96</v>
      </c>
      <c r="O14" s="588">
        <v>0.3</v>
      </c>
      <c r="P14" s="588">
        <v>0.41</v>
      </c>
      <c r="Q14" s="588">
        <v>2.0699999999999998</v>
      </c>
      <c r="R14" s="588">
        <v>0.2</v>
      </c>
      <c r="S14" s="588">
        <v>1</v>
      </c>
      <c r="T14" s="596">
        <v>1</v>
      </c>
      <c r="U14" s="589">
        <v>0.1</v>
      </c>
      <c r="V14" s="596">
        <v>3</v>
      </c>
      <c r="W14" s="587">
        <v>3</v>
      </c>
      <c r="X14" s="593">
        <v>4.5</v>
      </c>
      <c r="Y14" s="597">
        <v>30</v>
      </c>
      <c r="Z14" s="598" t="s">
        <v>252</v>
      </c>
      <c r="AA14" s="591" t="s">
        <v>957</v>
      </c>
      <c r="AB14" s="592">
        <v>3.3699990945291316</v>
      </c>
      <c r="AC14" s="592">
        <v>3.0699060221453913</v>
      </c>
      <c r="AD14" s="592">
        <v>3.9932620530009144</v>
      </c>
      <c r="AE14" s="592">
        <v>11.999996635074474</v>
      </c>
      <c r="AF14" s="592">
        <v>1.9999137401334512</v>
      </c>
      <c r="AG14" s="592">
        <v>1.7912406689011888</v>
      </c>
      <c r="AH14" s="592">
        <v>15.791151044109114</v>
      </c>
      <c r="AI14" s="593"/>
      <c r="AJ14" s="592">
        <f t="shared" si="0"/>
        <v>3.3696347069799035</v>
      </c>
      <c r="AK14" s="592">
        <f t="shared" si="1"/>
        <v>3.0648689829943003</v>
      </c>
      <c r="AL14" s="592">
        <f t="shared" si="2"/>
        <v>3.9502129316321359</v>
      </c>
      <c r="AM14" s="592">
        <f t="shared" si="3"/>
        <v>11.998642492155048</v>
      </c>
      <c r="AN14" s="592">
        <f t="shared" si="4"/>
        <v>1.9952903708643339</v>
      </c>
      <c r="AO14" s="592">
        <f t="shared" si="5"/>
        <v>1.7352768111217769</v>
      </c>
      <c r="AP14" s="592">
        <f t="shared" si="6"/>
        <v>15.729209674141158</v>
      </c>
    </row>
    <row r="15" spans="1:42" ht="14.4" x14ac:dyDescent="0.3">
      <c r="A15" s="586">
        <v>13</v>
      </c>
      <c r="B15" s="586">
        <v>3</v>
      </c>
      <c r="C15" s="594" t="s">
        <v>962</v>
      </c>
      <c r="D15" s="595" t="s">
        <v>965</v>
      </c>
      <c r="E15" s="587">
        <v>11</v>
      </c>
      <c r="F15" s="587">
        <v>0.3</v>
      </c>
      <c r="G15" s="587">
        <v>1</v>
      </c>
      <c r="H15" s="587">
        <v>1.9</v>
      </c>
      <c r="I15" s="587">
        <v>0.2</v>
      </c>
      <c r="J15" s="587">
        <v>0.1</v>
      </c>
      <c r="K15" s="587">
        <v>1.5</v>
      </c>
      <c r="L15" s="587">
        <v>0.1</v>
      </c>
      <c r="M15" s="587">
        <v>0.67</v>
      </c>
      <c r="N15" s="588">
        <v>2.96</v>
      </c>
      <c r="O15" s="588">
        <v>0.3</v>
      </c>
      <c r="P15" s="588">
        <v>0.41</v>
      </c>
      <c r="Q15" s="588">
        <v>2.0699999999999998</v>
      </c>
      <c r="R15" s="588">
        <v>0.2</v>
      </c>
      <c r="S15" s="588">
        <v>1</v>
      </c>
      <c r="T15" s="596">
        <v>1</v>
      </c>
      <c r="U15" s="589">
        <v>0.1</v>
      </c>
      <c r="V15" s="596">
        <v>3</v>
      </c>
      <c r="W15" s="587">
        <v>3</v>
      </c>
      <c r="X15" s="593">
        <v>4.5</v>
      </c>
      <c r="Y15" s="597">
        <v>20</v>
      </c>
      <c r="Z15" s="598" t="s">
        <v>251</v>
      </c>
      <c r="AA15" s="591" t="s">
        <v>951</v>
      </c>
      <c r="AB15" s="592">
        <v>3.3699990945291316</v>
      </c>
      <c r="AC15" s="592">
        <v>3.0699060221453913</v>
      </c>
      <c r="AD15" s="592">
        <v>3.9932620530009144</v>
      </c>
      <c r="AE15" s="592">
        <v>11.999996635074474</v>
      </c>
      <c r="AF15" s="592">
        <v>1.9999137401334512</v>
      </c>
      <c r="AG15" s="592">
        <v>2.159893079501372</v>
      </c>
      <c r="AH15" s="592">
        <v>16.159803454709298</v>
      </c>
      <c r="AI15" s="593"/>
      <c r="AJ15" s="592">
        <f t="shared" si="0"/>
        <v>3.3696347069799035</v>
      </c>
      <c r="AK15" s="592">
        <f t="shared" si="1"/>
        <v>3.0648689829943003</v>
      </c>
      <c r="AL15" s="592">
        <f t="shared" si="2"/>
        <v>3.9502129316321359</v>
      </c>
      <c r="AM15" s="592">
        <f t="shared" si="3"/>
        <v>11.998642492155048</v>
      </c>
      <c r="AN15" s="592">
        <f t="shared" si="4"/>
        <v>1.9952903708643339</v>
      </c>
      <c r="AO15" s="592">
        <f t="shared" si="5"/>
        <v>2.0953193974482041</v>
      </c>
      <c r="AP15" s="592">
        <f t="shared" si="6"/>
        <v>16.089252260467585</v>
      </c>
    </row>
    <row r="16" spans="1:42" ht="14.4" x14ac:dyDescent="0.3">
      <c r="A16" s="586">
        <v>14</v>
      </c>
      <c r="B16" s="586">
        <v>3</v>
      </c>
      <c r="C16" s="594" t="s">
        <v>962</v>
      </c>
      <c r="D16" s="595" t="s">
        <v>966</v>
      </c>
      <c r="E16" s="587">
        <v>11</v>
      </c>
      <c r="F16" s="587">
        <v>0.3</v>
      </c>
      <c r="G16" s="587">
        <v>1</v>
      </c>
      <c r="H16" s="587">
        <v>1.9</v>
      </c>
      <c r="I16" s="587">
        <v>0.2</v>
      </c>
      <c r="J16" s="587">
        <v>0.1</v>
      </c>
      <c r="K16" s="587">
        <v>2</v>
      </c>
      <c r="L16" s="587">
        <v>0.1</v>
      </c>
      <c r="M16" s="587">
        <v>1.1299999999999999</v>
      </c>
      <c r="N16" s="588">
        <v>2.96</v>
      </c>
      <c r="O16" s="588">
        <v>0.3</v>
      </c>
      <c r="P16" s="588">
        <v>0.41</v>
      </c>
      <c r="Q16" s="588">
        <v>2.0699999999999998</v>
      </c>
      <c r="R16" s="588">
        <v>0.2</v>
      </c>
      <c r="S16" s="588">
        <v>1</v>
      </c>
      <c r="T16" s="596">
        <v>1</v>
      </c>
      <c r="U16" s="589">
        <v>0.1</v>
      </c>
      <c r="V16" s="596">
        <v>3</v>
      </c>
      <c r="W16" s="587">
        <v>3</v>
      </c>
      <c r="X16" s="593">
        <v>4.5</v>
      </c>
      <c r="Y16" s="597">
        <v>25</v>
      </c>
      <c r="Z16" s="598" t="s">
        <v>252</v>
      </c>
      <c r="AA16" s="591" t="s">
        <v>951</v>
      </c>
      <c r="AB16" s="592">
        <v>3.3699990945291316</v>
      </c>
      <c r="AC16" s="592">
        <v>3.0699060221453913</v>
      </c>
      <c r="AD16" s="592">
        <v>3.9932620530009144</v>
      </c>
      <c r="AE16" s="592">
        <v>11.999996635074474</v>
      </c>
      <c r="AF16" s="592">
        <v>1.9999137401334512</v>
      </c>
      <c r="AG16" s="592">
        <v>3.1165241060018287</v>
      </c>
      <c r="AH16" s="592">
        <v>17.116434481209755</v>
      </c>
      <c r="AI16" s="593"/>
      <c r="AJ16" s="592">
        <f t="shared" si="0"/>
        <v>3.3696347069799035</v>
      </c>
      <c r="AK16" s="592">
        <f t="shared" si="1"/>
        <v>3.0648689829943003</v>
      </c>
      <c r="AL16" s="592">
        <f t="shared" si="2"/>
        <v>3.9502129316321359</v>
      </c>
      <c r="AM16" s="592">
        <f t="shared" si="3"/>
        <v>11.998642492155048</v>
      </c>
      <c r="AN16" s="592">
        <f t="shared" si="4"/>
        <v>1.9952903708643339</v>
      </c>
      <c r="AO16" s="592">
        <f t="shared" si="5"/>
        <v>3.0304258632642718</v>
      </c>
      <c r="AP16" s="592">
        <f t="shared" si="6"/>
        <v>17.024358726283651</v>
      </c>
    </row>
    <row r="17" spans="1:42" ht="14.4" x14ac:dyDescent="0.3">
      <c r="A17" s="586">
        <v>15</v>
      </c>
      <c r="B17" s="586">
        <v>3</v>
      </c>
      <c r="C17" s="594" t="s">
        <v>962</v>
      </c>
      <c r="D17" s="595" t="s">
        <v>967</v>
      </c>
      <c r="E17" s="587">
        <v>11</v>
      </c>
      <c r="F17" s="587">
        <v>0.3</v>
      </c>
      <c r="G17" s="587">
        <v>1</v>
      </c>
      <c r="H17" s="587">
        <v>1.9</v>
      </c>
      <c r="I17" s="587">
        <v>0.2</v>
      </c>
      <c r="J17" s="587">
        <v>0.1</v>
      </c>
      <c r="K17" s="587">
        <v>2</v>
      </c>
      <c r="L17" s="587">
        <v>0.1</v>
      </c>
      <c r="M17" s="587">
        <v>1</v>
      </c>
      <c r="N17" s="588">
        <v>2.96</v>
      </c>
      <c r="O17" s="588">
        <v>0.3</v>
      </c>
      <c r="P17" s="588">
        <v>0.41</v>
      </c>
      <c r="Q17" s="588">
        <v>2.0699999999999998</v>
      </c>
      <c r="R17" s="588">
        <v>0.2</v>
      </c>
      <c r="S17" s="588">
        <v>1</v>
      </c>
      <c r="T17" s="596">
        <v>2</v>
      </c>
      <c r="U17" s="589">
        <v>0.1</v>
      </c>
      <c r="V17" s="596">
        <v>3</v>
      </c>
      <c r="W17" s="587">
        <v>3</v>
      </c>
      <c r="X17" s="593">
        <v>4.5</v>
      </c>
      <c r="Y17" s="597">
        <v>20</v>
      </c>
      <c r="Z17" s="598" t="s">
        <v>253</v>
      </c>
      <c r="AA17" s="591" t="s">
        <v>957</v>
      </c>
      <c r="AB17" s="592">
        <v>3.3699990945291316</v>
      </c>
      <c r="AC17" s="592">
        <v>3.0699060221453913</v>
      </c>
      <c r="AD17" s="592">
        <v>4.9865241060018288</v>
      </c>
      <c r="AE17" s="592">
        <v>11.999996635074474</v>
      </c>
      <c r="AF17" s="592">
        <v>1.9999137401334512</v>
      </c>
      <c r="AG17" s="592">
        <v>2.9865241060018288</v>
      </c>
      <c r="AH17" s="592">
        <v>16.986434481209756</v>
      </c>
      <c r="AI17" s="593"/>
      <c r="AJ17" s="592">
        <f t="shared" si="0"/>
        <v>3.3696347069799035</v>
      </c>
      <c r="AK17" s="592">
        <f t="shared" si="1"/>
        <v>3.0648689829943003</v>
      </c>
      <c r="AL17" s="592">
        <f t="shared" si="2"/>
        <v>4.9004258632642719</v>
      </c>
      <c r="AM17" s="592">
        <f t="shared" si="3"/>
        <v>11.998642492155048</v>
      </c>
      <c r="AN17" s="592">
        <f t="shared" si="4"/>
        <v>1.9952903708643339</v>
      </c>
      <c r="AO17" s="592">
        <f t="shared" si="5"/>
        <v>2.9004258632642719</v>
      </c>
      <c r="AP17" s="592">
        <f t="shared" si="6"/>
        <v>16.894358726283652</v>
      </c>
    </row>
    <row r="18" spans="1:42" ht="14.4" x14ac:dyDescent="0.3">
      <c r="A18" s="586">
        <v>16</v>
      </c>
      <c r="B18" s="586">
        <v>3</v>
      </c>
      <c r="C18" s="594" t="s">
        <v>962</v>
      </c>
      <c r="D18" s="595" t="s">
        <v>968</v>
      </c>
      <c r="E18" s="587">
        <v>11</v>
      </c>
      <c r="F18" s="587">
        <v>0.3</v>
      </c>
      <c r="G18" s="587">
        <v>1</v>
      </c>
      <c r="H18" s="587">
        <v>1.9</v>
      </c>
      <c r="I18" s="587">
        <v>0.2</v>
      </c>
      <c r="J18" s="587">
        <v>0.1</v>
      </c>
      <c r="K18" s="587">
        <v>2</v>
      </c>
      <c r="L18" s="587">
        <v>0.1</v>
      </c>
      <c r="M18" s="587">
        <v>1</v>
      </c>
      <c r="N18" s="588">
        <v>2.96</v>
      </c>
      <c r="O18" s="588">
        <v>0.3</v>
      </c>
      <c r="P18" s="588">
        <v>0.41</v>
      </c>
      <c r="Q18" s="588">
        <v>2.0699999999999998</v>
      </c>
      <c r="R18" s="588">
        <v>0.2</v>
      </c>
      <c r="S18" s="588">
        <v>1</v>
      </c>
      <c r="T18" s="596">
        <v>2</v>
      </c>
      <c r="U18" s="589">
        <v>0.1</v>
      </c>
      <c r="V18" s="596">
        <v>3</v>
      </c>
      <c r="W18" s="587">
        <v>3</v>
      </c>
      <c r="X18" s="593">
        <v>4.5</v>
      </c>
      <c r="Y18" s="597">
        <v>20</v>
      </c>
      <c r="Z18" s="598" t="s">
        <v>253</v>
      </c>
      <c r="AA18" s="591" t="s">
        <v>951</v>
      </c>
      <c r="AB18" s="592">
        <v>3.3699990945291316</v>
      </c>
      <c r="AC18" s="592">
        <v>3.0699060221453913</v>
      </c>
      <c r="AD18" s="592">
        <v>4.9865241060018288</v>
      </c>
      <c r="AE18" s="592">
        <v>11.999996635074474</v>
      </c>
      <c r="AF18" s="592">
        <v>1.9999137401334512</v>
      </c>
      <c r="AG18" s="592">
        <v>2.9865241060018288</v>
      </c>
      <c r="AH18" s="592">
        <v>16.986434481209756</v>
      </c>
      <c r="AI18" s="593"/>
      <c r="AJ18" s="592">
        <f t="shared" si="0"/>
        <v>3.3696347069799035</v>
      </c>
      <c r="AK18" s="592">
        <f t="shared" si="1"/>
        <v>3.0648689829943003</v>
      </c>
      <c r="AL18" s="592">
        <f t="shared" si="2"/>
        <v>4.9004258632642719</v>
      </c>
      <c r="AM18" s="592">
        <f t="shared" si="3"/>
        <v>11.998642492155048</v>
      </c>
      <c r="AN18" s="592">
        <f t="shared" si="4"/>
        <v>1.9952903708643339</v>
      </c>
      <c r="AO18" s="592">
        <f t="shared" si="5"/>
        <v>2.9004258632642719</v>
      </c>
      <c r="AP18" s="592">
        <f t="shared" si="6"/>
        <v>16.894358726283652</v>
      </c>
    </row>
    <row r="19" spans="1:42" ht="14.4" x14ac:dyDescent="0.3">
      <c r="A19" s="586">
        <v>17</v>
      </c>
      <c r="B19" s="586">
        <v>3</v>
      </c>
      <c r="C19" s="594" t="s">
        <v>962</v>
      </c>
      <c r="D19" s="595" t="s">
        <v>969</v>
      </c>
      <c r="E19" s="587">
        <v>11</v>
      </c>
      <c r="F19" s="587">
        <v>0.3</v>
      </c>
      <c r="G19" s="587">
        <v>1</v>
      </c>
      <c r="H19" s="587">
        <v>1.9</v>
      </c>
      <c r="I19" s="587">
        <v>0.2</v>
      </c>
      <c r="J19" s="587">
        <v>0.1</v>
      </c>
      <c r="K19" s="587">
        <v>1.4300000000000002</v>
      </c>
      <c r="L19" s="587">
        <v>0.1</v>
      </c>
      <c r="M19" s="587">
        <v>1</v>
      </c>
      <c r="N19" s="588">
        <v>2.96</v>
      </c>
      <c r="O19" s="588">
        <v>0.3</v>
      </c>
      <c r="P19" s="588">
        <v>0.41</v>
      </c>
      <c r="Q19" s="588">
        <v>2.0699999999999998</v>
      </c>
      <c r="R19" s="588">
        <v>0.2</v>
      </c>
      <c r="S19" s="588">
        <v>1</v>
      </c>
      <c r="T19" s="596">
        <v>1</v>
      </c>
      <c r="U19" s="589">
        <v>0.1</v>
      </c>
      <c r="V19" s="596">
        <v>3</v>
      </c>
      <c r="W19" s="587">
        <v>3</v>
      </c>
      <c r="X19" s="593">
        <v>4.5</v>
      </c>
      <c r="Y19" s="597">
        <v>25</v>
      </c>
      <c r="Z19" s="598" t="s">
        <v>251</v>
      </c>
      <c r="AA19" s="591" t="s">
        <v>951</v>
      </c>
      <c r="AB19" s="592">
        <v>3.3699990945291316</v>
      </c>
      <c r="AC19" s="592">
        <v>3.0699060221453913</v>
      </c>
      <c r="AD19" s="592">
        <v>3.9932620530009144</v>
      </c>
      <c r="AE19" s="592">
        <v>11.999996635074474</v>
      </c>
      <c r="AF19" s="592">
        <v>1.9999137401334512</v>
      </c>
      <c r="AG19" s="592">
        <v>2.4203647357913081</v>
      </c>
      <c r="AH19" s="592">
        <v>16.420275110999235</v>
      </c>
      <c r="AI19" s="593"/>
      <c r="AJ19" s="592">
        <f t="shared" si="0"/>
        <v>3.3696347069799035</v>
      </c>
      <c r="AK19" s="592">
        <f t="shared" si="1"/>
        <v>3.0648689829943003</v>
      </c>
      <c r="AL19" s="592">
        <f t="shared" si="2"/>
        <v>3.9502129316321359</v>
      </c>
      <c r="AM19" s="592">
        <f t="shared" si="3"/>
        <v>11.998642492155048</v>
      </c>
      <c r="AN19" s="592">
        <f t="shared" si="4"/>
        <v>1.9952903708643339</v>
      </c>
      <c r="AO19" s="592">
        <f t="shared" si="5"/>
        <v>2.3588044922339546</v>
      </c>
      <c r="AP19" s="592">
        <f t="shared" si="6"/>
        <v>16.352737355253335</v>
      </c>
    </row>
    <row r="20" spans="1:42" ht="14.4" x14ac:dyDescent="0.3">
      <c r="A20" s="586">
        <v>18</v>
      </c>
      <c r="B20" s="586">
        <v>3</v>
      </c>
      <c r="C20" s="594" t="s">
        <v>962</v>
      </c>
      <c r="D20" s="595" t="s">
        <v>970</v>
      </c>
      <c r="E20" s="587">
        <v>11</v>
      </c>
      <c r="F20" s="587">
        <v>0.3</v>
      </c>
      <c r="G20" s="587">
        <v>1</v>
      </c>
      <c r="H20" s="587">
        <v>1.9</v>
      </c>
      <c r="I20" s="587">
        <v>0.2</v>
      </c>
      <c r="J20" s="587">
        <v>0.1</v>
      </c>
      <c r="K20" s="587">
        <v>0.99999999999999989</v>
      </c>
      <c r="L20" s="587">
        <v>0.1</v>
      </c>
      <c r="M20" s="587">
        <v>0.67</v>
      </c>
      <c r="N20" s="588">
        <v>2.96</v>
      </c>
      <c r="O20" s="588">
        <v>0.3</v>
      </c>
      <c r="P20" s="588">
        <v>0.41</v>
      </c>
      <c r="Q20" s="588">
        <v>2.0699999999999998</v>
      </c>
      <c r="R20" s="588">
        <v>0.2</v>
      </c>
      <c r="S20" s="588">
        <v>1</v>
      </c>
      <c r="T20" s="596">
        <v>1</v>
      </c>
      <c r="U20" s="589">
        <v>0.1</v>
      </c>
      <c r="V20" s="596">
        <v>2</v>
      </c>
      <c r="W20" s="587">
        <v>3</v>
      </c>
      <c r="X20" s="593">
        <v>4.5</v>
      </c>
      <c r="Y20" s="597">
        <v>25</v>
      </c>
      <c r="Z20" s="598" t="s">
        <v>250</v>
      </c>
      <c r="AA20" s="591" t="s">
        <v>948</v>
      </c>
      <c r="AB20" s="592">
        <v>3.3699990945291316</v>
      </c>
      <c r="AC20" s="592">
        <v>3.0699060221453913</v>
      </c>
      <c r="AD20" s="592">
        <v>2.9932620530009144</v>
      </c>
      <c r="AE20" s="592">
        <v>11.999996635074474</v>
      </c>
      <c r="AF20" s="592">
        <v>1.9999137401334512</v>
      </c>
      <c r="AG20" s="592">
        <v>1.6632620530009143</v>
      </c>
      <c r="AH20" s="592">
        <v>15.663172428208838</v>
      </c>
      <c r="AI20" s="593"/>
      <c r="AJ20" s="592">
        <f t="shared" si="0"/>
        <v>3.3696347069799035</v>
      </c>
      <c r="AK20" s="592">
        <f t="shared" si="1"/>
        <v>3.0648689829943003</v>
      </c>
      <c r="AL20" s="592">
        <f t="shared" si="2"/>
        <v>2.9502129316321359</v>
      </c>
      <c r="AM20" s="592">
        <f t="shared" si="3"/>
        <v>11.998642492155048</v>
      </c>
      <c r="AN20" s="592">
        <f t="shared" si="4"/>
        <v>1.9952903708643339</v>
      </c>
      <c r="AO20" s="592">
        <f t="shared" si="5"/>
        <v>1.6202129316321359</v>
      </c>
      <c r="AP20" s="592">
        <f t="shared" si="6"/>
        <v>15.614145794651517</v>
      </c>
    </row>
    <row r="21" spans="1:42" ht="14.4" x14ac:dyDescent="0.3">
      <c r="A21" s="586">
        <v>19</v>
      </c>
      <c r="B21" s="586">
        <v>3</v>
      </c>
      <c r="C21" s="594" t="s">
        <v>962</v>
      </c>
      <c r="D21" s="595" t="s">
        <v>971</v>
      </c>
      <c r="E21" s="587">
        <v>11</v>
      </c>
      <c r="F21" s="587">
        <v>0.3</v>
      </c>
      <c r="G21" s="587">
        <v>1</v>
      </c>
      <c r="H21" s="587">
        <v>1.9</v>
      </c>
      <c r="I21" s="587">
        <v>0.2</v>
      </c>
      <c r="J21" s="587">
        <v>0.1</v>
      </c>
      <c r="K21" s="587">
        <v>1.4300000000000002</v>
      </c>
      <c r="L21" s="587">
        <v>0.1</v>
      </c>
      <c r="M21" s="587">
        <v>0.86</v>
      </c>
      <c r="N21" s="588">
        <v>2.96</v>
      </c>
      <c r="O21" s="588">
        <v>0.3</v>
      </c>
      <c r="P21" s="588">
        <v>0.41</v>
      </c>
      <c r="Q21" s="588">
        <v>2.0699999999999998</v>
      </c>
      <c r="R21" s="588">
        <v>0.2</v>
      </c>
      <c r="S21" s="588">
        <v>1</v>
      </c>
      <c r="T21" s="596">
        <v>1</v>
      </c>
      <c r="U21" s="589">
        <v>0.1</v>
      </c>
      <c r="V21" s="596">
        <v>3</v>
      </c>
      <c r="W21" s="587">
        <v>3</v>
      </c>
      <c r="X21" s="593">
        <v>4.5</v>
      </c>
      <c r="Y21" s="597">
        <v>20</v>
      </c>
      <c r="Z21" s="598" t="s">
        <v>251</v>
      </c>
      <c r="AA21" s="591" t="s">
        <v>957</v>
      </c>
      <c r="AB21" s="592">
        <v>3.3699990945291316</v>
      </c>
      <c r="AC21" s="592">
        <v>3.0699060221453913</v>
      </c>
      <c r="AD21" s="592">
        <v>3.9932620530009144</v>
      </c>
      <c r="AE21" s="592">
        <v>11.999996635074474</v>
      </c>
      <c r="AF21" s="592">
        <v>1.9999137401334512</v>
      </c>
      <c r="AG21" s="592">
        <v>2.2803647357913079</v>
      </c>
      <c r="AH21" s="592">
        <v>16.280275110999234</v>
      </c>
      <c r="AI21" s="593"/>
      <c r="AJ21" s="592">
        <f t="shared" si="0"/>
        <v>3.3696347069799035</v>
      </c>
      <c r="AK21" s="592">
        <f t="shared" si="1"/>
        <v>3.0648689829943003</v>
      </c>
      <c r="AL21" s="592">
        <f t="shared" si="2"/>
        <v>3.9502129316321359</v>
      </c>
      <c r="AM21" s="592">
        <f t="shared" si="3"/>
        <v>11.998642492155048</v>
      </c>
      <c r="AN21" s="592">
        <f t="shared" si="4"/>
        <v>1.9952903708643339</v>
      </c>
      <c r="AO21" s="592">
        <f t="shared" si="5"/>
        <v>2.2188044922339545</v>
      </c>
      <c r="AP21" s="592">
        <f t="shared" si="6"/>
        <v>16.212737355253335</v>
      </c>
    </row>
    <row r="22" spans="1:42" ht="14.4" x14ac:dyDescent="0.3">
      <c r="A22" s="586">
        <v>20</v>
      </c>
      <c r="B22" s="586">
        <v>3</v>
      </c>
      <c r="C22" s="594" t="s">
        <v>962</v>
      </c>
      <c r="D22" s="595" t="s">
        <v>972</v>
      </c>
      <c r="E22" s="587">
        <v>5.5</v>
      </c>
      <c r="F22" s="587">
        <v>0.25</v>
      </c>
      <c r="G22" s="587">
        <v>0.5</v>
      </c>
      <c r="H22" s="587">
        <v>0.9</v>
      </c>
      <c r="I22" s="587">
        <v>0.2</v>
      </c>
      <c r="J22" s="587">
        <v>0.1</v>
      </c>
      <c r="K22" s="587">
        <v>0.89999999999999991</v>
      </c>
      <c r="L22" s="587">
        <v>0.1</v>
      </c>
      <c r="M22" s="587">
        <v>0.55000000000000004</v>
      </c>
      <c r="N22" s="588">
        <v>1.83</v>
      </c>
      <c r="O22" s="588">
        <v>0.25</v>
      </c>
      <c r="P22" s="588">
        <v>0.21</v>
      </c>
      <c r="Q22" s="588">
        <v>1.62</v>
      </c>
      <c r="R22" s="588">
        <v>0.2</v>
      </c>
      <c r="S22" s="588">
        <v>1</v>
      </c>
      <c r="T22" s="596">
        <v>1</v>
      </c>
      <c r="U22" s="589">
        <v>0.1</v>
      </c>
      <c r="V22" s="596">
        <v>2</v>
      </c>
      <c r="W22" s="587">
        <v>3</v>
      </c>
      <c r="X22" s="593">
        <v>2.2999999999999998</v>
      </c>
      <c r="Y22" s="590">
        <v>20</v>
      </c>
      <c r="Z22" s="598" t="s">
        <v>250</v>
      </c>
      <c r="AA22" s="591" t="s">
        <v>948</v>
      </c>
      <c r="AB22" s="592">
        <v>2.0399931802246951</v>
      </c>
      <c r="AC22" s="592">
        <v>2.6199264521137851</v>
      </c>
      <c r="AD22" s="592">
        <v>2.9932620530009144</v>
      </c>
      <c r="AE22" s="592">
        <v>5.9999795034075536</v>
      </c>
      <c r="AF22" s="592">
        <v>0.99995914006321374</v>
      </c>
      <c r="AG22" s="592">
        <v>1.4439358477008231</v>
      </c>
      <c r="AH22" s="592">
        <v>8.4438744911715915</v>
      </c>
      <c r="AI22" s="593"/>
      <c r="AJ22" s="592">
        <f t="shared" si="0"/>
        <v>2.0389878556026297</v>
      </c>
      <c r="AK22" s="592">
        <f t="shared" si="1"/>
        <v>2.6159844214738008</v>
      </c>
      <c r="AL22" s="592">
        <f t="shared" si="2"/>
        <v>2.9502129316321359</v>
      </c>
      <c r="AM22" s="592">
        <f t="shared" si="3"/>
        <v>5.9969580359641874</v>
      </c>
      <c r="AN22" s="592">
        <f t="shared" si="4"/>
        <v>0.99776912304100029</v>
      </c>
      <c r="AO22" s="592">
        <f t="shared" si="5"/>
        <v>1.4051916384689225</v>
      </c>
      <c r="AP22" s="592">
        <f t="shared" si="6"/>
        <v>8.3999187974741112</v>
      </c>
    </row>
    <row r="23" spans="1:42" ht="14.4" x14ac:dyDescent="0.3">
      <c r="A23" s="586">
        <v>21</v>
      </c>
      <c r="B23" s="586">
        <v>3</v>
      </c>
      <c r="C23" s="594" t="s">
        <v>973</v>
      </c>
      <c r="D23" s="595" t="s">
        <v>974</v>
      </c>
      <c r="E23" s="587">
        <v>17</v>
      </c>
      <c r="F23" s="587">
        <v>0.32</v>
      </c>
      <c r="G23" s="587">
        <v>1</v>
      </c>
      <c r="H23" s="587">
        <v>2</v>
      </c>
      <c r="I23" s="587">
        <v>0.25</v>
      </c>
      <c r="J23" s="587">
        <v>0.5</v>
      </c>
      <c r="K23" s="587">
        <v>1.4000000000000001</v>
      </c>
      <c r="L23" s="587">
        <v>0.1</v>
      </c>
      <c r="M23" s="587">
        <v>0.8</v>
      </c>
      <c r="N23" s="588">
        <v>3.89</v>
      </c>
      <c r="O23" s="588">
        <v>0.32</v>
      </c>
      <c r="P23" s="588">
        <v>0.41</v>
      </c>
      <c r="Q23" s="588">
        <v>1.02</v>
      </c>
      <c r="R23" s="588">
        <v>0.25</v>
      </c>
      <c r="S23" s="588">
        <v>2.2000000000000002</v>
      </c>
      <c r="T23" s="596">
        <v>1</v>
      </c>
      <c r="U23" s="589">
        <v>0.1</v>
      </c>
      <c r="V23" s="596">
        <v>3</v>
      </c>
      <c r="W23" s="587">
        <v>3.5</v>
      </c>
      <c r="X23" s="593">
        <v>8.4</v>
      </c>
      <c r="Y23" s="597">
        <v>20</v>
      </c>
      <c r="Z23" s="591" t="s">
        <v>252</v>
      </c>
      <c r="AA23" s="591" t="s">
        <v>951</v>
      </c>
      <c r="AB23" s="592">
        <v>4.2999995622381704</v>
      </c>
      <c r="AC23" s="592">
        <v>3.2199961988137646</v>
      </c>
      <c r="AD23" s="592">
        <v>3.9932620530009144</v>
      </c>
      <c r="AE23" s="592">
        <v>17.999998086902028</v>
      </c>
      <c r="AF23" s="592">
        <v>2.4999925466936559</v>
      </c>
      <c r="AG23" s="592">
        <v>2.1905668742012807</v>
      </c>
      <c r="AH23" s="592">
        <v>22.690557507796964</v>
      </c>
      <c r="AI23" s="593"/>
      <c r="AJ23" s="592">
        <f t="shared" si="0"/>
        <v>4.2997365352150503</v>
      </c>
      <c r="AK23" s="592">
        <f t="shared" si="1"/>
        <v>3.2194358539424495</v>
      </c>
      <c r="AL23" s="592">
        <f t="shared" si="2"/>
        <v>3.9502129316321359</v>
      </c>
      <c r="AM23" s="592">
        <f t="shared" si="3"/>
        <v>17.998848611479655</v>
      </c>
      <c r="AN23" s="592">
        <f t="shared" si="4"/>
        <v>2.4988938312597044</v>
      </c>
      <c r="AO23" s="592">
        <f t="shared" si="5"/>
        <v>2.1302981042849907</v>
      </c>
      <c r="AP23" s="592">
        <f t="shared" si="6"/>
        <v>22.628040547024348</v>
      </c>
    </row>
    <row r="24" spans="1:42" ht="14.4" x14ac:dyDescent="0.3">
      <c r="A24" s="586">
        <v>22</v>
      </c>
      <c r="B24" s="586">
        <v>3</v>
      </c>
      <c r="C24" s="594" t="s">
        <v>973</v>
      </c>
      <c r="D24" s="595" t="s">
        <v>975</v>
      </c>
      <c r="E24" s="587">
        <v>14.7</v>
      </c>
      <c r="F24" s="587">
        <v>0.17</v>
      </c>
      <c r="G24" s="587">
        <v>1.7</v>
      </c>
      <c r="H24" s="587">
        <v>4.2</v>
      </c>
      <c r="I24" s="587">
        <v>0.2</v>
      </c>
      <c r="J24" s="587">
        <v>0.7</v>
      </c>
      <c r="K24" s="587">
        <v>2.37</v>
      </c>
      <c r="L24" s="587">
        <v>0.1</v>
      </c>
      <c r="M24" s="587">
        <v>1.27</v>
      </c>
      <c r="N24" s="588">
        <v>3.4</v>
      </c>
      <c r="O24" s="588">
        <v>0.17</v>
      </c>
      <c r="P24" s="588">
        <v>0.68</v>
      </c>
      <c r="Q24" s="588">
        <v>1.37</v>
      </c>
      <c r="R24" s="588">
        <v>0.2</v>
      </c>
      <c r="S24" s="588">
        <v>2.4</v>
      </c>
      <c r="T24" s="596">
        <v>2</v>
      </c>
      <c r="U24" s="589">
        <v>0.1</v>
      </c>
      <c r="V24" s="596">
        <v>3</v>
      </c>
      <c r="W24" s="587">
        <v>3.5</v>
      </c>
      <c r="X24" s="593">
        <v>3.5</v>
      </c>
      <c r="Y24" s="597">
        <v>25</v>
      </c>
      <c r="Z24" s="591" t="s">
        <v>253</v>
      </c>
      <c r="AA24" s="591" t="s">
        <v>951</v>
      </c>
      <c r="AB24" s="592">
        <v>4.0793082075453633</v>
      </c>
      <c r="AC24" s="592">
        <v>3.7699378020962255</v>
      </c>
      <c r="AD24" s="592">
        <v>4.9865241060018288</v>
      </c>
      <c r="AE24" s="592">
        <v>16.397009014975541</v>
      </c>
      <c r="AF24" s="592">
        <v>4.8998093202949979</v>
      </c>
      <c r="AG24" s="592">
        <v>3.6240310656121677</v>
      </c>
      <c r="AH24" s="592">
        <v>24.920849400882709</v>
      </c>
      <c r="AI24" s="593"/>
      <c r="AJ24" s="592">
        <f t="shared" si="0"/>
        <v>4.0592710616772472</v>
      </c>
      <c r="AK24" s="592">
        <f t="shared" si="1"/>
        <v>3.7666041095179672</v>
      </c>
      <c r="AL24" s="592">
        <f t="shared" si="2"/>
        <v>4.9004258632642719</v>
      </c>
      <c r="AM24" s="592">
        <f t="shared" si="3"/>
        <v>16.31037782548692</v>
      </c>
      <c r="AN24" s="592">
        <f t="shared" si="4"/>
        <v>4.889589240858002</v>
      </c>
      <c r="AO24" s="592">
        <f t="shared" si="5"/>
        <v>3.5220046479681626</v>
      </c>
      <c r="AP24" s="592">
        <f t="shared" si="6"/>
        <v>24.721971714313085</v>
      </c>
    </row>
    <row r="25" spans="1:42" ht="14.4" x14ac:dyDescent="0.3">
      <c r="A25" s="586">
        <v>23</v>
      </c>
      <c r="B25" s="586">
        <v>3</v>
      </c>
      <c r="C25" s="594" t="s">
        <v>973</v>
      </c>
      <c r="D25" s="595" t="s">
        <v>976</v>
      </c>
      <c r="E25" s="587">
        <v>14.7</v>
      </c>
      <c r="F25" s="587">
        <v>0.17</v>
      </c>
      <c r="G25" s="587">
        <v>1.7</v>
      </c>
      <c r="H25" s="587">
        <v>4.2</v>
      </c>
      <c r="I25" s="587">
        <v>0.2</v>
      </c>
      <c r="J25" s="587">
        <v>0.7</v>
      </c>
      <c r="K25" s="587">
        <v>1.62</v>
      </c>
      <c r="L25" s="587">
        <v>0.1</v>
      </c>
      <c r="M25" s="587">
        <v>0.88</v>
      </c>
      <c r="N25" s="588">
        <v>3.4</v>
      </c>
      <c r="O25" s="588">
        <v>0.17</v>
      </c>
      <c r="P25" s="588">
        <v>0.68</v>
      </c>
      <c r="Q25" s="588">
        <v>1.37</v>
      </c>
      <c r="R25" s="588">
        <v>0.2</v>
      </c>
      <c r="S25" s="588">
        <v>2.4</v>
      </c>
      <c r="T25" s="596">
        <v>1</v>
      </c>
      <c r="U25" s="589">
        <v>0.1</v>
      </c>
      <c r="V25" s="596">
        <v>3</v>
      </c>
      <c r="W25" s="587">
        <v>3.5</v>
      </c>
      <c r="X25" s="593">
        <v>3.5</v>
      </c>
      <c r="Y25" s="597">
        <v>20</v>
      </c>
      <c r="Z25" s="591" t="s">
        <v>252</v>
      </c>
      <c r="AA25" s="591" t="s">
        <v>951</v>
      </c>
      <c r="AB25" s="592">
        <v>4.0793082075453633</v>
      </c>
      <c r="AC25" s="592">
        <v>3.7699378020962255</v>
      </c>
      <c r="AD25" s="592">
        <v>3.9932620530009144</v>
      </c>
      <c r="AE25" s="592">
        <v>16.397009014975541</v>
      </c>
      <c r="AF25" s="592">
        <v>4.8998093202949979</v>
      </c>
      <c r="AG25" s="592">
        <v>2.4890845258614815</v>
      </c>
      <c r="AH25" s="592">
        <v>23.785902861132023</v>
      </c>
      <c r="AI25" s="593"/>
      <c r="AJ25" s="592">
        <f t="shared" si="0"/>
        <v>4.0592710616772472</v>
      </c>
      <c r="AK25" s="592">
        <f t="shared" si="1"/>
        <v>3.7666041095179672</v>
      </c>
      <c r="AL25" s="592">
        <f t="shared" si="2"/>
        <v>3.9502129316321359</v>
      </c>
      <c r="AM25" s="592">
        <f t="shared" si="3"/>
        <v>16.31037782548692</v>
      </c>
      <c r="AN25" s="592">
        <f t="shared" si="4"/>
        <v>4.889589240858002</v>
      </c>
      <c r="AO25" s="592">
        <f t="shared" si="5"/>
        <v>2.4193449492440604</v>
      </c>
      <c r="AP25" s="592">
        <f t="shared" si="6"/>
        <v>23.619312015588982</v>
      </c>
    </row>
    <row r="26" spans="1:42" ht="14.4" x14ac:dyDescent="0.3">
      <c r="A26" s="586">
        <v>24</v>
      </c>
      <c r="B26" s="586">
        <v>3</v>
      </c>
      <c r="C26" s="594" t="s">
        <v>973</v>
      </c>
      <c r="D26" s="595" t="s">
        <v>977</v>
      </c>
      <c r="E26" s="587">
        <v>14.7</v>
      </c>
      <c r="F26" s="587">
        <v>0.17</v>
      </c>
      <c r="G26" s="587">
        <v>1.7</v>
      </c>
      <c r="H26" s="587">
        <v>4.2</v>
      </c>
      <c r="I26" s="587">
        <v>0.2</v>
      </c>
      <c r="J26" s="587">
        <v>0.7</v>
      </c>
      <c r="K26" s="587">
        <v>1.7000000000000002</v>
      </c>
      <c r="L26" s="587">
        <v>0.1</v>
      </c>
      <c r="M26" s="587">
        <v>0.92</v>
      </c>
      <c r="N26" s="588">
        <v>3.4</v>
      </c>
      <c r="O26" s="588">
        <v>0.17</v>
      </c>
      <c r="P26" s="588">
        <v>0.68</v>
      </c>
      <c r="Q26" s="588">
        <v>1.37</v>
      </c>
      <c r="R26" s="588">
        <v>0.2</v>
      </c>
      <c r="S26" s="588">
        <v>2.4</v>
      </c>
      <c r="T26" s="596">
        <v>1</v>
      </c>
      <c r="U26" s="589">
        <v>0.1</v>
      </c>
      <c r="V26" s="596">
        <v>3</v>
      </c>
      <c r="W26" s="587">
        <v>3.5</v>
      </c>
      <c r="X26" s="593">
        <v>3.5</v>
      </c>
      <c r="Y26" s="597">
        <v>20</v>
      </c>
      <c r="Z26" s="591" t="s">
        <v>252</v>
      </c>
      <c r="AA26" s="591" t="s">
        <v>951</v>
      </c>
      <c r="AB26" s="592">
        <v>4.0793082075453633</v>
      </c>
      <c r="AC26" s="592">
        <v>3.7699378020962255</v>
      </c>
      <c r="AD26" s="592">
        <v>3.9932620530009144</v>
      </c>
      <c r="AE26" s="592">
        <v>16.397009014975541</v>
      </c>
      <c r="AF26" s="592">
        <v>4.8998093202949979</v>
      </c>
      <c r="AG26" s="592">
        <v>2.6085454901015548</v>
      </c>
      <c r="AH26" s="592">
        <v>23.905363825372095</v>
      </c>
      <c r="AI26" s="593"/>
      <c r="AJ26" s="592">
        <f t="shared" si="0"/>
        <v>4.0592710616772472</v>
      </c>
      <c r="AK26" s="592">
        <f t="shared" si="1"/>
        <v>3.7666041095179672</v>
      </c>
      <c r="AL26" s="592">
        <f t="shared" si="2"/>
        <v>3.9502129316321359</v>
      </c>
      <c r="AM26" s="592">
        <f t="shared" si="3"/>
        <v>16.31037782548692</v>
      </c>
      <c r="AN26" s="592">
        <f t="shared" si="4"/>
        <v>4.889589240858002</v>
      </c>
      <c r="AO26" s="592">
        <f t="shared" si="5"/>
        <v>2.5353619837746315</v>
      </c>
      <c r="AP26" s="592">
        <f t="shared" si="6"/>
        <v>23.735329050119553</v>
      </c>
    </row>
    <row r="27" spans="1:42" ht="14.4" x14ac:dyDescent="0.3">
      <c r="A27" s="586">
        <v>25</v>
      </c>
      <c r="B27" s="586">
        <v>3</v>
      </c>
      <c r="C27" s="594" t="s">
        <v>973</v>
      </c>
      <c r="D27" s="595" t="s">
        <v>978</v>
      </c>
      <c r="E27" s="587">
        <v>17</v>
      </c>
      <c r="F27" s="587">
        <v>0.32</v>
      </c>
      <c r="G27" s="587">
        <v>1</v>
      </c>
      <c r="H27" s="587">
        <v>2</v>
      </c>
      <c r="I27" s="587">
        <v>0.25</v>
      </c>
      <c r="J27" s="587">
        <v>0.5</v>
      </c>
      <c r="K27" s="587">
        <v>0.39999999999999997</v>
      </c>
      <c r="L27" s="587">
        <v>0.1</v>
      </c>
      <c r="M27" s="587">
        <v>0.2</v>
      </c>
      <c r="N27" s="588">
        <v>3.89</v>
      </c>
      <c r="O27" s="588">
        <v>0.32</v>
      </c>
      <c r="P27" s="588">
        <v>0.41</v>
      </c>
      <c r="Q27" s="588">
        <v>1.02</v>
      </c>
      <c r="R27" s="588">
        <v>0.25</v>
      </c>
      <c r="S27" s="588">
        <v>2.2000000000000002</v>
      </c>
      <c r="T27" s="596">
        <v>0</v>
      </c>
      <c r="U27" s="589">
        <v>0.1</v>
      </c>
      <c r="V27" s="596">
        <v>2</v>
      </c>
      <c r="W27" s="587">
        <v>3.5</v>
      </c>
      <c r="X27" s="593">
        <v>8.4</v>
      </c>
      <c r="Y27" s="597">
        <v>15</v>
      </c>
      <c r="Z27" s="591" t="s">
        <v>788</v>
      </c>
      <c r="AA27" s="591" t="s">
        <v>948</v>
      </c>
      <c r="AB27" s="592">
        <v>4.2999995622381704</v>
      </c>
      <c r="AC27" s="592">
        <v>3.2199961988137646</v>
      </c>
      <c r="AD27" s="592">
        <v>2</v>
      </c>
      <c r="AE27" s="592">
        <v>17.999998086902028</v>
      </c>
      <c r="AF27" s="592">
        <v>2.4999925466936559</v>
      </c>
      <c r="AG27" s="592">
        <v>0.59730482120036577</v>
      </c>
      <c r="AH27" s="592">
        <v>21.097295454796047</v>
      </c>
      <c r="AI27" s="593"/>
      <c r="AJ27" s="592">
        <f t="shared" si="0"/>
        <v>4.2997365352150503</v>
      </c>
      <c r="AK27" s="592">
        <f t="shared" si="1"/>
        <v>3.2194358539424495</v>
      </c>
      <c r="AL27" s="592">
        <f t="shared" si="2"/>
        <v>2</v>
      </c>
      <c r="AM27" s="592">
        <f t="shared" si="3"/>
        <v>17.998848611479655</v>
      </c>
      <c r="AN27" s="592">
        <f t="shared" si="4"/>
        <v>2.4988938312597044</v>
      </c>
      <c r="AO27" s="592">
        <f t="shared" si="5"/>
        <v>0.58008517265285442</v>
      </c>
      <c r="AP27" s="592">
        <f t="shared" si="6"/>
        <v>21.077827615392213</v>
      </c>
    </row>
    <row r="28" spans="1:42" ht="14.4" x14ac:dyDescent="0.3">
      <c r="A28" s="586">
        <v>26</v>
      </c>
      <c r="B28" s="586">
        <v>3</v>
      </c>
      <c r="C28" s="594" t="s">
        <v>973</v>
      </c>
      <c r="D28" s="595" t="s">
        <v>979</v>
      </c>
      <c r="E28" s="587">
        <v>17</v>
      </c>
      <c r="F28" s="587">
        <v>0.32</v>
      </c>
      <c r="G28" s="587">
        <v>1</v>
      </c>
      <c r="H28" s="587">
        <v>2</v>
      </c>
      <c r="I28" s="587">
        <v>0.25</v>
      </c>
      <c r="J28" s="587">
        <v>0.5</v>
      </c>
      <c r="K28" s="587">
        <v>1</v>
      </c>
      <c r="L28" s="587">
        <v>0.1</v>
      </c>
      <c r="M28" s="587">
        <v>1</v>
      </c>
      <c r="N28" s="588">
        <v>3.89</v>
      </c>
      <c r="O28" s="588">
        <v>0.32</v>
      </c>
      <c r="P28" s="588">
        <v>0.41</v>
      </c>
      <c r="Q28" s="588">
        <v>1.02</v>
      </c>
      <c r="R28" s="588">
        <v>0.25</v>
      </c>
      <c r="S28" s="588">
        <v>2.2000000000000002</v>
      </c>
      <c r="T28" s="596">
        <v>1</v>
      </c>
      <c r="U28" s="589">
        <v>0.1</v>
      </c>
      <c r="V28" s="596">
        <v>3</v>
      </c>
      <c r="W28" s="587">
        <v>3.5</v>
      </c>
      <c r="X28" s="593">
        <v>8.4</v>
      </c>
      <c r="Y28" s="597">
        <v>20</v>
      </c>
      <c r="Z28" s="591" t="s">
        <v>251</v>
      </c>
      <c r="AA28" s="591" t="s">
        <v>951</v>
      </c>
      <c r="AB28" s="592">
        <v>4.2999995622381704</v>
      </c>
      <c r="AC28" s="592">
        <v>3.2199961988137646</v>
      </c>
      <c r="AD28" s="592">
        <v>3.9932620530009144</v>
      </c>
      <c r="AE28" s="592">
        <v>17.999998086902028</v>
      </c>
      <c r="AF28" s="592">
        <v>2.4999925466936559</v>
      </c>
      <c r="AG28" s="592">
        <v>1.9932620530009144</v>
      </c>
      <c r="AH28" s="592">
        <v>22.493252686596598</v>
      </c>
      <c r="AI28" s="593"/>
      <c r="AJ28" s="592">
        <f t="shared" si="0"/>
        <v>4.2997365352150503</v>
      </c>
      <c r="AK28" s="592">
        <f t="shared" si="1"/>
        <v>3.2194358539424495</v>
      </c>
      <c r="AL28" s="592">
        <f t="shared" si="2"/>
        <v>3.9502129316321359</v>
      </c>
      <c r="AM28" s="592">
        <f t="shared" si="3"/>
        <v>17.998848611479655</v>
      </c>
      <c r="AN28" s="592">
        <f t="shared" si="4"/>
        <v>2.4988938312597044</v>
      </c>
      <c r="AO28" s="592">
        <f t="shared" si="5"/>
        <v>1.9502129316321359</v>
      </c>
      <c r="AP28" s="592">
        <f t="shared" si="6"/>
        <v>22.447955374371496</v>
      </c>
    </row>
    <row r="29" spans="1:42" ht="14.4" x14ac:dyDescent="0.3">
      <c r="A29" s="586">
        <v>27</v>
      </c>
      <c r="B29" s="586">
        <v>3</v>
      </c>
      <c r="C29" s="594" t="s">
        <v>973</v>
      </c>
      <c r="D29" s="595" t="s">
        <v>980</v>
      </c>
      <c r="E29" s="587">
        <v>11</v>
      </c>
      <c r="F29" s="587">
        <v>0.19</v>
      </c>
      <c r="G29" s="587">
        <v>1</v>
      </c>
      <c r="H29" s="587">
        <v>4.3</v>
      </c>
      <c r="I29" s="587">
        <v>0.19</v>
      </c>
      <c r="J29" s="587">
        <v>0.7</v>
      </c>
      <c r="K29" s="587">
        <v>2.2000000000000002</v>
      </c>
      <c r="L29" s="587">
        <v>0.1</v>
      </c>
      <c r="M29" s="587">
        <v>1.2</v>
      </c>
      <c r="N29" s="588">
        <v>2.96</v>
      </c>
      <c r="O29" s="588">
        <v>0.19</v>
      </c>
      <c r="P29" s="588">
        <v>0.41</v>
      </c>
      <c r="Q29" s="588">
        <v>1.39</v>
      </c>
      <c r="R29" s="588">
        <v>0.19</v>
      </c>
      <c r="S29" s="588">
        <v>2.4</v>
      </c>
      <c r="T29" s="596">
        <v>2</v>
      </c>
      <c r="U29" s="589">
        <v>0.1</v>
      </c>
      <c r="V29" s="596">
        <v>3</v>
      </c>
      <c r="W29" s="587">
        <v>3.5</v>
      </c>
      <c r="X29" s="593">
        <v>2.7</v>
      </c>
      <c r="Y29" s="597">
        <v>20</v>
      </c>
      <c r="Z29" s="591" t="s">
        <v>253</v>
      </c>
      <c r="AA29" s="591" t="s">
        <v>951</v>
      </c>
      <c r="AB29" s="592">
        <v>3.3697784385835328</v>
      </c>
      <c r="AC29" s="592">
        <v>3.7898959559564558</v>
      </c>
      <c r="AD29" s="592">
        <v>4.9865241060018288</v>
      </c>
      <c r="AE29" s="592">
        <v>11.999176629871236</v>
      </c>
      <c r="AF29" s="592">
        <v>4.9996781371314833</v>
      </c>
      <c r="AG29" s="592">
        <v>3.3851765166020122</v>
      </c>
      <c r="AH29" s="592">
        <v>20.384031283604731</v>
      </c>
      <c r="AI29" s="593"/>
      <c r="AJ29" s="592">
        <f t="shared" si="0"/>
        <v>3.3600959422458851</v>
      </c>
      <c r="AK29" s="592">
        <f t="shared" si="1"/>
        <v>3.7853491080141151</v>
      </c>
      <c r="AL29" s="592">
        <f t="shared" si="2"/>
        <v>4.9004258632642719</v>
      </c>
      <c r="AM29" s="592">
        <f t="shared" si="3"/>
        <v>11.963194379967817</v>
      </c>
      <c r="AN29" s="592">
        <f t="shared" si="4"/>
        <v>4.9856123485328734</v>
      </c>
      <c r="AO29" s="592">
        <f t="shared" si="5"/>
        <v>3.2904684495906995</v>
      </c>
      <c r="AP29" s="592">
        <f t="shared" si="6"/>
        <v>20.23927517809139</v>
      </c>
    </row>
    <row r="30" spans="1:42" ht="14.4" x14ac:dyDescent="0.3">
      <c r="A30" s="586">
        <v>28</v>
      </c>
      <c r="B30" s="586">
        <v>3</v>
      </c>
      <c r="C30" s="594" t="s">
        <v>973</v>
      </c>
      <c r="D30" s="595" t="s">
        <v>981</v>
      </c>
      <c r="E30" s="587">
        <v>11</v>
      </c>
      <c r="F30" s="587">
        <v>0.19</v>
      </c>
      <c r="G30" s="587">
        <v>1</v>
      </c>
      <c r="H30" s="587">
        <v>4.3</v>
      </c>
      <c r="I30" s="587">
        <v>0.19</v>
      </c>
      <c r="J30" s="587">
        <v>0.7</v>
      </c>
      <c r="K30" s="587">
        <v>0.6</v>
      </c>
      <c r="L30" s="587">
        <v>0.1</v>
      </c>
      <c r="M30" s="587">
        <v>0.6</v>
      </c>
      <c r="N30" s="588">
        <v>2.96</v>
      </c>
      <c r="O30" s="588">
        <v>0.19</v>
      </c>
      <c r="P30" s="588">
        <v>0.41</v>
      </c>
      <c r="Q30" s="588">
        <v>1.39</v>
      </c>
      <c r="R30" s="588">
        <v>0.19</v>
      </c>
      <c r="S30" s="588">
        <v>2.4</v>
      </c>
      <c r="T30" s="596">
        <v>0.41</v>
      </c>
      <c r="U30" s="589">
        <v>0.1</v>
      </c>
      <c r="V30" s="589">
        <v>2.3199999999999998</v>
      </c>
      <c r="W30" s="587">
        <v>3.5</v>
      </c>
      <c r="X30" s="593">
        <v>2.7</v>
      </c>
      <c r="Y30" s="597">
        <v>15</v>
      </c>
      <c r="Z30" s="591" t="s">
        <v>788</v>
      </c>
      <c r="AA30" s="591" t="s">
        <v>948</v>
      </c>
      <c r="AB30" s="592">
        <v>3.3697784385835328</v>
      </c>
      <c r="AC30" s="592">
        <v>3.7898959559564558</v>
      </c>
      <c r="AD30" s="592">
        <v>2.7272374417303746</v>
      </c>
      <c r="AE30" s="592">
        <v>11.999176629871236</v>
      </c>
      <c r="AF30" s="592">
        <v>4.9996781371314833</v>
      </c>
      <c r="AG30" s="592">
        <v>1.1959572318005487</v>
      </c>
      <c r="AH30" s="592">
        <v>18.194811998803267</v>
      </c>
      <c r="AI30" s="593"/>
      <c r="AJ30" s="592">
        <f t="shared" si="0"/>
        <v>3.3600959422458851</v>
      </c>
      <c r="AK30" s="592">
        <f t="shared" si="1"/>
        <v>3.7853491080141151</v>
      </c>
      <c r="AL30" s="592">
        <f t="shared" si="2"/>
        <v>2.7095873019691754</v>
      </c>
      <c r="AM30" s="592">
        <f t="shared" si="3"/>
        <v>11.963194379967817</v>
      </c>
      <c r="AN30" s="592">
        <f t="shared" si="4"/>
        <v>4.9856123485328734</v>
      </c>
      <c r="AO30" s="592">
        <f t="shared" si="5"/>
        <v>1.1701277589792816</v>
      </c>
      <c r="AP30" s="592">
        <f t="shared" si="6"/>
        <v>18.118934487479972</v>
      </c>
    </row>
    <row r="31" spans="1:42" ht="14.4" x14ac:dyDescent="0.3">
      <c r="A31" s="586">
        <v>29</v>
      </c>
      <c r="B31" s="586">
        <v>3</v>
      </c>
      <c r="C31" s="594" t="s">
        <v>973</v>
      </c>
      <c r="D31" s="595" t="s">
        <v>982</v>
      </c>
      <c r="E31" s="587">
        <v>14.7</v>
      </c>
      <c r="F31" s="587">
        <v>0.17</v>
      </c>
      <c r="G31" s="587">
        <v>1.7</v>
      </c>
      <c r="H31" s="587">
        <v>4.2</v>
      </c>
      <c r="I31" s="587">
        <v>0.2</v>
      </c>
      <c r="J31" s="587">
        <v>0.7</v>
      </c>
      <c r="K31" s="587">
        <v>2</v>
      </c>
      <c r="L31" s="587">
        <v>0.1</v>
      </c>
      <c r="M31" s="587">
        <v>1.25</v>
      </c>
      <c r="N31" s="588">
        <v>3.4</v>
      </c>
      <c r="O31" s="588">
        <v>0.17</v>
      </c>
      <c r="P31" s="588">
        <v>0.68</v>
      </c>
      <c r="Q31" s="588">
        <v>1.37</v>
      </c>
      <c r="R31" s="588">
        <v>0.2</v>
      </c>
      <c r="S31" s="588">
        <v>2.4</v>
      </c>
      <c r="T31" s="596">
        <v>1</v>
      </c>
      <c r="U31" s="589">
        <v>0.1</v>
      </c>
      <c r="V31" s="596">
        <v>3</v>
      </c>
      <c r="W31" s="587">
        <v>3.5</v>
      </c>
      <c r="X31" s="593">
        <v>3.5</v>
      </c>
      <c r="Y31" s="597">
        <v>20</v>
      </c>
      <c r="Z31" s="591" t="s">
        <v>252</v>
      </c>
      <c r="AA31" s="591" t="s">
        <v>951</v>
      </c>
      <c r="AB31" s="592">
        <v>4.0793082075453633</v>
      </c>
      <c r="AC31" s="592">
        <v>3.7699378020962255</v>
      </c>
      <c r="AD31" s="592">
        <v>3.9932620530009144</v>
      </c>
      <c r="AE31" s="592">
        <v>16.397009014975541</v>
      </c>
      <c r="AF31" s="592">
        <v>4.8998093202949979</v>
      </c>
      <c r="AG31" s="592">
        <v>3.2365241060018288</v>
      </c>
      <c r="AH31" s="592">
        <v>24.533342441272367</v>
      </c>
      <c r="AI31" s="593"/>
      <c r="AJ31" s="592">
        <f t="shared" si="0"/>
        <v>4.0592710616772472</v>
      </c>
      <c r="AK31" s="592">
        <f t="shared" si="1"/>
        <v>3.7666041095179672</v>
      </c>
      <c r="AL31" s="592">
        <f t="shared" si="2"/>
        <v>3.9502129316321359</v>
      </c>
      <c r="AM31" s="592">
        <f t="shared" si="3"/>
        <v>16.31037782548692</v>
      </c>
      <c r="AN31" s="592">
        <f t="shared" si="4"/>
        <v>4.889589240858002</v>
      </c>
      <c r="AO31" s="592">
        <f t="shared" si="5"/>
        <v>3.1504258632642719</v>
      </c>
      <c r="AP31" s="592">
        <f t="shared" si="6"/>
        <v>24.350392929609193</v>
      </c>
    </row>
    <row r="32" spans="1:42" ht="14.4" x14ac:dyDescent="0.3">
      <c r="A32" s="586">
        <v>30</v>
      </c>
      <c r="B32" s="586">
        <v>3</v>
      </c>
      <c r="C32" s="594" t="s">
        <v>973</v>
      </c>
      <c r="D32" s="595" t="s">
        <v>983</v>
      </c>
      <c r="E32" s="587">
        <v>14.7</v>
      </c>
      <c r="F32" s="587">
        <v>0.17</v>
      </c>
      <c r="G32" s="587">
        <v>1.7</v>
      </c>
      <c r="H32" s="587">
        <v>4.2</v>
      </c>
      <c r="I32" s="587">
        <v>0.2</v>
      </c>
      <c r="J32" s="587">
        <v>0.7</v>
      </c>
      <c r="K32" s="587">
        <v>1.67</v>
      </c>
      <c r="L32" s="587">
        <v>0.1</v>
      </c>
      <c r="M32" s="587">
        <v>1</v>
      </c>
      <c r="N32" s="588">
        <v>3.4</v>
      </c>
      <c r="O32" s="588">
        <v>0.17</v>
      </c>
      <c r="P32" s="588">
        <v>0.68</v>
      </c>
      <c r="Q32" s="588">
        <v>1.37</v>
      </c>
      <c r="R32" s="588">
        <v>0.2</v>
      </c>
      <c r="S32" s="588">
        <v>2.4</v>
      </c>
      <c r="T32" s="596">
        <v>1</v>
      </c>
      <c r="U32" s="589">
        <v>0.1</v>
      </c>
      <c r="V32" s="596">
        <v>3</v>
      </c>
      <c r="W32" s="587">
        <v>3.5</v>
      </c>
      <c r="X32" s="593">
        <v>3.5</v>
      </c>
      <c r="Y32" s="597">
        <v>20</v>
      </c>
      <c r="Z32" s="591" t="s">
        <v>252</v>
      </c>
      <c r="AA32" s="591" t="s">
        <v>951</v>
      </c>
      <c r="AB32" s="592">
        <v>4.0793082075453633</v>
      </c>
      <c r="AC32" s="592">
        <v>3.7699378020962255</v>
      </c>
      <c r="AD32" s="592">
        <v>3.9932620530009144</v>
      </c>
      <c r="AE32" s="592">
        <v>16.397009014975541</v>
      </c>
      <c r="AF32" s="592">
        <v>4.8998093202949979</v>
      </c>
      <c r="AG32" s="592">
        <v>2.6587476285115272</v>
      </c>
      <c r="AH32" s="592">
        <v>23.955565963782067</v>
      </c>
      <c r="AI32" s="593"/>
      <c r="AJ32" s="592">
        <f t="shared" si="0"/>
        <v>4.0592710616772472</v>
      </c>
      <c r="AK32" s="592">
        <f t="shared" si="1"/>
        <v>3.7666041095179672</v>
      </c>
      <c r="AL32" s="592">
        <f t="shared" si="2"/>
        <v>3.9502129316321359</v>
      </c>
      <c r="AM32" s="592">
        <f t="shared" si="3"/>
        <v>16.31037782548692</v>
      </c>
      <c r="AN32" s="592">
        <f t="shared" si="4"/>
        <v>4.889589240858002</v>
      </c>
      <c r="AO32" s="592">
        <f t="shared" si="5"/>
        <v>2.5868555958256669</v>
      </c>
      <c r="AP32" s="592">
        <f t="shared" si="6"/>
        <v>23.786822662170589</v>
      </c>
    </row>
    <row r="33" spans="1:42" ht="14.4" x14ac:dyDescent="0.3">
      <c r="A33" s="586">
        <v>31</v>
      </c>
      <c r="B33" s="586">
        <v>3</v>
      </c>
      <c r="C33" s="594" t="s">
        <v>973</v>
      </c>
      <c r="D33" s="595" t="s">
        <v>984</v>
      </c>
      <c r="E33" s="587">
        <v>19</v>
      </c>
      <c r="F33" s="587">
        <v>0.15</v>
      </c>
      <c r="G33" s="587">
        <v>1</v>
      </c>
      <c r="H33" s="587">
        <v>2.2000000000000002</v>
      </c>
      <c r="I33" s="587">
        <v>0.15</v>
      </c>
      <c r="J33" s="587">
        <v>0.3</v>
      </c>
      <c r="K33" s="587">
        <v>2.2000000000000002</v>
      </c>
      <c r="L33" s="587">
        <v>0.1</v>
      </c>
      <c r="M33" s="587">
        <v>1</v>
      </c>
      <c r="N33" s="588">
        <v>4.1399999999999997</v>
      </c>
      <c r="O33" s="588">
        <v>0.15</v>
      </c>
      <c r="P33" s="588">
        <v>0.41</v>
      </c>
      <c r="Q33" s="588">
        <v>1.31</v>
      </c>
      <c r="R33" s="588">
        <v>0.15</v>
      </c>
      <c r="S33" s="588">
        <v>1.91</v>
      </c>
      <c r="T33" s="596">
        <v>2</v>
      </c>
      <c r="U33" s="589">
        <v>0.1</v>
      </c>
      <c r="V33" s="596">
        <v>3</v>
      </c>
      <c r="W33" s="587">
        <v>3.5</v>
      </c>
      <c r="X33" s="593">
        <v>5.8</v>
      </c>
      <c r="Y33" s="597">
        <v>20</v>
      </c>
      <c r="Z33" s="591" t="s">
        <v>253</v>
      </c>
      <c r="AA33" s="591" t="s">
        <v>951</v>
      </c>
      <c r="AB33" s="592">
        <v>4.5477102307075876</v>
      </c>
      <c r="AC33" s="592">
        <v>3.2192754594751065</v>
      </c>
      <c r="AD33" s="592">
        <v>4.9865241060018288</v>
      </c>
      <c r="AE33" s="592">
        <v>19.989491396967193</v>
      </c>
      <c r="AF33" s="592">
        <v>2.498783214385675</v>
      </c>
      <c r="AG33" s="592">
        <v>3.1851765166020121</v>
      </c>
      <c r="AH33" s="592">
        <v>25.67345112795488</v>
      </c>
      <c r="AI33" s="593"/>
      <c r="AJ33" s="592">
        <f t="shared" si="0"/>
        <v>4.5040087543316769</v>
      </c>
      <c r="AK33" s="592">
        <f t="shared" si="1"/>
        <v>3.2054472145349027</v>
      </c>
      <c r="AL33" s="592">
        <f t="shared" si="2"/>
        <v>4.9004258632642719</v>
      </c>
      <c r="AM33" s="592">
        <f t="shared" si="3"/>
        <v>19.788929065773395</v>
      </c>
      <c r="AN33" s="592">
        <f t="shared" si="4"/>
        <v>2.4755602076158669</v>
      </c>
      <c r="AO33" s="592">
        <f t="shared" si="5"/>
        <v>3.0904684495906993</v>
      </c>
      <c r="AP33" s="592">
        <f t="shared" si="6"/>
        <v>25.354957722979961</v>
      </c>
    </row>
    <row r="34" spans="1:42" ht="14.4" x14ac:dyDescent="0.3">
      <c r="A34" s="586">
        <v>32</v>
      </c>
      <c r="B34" s="586">
        <v>3</v>
      </c>
      <c r="C34" s="594" t="s">
        <v>973</v>
      </c>
      <c r="D34" s="595" t="s">
        <v>985</v>
      </c>
      <c r="E34" s="587">
        <v>19</v>
      </c>
      <c r="F34" s="587">
        <v>0.15</v>
      </c>
      <c r="G34" s="587">
        <v>1</v>
      </c>
      <c r="H34" s="587">
        <v>2.2000000000000002</v>
      </c>
      <c r="I34" s="587">
        <v>0.15</v>
      </c>
      <c r="J34" s="587">
        <v>0.3</v>
      </c>
      <c r="K34" s="587">
        <v>1.5499999999999998</v>
      </c>
      <c r="L34" s="587">
        <v>0.1</v>
      </c>
      <c r="M34" s="587">
        <v>1</v>
      </c>
      <c r="N34" s="588">
        <v>4.1399999999999997</v>
      </c>
      <c r="O34" s="588">
        <v>0.15</v>
      </c>
      <c r="P34" s="588">
        <v>0.41</v>
      </c>
      <c r="Q34" s="588">
        <v>1.31</v>
      </c>
      <c r="R34" s="588">
        <v>0.15</v>
      </c>
      <c r="S34" s="588">
        <v>1.91</v>
      </c>
      <c r="T34" s="596">
        <v>1</v>
      </c>
      <c r="U34" s="589">
        <v>0.1</v>
      </c>
      <c r="V34" s="596">
        <v>3</v>
      </c>
      <c r="W34" s="587">
        <v>3.5</v>
      </c>
      <c r="X34" s="593">
        <v>5.8</v>
      </c>
      <c r="Y34" s="597">
        <v>15</v>
      </c>
      <c r="Z34" s="591" t="s">
        <v>251</v>
      </c>
      <c r="AA34" s="591" t="s">
        <v>951</v>
      </c>
      <c r="AB34" s="592">
        <v>4.5477102307075876</v>
      </c>
      <c r="AC34" s="592">
        <v>3.2192754594751065</v>
      </c>
      <c r="AD34" s="592">
        <v>3.9932620530009144</v>
      </c>
      <c r="AE34" s="592">
        <v>19.989491396967193</v>
      </c>
      <c r="AF34" s="592">
        <v>2.498783214385675</v>
      </c>
      <c r="AG34" s="592">
        <v>2.5395561821514177</v>
      </c>
      <c r="AH34" s="592">
        <v>25.027830793504286</v>
      </c>
      <c r="AI34" s="593"/>
      <c r="AJ34" s="592">
        <f t="shared" si="0"/>
        <v>4.5040087543316769</v>
      </c>
      <c r="AK34" s="592">
        <f t="shared" si="1"/>
        <v>3.2054472145349027</v>
      </c>
      <c r="AL34" s="592">
        <f t="shared" si="2"/>
        <v>3.9502129316321359</v>
      </c>
      <c r="AM34" s="592">
        <f t="shared" si="3"/>
        <v>19.788929065773395</v>
      </c>
      <c r="AN34" s="592">
        <f t="shared" si="4"/>
        <v>2.4755602076158669</v>
      </c>
      <c r="AO34" s="592">
        <f t="shared" si="5"/>
        <v>2.472830044029811</v>
      </c>
      <c r="AP34" s="592">
        <f t="shared" si="6"/>
        <v>24.737319317419072</v>
      </c>
    </row>
    <row r="35" spans="1:42" ht="14.4" x14ac:dyDescent="0.3">
      <c r="A35" s="586">
        <v>33</v>
      </c>
      <c r="B35" s="586">
        <v>3</v>
      </c>
      <c r="C35" s="594" t="s">
        <v>973</v>
      </c>
      <c r="D35" s="595" t="s">
        <v>986</v>
      </c>
      <c r="E35" s="587">
        <v>11.5</v>
      </c>
      <c r="F35" s="587">
        <v>0.16</v>
      </c>
      <c r="G35" s="587">
        <v>1</v>
      </c>
      <c r="H35" s="587">
        <v>2.2000000000000002</v>
      </c>
      <c r="I35" s="587">
        <v>0.15</v>
      </c>
      <c r="J35" s="587">
        <v>0.3</v>
      </c>
      <c r="K35" s="587">
        <v>0.72</v>
      </c>
      <c r="L35" s="587">
        <v>0.1</v>
      </c>
      <c r="M35" s="587">
        <v>0.14000000000000001</v>
      </c>
      <c r="N35" s="588">
        <v>3.05</v>
      </c>
      <c r="O35" s="588">
        <v>0.16</v>
      </c>
      <c r="P35" s="588">
        <v>0.41</v>
      </c>
      <c r="Q35" s="588">
        <v>1.31</v>
      </c>
      <c r="R35" s="588">
        <v>0.15</v>
      </c>
      <c r="S35" s="588">
        <v>1.91</v>
      </c>
      <c r="T35" s="596">
        <v>1</v>
      </c>
      <c r="U35" s="589">
        <v>0.1</v>
      </c>
      <c r="V35" s="596">
        <v>1</v>
      </c>
      <c r="W35" s="587">
        <v>3.5</v>
      </c>
      <c r="X35" s="593">
        <v>2.7</v>
      </c>
      <c r="Y35" s="597">
        <v>20</v>
      </c>
      <c r="Z35" s="591" t="s">
        <v>788</v>
      </c>
      <c r="AA35" s="591" t="s">
        <v>948</v>
      </c>
      <c r="AB35" s="592">
        <v>3.4589768389848974</v>
      </c>
      <c r="AC35" s="592">
        <v>3.2192754594751065</v>
      </c>
      <c r="AD35" s="592">
        <v>1.9932620530009144</v>
      </c>
      <c r="AE35" s="592">
        <v>12.49614217977912</v>
      </c>
      <c r="AF35" s="592">
        <v>2.498783214385675</v>
      </c>
      <c r="AG35" s="592">
        <v>0.85514867816065843</v>
      </c>
      <c r="AH35" s="592">
        <v>15.850074072325453</v>
      </c>
      <c r="AI35" s="593"/>
      <c r="AJ35" s="592">
        <f t="shared" ref="AJ35:AJ66" si="7">N35*(1-EXP(-O35*$AI$2))+P35</f>
        <v>3.4348992715004889</v>
      </c>
      <c r="AK35" s="592">
        <f t="shared" ref="AK35:AK66" si="8">Q35*(1-EXP(-R35*$AI$2))+S35</f>
        <v>3.2054472145349027</v>
      </c>
      <c r="AL35" s="592">
        <f t="shared" ref="AL35:AL66" si="9">T35*(1-EXP(-U35*$AI$2))+V35</f>
        <v>1.9502129316321359</v>
      </c>
      <c r="AM35" s="592">
        <f t="shared" ref="AM35:AM66" si="10">E35*(1-EXP(-F35*$AI$2))+G35</f>
        <v>12.405357908936271</v>
      </c>
      <c r="AN35" s="592">
        <f t="shared" ref="AN35:AN66" si="11">H35*(1-EXP(-I35*$AI$2))+J35</f>
        <v>2.4755602076158669</v>
      </c>
      <c r="AO35" s="592">
        <f t="shared" ref="AO35:AO66" si="12">K35*(1-EXP(-L35*$AI$2))+M35</f>
        <v>0.82415331077513798</v>
      </c>
      <c r="AP35" s="592">
        <f t="shared" si="6"/>
        <v>15.705071427327276</v>
      </c>
    </row>
    <row r="36" spans="1:42" ht="14.4" x14ac:dyDescent="0.3">
      <c r="A36" s="586">
        <v>34</v>
      </c>
      <c r="B36" s="586">
        <v>3</v>
      </c>
      <c r="C36" s="594" t="s">
        <v>973</v>
      </c>
      <c r="D36" s="595" t="s">
        <v>987</v>
      </c>
      <c r="E36" s="587">
        <v>11.5</v>
      </c>
      <c r="F36" s="587">
        <v>0.16</v>
      </c>
      <c r="G36" s="587">
        <v>1</v>
      </c>
      <c r="H36" s="587">
        <v>2.2000000000000002</v>
      </c>
      <c r="I36" s="587">
        <v>0.15</v>
      </c>
      <c r="J36" s="587">
        <v>0.3</v>
      </c>
      <c r="K36" s="587">
        <v>0.57000000000000006</v>
      </c>
      <c r="L36" s="587">
        <v>0.1</v>
      </c>
      <c r="M36" s="587">
        <v>0.28999999999999998</v>
      </c>
      <c r="N36" s="588">
        <v>3.05</v>
      </c>
      <c r="O36" s="588">
        <v>0.16</v>
      </c>
      <c r="P36" s="588">
        <v>0.41</v>
      </c>
      <c r="Q36" s="588">
        <v>1.31</v>
      </c>
      <c r="R36" s="588">
        <v>0.15</v>
      </c>
      <c r="S36" s="588">
        <v>1.91</v>
      </c>
      <c r="T36" s="596">
        <v>0</v>
      </c>
      <c r="U36" s="589">
        <v>0.1</v>
      </c>
      <c r="V36" s="596">
        <v>2</v>
      </c>
      <c r="W36" s="587">
        <v>3.5</v>
      </c>
      <c r="X36" s="593">
        <v>2.7</v>
      </c>
      <c r="Y36" s="597">
        <v>20</v>
      </c>
      <c r="Z36" s="591" t="s">
        <v>788</v>
      </c>
      <c r="AA36" s="591" t="s">
        <v>948</v>
      </c>
      <c r="AB36" s="592">
        <v>3.4589768389848974</v>
      </c>
      <c r="AC36" s="592">
        <v>3.2192754594751065</v>
      </c>
      <c r="AD36" s="592">
        <v>2</v>
      </c>
      <c r="AE36" s="592">
        <v>12.49614217977912</v>
      </c>
      <c r="AF36" s="592">
        <v>2.498783214385675</v>
      </c>
      <c r="AG36" s="592">
        <v>0.85615937021052124</v>
      </c>
      <c r="AH36" s="592">
        <v>15.851084764375317</v>
      </c>
      <c r="AI36" s="593"/>
      <c r="AJ36" s="592">
        <f t="shared" si="7"/>
        <v>3.4348992715004889</v>
      </c>
      <c r="AK36" s="592">
        <f t="shared" si="8"/>
        <v>3.2054472145349027</v>
      </c>
      <c r="AL36" s="592">
        <f t="shared" si="9"/>
        <v>2</v>
      </c>
      <c r="AM36" s="592">
        <f t="shared" si="10"/>
        <v>12.405357908936271</v>
      </c>
      <c r="AN36" s="592">
        <f t="shared" si="11"/>
        <v>2.4755602076158669</v>
      </c>
      <c r="AO36" s="592">
        <f t="shared" si="12"/>
        <v>0.83162137103031752</v>
      </c>
      <c r="AP36" s="592">
        <f t="shared" si="6"/>
        <v>15.712539487582456</v>
      </c>
    </row>
    <row r="37" spans="1:42" ht="14.4" x14ac:dyDescent="0.3">
      <c r="A37" s="586">
        <v>35</v>
      </c>
      <c r="B37" s="586">
        <v>4</v>
      </c>
      <c r="C37" s="594" t="s">
        <v>988</v>
      </c>
      <c r="D37" s="595" t="s">
        <v>989</v>
      </c>
      <c r="E37" s="587">
        <v>7</v>
      </c>
      <c r="F37" s="587">
        <v>0.45</v>
      </c>
      <c r="G37" s="587">
        <v>1</v>
      </c>
      <c r="H37" s="587">
        <v>1.9</v>
      </c>
      <c r="I37" s="587">
        <v>0.3</v>
      </c>
      <c r="J37" s="587">
        <v>0.1</v>
      </c>
      <c r="K37" s="587">
        <v>1.1099999999999999</v>
      </c>
      <c r="L37" s="587">
        <v>0.1</v>
      </c>
      <c r="M37" s="587">
        <v>0.56000000000000005</v>
      </c>
      <c r="N37" s="588">
        <v>2.13</v>
      </c>
      <c r="O37" s="588">
        <v>0.45</v>
      </c>
      <c r="P37" s="588">
        <v>0.41</v>
      </c>
      <c r="Q37" s="588">
        <v>2.0699999999999998</v>
      </c>
      <c r="R37" s="588">
        <v>0.3</v>
      </c>
      <c r="S37" s="588">
        <v>1</v>
      </c>
      <c r="T37" s="596">
        <v>1</v>
      </c>
      <c r="U37" s="589">
        <v>0.1</v>
      </c>
      <c r="V37" s="596">
        <v>3</v>
      </c>
      <c r="W37" s="587">
        <v>2.5</v>
      </c>
      <c r="X37" s="593">
        <v>4.5</v>
      </c>
      <c r="Y37" s="597">
        <v>30</v>
      </c>
      <c r="Z37" s="591" t="s">
        <v>251</v>
      </c>
      <c r="AA37" s="591" t="s">
        <v>957</v>
      </c>
      <c r="AB37" s="592">
        <v>2.5399999996396256</v>
      </c>
      <c r="AC37" s="592">
        <v>3.0699993667821963</v>
      </c>
      <c r="AD37" s="592">
        <v>3.9932620530009144</v>
      </c>
      <c r="AE37" s="592">
        <v>7.9999999988156718</v>
      </c>
      <c r="AF37" s="592">
        <v>1.9999994187855912</v>
      </c>
      <c r="AG37" s="592">
        <v>1.6625208788310151</v>
      </c>
      <c r="AH37" s="592">
        <v>11.662520296432278</v>
      </c>
      <c r="AI37" s="593"/>
      <c r="AJ37" s="592">
        <f t="shared" si="7"/>
        <v>2.5399970798571463</v>
      </c>
      <c r="AK37" s="592">
        <f t="shared" si="8"/>
        <v>3.0697445417055405</v>
      </c>
      <c r="AL37" s="592">
        <f t="shared" si="9"/>
        <v>3.9502129316321359</v>
      </c>
      <c r="AM37" s="592">
        <f t="shared" si="10"/>
        <v>7.9999904032863958</v>
      </c>
      <c r="AN37" s="592">
        <f t="shared" si="11"/>
        <v>1.9997655213722354</v>
      </c>
      <c r="AO37" s="592">
        <f t="shared" si="12"/>
        <v>1.614736354111671</v>
      </c>
      <c r="AP37" s="592">
        <f t="shared" si="6"/>
        <v>11.614492278770301</v>
      </c>
    </row>
    <row r="38" spans="1:42" ht="14.4" x14ac:dyDescent="0.3">
      <c r="A38" s="586">
        <v>36</v>
      </c>
      <c r="B38" s="586">
        <v>4</v>
      </c>
      <c r="C38" s="594" t="s">
        <v>988</v>
      </c>
      <c r="D38" s="595" t="s">
        <v>990</v>
      </c>
      <c r="E38" s="587">
        <v>9</v>
      </c>
      <c r="F38" s="587">
        <v>0.4</v>
      </c>
      <c r="G38" s="587">
        <v>1</v>
      </c>
      <c r="H38" s="587">
        <v>0.4</v>
      </c>
      <c r="I38" s="587">
        <v>0.2</v>
      </c>
      <c r="J38" s="587">
        <v>0.1</v>
      </c>
      <c r="K38" s="587">
        <v>0.85</v>
      </c>
      <c r="L38" s="587">
        <v>0.1</v>
      </c>
      <c r="M38" s="587">
        <v>0.86</v>
      </c>
      <c r="N38" s="588">
        <v>2.57</v>
      </c>
      <c r="O38" s="588">
        <v>0.4</v>
      </c>
      <c r="P38" s="588">
        <v>0.41</v>
      </c>
      <c r="Q38" s="588">
        <v>1.2</v>
      </c>
      <c r="R38" s="588">
        <v>0.2</v>
      </c>
      <c r="S38" s="588">
        <v>1</v>
      </c>
      <c r="T38" s="596">
        <v>1</v>
      </c>
      <c r="U38" s="589">
        <v>0.1</v>
      </c>
      <c r="V38" s="596">
        <v>3</v>
      </c>
      <c r="W38" s="587">
        <v>2.5</v>
      </c>
      <c r="X38" s="593">
        <v>4.5</v>
      </c>
      <c r="Y38" s="597">
        <v>30</v>
      </c>
      <c r="Z38" s="591" t="s">
        <v>251</v>
      </c>
      <c r="AA38" s="591" t="s">
        <v>951</v>
      </c>
      <c r="AB38" s="592">
        <v>2.9799999947028355</v>
      </c>
      <c r="AC38" s="592">
        <v>2.199945520084285</v>
      </c>
      <c r="AD38" s="592">
        <v>3.9932620530009144</v>
      </c>
      <c r="AE38" s="592">
        <v>9.9999999814496174</v>
      </c>
      <c r="AF38" s="592">
        <v>0.49998184002809498</v>
      </c>
      <c r="AG38" s="592">
        <v>1.7042727450507773</v>
      </c>
      <c r="AH38" s="592">
        <v>12.20425456652849</v>
      </c>
      <c r="AI38" s="593"/>
      <c r="AJ38" s="592">
        <f t="shared" si="7"/>
        <v>2.9799842093742517</v>
      </c>
      <c r="AK38" s="592">
        <f t="shared" si="8"/>
        <v>2.1970254973880001</v>
      </c>
      <c r="AL38" s="592">
        <f t="shared" si="9"/>
        <v>3.9502129316321359</v>
      </c>
      <c r="AM38" s="592">
        <f t="shared" si="10"/>
        <v>9.9999447020888201</v>
      </c>
      <c r="AN38" s="592">
        <f t="shared" si="11"/>
        <v>0.49900849912933343</v>
      </c>
      <c r="AO38" s="592">
        <f t="shared" si="12"/>
        <v>1.6676809918873157</v>
      </c>
      <c r="AP38" s="592">
        <f t="shared" si="6"/>
        <v>12.16663419310547</v>
      </c>
    </row>
    <row r="39" spans="1:42" ht="14.4" x14ac:dyDescent="0.3">
      <c r="A39" s="586">
        <v>37</v>
      </c>
      <c r="B39" s="586">
        <v>4</v>
      </c>
      <c r="C39" s="594" t="s">
        <v>988</v>
      </c>
      <c r="D39" s="595" t="s">
        <v>991</v>
      </c>
      <c r="E39" s="587">
        <v>9</v>
      </c>
      <c r="F39" s="587">
        <v>0.4</v>
      </c>
      <c r="G39" s="587">
        <v>1</v>
      </c>
      <c r="H39" s="587">
        <v>0.4</v>
      </c>
      <c r="I39" s="587">
        <v>0.2</v>
      </c>
      <c r="J39" s="587">
        <v>0.1</v>
      </c>
      <c r="K39" s="587">
        <v>2.0999999999999996</v>
      </c>
      <c r="L39" s="587">
        <v>0.1</v>
      </c>
      <c r="M39" s="587">
        <v>1.2</v>
      </c>
      <c r="N39" s="588">
        <v>2.57</v>
      </c>
      <c r="O39" s="588">
        <v>0.4</v>
      </c>
      <c r="P39" s="588">
        <v>0.41</v>
      </c>
      <c r="Q39" s="588">
        <v>1.2</v>
      </c>
      <c r="R39" s="588">
        <v>0.2</v>
      </c>
      <c r="S39" s="588">
        <v>1</v>
      </c>
      <c r="T39" s="596">
        <v>2</v>
      </c>
      <c r="U39" s="589">
        <v>0.1</v>
      </c>
      <c r="V39" s="596">
        <v>3</v>
      </c>
      <c r="W39" s="587">
        <v>2.5</v>
      </c>
      <c r="X39" s="593">
        <v>4.5</v>
      </c>
      <c r="Y39" s="597">
        <v>25</v>
      </c>
      <c r="Z39" s="591" t="s">
        <v>253</v>
      </c>
      <c r="AA39" s="591" t="s">
        <v>951</v>
      </c>
      <c r="AB39" s="592">
        <v>2.9799999947028355</v>
      </c>
      <c r="AC39" s="592">
        <v>2.199945520084285</v>
      </c>
      <c r="AD39" s="592">
        <v>4.9865241060018288</v>
      </c>
      <c r="AE39" s="592">
        <v>9.9999999814496174</v>
      </c>
      <c r="AF39" s="592">
        <v>0.49998184002809498</v>
      </c>
      <c r="AG39" s="592">
        <v>3.2858503113019202</v>
      </c>
      <c r="AH39" s="592">
        <v>13.785832132779632</v>
      </c>
      <c r="AI39" s="593"/>
      <c r="AJ39" s="592">
        <f t="shared" si="7"/>
        <v>2.9799842093742517</v>
      </c>
      <c r="AK39" s="592">
        <f t="shared" si="8"/>
        <v>2.1970254973880001</v>
      </c>
      <c r="AL39" s="592">
        <f t="shared" si="9"/>
        <v>4.9004258632642719</v>
      </c>
      <c r="AM39" s="592">
        <f t="shared" si="10"/>
        <v>9.9999447020888201</v>
      </c>
      <c r="AN39" s="592">
        <f t="shared" si="11"/>
        <v>0.49900849912933343</v>
      </c>
      <c r="AO39" s="592">
        <f t="shared" si="12"/>
        <v>3.1954471564274853</v>
      </c>
      <c r="AP39" s="592">
        <f t="shared" si="6"/>
        <v>13.694400357645639</v>
      </c>
    </row>
    <row r="40" spans="1:42" ht="14.4" x14ac:dyDescent="0.3">
      <c r="A40" s="586">
        <v>38</v>
      </c>
      <c r="B40" s="586">
        <v>4</v>
      </c>
      <c r="C40" s="594" t="s">
        <v>988</v>
      </c>
      <c r="D40" s="595" t="s">
        <v>992</v>
      </c>
      <c r="E40" s="587">
        <v>9</v>
      </c>
      <c r="F40" s="587">
        <v>0.4</v>
      </c>
      <c r="G40" s="587">
        <v>1</v>
      </c>
      <c r="H40" s="587">
        <v>0.4</v>
      </c>
      <c r="I40" s="587">
        <v>0.2</v>
      </c>
      <c r="J40" s="587">
        <v>0.1</v>
      </c>
      <c r="K40" s="587">
        <v>1.2199999999999998</v>
      </c>
      <c r="L40" s="587">
        <v>0.1</v>
      </c>
      <c r="M40" s="587">
        <v>0.89</v>
      </c>
      <c r="N40" s="588">
        <v>2.57</v>
      </c>
      <c r="O40" s="588">
        <v>0.4</v>
      </c>
      <c r="P40" s="588">
        <v>0.41</v>
      </c>
      <c r="Q40" s="588">
        <v>1.2</v>
      </c>
      <c r="R40" s="588">
        <v>0.2</v>
      </c>
      <c r="S40" s="588">
        <v>1</v>
      </c>
      <c r="T40" s="596">
        <v>1</v>
      </c>
      <c r="U40" s="589">
        <v>0.1</v>
      </c>
      <c r="V40" s="596">
        <v>3</v>
      </c>
      <c r="W40" s="587">
        <v>2.5</v>
      </c>
      <c r="X40" s="593">
        <v>4.5</v>
      </c>
      <c r="Y40" s="597">
        <v>20</v>
      </c>
      <c r="Z40" s="591" t="s">
        <v>251</v>
      </c>
      <c r="AA40" s="591" t="s">
        <v>951</v>
      </c>
      <c r="AB40" s="592">
        <v>2.9799999947028355</v>
      </c>
      <c r="AC40" s="592">
        <v>2.199945520084285</v>
      </c>
      <c r="AD40" s="592">
        <v>3.9932620530009144</v>
      </c>
      <c r="AE40" s="592">
        <v>9.9999999814496174</v>
      </c>
      <c r="AF40" s="592">
        <v>0.49998184002809498</v>
      </c>
      <c r="AG40" s="592">
        <v>2.1017797046611153</v>
      </c>
      <c r="AH40" s="592">
        <v>12.601761526138828</v>
      </c>
      <c r="AI40" s="593"/>
      <c r="AJ40" s="592">
        <f t="shared" si="7"/>
        <v>2.9799842093742517</v>
      </c>
      <c r="AK40" s="592">
        <f t="shared" si="8"/>
        <v>2.1970254973880001</v>
      </c>
      <c r="AL40" s="592">
        <f t="shared" si="9"/>
        <v>3.9502129316321359</v>
      </c>
      <c r="AM40" s="592">
        <f t="shared" si="10"/>
        <v>9.9999447020888201</v>
      </c>
      <c r="AN40" s="592">
        <f t="shared" si="11"/>
        <v>0.49900849912933343</v>
      </c>
      <c r="AO40" s="592">
        <f t="shared" si="12"/>
        <v>2.0492597765912057</v>
      </c>
      <c r="AP40" s="592">
        <f t="shared" si="6"/>
        <v>12.54821297780936</v>
      </c>
    </row>
    <row r="41" spans="1:42" ht="14.4" x14ac:dyDescent="0.3">
      <c r="A41" s="586">
        <v>39</v>
      </c>
      <c r="B41" s="586">
        <v>4</v>
      </c>
      <c r="C41" s="594" t="s">
        <v>988</v>
      </c>
      <c r="D41" s="595" t="s">
        <v>993</v>
      </c>
      <c r="E41" s="587">
        <v>14</v>
      </c>
      <c r="F41" s="587">
        <v>0.3</v>
      </c>
      <c r="G41" s="587">
        <v>2</v>
      </c>
      <c r="H41" s="587">
        <v>1.9</v>
      </c>
      <c r="I41" s="587">
        <v>0.2</v>
      </c>
      <c r="J41" s="587">
        <v>0.1</v>
      </c>
      <c r="K41" s="587">
        <v>0.5</v>
      </c>
      <c r="L41" s="587">
        <v>0.1</v>
      </c>
      <c r="M41" s="587">
        <v>0.5</v>
      </c>
      <c r="N41" s="588">
        <v>3.23</v>
      </c>
      <c r="O41" s="588">
        <v>0.3</v>
      </c>
      <c r="P41" s="588">
        <v>0.79</v>
      </c>
      <c r="Q41" s="588">
        <v>2.0699999999999998</v>
      </c>
      <c r="R41" s="588">
        <v>0.2</v>
      </c>
      <c r="S41" s="588">
        <v>1</v>
      </c>
      <c r="T41" s="596">
        <v>1</v>
      </c>
      <c r="U41" s="589">
        <v>0.1</v>
      </c>
      <c r="V41" s="596">
        <v>3</v>
      </c>
      <c r="W41" s="587">
        <v>2.5</v>
      </c>
      <c r="X41" s="593">
        <v>6.8</v>
      </c>
      <c r="Y41" s="597">
        <v>10</v>
      </c>
      <c r="Z41" s="591" t="s">
        <v>251</v>
      </c>
      <c r="AA41" s="591" t="s">
        <v>951</v>
      </c>
      <c r="AB41" s="592">
        <v>4.0199990119355054</v>
      </c>
      <c r="AC41" s="592">
        <v>3.0699060221453913</v>
      </c>
      <c r="AD41" s="592">
        <v>3.9932620530009144</v>
      </c>
      <c r="AE41" s="592">
        <v>15.999995717367513</v>
      </c>
      <c r="AF41" s="592">
        <v>1.9999137401334512</v>
      </c>
      <c r="AG41" s="592">
        <v>0.99663102650045721</v>
      </c>
      <c r="AH41" s="592">
        <v>18.996540484001422</v>
      </c>
      <c r="AI41" s="593"/>
      <c r="AJ41" s="592">
        <f t="shared" si="7"/>
        <v>4.0196013863328002</v>
      </c>
      <c r="AK41" s="592">
        <f t="shared" si="8"/>
        <v>3.0648689829943003</v>
      </c>
      <c r="AL41" s="592">
        <f t="shared" si="9"/>
        <v>3.9502129316321359</v>
      </c>
      <c r="AM41" s="592">
        <f t="shared" si="10"/>
        <v>15.998272262742788</v>
      </c>
      <c r="AN41" s="592">
        <f t="shared" si="11"/>
        <v>1.9952903708643339</v>
      </c>
      <c r="AO41" s="592">
        <f t="shared" si="12"/>
        <v>0.97510646581606797</v>
      </c>
      <c r="AP41" s="592">
        <f t="shared" si="6"/>
        <v>18.968669099423192</v>
      </c>
    </row>
    <row r="42" spans="1:42" ht="14.4" x14ac:dyDescent="0.3">
      <c r="A42" s="586">
        <v>40</v>
      </c>
      <c r="B42" s="586">
        <v>4</v>
      </c>
      <c r="C42" s="594" t="s">
        <v>988</v>
      </c>
      <c r="D42" s="595" t="s">
        <v>994</v>
      </c>
      <c r="E42" s="587">
        <v>9</v>
      </c>
      <c r="F42" s="587">
        <v>0.4</v>
      </c>
      <c r="G42" s="587">
        <v>1</v>
      </c>
      <c r="H42" s="587">
        <v>0.4</v>
      </c>
      <c r="I42" s="587">
        <v>0.2</v>
      </c>
      <c r="J42" s="587">
        <v>0.1</v>
      </c>
      <c r="K42" s="587">
        <v>0.79999999999999993</v>
      </c>
      <c r="L42" s="587">
        <v>0.1</v>
      </c>
      <c r="M42" s="587">
        <v>0.6</v>
      </c>
      <c r="N42" s="588">
        <v>2.57</v>
      </c>
      <c r="O42" s="588">
        <v>0.4</v>
      </c>
      <c r="P42" s="588">
        <v>0.41</v>
      </c>
      <c r="Q42" s="588">
        <v>1.2</v>
      </c>
      <c r="R42" s="588">
        <v>0.2</v>
      </c>
      <c r="S42" s="588">
        <v>1</v>
      </c>
      <c r="T42" s="596">
        <v>1</v>
      </c>
      <c r="U42" s="589">
        <v>0.1</v>
      </c>
      <c r="V42" s="596">
        <v>2</v>
      </c>
      <c r="W42" s="587">
        <v>2.5</v>
      </c>
      <c r="X42" s="593">
        <v>4.5</v>
      </c>
      <c r="Y42" s="597">
        <v>20</v>
      </c>
      <c r="Z42" s="598" t="s">
        <v>250</v>
      </c>
      <c r="AA42" s="591" t="s">
        <v>948</v>
      </c>
      <c r="AB42" s="592">
        <v>2.9799999947028355</v>
      </c>
      <c r="AC42" s="592">
        <v>2.199945520084285</v>
      </c>
      <c r="AD42" s="592">
        <v>2.9932620530009144</v>
      </c>
      <c r="AE42" s="592">
        <v>9.9999999814496174</v>
      </c>
      <c r="AF42" s="592">
        <v>0.49998184002809498</v>
      </c>
      <c r="AG42" s="592">
        <v>1.3946096424007315</v>
      </c>
      <c r="AH42" s="592">
        <v>11.894591463878443</v>
      </c>
      <c r="AI42" s="593"/>
      <c r="AJ42" s="592">
        <f t="shared" si="7"/>
        <v>2.9799842093742517</v>
      </c>
      <c r="AK42" s="592">
        <f t="shared" si="8"/>
        <v>2.1970254973880001</v>
      </c>
      <c r="AL42" s="592">
        <f t="shared" si="9"/>
        <v>2.9502129316321359</v>
      </c>
      <c r="AM42" s="592">
        <f t="shared" si="10"/>
        <v>9.9999447020888201</v>
      </c>
      <c r="AN42" s="592">
        <f t="shared" si="11"/>
        <v>0.49900849912933343</v>
      </c>
      <c r="AO42" s="592">
        <f t="shared" si="12"/>
        <v>1.3601703453057088</v>
      </c>
      <c r="AP42" s="592">
        <f t="shared" si="6"/>
        <v>11.859123546523863</v>
      </c>
    </row>
    <row r="43" spans="1:42" ht="14.4" x14ac:dyDescent="0.3">
      <c r="A43" s="586">
        <v>41</v>
      </c>
      <c r="B43" s="586">
        <v>4</v>
      </c>
      <c r="C43" s="594" t="s">
        <v>988</v>
      </c>
      <c r="D43" s="595" t="s">
        <v>995</v>
      </c>
      <c r="E43" s="587">
        <v>9</v>
      </c>
      <c r="F43" s="587">
        <v>0.4</v>
      </c>
      <c r="G43" s="587">
        <v>1</v>
      </c>
      <c r="H43" s="587">
        <v>0.4</v>
      </c>
      <c r="I43" s="587">
        <v>0.2</v>
      </c>
      <c r="J43" s="587">
        <v>0.1</v>
      </c>
      <c r="K43" s="587">
        <v>1</v>
      </c>
      <c r="L43" s="587">
        <v>0.1</v>
      </c>
      <c r="M43" s="587">
        <v>1</v>
      </c>
      <c r="N43" s="588">
        <v>2.57</v>
      </c>
      <c r="O43" s="588">
        <v>0.4</v>
      </c>
      <c r="P43" s="588">
        <v>0.41</v>
      </c>
      <c r="Q43" s="588">
        <v>1.2</v>
      </c>
      <c r="R43" s="588">
        <v>0.2</v>
      </c>
      <c r="S43" s="588">
        <v>1</v>
      </c>
      <c r="T43" s="596">
        <v>1</v>
      </c>
      <c r="U43" s="589">
        <v>0.1</v>
      </c>
      <c r="V43" s="596">
        <v>2</v>
      </c>
      <c r="W43" s="587">
        <v>2.5</v>
      </c>
      <c r="X43" s="593">
        <v>4.5</v>
      </c>
      <c r="Y43" s="597">
        <v>20</v>
      </c>
      <c r="Z43" s="598" t="s">
        <v>250</v>
      </c>
      <c r="AA43" s="591" t="s">
        <v>948</v>
      </c>
      <c r="AB43" s="592">
        <v>2.9799999947028355</v>
      </c>
      <c r="AC43" s="592">
        <v>2.199945520084285</v>
      </c>
      <c r="AD43" s="592">
        <v>2.9932620530009144</v>
      </c>
      <c r="AE43" s="592">
        <v>9.9999999814496174</v>
      </c>
      <c r="AF43" s="592">
        <v>0.49998184002809498</v>
      </c>
      <c r="AG43" s="592">
        <v>1.9932620530009144</v>
      </c>
      <c r="AH43" s="592">
        <v>12.493243874478626</v>
      </c>
      <c r="AI43" s="593"/>
      <c r="AJ43" s="592">
        <f t="shared" si="7"/>
        <v>2.9799842093742517</v>
      </c>
      <c r="AK43" s="592">
        <f t="shared" si="8"/>
        <v>2.1970254973880001</v>
      </c>
      <c r="AL43" s="592">
        <f t="shared" si="9"/>
        <v>2.9502129316321359</v>
      </c>
      <c r="AM43" s="592">
        <f t="shared" si="10"/>
        <v>9.9999447020888201</v>
      </c>
      <c r="AN43" s="592">
        <f t="shared" si="11"/>
        <v>0.49900849912933343</v>
      </c>
      <c r="AO43" s="592">
        <f t="shared" si="12"/>
        <v>1.9502129316321359</v>
      </c>
      <c r="AP43" s="592">
        <f t="shared" si="6"/>
        <v>12.449166132850289</v>
      </c>
    </row>
    <row r="44" spans="1:42" x14ac:dyDescent="0.25">
      <c r="A44" s="586">
        <v>42</v>
      </c>
      <c r="B44" s="594">
        <v>5</v>
      </c>
      <c r="C44" s="595" t="s">
        <v>996</v>
      </c>
      <c r="D44" s="599" t="s">
        <v>997</v>
      </c>
      <c r="E44" s="587">
        <v>17.899999999999999</v>
      </c>
      <c r="F44" s="587">
        <v>0.1</v>
      </c>
      <c r="G44" s="587">
        <v>2.5</v>
      </c>
      <c r="H44" s="587">
        <v>10.5</v>
      </c>
      <c r="I44" s="587">
        <v>0.14000000000000001</v>
      </c>
      <c r="J44" s="587">
        <v>1</v>
      </c>
      <c r="K44" s="587">
        <v>0</v>
      </c>
      <c r="L44" s="587">
        <v>0</v>
      </c>
      <c r="M44" s="587">
        <v>0</v>
      </c>
      <c r="N44" s="588">
        <v>3.63</v>
      </c>
      <c r="O44" s="588">
        <v>0.1</v>
      </c>
      <c r="P44" s="588">
        <v>0.97</v>
      </c>
      <c r="Q44" s="600">
        <v>4.5</v>
      </c>
      <c r="R44" s="588">
        <v>0.14000000000000001</v>
      </c>
      <c r="S44" s="601">
        <v>2.62</v>
      </c>
      <c r="T44" s="601">
        <v>0</v>
      </c>
      <c r="U44" s="601">
        <v>0</v>
      </c>
      <c r="V44" s="602">
        <v>0</v>
      </c>
      <c r="W44" s="587">
        <v>2</v>
      </c>
      <c r="X44" s="587">
        <v>0</v>
      </c>
      <c r="Y44" s="590" t="s">
        <v>998</v>
      </c>
      <c r="Z44" s="603" t="s">
        <v>998</v>
      </c>
      <c r="AA44" s="603" t="s">
        <v>998</v>
      </c>
      <c r="AB44" s="592">
        <v>4.5755412523933199</v>
      </c>
      <c r="AC44" s="592">
        <v>7.1158965311550046</v>
      </c>
      <c r="AD44" s="592">
        <v>0</v>
      </c>
      <c r="AE44" s="592">
        <v>20.27939074871637</v>
      </c>
      <c r="AF44" s="592">
        <v>11.490425239361677</v>
      </c>
      <c r="AG44" s="592">
        <v>0</v>
      </c>
      <c r="AH44" s="592">
        <v>31.769815988078047</v>
      </c>
      <c r="AI44" s="588"/>
      <c r="AJ44" s="592">
        <f t="shared" si="7"/>
        <v>4.4192729418246541</v>
      </c>
      <c r="AK44" s="592">
        <f t="shared" si="8"/>
        <v>7.0525199043078501</v>
      </c>
      <c r="AL44" s="592">
        <f t="shared" si="9"/>
        <v>0</v>
      </c>
      <c r="AM44" s="592">
        <f t="shared" si="10"/>
        <v>19.508811476215232</v>
      </c>
      <c r="AN44" s="592">
        <f t="shared" si="11"/>
        <v>11.342546443384984</v>
      </c>
      <c r="AO44" s="592">
        <f t="shared" si="12"/>
        <v>0</v>
      </c>
      <c r="AP44" s="592">
        <f t="shared" si="6"/>
        <v>30.851357919600218</v>
      </c>
    </row>
    <row r="45" spans="1:42" x14ac:dyDescent="0.25">
      <c r="A45" s="586">
        <v>43</v>
      </c>
      <c r="B45" s="594">
        <v>5</v>
      </c>
      <c r="C45" s="595" t="s">
        <v>996</v>
      </c>
      <c r="D45" s="595" t="s">
        <v>999</v>
      </c>
      <c r="E45" s="587">
        <f t="shared" ref="E45:E58" si="13">((-22.17*(N45+P45))/(-9.605+(N45+P45))-G45)</f>
        <v>3.8160647023443515</v>
      </c>
      <c r="F45" s="587">
        <v>0.6</v>
      </c>
      <c r="G45" s="587">
        <f t="shared" ref="G45:G58" si="14">(-22.17*P45)/(-9.605+P45)</f>
        <v>2.0143100511073255</v>
      </c>
      <c r="H45" s="587">
        <f>11.49/(1+1107.8*EXP(-1.78*(Q45+S45)))-J45</f>
        <v>8.3636221374299282</v>
      </c>
      <c r="I45" s="587">
        <v>0.6</v>
      </c>
      <c r="J45" s="587">
        <f>11.49/(1+1107.8*EXP(-1.78*S45))</f>
        <v>3.5944202975473211E-2</v>
      </c>
      <c r="K45" s="587">
        <v>0</v>
      </c>
      <c r="L45" s="587">
        <v>0</v>
      </c>
      <c r="M45" s="587">
        <v>0</v>
      </c>
      <c r="N45" s="588">
        <v>1.2</v>
      </c>
      <c r="O45" s="588">
        <v>0.6</v>
      </c>
      <c r="P45" s="588">
        <v>0.8</v>
      </c>
      <c r="Q45" s="588">
        <v>3.8</v>
      </c>
      <c r="R45" s="588">
        <v>0.6</v>
      </c>
      <c r="S45" s="588">
        <v>0.7</v>
      </c>
      <c r="T45" s="588">
        <v>0</v>
      </c>
      <c r="U45" s="588">
        <v>0</v>
      </c>
      <c r="V45" s="602">
        <v>0</v>
      </c>
      <c r="W45" s="587">
        <v>1.5</v>
      </c>
      <c r="X45" s="587">
        <v>0</v>
      </c>
      <c r="Y45" s="590" t="s">
        <v>998</v>
      </c>
      <c r="Z45" s="603" t="s">
        <v>998</v>
      </c>
      <c r="AA45" s="603" t="s">
        <v>998</v>
      </c>
      <c r="AB45" s="592">
        <v>1.9999999999998876</v>
      </c>
      <c r="AC45" s="592">
        <v>4.4999999999996438</v>
      </c>
      <c r="AD45" s="592">
        <v>0</v>
      </c>
      <c r="AE45" s="592">
        <v>5.8303747534513199</v>
      </c>
      <c r="AF45" s="592">
        <v>8.3995663404046184</v>
      </c>
      <c r="AG45" s="592">
        <v>0</v>
      </c>
      <c r="AH45" s="592">
        <v>14.229941093855938</v>
      </c>
      <c r="AI45" s="588"/>
      <c r="AJ45" s="592">
        <f t="shared" si="7"/>
        <v>1.9999999817240244</v>
      </c>
      <c r="AK45" s="592">
        <f t="shared" si="8"/>
        <v>4.4999999421260766</v>
      </c>
      <c r="AL45" s="592">
        <f t="shared" si="9"/>
        <v>0</v>
      </c>
      <c r="AM45" s="592">
        <f t="shared" si="10"/>
        <v>5.8303746953330888</v>
      </c>
      <c r="AN45" s="592">
        <f t="shared" si="11"/>
        <v>8.3995662130276063</v>
      </c>
      <c r="AO45" s="592">
        <f t="shared" si="12"/>
        <v>0</v>
      </c>
      <c r="AP45" s="592">
        <f t="shared" si="6"/>
        <v>14.229940908360696</v>
      </c>
    </row>
    <row r="46" spans="1:42" x14ac:dyDescent="0.25">
      <c r="A46" s="586">
        <v>44</v>
      </c>
      <c r="B46" s="594">
        <v>5</v>
      </c>
      <c r="C46" s="595" t="s">
        <v>996</v>
      </c>
      <c r="D46" s="595" t="s">
        <v>1000</v>
      </c>
      <c r="E46" s="587">
        <f t="shared" si="13"/>
        <v>5.1094513101544239</v>
      </c>
      <c r="F46" s="587">
        <v>0.1</v>
      </c>
      <c r="G46" s="587">
        <f t="shared" si="14"/>
        <v>1.4771793448084398</v>
      </c>
      <c r="H46" s="587">
        <f>11.49/(1+1107.8*EXP(-1.78*(Q46+S46)))-J46</f>
        <v>5.9124376936069858</v>
      </c>
      <c r="I46" s="587">
        <v>0.25</v>
      </c>
      <c r="J46" s="587">
        <f>11.49/(1+1107.8*EXP(-1.78*S46))</f>
        <v>0.14784293072776894</v>
      </c>
      <c r="K46" s="587">
        <v>0</v>
      </c>
      <c r="L46" s="587">
        <v>0</v>
      </c>
      <c r="M46" s="587">
        <v>0</v>
      </c>
      <c r="N46" s="588">
        <v>1.6</v>
      </c>
      <c r="O46" s="588">
        <v>0.1</v>
      </c>
      <c r="P46" s="588">
        <v>0.6</v>
      </c>
      <c r="Q46" s="588">
        <v>2.5</v>
      </c>
      <c r="R46" s="588">
        <v>0.25</v>
      </c>
      <c r="S46" s="588">
        <v>1.5</v>
      </c>
      <c r="T46" s="588">
        <v>0</v>
      </c>
      <c r="U46" s="588">
        <v>0</v>
      </c>
      <c r="V46" s="602">
        <v>0</v>
      </c>
      <c r="W46" s="587">
        <v>1.5</v>
      </c>
      <c r="X46" s="587">
        <v>0</v>
      </c>
      <c r="Y46" s="590" t="s">
        <v>998</v>
      </c>
      <c r="Z46" s="603" t="s">
        <v>998</v>
      </c>
      <c r="AA46" s="603" t="s">
        <v>998</v>
      </c>
      <c r="AB46" s="592">
        <v>2.1892192848014633</v>
      </c>
      <c r="AC46" s="592">
        <v>3.99999068336707</v>
      </c>
      <c r="AD46" s="592">
        <v>0</v>
      </c>
      <c r="AE46" s="592">
        <v>6.5522034428406357</v>
      </c>
      <c r="AF46" s="592">
        <v>6.0602585907300695</v>
      </c>
      <c r="AG46" s="592">
        <v>0</v>
      </c>
      <c r="AH46" s="592">
        <v>12.612462033570704</v>
      </c>
      <c r="AI46" s="593"/>
      <c r="AJ46" s="592">
        <f t="shared" si="7"/>
        <v>2.1203406906114179</v>
      </c>
      <c r="AK46" s="592">
        <f t="shared" si="8"/>
        <v>3.9986172890746303</v>
      </c>
      <c r="AL46" s="592">
        <f t="shared" si="9"/>
        <v>0</v>
      </c>
      <c r="AM46" s="592">
        <f t="shared" si="10"/>
        <v>6.332246053261934</v>
      </c>
      <c r="AN46" s="592">
        <f t="shared" si="11"/>
        <v>6.0570105474569482</v>
      </c>
      <c r="AO46" s="592">
        <f t="shared" si="12"/>
        <v>0</v>
      </c>
      <c r="AP46" s="592">
        <f t="shared" si="6"/>
        <v>12.389256600718882</v>
      </c>
    </row>
    <row r="47" spans="1:42" x14ac:dyDescent="0.25">
      <c r="A47" s="586">
        <v>45</v>
      </c>
      <c r="B47" s="594">
        <v>6</v>
      </c>
      <c r="C47" s="595" t="s">
        <v>1001</v>
      </c>
      <c r="D47" s="604" t="s">
        <v>1002</v>
      </c>
      <c r="E47" s="587">
        <f t="shared" si="13"/>
        <v>1.8616320628853487</v>
      </c>
      <c r="F47" s="587">
        <v>0.15</v>
      </c>
      <c r="G47" s="587">
        <f t="shared" si="14"/>
        <v>0.71477700161203661</v>
      </c>
      <c r="H47" s="587">
        <v>0</v>
      </c>
      <c r="I47" s="587">
        <v>0</v>
      </c>
      <c r="J47" s="587">
        <v>0</v>
      </c>
      <c r="K47" s="587">
        <v>0</v>
      </c>
      <c r="L47" s="587">
        <v>0</v>
      </c>
      <c r="M47" s="587">
        <v>0</v>
      </c>
      <c r="N47" s="588">
        <v>0.7</v>
      </c>
      <c r="O47" s="588">
        <v>0.15</v>
      </c>
      <c r="P47" s="588">
        <v>0.3</v>
      </c>
      <c r="Q47" s="588">
        <v>0</v>
      </c>
      <c r="R47" s="588">
        <v>0</v>
      </c>
      <c r="S47" s="588">
        <v>0</v>
      </c>
      <c r="T47" s="588">
        <v>0</v>
      </c>
      <c r="U47" s="588">
        <v>0</v>
      </c>
      <c r="V47" s="602">
        <v>0</v>
      </c>
      <c r="W47" s="587">
        <v>1</v>
      </c>
      <c r="X47" s="587">
        <v>0</v>
      </c>
      <c r="Y47" s="590" t="s">
        <v>998</v>
      </c>
      <c r="Z47" s="603" t="s">
        <v>998</v>
      </c>
      <c r="AA47" s="603" t="s">
        <v>998</v>
      </c>
      <c r="AB47" s="592">
        <v>0.99961284094089642</v>
      </c>
      <c r="AC47" s="592">
        <v>0</v>
      </c>
      <c r="AD47" s="592">
        <v>0</v>
      </c>
      <c r="AE47" s="592">
        <v>2.5753794249004374</v>
      </c>
      <c r="AF47" s="592">
        <v>0</v>
      </c>
      <c r="AG47" s="592">
        <v>0</v>
      </c>
      <c r="AH47" s="592">
        <v>2.5753794249004374</v>
      </c>
      <c r="AI47" s="593"/>
      <c r="AJ47" s="592">
        <f t="shared" si="7"/>
        <v>0.99222370242323032</v>
      </c>
      <c r="AK47" s="592">
        <f t="shared" si="8"/>
        <v>0</v>
      </c>
      <c r="AL47" s="592">
        <f t="shared" si="9"/>
        <v>0</v>
      </c>
      <c r="AM47" s="592">
        <f t="shared" si="10"/>
        <v>2.5557282003553112</v>
      </c>
      <c r="AN47" s="592">
        <f t="shared" si="11"/>
        <v>0</v>
      </c>
      <c r="AO47" s="592">
        <f t="shared" si="12"/>
        <v>0</v>
      </c>
      <c r="AP47" s="592">
        <f t="shared" si="6"/>
        <v>2.5557282003553112</v>
      </c>
    </row>
    <row r="48" spans="1:42" x14ac:dyDescent="0.25">
      <c r="A48" s="586">
        <v>46</v>
      </c>
      <c r="B48" s="594">
        <v>6</v>
      </c>
      <c r="C48" s="604" t="s">
        <v>1001</v>
      </c>
      <c r="D48" s="595" t="s">
        <v>1003</v>
      </c>
      <c r="E48" s="587">
        <f t="shared" si="13"/>
        <v>4.6129118209969819</v>
      </c>
      <c r="F48" s="587">
        <v>0.2</v>
      </c>
      <c r="G48" s="587">
        <f t="shared" si="14"/>
        <v>1.2174629324546953</v>
      </c>
      <c r="H48" s="587">
        <v>0</v>
      </c>
      <c r="I48" s="587">
        <v>0</v>
      </c>
      <c r="J48" s="587">
        <v>0</v>
      </c>
      <c r="K48" s="587">
        <v>0</v>
      </c>
      <c r="L48" s="587">
        <v>0</v>
      </c>
      <c r="M48" s="587">
        <v>0</v>
      </c>
      <c r="N48" s="588">
        <v>1.5</v>
      </c>
      <c r="O48" s="588">
        <v>0.2</v>
      </c>
      <c r="P48" s="588">
        <v>0.5</v>
      </c>
      <c r="Q48" s="588">
        <v>0</v>
      </c>
      <c r="R48" s="588">
        <v>0</v>
      </c>
      <c r="S48" s="588">
        <v>0</v>
      </c>
      <c r="T48" s="588">
        <v>0</v>
      </c>
      <c r="U48" s="588">
        <v>0</v>
      </c>
      <c r="V48" s="602">
        <v>0</v>
      </c>
      <c r="W48" s="587">
        <v>1.2</v>
      </c>
      <c r="X48" s="587">
        <v>0</v>
      </c>
      <c r="Y48" s="590" t="s">
        <v>998</v>
      </c>
      <c r="Z48" s="603" t="s">
        <v>998</v>
      </c>
      <c r="AA48" s="603" t="s">
        <v>998</v>
      </c>
      <c r="AB48" s="592">
        <v>1.9999319001053562</v>
      </c>
      <c r="AC48" s="592">
        <v>0</v>
      </c>
      <c r="AD48" s="592">
        <v>0</v>
      </c>
      <c r="AE48" s="592">
        <v>5.8301653275790031</v>
      </c>
      <c r="AF48" s="592">
        <v>0</v>
      </c>
      <c r="AG48" s="592">
        <v>0</v>
      </c>
      <c r="AH48" s="592">
        <v>5.8301653275790031</v>
      </c>
      <c r="AI48" s="593"/>
      <c r="AJ48" s="592">
        <f t="shared" si="7"/>
        <v>1.9962818717350004</v>
      </c>
      <c r="AK48" s="592">
        <f t="shared" si="8"/>
        <v>0</v>
      </c>
      <c r="AL48" s="592">
        <f t="shared" si="9"/>
        <v>0</v>
      </c>
      <c r="AM48" s="592">
        <f t="shared" si="10"/>
        <v>5.8189404882346105</v>
      </c>
      <c r="AN48" s="592">
        <f t="shared" si="11"/>
        <v>0</v>
      </c>
      <c r="AO48" s="592">
        <f t="shared" si="12"/>
        <v>0</v>
      </c>
      <c r="AP48" s="592">
        <f t="shared" si="6"/>
        <v>5.8189404882346105</v>
      </c>
    </row>
    <row r="49" spans="1:42" x14ac:dyDescent="0.25">
      <c r="A49" s="594">
        <v>47</v>
      </c>
      <c r="B49" s="594">
        <v>7</v>
      </c>
      <c r="C49" s="595" t="s">
        <v>1004</v>
      </c>
      <c r="D49" s="595" t="s">
        <v>1004</v>
      </c>
      <c r="E49" s="587">
        <f t="shared" si="13"/>
        <v>4.6129118209969819</v>
      </c>
      <c r="F49" s="587">
        <v>0.3</v>
      </c>
      <c r="G49" s="587">
        <f t="shared" si="14"/>
        <v>1.2174629324546953</v>
      </c>
      <c r="H49" s="587">
        <f>11.49/(1+1107.8*EXP(-1.78*(Q49+S49)))-J49</f>
        <v>5.0813906100796176E-2</v>
      </c>
      <c r="I49" s="587">
        <v>0.25</v>
      </c>
      <c r="J49" s="587">
        <f>11.49/(1+1107.8*EXP(-1.78*S49))</f>
        <v>1.0362554112554113E-2</v>
      </c>
      <c r="K49" s="587">
        <f>7.431/(1+937.8*EXP(-1.905*(T49+V49)))-M49</f>
        <v>0.82899007509409117</v>
      </c>
      <c r="L49" s="587">
        <v>0.05</v>
      </c>
      <c r="M49" s="587">
        <f>7.431/(1+937.8*EXP(-1.905*V49))</f>
        <v>9.5743700756975633E-3</v>
      </c>
      <c r="N49" s="588">
        <v>1.5</v>
      </c>
      <c r="O49" s="588">
        <v>0.3</v>
      </c>
      <c r="P49" s="588">
        <v>0.5</v>
      </c>
      <c r="Q49" s="588">
        <v>1</v>
      </c>
      <c r="R49" s="588">
        <v>0.25</v>
      </c>
      <c r="S49" s="588">
        <v>0</v>
      </c>
      <c r="T49" s="588">
        <v>2.41</v>
      </c>
      <c r="U49" s="588">
        <v>0.05</v>
      </c>
      <c r="V49" s="602">
        <v>0.1</v>
      </c>
      <c r="W49" s="587">
        <v>2.5</v>
      </c>
      <c r="X49" s="587">
        <v>2.5</v>
      </c>
      <c r="Y49" s="590">
        <v>20</v>
      </c>
      <c r="Z49" s="603" t="s">
        <v>788</v>
      </c>
      <c r="AA49" s="603" t="s">
        <v>948</v>
      </c>
      <c r="AB49" s="592">
        <v>1.9999995411465192</v>
      </c>
      <c r="AC49" s="592">
        <v>0.99999627334682795</v>
      </c>
      <c r="AD49" s="592">
        <v>2.3121751533164039</v>
      </c>
      <c r="AE49" s="592">
        <v>5.8303733423512467</v>
      </c>
      <c r="AF49" s="592">
        <v>6.1176270847545934E-2</v>
      </c>
      <c r="AG49" s="592">
        <v>0.7705167959964645</v>
      </c>
      <c r="AH49" s="592">
        <v>6.6620664091952566</v>
      </c>
      <c r="AI49" s="588"/>
      <c r="AJ49" s="592">
        <f t="shared" si="7"/>
        <v>1.99981488529387</v>
      </c>
      <c r="AK49" s="592">
        <f t="shared" si="8"/>
        <v>0.99944691562985222</v>
      </c>
      <c r="AL49" s="592">
        <f t="shared" si="9"/>
        <v>1.9722563140422844</v>
      </c>
      <c r="AM49" s="592">
        <f t="shared" si="10"/>
        <v>5.8298054749075785</v>
      </c>
      <c r="AN49" s="592">
        <f t="shared" si="11"/>
        <v>6.1148355836099781E-2</v>
      </c>
      <c r="AO49" s="592">
        <f t="shared" si="12"/>
        <v>0.65359175695258542</v>
      </c>
      <c r="AP49" s="592">
        <f t="shared" si="6"/>
        <v>6.5445455876962635</v>
      </c>
    </row>
    <row r="50" spans="1:42" x14ac:dyDescent="0.25">
      <c r="A50" s="594">
        <v>48</v>
      </c>
      <c r="B50" s="594">
        <v>7</v>
      </c>
      <c r="C50" s="595" t="s">
        <v>1005</v>
      </c>
      <c r="D50" s="595" t="s">
        <v>1005</v>
      </c>
      <c r="E50" s="587">
        <f t="shared" si="13"/>
        <v>8.8521812764779302</v>
      </c>
      <c r="F50" s="587">
        <v>0.4</v>
      </c>
      <c r="G50" s="587">
        <f t="shared" si="14"/>
        <v>1.2174629324546953</v>
      </c>
      <c r="H50" s="587">
        <f>11.49/(1+1107.8*EXP(-1.78*(Q50+S50)))-J50</f>
        <v>1.8097300595153538</v>
      </c>
      <c r="I50" s="587">
        <v>0.3</v>
      </c>
      <c r="J50" s="587">
        <f>11.49/(1+1107.8*EXP(-1.78*S50))</f>
        <v>1.0362554112554113E-2</v>
      </c>
      <c r="K50" s="587">
        <f>7.431/(1+937.8*EXP(-1.905*(T50+V50)))-M50</f>
        <v>0.28846758650467696</v>
      </c>
      <c r="L50" s="587">
        <v>0.2</v>
      </c>
      <c r="M50" s="587">
        <f>7.431/(1+937.8*EXP(-1.905*V50))</f>
        <v>5.2864893699082517E-2</v>
      </c>
      <c r="N50" s="588">
        <v>2.5</v>
      </c>
      <c r="O50" s="588">
        <v>0.4</v>
      </c>
      <c r="P50" s="588">
        <v>0.5</v>
      </c>
      <c r="Q50" s="588">
        <v>3</v>
      </c>
      <c r="R50" s="588">
        <v>0.3</v>
      </c>
      <c r="S50" s="588">
        <v>0</v>
      </c>
      <c r="T50" s="588">
        <v>1</v>
      </c>
      <c r="U50" s="588">
        <v>0.2</v>
      </c>
      <c r="V50" s="602">
        <v>1</v>
      </c>
      <c r="W50" s="587">
        <v>2.5</v>
      </c>
      <c r="X50" s="587">
        <v>2.5</v>
      </c>
      <c r="Y50" s="605">
        <v>10</v>
      </c>
      <c r="Z50" s="606" t="s">
        <v>788</v>
      </c>
      <c r="AA50" s="606" t="s">
        <v>948</v>
      </c>
      <c r="AB50" s="592">
        <v>2.9999999948471161</v>
      </c>
      <c r="AC50" s="592">
        <v>2.9999990822930385</v>
      </c>
      <c r="AD50" s="592">
        <v>1.9999546000702375</v>
      </c>
      <c r="AE50" s="592">
        <v>10.069644190686921</v>
      </c>
      <c r="AF50" s="592">
        <v>1.8200920600272832</v>
      </c>
      <c r="AG50" s="592">
        <v>0.34131938379559346</v>
      </c>
      <c r="AH50" s="592">
        <v>12.231055634509797</v>
      </c>
      <c r="AI50" s="588"/>
      <c r="AJ50" s="592">
        <f t="shared" si="7"/>
        <v>2.9999846394691168</v>
      </c>
      <c r="AK50" s="592">
        <f t="shared" si="8"/>
        <v>2.9996297705877399</v>
      </c>
      <c r="AL50" s="592">
        <f t="shared" si="9"/>
        <v>1.9975212478233337</v>
      </c>
      <c r="AM50" s="592">
        <f t="shared" si="10"/>
        <v>10.069589819251073</v>
      </c>
      <c r="AN50" s="592">
        <f t="shared" si="11"/>
        <v>1.8198692751958134</v>
      </c>
      <c r="AO50" s="592">
        <f t="shared" si="12"/>
        <v>0.34061744054581333</v>
      </c>
      <c r="AP50" s="592">
        <f t="shared" si="6"/>
        <v>12.230076534992699</v>
      </c>
    </row>
    <row r="51" spans="1:42" x14ac:dyDescent="0.25">
      <c r="A51" s="594">
        <v>49</v>
      </c>
      <c r="B51" s="594">
        <v>7</v>
      </c>
      <c r="C51" s="595" t="s">
        <v>1005</v>
      </c>
      <c r="D51" s="599" t="s">
        <v>1006</v>
      </c>
      <c r="E51" s="587">
        <f t="shared" si="13"/>
        <v>8.8429538996157167</v>
      </c>
      <c r="F51" s="587">
        <v>0.1</v>
      </c>
      <c r="G51" s="587">
        <f t="shared" si="14"/>
        <v>0.23324566017885323</v>
      </c>
      <c r="H51" s="587">
        <f>11.49/(1+1107.8*EXP(-1.78*(Q51+S51)))-J51</f>
        <v>0.47729894229723918</v>
      </c>
      <c r="I51" s="587">
        <v>0.7</v>
      </c>
      <c r="J51" s="587">
        <f>11.49/(1+1107.8*EXP(-1.78*S51))</f>
        <v>1.2379266906868759E-2</v>
      </c>
      <c r="K51" s="587">
        <v>4</v>
      </c>
      <c r="L51" s="587">
        <v>0.04</v>
      </c>
      <c r="M51" s="587">
        <f>7.431/(1+937.8*EXP(-1.905*V51))</f>
        <v>9.5743700756975633E-3</v>
      </c>
      <c r="N51" s="607">
        <v>2.69</v>
      </c>
      <c r="O51" s="607">
        <v>0.1</v>
      </c>
      <c r="P51" s="607">
        <v>0.1</v>
      </c>
      <c r="Q51" s="607">
        <v>2.09</v>
      </c>
      <c r="R51" s="607">
        <v>0.7</v>
      </c>
      <c r="S51" s="607">
        <v>0.1</v>
      </c>
      <c r="T51" s="607">
        <v>3.9</v>
      </c>
      <c r="U51" s="607">
        <v>0.04</v>
      </c>
      <c r="V51" s="607">
        <v>0.1</v>
      </c>
      <c r="W51" s="587">
        <v>1.5</v>
      </c>
      <c r="X51" s="587">
        <v>2.5</v>
      </c>
      <c r="Y51" s="590">
        <v>6</v>
      </c>
      <c r="Z51" s="603" t="s">
        <v>251</v>
      </c>
      <c r="AA51" s="603" t="s">
        <v>951</v>
      </c>
      <c r="AB51" s="592">
        <v>2.7718749225724602</v>
      </c>
      <c r="AC51" s="592">
        <v>2.1899999999999986</v>
      </c>
      <c r="AD51" s="592">
        <v>3.4721923953772107</v>
      </c>
      <c r="AE51" s="592">
        <v>9.0166162051036043</v>
      </c>
      <c r="AF51" s="592">
        <v>0.4896782092041076</v>
      </c>
      <c r="AG51" s="592">
        <v>3.4682332371292466</v>
      </c>
      <c r="AH51" s="592">
        <v>12.974527651436958</v>
      </c>
      <c r="AI51" s="588"/>
      <c r="AJ51" s="592">
        <f t="shared" si="7"/>
        <v>2.6560727860904461</v>
      </c>
      <c r="AK51" s="592">
        <f t="shared" si="8"/>
        <v>2.189999998415245</v>
      </c>
      <c r="AL51" s="592">
        <f t="shared" si="9"/>
        <v>2.8253425735424114</v>
      </c>
      <c r="AM51" s="592">
        <f t="shared" si="10"/>
        <v>8.635934809420533</v>
      </c>
      <c r="AN51" s="592">
        <f t="shared" si="11"/>
        <v>0.48967820884219315</v>
      </c>
      <c r="AO51" s="592">
        <f t="shared" si="12"/>
        <v>2.8047975224268886</v>
      </c>
      <c r="AP51" s="592">
        <f t="shared" si="6"/>
        <v>11.930410540689614</v>
      </c>
    </row>
    <row r="52" spans="1:42" x14ac:dyDescent="0.25">
      <c r="A52" s="594">
        <v>50</v>
      </c>
      <c r="B52" s="594">
        <v>7</v>
      </c>
      <c r="C52" s="595" t="s">
        <v>1005</v>
      </c>
      <c r="D52" s="599" t="s">
        <v>1007</v>
      </c>
      <c r="E52" s="587">
        <f t="shared" si="13"/>
        <v>5.2244354112239382</v>
      </c>
      <c r="F52" s="587">
        <v>0.25</v>
      </c>
      <c r="G52" s="587">
        <f t="shared" si="14"/>
        <v>2.5764090644973852</v>
      </c>
      <c r="H52" s="587">
        <f>11.49/(1+1107.8*EXP(-1.78*(Q52+S52)))-J52</f>
        <v>5.5241668345919752</v>
      </c>
      <c r="I52" s="587">
        <v>0.8</v>
      </c>
      <c r="J52" s="587">
        <f>11.49/(1+1107.8*EXP(-1.78*S52))</f>
        <v>2.5201544200919575E-2</v>
      </c>
      <c r="K52" s="587">
        <f>7.431/(1+937.8*EXP(-1.905*(T52+V52)))-M52</f>
        <v>0.82899007509409117</v>
      </c>
      <c r="L52" s="587">
        <v>0.05</v>
      </c>
      <c r="M52" s="587">
        <f>7.431/(1+937.8*EXP(-1.905*V52))</f>
        <v>9.5743700756975633E-3</v>
      </c>
      <c r="N52" s="607">
        <v>1.5</v>
      </c>
      <c r="O52" s="607">
        <v>0.25</v>
      </c>
      <c r="P52" s="607">
        <v>1</v>
      </c>
      <c r="Q52" s="607">
        <v>3.4</v>
      </c>
      <c r="R52" s="607">
        <v>0.8</v>
      </c>
      <c r="S52" s="607">
        <v>0.5</v>
      </c>
      <c r="T52" s="607">
        <v>2.41</v>
      </c>
      <c r="U52" s="607">
        <v>0.05</v>
      </c>
      <c r="V52" s="607">
        <v>0.1</v>
      </c>
      <c r="W52" s="587">
        <v>1.5</v>
      </c>
      <c r="X52" s="587">
        <v>2.5</v>
      </c>
      <c r="Y52" s="590">
        <v>8</v>
      </c>
      <c r="Z52" s="603" t="s">
        <v>250</v>
      </c>
      <c r="AA52" s="603" t="s">
        <v>951</v>
      </c>
      <c r="AB52" s="592">
        <v>2.4999944100202418</v>
      </c>
      <c r="AC52" s="592">
        <v>3.9</v>
      </c>
      <c r="AD52" s="592">
        <v>2.3121751533164039</v>
      </c>
      <c r="AE52" s="592">
        <v>7.8008250060625262</v>
      </c>
      <c r="AF52" s="592">
        <v>5.5493683787928951</v>
      </c>
      <c r="AG52" s="592">
        <v>0.7705167959964645</v>
      </c>
      <c r="AH52" s="592">
        <v>14.120710180851885</v>
      </c>
      <c r="AI52" s="588"/>
      <c r="AJ52" s="592">
        <f t="shared" si="7"/>
        <v>2.4991703734447785</v>
      </c>
      <c r="AK52" s="592">
        <f t="shared" si="8"/>
        <v>3.8999999998716453</v>
      </c>
      <c r="AL52" s="592">
        <f t="shared" si="9"/>
        <v>1.9722563140422844</v>
      </c>
      <c r="AM52" s="592">
        <f t="shared" si="10"/>
        <v>7.7979549221525284</v>
      </c>
      <c r="AN52" s="592">
        <f t="shared" si="11"/>
        <v>5.5493683785843499</v>
      </c>
      <c r="AO52" s="592">
        <f t="shared" si="12"/>
        <v>0.65359175695258542</v>
      </c>
      <c r="AP52" s="592">
        <f t="shared" si="6"/>
        <v>14.000915057689463</v>
      </c>
    </row>
    <row r="53" spans="1:42" x14ac:dyDescent="0.25">
      <c r="A53" s="594">
        <v>51</v>
      </c>
      <c r="B53" s="594">
        <v>7</v>
      </c>
      <c r="C53" s="595" t="s">
        <v>1005</v>
      </c>
      <c r="D53" s="588" t="s">
        <v>1008</v>
      </c>
      <c r="E53" s="587">
        <f t="shared" si="13"/>
        <v>5.5036767794074528</v>
      </c>
      <c r="F53" s="587">
        <v>0.35</v>
      </c>
      <c r="G53" s="587">
        <f t="shared" si="14"/>
        <v>3.1652587745389646</v>
      </c>
      <c r="H53" s="587">
        <f>11.49/(1+1107.8*EXP(-1.78*(Q53+S53)))-J53</f>
        <v>0.29231273017042497</v>
      </c>
      <c r="I53" s="587">
        <v>0.35</v>
      </c>
      <c r="J53" s="587">
        <f>11.49/(1+1107.8*EXP(-1.78*S53))</f>
        <v>6.1176460213350291E-2</v>
      </c>
      <c r="K53" s="587">
        <v>0</v>
      </c>
      <c r="L53" s="587">
        <v>0</v>
      </c>
      <c r="M53" s="587">
        <v>0</v>
      </c>
      <c r="N53" s="588">
        <v>1.5</v>
      </c>
      <c r="O53" s="588">
        <v>0.35</v>
      </c>
      <c r="P53" s="588">
        <v>1.2</v>
      </c>
      <c r="Q53" s="588">
        <v>1</v>
      </c>
      <c r="R53" s="588">
        <v>0.35</v>
      </c>
      <c r="S53" s="588">
        <v>1</v>
      </c>
      <c r="T53" s="588">
        <v>0</v>
      </c>
      <c r="U53" s="588">
        <v>0</v>
      </c>
      <c r="V53" s="602">
        <v>0</v>
      </c>
      <c r="W53" s="587">
        <v>2.5</v>
      </c>
      <c r="X53" s="587">
        <v>2.5</v>
      </c>
      <c r="Y53" s="590">
        <v>10</v>
      </c>
      <c r="Z53" s="603" t="s">
        <v>788</v>
      </c>
      <c r="AA53" s="603" t="s">
        <v>948</v>
      </c>
      <c r="AB53" s="592">
        <v>2.6999999623350126</v>
      </c>
      <c r="AC53" s="592">
        <v>1.9999999748900086</v>
      </c>
      <c r="AD53" s="592">
        <v>0</v>
      </c>
      <c r="AE53" s="592">
        <v>8.6689354157491394</v>
      </c>
      <c r="AF53" s="592">
        <v>0.35348918304380506</v>
      </c>
      <c r="AG53" s="592">
        <v>0</v>
      </c>
      <c r="AH53" s="592">
        <v>9.022424598792945</v>
      </c>
      <c r="AI53" s="588"/>
      <c r="AJ53" s="592">
        <f t="shared" si="7"/>
        <v>2.6999586953259751</v>
      </c>
      <c r="AK53" s="592">
        <f t="shared" si="8"/>
        <v>1.9999724635506504</v>
      </c>
      <c r="AL53" s="592">
        <f t="shared" si="9"/>
        <v>0</v>
      </c>
      <c r="AM53" s="592">
        <f t="shared" si="10"/>
        <v>8.6687840022295433</v>
      </c>
      <c r="AN53" s="592">
        <f t="shared" si="11"/>
        <v>0.35348114112908663</v>
      </c>
      <c r="AO53" s="592">
        <f t="shared" si="12"/>
        <v>0</v>
      </c>
      <c r="AP53" s="592">
        <f t="shared" si="6"/>
        <v>9.0222651433586307</v>
      </c>
    </row>
    <row r="54" spans="1:42" x14ac:dyDescent="0.25">
      <c r="A54" s="594">
        <v>52</v>
      </c>
      <c r="B54" s="594">
        <v>8</v>
      </c>
      <c r="C54" s="595" t="s">
        <v>1009</v>
      </c>
      <c r="D54" s="595" t="s">
        <v>1010</v>
      </c>
      <c r="E54" s="587">
        <f t="shared" si="13"/>
        <v>2.6938074188770829</v>
      </c>
      <c r="F54" s="587">
        <v>0.2</v>
      </c>
      <c r="G54" s="587">
        <f t="shared" si="14"/>
        <v>0.47145135566188195</v>
      </c>
      <c r="H54" s="587">
        <v>0</v>
      </c>
      <c r="I54" s="587">
        <v>0</v>
      </c>
      <c r="J54" s="587">
        <v>0</v>
      </c>
      <c r="K54" s="587">
        <v>0</v>
      </c>
      <c r="L54" s="587">
        <v>0</v>
      </c>
      <c r="M54" s="587">
        <v>0</v>
      </c>
      <c r="N54" s="588">
        <v>1</v>
      </c>
      <c r="O54" s="588">
        <v>0.2</v>
      </c>
      <c r="P54" s="588">
        <v>0.2</v>
      </c>
      <c r="Q54" s="588">
        <v>0</v>
      </c>
      <c r="R54" s="588">
        <v>0</v>
      </c>
      <c r="S54" s="588">
        <v>0</v>
      </c>
      <c r="T54" s="588">
        <v>0</v>
      </c>
      <c r="U54" s="588">
        <v>0</v>
      </c>
      <c r="V54" s="602">
        <v>0</v>
      </c>
      <c r="W54" s="587">
        <v>1.2</v>
      </c>
      <c r="X54" s="587">
        <v>0</v>
      </c>
      <c r="Y54" s="590" t="s">
        <v>998</v>
      </c>
      <c r="Z54" s="603" t="s">
        <v>998</v>
      </c>
      <c r="AA54" s="603" t="s">
        <v>998</v>
      </c>
      <c r="AB54" s="592">
        <v>1.1999546000702375</v>
      </c>
      <c r="AC54" s="592">
        <v>0</v>
      </c>
      <c r="AD54" s="592">
        <v>0</v>
      </c>
      <c r="AE54" s="592">
        <v>3.1651364758713538</v>
      </c>
      <c r="AF54" s="592">
        <v>0</v>
      </c>
      <c r="AG54" s="592">
        <v>0</v>
      </c>
      <c r="AH54" s="592">
        <v>3.1651364758713538</v>
      </c>
      <c r="AI54" s="588"/>
      <c r="AJ54" s="592">
        <f t="shared" si="7"/>
        <v>1.1975212478233337</v>
      </c>
      <c r="AK54" s="592">
        <f t="shared" si="8"/>
        <v>0</v>
      </c>
      <c r="AL54" s="592">
        <f t="shared" si="9"/>
        <v>0</v>
      </c>
      <c r="AM54" s="592">
        <f t="shared" si="10"/>
        <v>3.1585814935359031</v>
      </c>
      <c r="AN54" s="592">
        <f t="shared" si="11"/>
        <v>0</v>
      </c>
      <c r="AO54" s="592">
        <f t="shared" si="12"/>
        <v>0</v>
      </c>
      <c r="AP54" s="592">
        <f t="shared" si="6"/>
        <v>3.1585814935359031</v>
      </c>
    </row>
    <row r="55" spans="1:42" x14ac:dyDescent="0.25">
      <c r="A55" s="594">
        <v>53</v>
      </c>
      <c r="B55" s="594">
        <v>8</v>
      </c>
      <c r="C55" s="595" t="s">
        <v>1009</v>
      </c>
      <c r="D55" s="595" t="s">
        <v>1011</v>
      </c>
      <c r="E55" s="587">
        <f t="shared" si="13"/>
        <v>4.6129118209969819</v>
      </c>
      <c r="F55" s="587">
        <v>0.25</v>
      </c>
      <c r="G55" s="587">
        <f t="shared" si="14"/>
        <v>1.2174629324546953</v>
      </c>
      <c r="H55" s="587">
        <f>11.49/(1+1107.8*EXP(-1.78*(Q55+S55)))-J55</f>
        <v>0.32828764618285566</v>
      </c>
      <c r="I55" s="587">
        <v>0.2</v>
      </c>
      <c r="J55" s="587">
        <f>11.49/(1+1107.8*EXP(-1.78*S55))</f>
        <v>2.5201544200919575E-2</v>
      </c>
      <c r="K55" s="587">
        <v>0</v>
      </c>
      <c r="L55" s="587">
        <v>0</v>
      </c>
      <c r="M55" s="587">
        <v>0</v>
      </c>
      <c r="N55" s="588">
        <v>1.5</v>
      </c>
      <c r="O55" s="588">
        <v>0.25</v>
      </c>
      <c r="P55" s="588">
        <v>0.5</v>
      </c>
      <c r="Q55" s="588">
        <v>1.5</v>
      </c>
      <c r="R55" s="588">
        <v>0.2</v>
      </c>
      <c r="S55" s="588">
        <v>0.5</v>
      </c>
      <c r="T55" s="588">
        <v>0</v>
      </c>
      <c r="U55" s="588">
        <v>0</v>
      </c>
      <c r="V55" s="602">
        <v>0</v>
      </c>
      <c r="W55" s="587">
        <v>1.8</v>
      </c>
      <c r="X55" s="587">
        <v>0</v>
      </c>
      <c r="Y55" s="590" t="s">
        <v>998</v>
      </c>
      <c r="Z55" s="603" t="s">
        <v>998</v>
      </c>
      <c r="AA55" s="603" t="s">
        <v>998</v>
      </c>
      <c r="AB55" s="592">
        <v>1.9999944100202418</v>
      </c>
      <c r="AC55" s="592">
        <v>1.9999319001053562</v>
      </c>
      <c r="AD55" s="592">
        <v>0</v>
      </c>
      <c r="AE55" s="592">
        <v>5.8303575627292066</v>
      </c>
      <c r="AF55" s="592">
        <v>0.35347428614769666</v>
      </c>
      <c r="AG55" s="592">
        <v>0</v>
      </c>
      <c r="AH55" s="592">
        <v>6.1838318488769035</v>
      </c>
      <c r="AI55" s="588"/>
      <c r="AJ55" s="592">
        <f t="shared" si="7"/>
        <v>1.9991703734447783</v>
      </c>
      <c r="AK55" s="592">
        <f t="shared" si="8"/>
        <v>1.9962818717350004</v>
      </c>
      <c r="AL55" s="592">
        <f t="shared" si="9"/>
        <v>0</v>
      </c>
      <c r="AM55" s="592">
        <f t="shared" si="10"/>
        <v>5.8278234240226139</v>
      </c>
      <c r="AN55" s="592">
        <f t="shared" si="11"/>
        <v>0.3526754466662268</v>
      </c>
      <c r="AO55" s="592">
        <f t="shared" si="12"/>
        <v>0</v>
      </c>
      <c r="AP55" s="592">
        <f t="shared" si="6"/>
        <v>6.1804988706888411</v>
      </c>
    </row>
    <row r="56" spans="1:42" x14ac:dyDescent="0.25">
      <c r="A56" s="594">
        <v>54</v>
      </c>
      <c r="B56" s="594">
        <v>9</v>
      </c>
      <c r="C56" s="595" t="s">
        <v>1012</v>
      </c>
      <c r="D56" s="599" t="s">
        <v>1013</v>
      </c>
      <c r="E56" s="587">
        <f t="shared" si="13"/>
        <v>15.821587867975023</v>
      </c>
      <c r="F56" s="587">
        <v>0.47</v>
      </c>
      <c r="G56" s="587">
        <f t="shared" si="14"/>
        <v>0</v>
      </c>
      <c r="H56" s="587">
        <f>11.49/(1+1107.8*EXP(-1.78*(Q56+S56)))-J56</f>
        <v>0.57978532924206427</v>
      </c>
      <c r="I56" s="587">
        <v>0.4</v>
      </c>
      <c r="J56" s="587">
        <f>11.49/(1+1107.8*EXP(-1.78*S56))</f>
        <v>1.0362554112554113E-2</v>
      </c>
      <c r="K56" s="587">
        <f>7.431/(1+937.8*EXP(-1.905*(T56+V56)))-M56</f>
        <v>5.0367561019864535</v>
      </c>
      <c r="L56" s="587">
        <v>0.15</v>
      </c>
      <c r="M56" s="587">
        <f>7.431/(1+937.8*EXP(-1.905*V56))</f>
        <v>5.2864893699082517E-2</v>
      </c>
      <c r="N56" s="588">
        <v>4</v>
      </c>
      <c r="O56" s="588">
        <v>0.47</v>
      </c>
      <c r="P56" s="588">
        <v>0</v>
      </c>
      <c r="Q56" s="588">
        <v>2.2999999999999998</v>
      </c>
      <c r="R56" s="588">
        <v>0.4</v>
      </c>
      <c r="S56" s="588">
        <v>0</v>
      </c>
      <c r="T56" s="588">
        <v>3</v>
      </c>
      <c r="U56" s="588">
        <v>0.15</v>
      </c>
      <c r="V56" s="602">
        <v>1</v>
      </c>
      <c r="W56" s="587">
        <v>3.5</v>
      </c>
      <c r="X56" s="587">
        <v>6.5</v>
      </c>
      <c r="Y56" s="608">
        <v>15</v>
      </c>
      <c r="Z56" s="609" t="s">
        <v>252</v>
      </c>
      <c r="AA56" s="609" t="s">
        <v>957</v>
      </c>
      <c r="AB56" s="592">
        <v>3.9999999997510343</v>
      </c>
      <c r="AC56" s="592">
        <v>2.2999999952593466</v>
      </c>
      <c r="AD56" s="592">
        <v>3.9983407468895567</v>
      </c>
      <c r="AE56" s="592">
        <v>15.821587866990264</v>
      </c>
      <c r="AF56" s="592">
        <v>0.5901478821595918</v>
      </c>
      <c r="AG56" s="592">
        <v>5.086835244609281</v>
      </c>
      <c r="AH56" s="592">
        <v>21.498570993759138</v>
      </c>
      <c r="AI56" s="588"/>
      <c r="AJ56" s="592">
        <f t="shared" si="7"/>
        <v>3.9999969904068031</v>
      </c>
      <c r="AK56" s="592">
        <f t="shared" si="8"/>
        <v>2.299985868311587</v>
      </c>
      <c r="AL56" s="592">
        <f t="shared" si="9"/>
        <v>3.9666730103852732</v>
      </c>
      <c r="AM56" s="592">
        <f t="shared" si="10"/>
        <v>15.821575963839219</v>
      </c>
      <c r="AN56" s="592">
        <f t="shared" si="11"/>
        <v>0.59014432103043624</v>
      </c>
      <c r="AO56" s="592">
        <f t="shared" si="12"/>
        <v>5.0336676895845978</v>
      </c>
      <c r="AP56" s="592">
        <f t="shared" si="6"/>
        <v>21.445387974454253</v>
      </c>
    </row>
    <row r="57" spans="1:42" x14ac:dyDescent="0.25">
      <c r="A57" s="594">
        <v>55</v>
      </c>
      <c r="B57" s="594">
        <v>9</v>
      </c>
      <c r="C57" s="595" t="s">
        <v>1012</v>
      </c>
      <c r="D57" s="599" t="s">
        <v>1014</v>
      </c>
      <c r="E57" s="587">
        <f t="shared" si="13"/>
        <v>2.5764090644973852</v>
      </c>
      <c r="F57" s="587">
        <v>0.25</v>
      </c>
      <c r="G57" s="587">
        <f t="shared" si="14"/>
        <v>0</v>
      </c>
      <c r="H57" s="587">
        <f>11.49/(1+1107.8*EXP(-1.78*(Q57+S57)))-J57</f>
        <v>0.12264138652684936</v>
      </c>
      <c r="I57" s="587">
        <v>0.35</v>
      </c>
      <c r="J57" s="587">
        <f>11.49/(1+1107.8*EXP(-1.78*S57))</f>
        <v>2.5201544200919575E-2</v>
      </c>
      <c r="K57" s="587">
        <f>7.431/(1+937.8*EXP(-1.905*(T57+V57)))-M57</f>
        <v>0.47762331948794223</v>
      </c>
      <c r="L57" s="587">
        <v>0.15</v>
      </c>
      <c r="M57" s="587">
        <f>7.431/(1+937.8*EXP(-1.905*V57))</f>
        <v>1.1580462339284526E-2</v>
      </c>
      <c r="N57" s="588">
        <v>1</v>
      </c>
      <c r="O57" s="588">
        <v>0.25</v>
      </c>
      <c r="P57" s="588">
        <v>0</v>
      </c>
      <c r="Q57" s="588">
        <v>1</v>
      </c>
      <c r="R57" s="588">
        <v>0.35</v>
      </c>
      <c r="S57" s="588">
        <v>0.5</v>
      </c>
      <c r="T57" s="588">
        <v>2</v>
      </c>
      <c r="U57" s="588">
        <v>0.15</v>
      </c>
      <c r="V57" s="602">
        <v>0.2</v>
      </c>
      <c r="W57" s="587">
        <v>4</v>
      </c>
      <c r="X57" s="587">
        <v>4.5</v>
      </c>
      <c r="Y57" s="590">
        <v>40</v>
      </c>
      <c r="Z57" s="603" t="s">
        <v>788</v>
      </c>
      <c r="AA57" s="603" t="s">
        <v>948</v>
      </c>
      <c r="AB57" s="592">
        <v>0.99999627334682795</v>
      </c>
      <c r="AC57" s="592">
        <v>1.4999999748900086</v>
      </c>
      <c r="AD57" s="592">
        <v>2.1988938312597046</v>
      </c>
      <c r="AE57" s="592">
        <v>2.5763994631143725</v>
      </c>
      <c r="AF57" s="592">
        <v>0.14784292764824475</v>
      </c>
      <c r="AG57" s="592">
        <v>0.48893961583439988</v>
      </c>
      <c r="AH57" s="592">
        <v>3.2131820065970169</v>
      </c>
      <c r="AI57" s="588"/>
      <c r="AJ57" s="592">
        <f t="shared" si="7"/>
        <v>0.99944691562985222</v>
      </c>
      <c r="AK57" s="592">
        <f t="shared" si="8"/>
        <v>1.4999724635506504</v>
      </c>
      <c r="AL57" s="592">
        <f t="shared" si="9"/>
        <v>2.1777820069235156</v>
      </c>
      <c r="AM57" s="592">
        <f t="shared" si="10"/>
        <v>2.5749840929127048</v>
      </c>
      <c r="AN57" s="592">
        <f t="shared" si="11"/>
        <v>0.14783955361944065</v>
      </c>
      <c r="AO57" s="592">
        <f t="shared" si="12"/>
        <v>0.4838978660244514</v>
      </c>
      <c r="AP57" s="592">
        <f t="shared" si="6"/>
        <v>3.2067215125565971</v>
      </c>
    </row>
    <row r="58" spans="1:42" x14ac:dyDescent="0.25">
      <c r="A58" s="594">
        <v>56</v>
      </c>
      <c r="B58" s="594">
        <v>10</v>
      </c>
      <c r="C58" s="595" t="s">
        <v>1015</v>
      </c>
      <c r="D58" s="595" t="s">
        <v>1015</v>
      </c>
      <c r="E58" s="587">
        <f t="shared" si="13"/>
        <v>2.5764090644973852</v>
      </c>
      <c r="F58" s="587">
        <v>0.7</v>
      </c>
      <c r="G58" s="587">
        <f t="shared" si="14"/>
        <v>0</v>
      </c>
      <c r="H58" s="587">
        <v>0</v>
      </c>
      <c r="I58" s="587">
        <v>0</v>
      </c>
      <c r="J58" s="587">
        <v>0</v>
      </c>
      <c r="K58" s="587">
        <v>0</v>
      </c>
      <c r="L58" s="587">
        <v>0</v>
      </c>
      <c r="M58" s="587">
        <v>0</v>
      </c>
      <c r="N58" s="588">
        <v>1</v>
      </c>
      <c r="O58" s="588">
        <v>0.7</v>
      </c>
      <c r="P58" s="588">
        <v>0</v>
      </c>
      <c r="Q58" s="588">
        <v>0</v>
      </c>
      <c r="R58" s="588">
        <v>0</v>
      </c>
      <c r="S58" s="588">
        <v>0</v>
      </c>
      <c r="T58" s="588">
        <v>0</v>
      </c>
      <c r="U58" s="588">
        <v>0</v>
      </c>
      <c r="V58" s="602">
        <v>0</v>
      </c>
      <c r="W58" s="587">
        <v>1.2</v>
      </c>
      <c r="X58" s="587">
        <v>0</v>
      </c>
      <c r="Y58" s="590" t="s">
        <v>998</v>
      </c>
      <c r="Z58" s="603" t="s">
        <v>998</v>
      </c>
      <c r="AA58" s="603" t="s">
        <v>998</v>
      </c>
      <c r="AB58" s="592">
        <v>0.99999999999999933</v>
      </c>
      <c r="AC58" s="592">
        <v>0</v>
      </c>
      <c r="AD58" s="592">
        <v>0</v>
      </c>
      <c r="AE58" s="592">
        <v>2.5764090644973834</v>
      </c>
      <c r="AF58" s="592">
        <v>0</v>
      </c>
      <c r="AG58" s="592">
        <v>0</v>
      </c>
      <c r="AH58" s="592">
        <v>2.5764090644973834</v>
      </c>
      <c r="AI58" s="588"/>
      <c r="AJ58" s="592">
        <f t="shared" si="7"/>
        <v>0.99999999924174399</v>
      </c>
      <c r="AK58" s="592">
        <f t="shared" si="8"/>
        <v>0</v>
      </c>
      <c r="AL58" s="592">
        <f t="shared" si="9"/>
        <v>0</v>
      </c>
      <c r="AM58" s="592">
        <f t="shared" si="10"/>
        <v>2.5764090625438074</v>
      </c>
      <c r="AN58" s="592">
        <f t="shared" si="11"/>
        <v>0</v>
      </c>
      <c r="AO58" s="592">
        <f t="shared" si="12"/>
        <v>0</v>
      </c>
      <c r="AP58" s="592">
        <f t="shared" si="6"/>
        <v>2.5764090625438074</v>
      </c>
    </row>
    <row r="59" spans="1:42" x14ac:dyDescent="0.25">
      <c r="A59" s="594">
        <v>57</v>
      </c>
      <c r="B59" s="594">
        <v>11</v>
      </c>
      <c r="C59" s="595" t="s">
        <v>1016</v>
      </c>
      <c r="D59" s="595" t="s">
        <v>1016</v>
      </c>
      <c r="E59" s="587">
        <v>1</v>
      </c>
      <c r="F59" s="587">
        <v>0.25</v>
      </c>
      <c r="G59" s="587">
        <v>0</v>
      </c>
      <c r="H59" s="587">
        <v>0</v>
      </c>
      <c r="I59" s="587">
        <v>0</v>
      </c>
      <c r="J59" s="587">
        <v>0</v>
      </c>
      <c r="K59" s="587">
        <v>0</v>
      </c>
      <c r="L59" s="587">
        <v>0</v>
      </c>
      <c r="M59" s="587">
        <v>0</v>
      </c>
      <c r="N59" s="588">
        <v>0.41</v>
      </c>
      <c r="O59" s="588">
        <v>0.25</v>
      </c>
      <c r="P59" s="588">
        <v>0</v>
      </c>
      <c r="Q59" s="588">
        <v>0</v>
      </c>
      <c r="R59" s="588">
        <v>0</v>
      </c>
      <c r="S59" s="588">
        <v>0</v>
      </c>
      <c r="T59" s="588">
        <v>0</v>
      </c>
      <c r="U59" s="588">
        <v>0</v>
      </c>
      <c r="V59" s="602">
        <v>0</v>
      </c>
      <c r="W59" s="587">
        <v>3.5</v>
      </c>
      <c r="X59" s="587">
        <v>0</v>
      </c>
      <c r="Y59" s="590" t="s">
        <v>998</v>
      </c>
      <c r="Z59" s="603" t="s">
        <v>998</v>
      </c>
      <c r="AA59" s="603" t="s">
        <v>998</v>
      </c>
      <c r="AB59" s="592">
        <v>0.40999847207219942</v>
      </c>
      <c r="AC59" s="592">
        <v>0</v>
      </c>
      <c r="AD59" s="592">
        <v>0</v>
      </c>
      <c r="AE59" s="592">
        <v>0.99999627334682795</v>
      </c>
      <c r="AF59" s="592">
        <v>0</v>
      </c>
      <c r="AG59" s="592">
        <v>0</v>
      </c>
      <c r="AH59" s="592">
        <v>0.99999627334682795</v>
      </c>
      <c r="AI59" s="588"/>
      <c r="AJ59" s="592">
        <f t="shared" si="7"/>
        <v>0.4097732354082394</v>
      </c>
      <c r="AK59" s="592">
        <f t="shared" si="8"/>
        <v>0</v>
      </c>
      <c r="AL59" s="592">
        <f t="shared" si="9"/>
        <v>0</v>
      </c>
      <c r="AM59" s="592">
        <f t="shared" si="10"/>
        <v>0.99944691562985222</v>
      </c>
      <c r="AN59" s="592">
        <f t="shared" si="11"/>
        <v>0</v>
      </c>
      <c r="AO59" s="592">
        <f t="shared" si="12"/>
        <v>0</v>
      </c>
      <c r="AP59" s="592">
        <f t="shared" si="6"/>
        <v>0.99944691562985222</v>
      </c>
    </row>
    <row r="60" spans="1:42" x14ac:dyDescent="0.25">
      <c r="A60" s="594">
        <v>58</v>
      </c>
      <c r="B60" s="594">
        <v>12</v>
      </c>
      <c r="C60" s="595" t="s">
        <v>1017</v>
      </c>
      <c r="D60" s="595" t="s">
        <v>1018</v>
      </c>
      <c r="E60" s="587">
        <f>((-22.17*(N60+P60))/(-9.605+(N60+P60))-G60)</f>
        <v>3.6356970164984137</v>
      </c>
      <c r="F60" s="587">
        <v>0.9</v>
      </c>
      <c r="G60" s="587">
        <f t="shared" ref="G60:G67" si="15">(-22.17*P60)/(-9.605+P60)</f>
        <v>1.4771793448084398</v>
      </c>
      <c r="H60" s="587">
        <v>0</v>
      </c>
      <c r="I60" s="587">
        <v>0</v>
      </c>
      <c r="J60" s="587">
        <v>0</v>
      </c>
      <c r="K60" s="587">
        <v>0</v>
      </c>
      <c r="L60" s="587">
        <v>0</v>
      </c>
      <c r="M60" s="587">
        <v>0</v>
      </c>
      <c r="N60" s="588">
        <v>1.2</v>
      </c>
      <c r="O60" s="588">
        <v>0.9</v>
      </c>
      <c r="P60" s="588">
        <v>0.6</v>
      </c>
      <c r="Q60" s="588">
        <v>0</v>
      </c>
      <c r="R60" s="588">
        <v>0</v>
      </c>
      <c r="S60" s="588">
        <v>0</v>
      </c>
      <c r="T60" s="588">
        <v>0</v>
      </c>
      <c r="U60" s="588">
        <v>0</v>
      </c>
      <c r="V60" s="602">
        <v>0</v>
      </c>
      <c r="W60" s="587">
        <v>1.2</v>
      </c>
      <c r="X60" s="587">
        <v>0</v>
      </c>
      <c r="Y60" s="590" t="s">
        <v>998</v>
      </c>
      <c r="Z60" s="603" t="s">
        <v>998</v>
      </c>
      <c r="AA60" s="603" t="s">
        <v>998</v>
      </c>
      <c r="AB60" s="592">
        <v>1.7999999999999998</v>
      </c>
      <c r="AC60" s="592">
        <v>0</v>
      </c>
      <c r="AD60" s="592">
        <v>0</v>
      </c>
      <c r="AE60" s="592">
        <v>5.1128763613068537</v>
      </c>
      <c r="AF60" s="592">
        <v>0</v>
      </c>
      <c r="AG60" s="592">
        <v>0</v>
      </c>
      <c r="AH60" s="592">
        <v>5.1128763613068537</v>
      </c>
      <c r="AI60" s="588"/>
      <c r="AJ60" s="592">
        <f t="shared" si="7"/>
        <v>1.7999999999977447</v>
      </c>
      <c r="AK60" s="592">
        <f t="shared" si="8"/>
        <v>0</v>
      </c>
      <c r="AL60" s="592">
        <f t="shared" si="9"/>
        <v>0</v>
      </c>
      <c r="AM60" s="592">
        <f t="shared" si="10"/>
        <v>5.1128763613000201</v>
      </c>
      <c r="AN60" s="592">
        <f t="shared" si="11"/>
        <v>0</v>
      </c>
      <c r="AO60" s="592">
        <f t="shared" si="12"/>
        <v>0</v>
      </c>
      <c r="AP60" s="592">
        <f t="shared" si="6"/>
        <v>5.1128763613000201</v>
      </c>
    </row>
    <row r="61" spans="1:42" x14ac:dyDescent="0.25">
      <c r="A61" s="586">
        <v>59</v>
      </c>
      <c r="B61" s="604">
        <v>12</v>
      </c>
      <c r="C61" s="595" t="s">
        <v>1017</v>
      </c>
      <c r="D61" s="588" t="s">
        <v>1019</v>
      </c>
      <c r="E61" s="587">
        <v>4.5</v>
      </c>
      <c r="F61" s="587">
        <v>1</v>
      </c>
      <c r="G61" s="587">
        <f t="shared" si="15"/>
        <v>1.4771793448084398</v>
      </c>
      <c r="H61" s="587">
        <v>0</v>
      </c>
      <c r="I61" s="587">
        <v>0</v>
      </c>
      <c r="J61" s="587">
        <v>0</v>
      </c>
      <c r="K61" s="587">
        <v>0</v>
      </c>
      <c r="L61" s="587">
        <v>0</v>
      </c>
      <c r="M61" s="587">
        <v>0</v>
      </c>
      <c r="N61" s="588">
        <v>1.45</v>
      </c>
      <c r="O61" s="588">
        <v>1</v>
      </c>
      <c r="P61" s="588">
        <v>0.6</v>
      </c>
      <c r="Q61" s="588">
        <v>0</v>
      </c>
      <c r="R61" s="588">
        <v>0</v>
      </c>
      <c r="S61" s="588">
        <v>0</v>
      </c>
      <c r="T61" s="588">
        <v>0</v>
      </c>
      <c r="U61" s="588">
        <v>0</v>
      </c>
      <c r="V61" s="602">
        <v>0</v>
      </c>
      <c r="W61" s="587">
        <v>1.2</v>
      </c>
      <c r="X61" s="587">
        <v>0</v>
      </c>
      <c r="Y61" s="590" t="s">
        <v>998</v>
      </c>
      <c r="Z61" s="603" t="s">
        <v>998</v>
      </c>
      <c r="AA61" s="603" t="s">
        <v>998</v>
      </c>
      <c r="AB61" s="592">
        <v>2.0499999999999998</v>
      </c>
      <c r="AC61" s="592">
        <v>0</v>
      </c>
      <c r="AD61" s="592">
        <v>0</v>
      </c>
      <c r="AE61" s="592">
        <v>5.97717934480844</v>
      </c>
      <c r="AF61" s="592">
        <v>0</v>
      </c>
      <c r="AG61" s="592">
        <v>0</v>
      </c>
      <c r="AH61" s="592">
        <v>5.97717934480844</v>
      </c>
      <c r="AI61" s="593"/>
      <c r="AJ61" s="592">
        <f t="shared" si="7"/>
        <v>2.0499999999998644</v>
      </c>
      <c r="AK61" s="592">
        <f t="shared" si="8"/>
        <v>0</v>
      </c>
      <c r="AL61" s="592">
        <f t="shared" si="9"/>
        <v>0</v>
      </c>
      <c r="AM61" s="592">
        <f t="shared" si="10"/>
        <v>5.977179344808019</v>
      </c>
      <c r="AN61" s="592">
        <f t="shared" si="11"/>
        <v>0</v>
      </c>
      <c r="AO61" s="592">
        <f t="shared" si="12"/>
        <v>0</v>
      </c>
      <c r="AP61" s="592">
        <f t="shared" si="6"/>
        <v>5.977179344808019</v>
      </c>
    </row>
    <row r="62" spans="1:42" x14ac:dyDescent="0.25">
      <c r="A62" s="586">
        <v>60</v>
      </c>
      <c r="B62" s="604">
        <v>12</v>
      </c>
      <c r="C62" s="595" t="s">
        <v>1017</v>
      </c>
      <c r="D62" s="595" t="s">
        <v>1020</v>
      </c>
      <c r="E62" s="587">
        <v>3</v>
      </c>
      <c r="F62" s="587">
        <v>1</v>
      </c>
      <c r="G62" s="587">
        <f t="shared" si="15"/>
        <v>1.4771793448084398</v>
      </c>
      <c r="H62" s="587">
        <v>0</v>
      </c>
      <c r="I62" s="587">
        <v>0</v>
      </c>
      <c r="J62" s="587">
        <v>0</v>
      </c>
      <c r="K62" s="587">
        <v>0</v>
      </c>
      <c r="L62" s="587">
        <v>0</v>
      </c>
      <c r="M62" s="587">
        <v>0</v>
      </c>
      <c r="N62" s="588">
        <v>1.02</v>
      </c>
      <c r="O62" s="588">
        <v>1</v>
      </c>
      <c r="P62" s="588">
        <v>0.6</v>
      </c>
      <c r="Q62" s="588">
        <v>0</v>
      </c>
      <c r="R62" s="588">
        <v>0</v>
      </c>
      <c r="S62" s="588">
        <v>0</v>
      </c>
      <c r="T62" s="588">
        <v>0</v>
      </c>
      <c r="U62" s="588">
        <v>0</v>
      </c>
      <c r="V62" s="602">
        <v>0</v>
      </c>
      <c r="W62" s="587">
        <v>1.2</v>
      </c>
      <c r="X62" s="587">
        <v>0</v>
      </c>
      <c r="Y62" s="590" t="s">
        <v>998</v>
      </c>
      <c r="Z62" s="603" t="s">
        <v>998</v>
      </c>
      <c r="AA62" s="603" t="s">
        <v>998</v>
      </c>
      <c r="AB62" s="592">
        <v>1.62</v>
      </c>
      <c r="AC62" s="592">
        <v>0</v>
      </c>
      <c r="AD62" s="592">
        <v>0</v>
      </c>
      <c r="AE62" s="592">
        <v>4.47717934480844</v>
      </c>
      <c r="AF62" s="592">
        <v>0</v>
      </c>
      <c r="AG62" s="592">
        <v>0</v>
      </c>
      <c r="AH62" s="592">
        <v>4.47717934480844</v>
      </c>
      <c r="AI62" s="593"/>
      <c r="AJ62" s="592">
        <f t="shared" si="7"/>
        <v>1.6199999999999046</v>
      </c>
      <c r="AK62" s="592">
        <f t="shared" si="8"/>
        <v>0</v>
      </c>
      <c r="AL62" s="592">
        <f t="shared" si="9"/>
        <v>0</v>
      </c>
      <c r="AM62" s="592">
        <f t="shared" si="10"/>
        <v>4.4771793448081594</v>
      </c>
      <c r="AN62" s="592">
        <f t="shared" si="11"/>
        <v>0</v>
      </c>
      <c r="AO62" s="592">
        <f t="shared" si="12"/>
        <v>0</v>
      </c>
      <c r="AP62" s="592">
        <f t="shared" si="6"/>
        <v>4.4771793448081594</v>
      </c>
    </row>
    <row r="63" spans="1:42" x14ac:dyDescent="0.25">
      <c r="A63" s="586">
        <v>61</v>
      </c>
      <c r="B63" s="604">
        <v>12</v>
      </c>
      <c r="C63" s="595" t="s">
        <v>1017</v>
      </c>
      <c r="D63" s="588" t="s">
        <v>1021</v>
      </c>
      <c r="E63" s="587">
        <v>1.5</v>
      </c>
      <c r="F63" s="587">
        <v>1</v>
      </c>
      <c r="G63" s="587">
        <f t="shared" si="15"/>
        <v>1.4771793448084398</v>
      </c>
      <c r="H63" s="587">
        <v>0</v>
      </c>
      <c r="I63" s="587">
        <v>0</v>
      </c>
      <c r="J63" s="587">
        <v>0</v>
      </c>
      <c r="K63" s="587">
        <v>0</v>
      </c>
      <c r="L63" s="587">
        <v>0</v>
      </c>
      <c r="M63" s="587">
        <v>0</v>
      </c>
      <c r="N63" s="588">
        <v>0.54</v>
      </c>
      <c r="O63" s="588">
        <v>1</v>
      </c>
      <c r="P63" s="588">
        <v>0.6</v>
      </c>
      <c r="Q63" s="588">
        <v>0</v>
      </c>
      <c r="R63" s="588">
        <v>0</v>
      </c>
      <c r="S63" s="588">
        <v>0</v>
      </c>
      <c r="T63" s="588">
        <v>0</v>
      </c>
      <c r="U63" s="588">
        <v>0</v>
      </c>
      <c r="V63" s="602">
        <v>0</v>
      </c>
      <c r="W63" s="587">
        <v>1.2</v>
      </c>
      <c r="X63" s="587">
        <v>0</v>
      </c>
      <c r="Y63" s="590" t="s">
        <v>998</v>
      </c>
      <c r="Z63" s="603" t="s">
        <v>998</v>
      </c>
      <c r="AA63" s="603" t="s">
        <v>998</v>
      </c>
      <c r="AB63" s="610">
        <v>1.1400000000000001</v>
      </c>
      <c r="AC63" s="610">
        <v>0</v>
      </c>
      <c r="AD63" s="610">
        <v>0</v>
      </c>
      <c r="AE63" s="592">
        <v>2.97717934480844</v>
      </c>
      <c r="AF63" s="592">
        <v>0</v>
      </c>
      <c r="AG63" s="592">
        <v>0</v>
      </c>
      <c r="AH63" s="592">
        <v>2.97717934480844</v>
      </c>
      <c r="AI63" s="593"/>
      <c r="AJ63" s="610">
        <f t="shared" si="7"/>
        <v>1.1399999999999495</v>
      </c>
      <c r="AK63" s="610">
        <f t="shared" si="8"/>
        <v>0</v>
      </c>
      <c r="AL63" s="610">
        <f t="shared" si="9"/>
        <v>0</v>
      </c>
      <c r="AM63" s="592">
        <f t="shared" si="10"/>
        <v>2.9771793448082997</v>
      </c>
      <c r="AN63" s="592">
        <f t="shared" si="11"/>
        <v>0</v>
      </c>
      <c r="AO63" s="592">
        <f t="shared" si="12"/>
        <v>0</v>
      </c>
      <c r="AP63" s="592">
        <f t="shared" si="6"/>
        <v>2.9771793448082997</v>
      </c>
    </row>
    <row r="64" spans="1:42" x14ac:dyDescent="0.25">
      <c r="A64" s="586">
        <v>62</v>
      </c>
      <c r="B64" s="604">
        <v>12</v>
      </c>
      <c r="C64" s="595" t="s">
        <v>1017</v>
      </c>
      <c r="D64" s="588" t="s">
        <v>1022</v>
      </c>
      <c r="E64" s="587">
        <v>1.5</v>
      </c>
      <c r="F64" s="587">
        <v>1</v>
      </c>
      <c r="G64" s="587">
        <f t="shared" si="15"/>
        <v>0.49555082490686542</v>
      </c>
      <c r="H64" s="587">
        <v>0</v>
      </c>
      <c r="I64" s="587">
        <v>0</v>
      </c>
      <c r="J64" s="587">
        <v>0</v>
      </c>
      <c r="K64" s="587">
        <v>0</v>
      </c>
      <c r="L64" s="587">
        <v>0</v>
      </c>
      <c r="M64" s="587">
        <v>0</v>
      </c>
      <c r="N64" s="588">
        <v>0.59</v>
      </c>
      <c r="O64" s="588">
        <v>1</v>
      </c>
      <c r="P64" s="588">
        <v>0.21</v>
      </c>
      <c r="Q64" s="588">
        <v>0</v>
      </c>
      <c r="R64" s="588">
        <v>0</v>
      </c>
      <c r="S64" s="588">
        <v>0</v>
      </c>
      <c r="T64" s="588">
        <v>0</v>
      </c>
      <c r="U64" s="588">
        <v>0</v>
      </c>
      <c r="V64" s="602">
        <v>0</v>
      </c>
      <c r="W64" s="587">
        <v>1.2</v>
      </c>
      <c r="X64" s="587">
        <v>0</v>
      </c>
      <c r="Y64" s="590" t="s">
        <v>998</v>
      </c>
      <c r="Z64" s="603" t="s">
        <v>998</v>
      </c>
      <c r="AA64" s="603" t="s">
        <v>998</v>
      </c>
      <c r="AB64" s="610">
        <v>0.79999999999999993</v>
      </c>
      <c r="AC64" s="610">
        <v>0</v>
      </c>
      <c r="AD64" s="610">
        <v>0</v>
      </c>
      <c r="AE64" s="592">
        <v>1.9955508249068654</v>
      </c>
      <c r="AF64" s="592">
        <v>0</v>
      </c>
      <c r="AG64" s="592">
        <v>0</v>
      </c>
      <c r="AH64" s="592">
        <v>1.9955508249068654</v>
      </c>
      <c r="AI64" s="593"/>
      <c r="AJ64" s="610">
        <f t="shared" si="7"/>
        <v>0.79999999999994476</v>
      </c>
      <c r="AK64" s="610">
        <f t="shared" si="8"/>
        <v>0</v>
      </c>
      <c r="AL64" s="610">
        <f t="shared" si="9"/>
        <v>0</v>
      </c>
      <c r="AM64" s="592">
        <f t="shared" si="10"/>
        <v>1.9955508249067251</v>
      </c>
      <c r="AN64" s="592">
        <f t="shared" si="11"/>
        <v>0</v>
      </c>
      <c r="AO64" s="592">
        <f t="shared" si="12"/>
        <v>0</v>
      </c>
      <c r="AP64" s="592">
        <f t="shared" si="6"/>
        <v>1.9955508249067251</v>
      </c>
    </row>
    <row r="65" spans="1:42" x14ac:dyDescent="0.25">
      <c r="A65" s="586">
        <v>63</v>
      </c>
      <c r="B65" s="604">
        <v>12</v>
      </c>
      <c r="C65" s="595" t="s">
        <v>1017</v>
      </c>
      <c r="D65" s="588" t="s">
        <v>1023</v>
      </c>
      <c r="E65" s="587">
        <v>1</v>
      </c>
      <c r="F65" s="587">
        <v>1</v>
      </c>
      <c r="G65" s="587">
        <f t="shared" si="15"/>
        <v>0.49555082490686542</v>
      </c>
      <c r="H65" s="587">
        <v>0</v>
      </c>
      <c r="I65" s="587">
        <v>0</v>
      </c>
      <c r="J65" s="587">
        <v>0</v>
      </c>
      <c r="K65" s="587">
        <v>0</v>
      </c>
      <c r="L65" s="587">
        <v>0</v>
      </c>
      <c r="M65" s="587">
        <v>0</v>
      </c>
      <c r="N65" s="588">
        <v>0.4</v>
      </c>
      <c r="O65" s="588">
        <v>1</v>
      </c>
      <c r="P65" s="588">
        <v>0.21</v>
      </c>
      <c r="Q65" s="588">
        <v>0</v>
      </c>
      <c r="R65" s="588">
        <v>0</v>
      </c>
      <c r="S65" s="588">
        <v>0</v>
      </c>
      <c r="T65" s="588">
        <v>0</v>
      </c>
      <c r="U65" s="588">
        <v>0</v>
      </c>
      <c r="V65" s="602">
        <v>0</v>
      </c>
      <c r="W65" s="587">
        <v>1.2</v>
      </c>
      <c r="X65" s="587">
        <v>0</v>
      </c>
      <c r="Y65" s="590" t="s">
        <v>998</v>
      </c>
      <c r="Z65" s="603" t="s">
        <v>998</v>
      </c>
      <c r="AA65" s="603" t="s">
        <v>998</v>
      </c>
      <c r="AB65" s="592">
        <v>0.61</v>
      </c>
      <c r="AC65" s="592">
        <v>0</v>
      </c>
      <c r="AD65" s="592">
        <v>0</v>
      </c>
      <c r="AE65" s="592">
        <v>1.4955508249068654</v>
      </c>
      <c r="AF65" s="592">
        <v>0</v>
      </c>
      <c r="AG65" s="592">
        <v>0</v>
      </c>
      <c r="AH65" s="592">
        <v>1.4955508249068654</v>
      </c>
      <c r="AI65" s="593"/>
      <c r="AJ65" s="592">
        <f t="shared" si="7"/>
        <v>0.60999999999996257</v>
      </c>
      <c r="AK65" s="592">
        <f t="shared" si="8"/>
        <v>0</v>
      </c>
      <c r="AL65" s="592">
        <f t="shared" si="9"/>
        <v>0</v>
      </c>
      <c r="AM65" s="592">
        <f t="shared" si="10"/>
        <v>1.4955508249067719</v>
      </c>
      <c r="AN65" s="592">
        <f t="shared" si="11"/>
        <v>0</v>
      </c>
      <c r="AO65" s="592">
        <f t="shared" si="12"/>
        <v>0</v>
      </c>
      <c r="AP65" s="592">
        <f t="shared" si="6"/>
        <v>1.4955508249067719</v>
      </c>
    </row>
    <row r="66" spans="1:42" x14ac:dyDescent="0.25">
      <c r="A66" s="586">
        <v>64</v>
      </c>
      <c r="B66" s="604">
        <v>13</v>
      </c>
      <c r="C66" s="595" t="s">
        <v>1024</v>
      </c>
      <c r="D66" s="595" t="s">
        <v>522</v>
      </c>
      <c r="E66" s="587">
        <f>((-22.17*(N66+P66))/(-9.605+(N66+P66))-G66)</f>
        <v>2.6341264738599479</v>
      </c>
      <c r="F66" s="587">
        <v>0.8</v>
      </c>
      <c r="G66" s="587">
        <f t="shared" si="15"/>
        <v>0.23324566017885323</v>
      </c>
      <c r="H66" s="587">
        <v>0</v>
      </c>
      <c r="I66" s="587">
        <v>0</v>
      </c>
      <c r="J66" s="587">
        <v>0</v>
      </c>
      <c r="K66" s="587">
        <v>0</v>
      </c>
      <c r="L66" s="587">
        <v>0</v>
      </c>
      <c r="M66" s="587">
        <v>0</v>
      </c>
      <c r="N66" s="588">
        <v>1</v>
      </c>
      <c r="O66" s="588">
        <v>0.8</v>
      </c>
      <c r="P66" s="588">
        <v>0.1</v>
      </c>
      <c r="Q66" s="588">
        <v>0</v>
      </c>
      <c r="R66" s="588">
        <v>0</v>
      </c>
      <c r="S66" s="588">
        <v>0</v>
      </c>
      <c r="T66" s="588">
        <v>0</v>
      </c>
      <c r="U66" s="588">
        <v>0</v>
      </c>
      <c r="V66" s="602">
        <v>0</v>
      </c>
      <c r="W66" s="587">
        <v>1.5</v>
      </c>
      <c r="X66" s="587">
        <v>5</v>
      </c>
      <c r="Y66" s="590">
        <v>10</v>
      </c>
      <c r="Z66" s="603" t="s">
        <v>788</v>
      </c>
      <c r="AA66" s="603" t="s">
        <v>948</v>
      </c>
      <c r="AB66" s="592">
        <v>1.1000000000000001</v>
      </c>
      <c r="AC66" s="592">
        <v>0</v>
      </c>
      <c r="AD66" s="592">
        <v>0</v>
      </c>
      <c r="AE66" s="592">
        <v>2.867372134038801</v>
      </c>
      <c r="AF66" s="592">
        <v>0</v>
      </c>
      <c r="AG66" s="592">
        <v>0</v>
      </c>
      <c r="AH66" s="592">
        <v>2.867372134038801</v>
      </c>
      <c r="AI66" s="593"/>
      <c r="AJ66" s="592">
        <f t="shared" si="7"/>
        <v>1.0999999999622487</v>
      </c>
      <c r="AK66" s="592">
        <f t="shared" si="8"/>
        <v>0</v>
      </c>
      <c r="AL66" s="592">
        <f t="shared" si="9"/>
        <v>0</v>
      </c>
      <c r="AM66" s="592">
        <f t="shared" si="10"/>
        <v>2.8673721339393592</v>
      </c>
      <c r="AN66" s="592">
        <f t="shared" si="11"/>
        <v>0</v>
      </c>
      <c r="AO66" s="592">
        <f t="shared" si="12"/>
        <v>0</v>
      </c>
      <c r="AP66" s="592">
        <f t="shared" si="6"/>
        <v>2.8673721339393592</v>
      </c>
    </row>
    <row r="67" spans="1:42" x14ac:dyDescent="0.25">
      <c r="A67" s="586">
        <v>65</v>
      </c>
      <c r="B67" s="604">
        <v>13</v>
      </c>
      <c r="C67" s="611" t="s">
        <v>1024</v>
      </c>
      <c r="D67" s="611" t="s">
        <v>1025</v>
      </c>
      <c r="E67" s="587">
        <f>((-22.17*(N67+P67))/(-9.605+(N67+P67))-G67)</f>
        <v>5.6421428128900146</v>
      </c>
      <c r="F67" s="587">
        <v>0.25</v>
      </c>
      <c r="G67" s="587">
        <f t="shared" si="15"/>
        <v>1.7427288040426725</v>
      </c>
      <c r="H67" s="587">
        <f>11.49/(1+1107.8*EXP(-1.78*(Q67+S67)))-J67</f>
        <v>0.76321718326003751</v>
      </c>
      <c r="I67" s="587">
        <v>0.2</v>
      </c>
      <c r="J67" s="587">
        <f>11.49/(1+1107.8*EXP(-1.78*S67))</f>
        <v>6.1176460213350291E-2</v>
      </c>
      <c r="K67" s="587">
        <f>7.431/(1+937.8*EXP(-1.905*(T67+V67)))-M67</f>
        <v>2.3580689885784101</v>
      </c>
      <c r="L67" s="587">
        <v>0.2</v>
      </c>
      <c r="M67" s="587">
        <f>7.431/(1+937.8*EXP(-1.905*V67))</f>
        <v>2.9944366663954891E-2</v>
      </c>
      <c r="N67" s="612">
        <v>1.7</v>
      </c>
      <c r="O67" s="612">
        <v>0.25</v>
      </c>
      <c r="P67" s="612">
        <v>0.7</v>
      </c>
      <c r="Q67" s="612">
        <v>1.5</v>
      </c>
      <c r="R67" s="612">
        <v>0.2</v>
      </c>
      <c r="S67" s="612">
        <v>1</v>
      </c>
      <c r="T67" s="612">
        <v>2.5</v>
      </c>
      <c r="U67" s="612">
        <v>0.2</v>
      </c>
      <c r="V67" s="612">
        <v>0.7</v>
      </c>
      <c r="W67" s="613">
        <v>1.5</v>
      </c>
      <c r="X67" s="613">
        <v>2.5</v>
      </c>
      <c r="Y67" s="614">
        <v>20</v>
      </c>
      <c r="Z67" s="615" t="s">
        <v>251</v>
      </c>
      <c r="AA67" s="615" t="s">
        <v>948</v>
      </c>
      <c r="AB67" s="592">
        <v>2.3999936646896076</v>
      </c>
      <c r="AC67" s="592">
        <v>2.4999319001053562</v>
      </c>
      <c r="AD67" s="592">
        <v>3.1998865001755936</v>
      </c>
      <c r="AE67" s="592">
        <v>7.3848505906232766</v>
      </c>
      <c r="AF67" s="592">
        <v>0.82435899346687436</v>
      </c>
      <c r="AG67" s="592">
        <v>2.3879062990759081</v>
      </c>
      <c r="AH67" s="592">
        <v>10.59711588316606</v>
      </c>
      <c r="AI67" s="601"/>
      <c r="AJ67" s="592">
        <f t="shared" ref="AJ67:AJ74" si="16">N67*(1-EXP(-O67*$AI$2))+P67</f>
        <v>2.3990597565707485</v>
      </c>
      <c r="AK67" s="592">
        <f t="shared" ref="AK67:AK74" si="17">Q67*(1-EXP(-R67*$AI$2))+S67</f>
        <v>2.4962818717350004</v>
      </c>
      <c r="AL67" s="592">
        <f t="shared" ref="AL67:AL74" si="18">T67*(1-EXP(-U67*$AI$2))+V67</f>
        <v>3.1938031195583338</v>
      </c>
      <c r="AM67" s="592">
        <f t="shared" ref="AM67:AM74" si="19">E67*(1-EXP(-F67*$AI$2))+G67</f>
        <v>7.3817510359287368</v>
      </c>
      <c r="AN67" s="592">
        <f t="shared" ref="AN67:AN74" si="20">H67*(1-EXP(-I67*$AI$2))+J67</f>
        <v>0.82250181721911286</v>
      </c>
      <c r="AO67" s="592">
        <f t="shared" ref="AO67:AO74" si="21">K67*(1-EXP(-L67*$AI$2))+M67</f>
        <v>2.3821682866041964</v>
      </c>
      <c r="AP67" s="592">
        <f t="shared" si="6"/>
        <v>10.586421139752046</v>
      </c>
    </row>
    <row r="68" spans="1:42" x14ac:dyDescent="0.25">
      <c r="A68" s="586">
        <v>66</v>
      </c>
      <c r="B68" s="604">
        <v>13</v>
      </c>
      <c r="C68" s="616" t="s">
        <v>1024</v>
      </c>
      <c r="D68" s="616" t="s">
        <v>1026</v>
      </c>
      <c r="E68" s="587">
        <v>2</v>
      </c>
      <c r="F68" s="587">
        <v>1</v>
      </c>
      <c r="G68" s="587">
        <v>3</v>
      </c>
      <c r="H68" s="587">
        <v>0</v>
      </c>
      <c r="I68" s="587">
        <v>0</v>
      </c>
      <c r="J68" s="587">
        <v>0</v>
      </c>
      <c r="K68" s="587">
        <v>0</v>
      </c>
      <c r="L68" s="587">
        <v>0</v>
      </c>
      <c r="M68" s="587">
        <v>0</v>
      </c>
      <c r="N68" s="601">
        <v>0.63</v>
      </c>
      <c r="O68" s="601">
        <v>1</v>
      </c>
      <c r="P68" s="601">
        <v>1.1399999999999999</v>
      </c>
      <c r="Q68" s="601">
        <v>0</v>
      </c>
      <c r="R68" s="601">
        <v>0</v>
      </c>
      <c r="S68" s="601">
        <v>0</v>
      </c>
      <c r="T68" s="601">
        <v>0</v>
      </c>
      <c r="U68" s="601">
        <v>0</v>
      </c>
      <c r="V68" s="617">
        <v>0</v>
      </c>
      <c r="W68" s="613">
        <v>1.2</v>
      </c>
      <c r="X68" s="613">
        <v>0</v>
      </c>
      <c r="Y68" s="590" t="s">
        <v>998</v>
      </c>
      <c r="Z68" s="603" t="s">
        <v>998</v>
      </c>
      <c r="AA68" s="603" t="s">
        <v>998</v>
      </c>
      <c r="AB68" s="592">
        <v>1.77</v>
      </c>
      <c r="AC68" s="592">
        <v>0</v>
      </c>
      <c r="AD68" s="592">
        <v>0</v>
      </c>
      <c r="AE68" s="592">
        <v>5</v>
      </c>
      <c r="AF68" s="592">
        <v>0</v>
      </c>
      <c r="AG68" s="592">
        <v>0</v>
      </c>
      <c r="AH68" s="592">
        <v>5</v>
      </c>
      <c r="AI68" s="601"/>
      <c r="AJ68" s="592">
        <f t="shared" si="16"/>
        <v>1.769999999999941</v>
      </c>
      <c r="AK68" s="592">
        <f t="shared" si="17"/>
        <v>0</v>
      </c>
      <c r="AL68" s="592">
        <f t="shared" si="18"/>
        <v>0</v>
      </c>
      <c r="AM68" s="592">
        <f t="shared" si="19"/>
        <v>4.9999999999998126</v>
      </c>
      <c r="AN68" s="592">
        <f t="shared" si="20"/>
        <v>0</v>
      </c>
      <c r="AO68" s="592">
        <f t="shared" si="21"/>
        <v>0</v>
      </c>
      <c r="AP68" s="592">
        <f t="shared" ref="AP68:AP74" si="22">SUM(AM68:AO68)</f>
        <v>4.9999999999998126</v>
      </c>
    </row>
    <row r="69" spans="1:42" x14ac:dyDescent="0.25">
      <c r="A69" s="586">
        <v>67</v>
      </c>
      <c r="B69" s="604">
        <v>14</v>
      </c>
      <c r="C69" s="595" t="s">
        <v>594</v>
      </c>
      <c r="D69" s="595" t="s">
        <v>1027</v>
      </c>
      <c r="E69" s="587">
        <f>((-22.17*(N69+P69))/(-9.605+(N69+P69))-G69)</f>
        <v>14.078859063932351</v>
      </c>
      <c r="F69" s="587">
        <v>0.6</v>
      </c>
      <c r="G69" s="587">
        <f>(-22.17*P69)/(-9.605+P69)</f>
        <v>1.7427288040426725</v>
      </c>
      <c r="H69" s="587">
        <f>11.49/(1+1107.8*EXP(-1.78*(Q69+S69)))-J69</f>
        <v>1.672249682900139</v>
      </c>
      <c r="I69" s="587">
        <v>0.2</v>
      </c>
      <c r="J69" s="587">
        <f>11.49/(1+1107.8*EXP(-1.78*S69))</f>
        <v>0.14784293072776894</v>
      </c>
      <c r="K69" s="587">
        <f>7.431/(1+937.8*EXP(-1.905*(T69+V69)))-M69</f>
        <v>0.33341705625829721</v>
      </c>
      <c r="L69" s="587">
        <v>0.34</v>
      </c>
      <c r="M69" s="587">
        <f>7.431/(1+937.8*EXP(-1.905*V69))</f>
        <v>7.9154239454622931E-3</v>
      </c>
      <c r="N69" s="588">
        <v>3.3</v>
      </c>
      <c r="O69" s="588">
        <v>0.6</v>
      </c>
      <c r="P69" s="588">
        <v>0.7</v>
      </c>
      <c r="Q69" s="588">
        <v>1.5</v>
      </c>
      <c r="R69" s="588">
        <v>0.2</v>
      </c>
      <c r="S69" s="588">
        <v>1.5</v>
      </c>
      <c r="T69" s="588">
        <v>2</v>
      </c>
      <c r="U69" s="588">
        <v>0.34</v>
      </c>
      <c r="V69" s="602">
        <v>0</v>
      </c>
      <c r="W69" s="587">
        <v>4.5</v>
      </c>
      <c r="X69" s="587">
        <v>10</v>
      </c>
      <c r="Y69" s="590">
        <v>40</v>
      </c>
      <c r="Z69" s="603" t="s">
        <v>250</v>
      </c>
      <c r="AA69" s="603" t="s">
        <v>948</v>
      </c>
      <c r="AB69" s="592">
        <v>3.9999999999996909</v>
      </c>
      <c r="AC69" s="592">
        <v>2.9999319001053562</v>
      </c>
      <c r="AD69" s="592">
        <v>1.9999999172012457</v>
      </c>
      <c r="AE69" s="592">
        <v>15.821587867973705</v>
      </c>
      <c r="AF69" s="592">
        <v>1.8200166936097588</v>
      </c>
      <c r="AG69" s="592">
        <v>0.34133246640050102</v>
      </c>
      <c r="AH69" s="592">
        <v>17.982937027983965</v>
      </c>
      <c r="AI69" s="593"/>
      <c r="AJ69" s="592">
        <f t="shared" si="16"/>
        <v>3.999999949741067</v>
      </c>
      <c r="AK69" s="592">
        <f t="shared" si="17"/>
        <v>2.9962818717350004</v>
      </c>
      <c r="AL69" s="592">
        <f t="shared" si="18"/>
        <v>1.9999256593626318</v>
      </c>
      <c r="AM69" s="592">
        <f t="shared" si="19"/>
        <v>15.821587653554285</v>
      </c>
      <c r="AN69" s="592">
        <f t="shared" si="20"/>
        <v>1.8159475210864895</v>
      </c>
      <c r="AO69" s="592">
        <f t="shared" si="21"/>
        <v>0.34132008698552369</v>
      </c>
      <c r="AP69" s="592">
        <f t="shared" si="22"/>
        <v>17.978855261626297</v>
      </c>
    </row>
    <row r="70" spans="1:42" x14ac:dyDescent="0.25">
      <c r="A70" s="586">
        <v>68</v>
      </c>
      <c r="B70" s="604">
        <v>14</v>
      </c>
      <c r="C70" s="595" t="s">
        <v>594</v>
      </c>
      <c r="D70" s="595" t="s">
        <v>1028</v>
      </c>
      <c r="E70" s="587">
        <f>((-22.17*(N70+P70))/(-9.605+(N70+P70))-G70)</f>
        <v>12.148719121444204</v>
      </c>
      <c r="F70" s="587">
        <v>0.6</v>
      </c>
      <c r="G70" s="587">
        <f>(-22.17*P70)/(-9.605+P70)</f>
        <v>1.7427288040426725</v>
      </c>
      <c r="H70" s="587">
        <f>11.49/(1+1107.8*EXP(-1.78*(Q70+S70)))-J70</f>
        <v>5.0813906100796176E-2</v>
      </c>
      <c r="I70" s="587">
        <v>0.5</v>
      </c>
      <c r="J70" s="587">
        <f>11.49/(1+1107.8*EXP(-1.78*S70))</f>
        <v>1.0362554112554113E-2</v>
      </c>
      <c r="K70" s="587">
        <f>7.431/(1+937.8*EXP(-1.905*(T70+V70)))-M70</f>
        <v>5.0817055717400734</v>
      </c>
      <c r="L70" s="587">
        <v>0.45</v>
      </c>
      <c r="M70" s="587">
        <f>7.431/(1+937.8*EXP(-1.905*V70))</f>
        <v>7.9154239454622931E-3</v>
      </c>
      <c r="N70" s="588">
        <v>3</v>
      </c>
      <c r="O70" s="588">
        <v>0.6</v>
      </c>
      <c r="P70" s="588">
        <v>0.7</v>
      </c>
      <c r="Q70" s="588">
        <v>1</v>
      </c>
      <c r="R70" s="588">
        <v>0.5</v>
      </c>
      <c r="S70" s="588">
        <v>0</v>
      </c>
      <c r="T70" s="588">
        <v>4</v>
      </c>
      <c r="U70" s="588">
        <v>0.45</v>
      </c>
      <c r="V70" s="602">
        <v>0</v>
      </c>
      <c r="W70" s="587">
        <v>4</v>
      </c>
      <c r="X70" s="587">
        <v>10</v>
      </c>
      <c r="Y70" s="590">
        <v>45</v>
      </c>
      <c r="Z70" s="603" t="s">
        <v>252</v>
      </c>
      <c r="AA70" s="603" t="s">
        <v>951</v>
      </c>
      <c r="AB70" s="592">
        <v>3.6999999999997195</v>
      </c>
      <c r="AC70" s="592">
        <v>0.99999999998611211</v>
      </c>
      <c r="AD70" s="592">
        <v>3.9999999993232409</v>
      </c>
      <c r="AE70" s="592">
        <v>13.891447925485739</v>
      </c>
      <c r="AF70" s="592">
        <v>6.1176460212644591E-2</v>
      </c>
      <c r="AG70" s="592">
        <v>5.0896209948257631</v>
      </c>
      <c r="AH70" s="592">
        <v>19.042245380524147</v>
      </c>
      <c r="AI70" s="593"/>
      <c r="AJ70" s="592">
        <f t="shared" si="16"/>
        <v>3.6999999543100612</v>
      </c>
      <c r="AK70" s="592">
        <f t="shared" si="17"/>
        <v>0.99999969409767953</v>
      </c>
      <c r="AL70" s="592">
        <f t="shared" si="18"/>
        <v>3.9999945161636545</v>
      </c>
      <c r="AM70" s="592">
        <f t="shared" si="19"/>
        <v>13.89144774046213</v>
      </c>
      <c r="AN70" s="592">
        <f t="shared" si="20"/>
        <v>6.1176444669258499E-2</v>
      </c>
      <c r="AO70" s="592">
        <f t="shared" si="21"/>
        <v>5.0896140288751077</v>
      </c>
      <c r="AP70" s="592">
        <f t="shared" si="22"/>
        <v>19.042238214006495</v>
      </c>
    </row>
    <row r="71" spans="1:42" x14ac:dyDescent="0.25">
      <c r="A71" s="586">
        <v>69</v>
      </c>
      <c r="B71" s="599">
        <v>15</v>
      </c>
      <c r="C71" s="604" t="s">
        <v>1029</v>
      </c>
      <c r="D71" s="604" t="s">
        <v>1030</v>
      </c>
      <c r="E71" s="587">
        <v>1</v>
      </c>
      <c r="F71" s="587">
        <v>0.25</v>
      </c>
      <c r="G71" s="587">
        <v>0</v>
      </c>
      <c r="H71" s="587">
        <v>0</v>
      </c>
      <c r="I71" s="587">
        <v>0</v>
      </c>
      <c r="J71" s="587">
        <v>0</v>
      </c>
      <c r="K71" s="587">
        <v>0</v>
      </c>
      <c r="L71" s="587">
        <v>0</v>
      </c>
      <c r="M71" s="587">
        <v>0</v>
      </c>
      <c r="N71" s="588">
        <v>0.41</v>
      </c>
      <c r="O71" s="588">
        <v>0.25</v>
      </c>
      <c r="P71" s="588">
        <v>0</v>
      </c>
      <c r="Q71" s="588">
        <v>0</v>
      </c>
      <c r="R71" s="588">
        <v>0</v>
      </c>
      <c r="S71" s="588">
        <v>0</v>
      </c>
      <c r="T71" s="588">
        <v>0</v>
      </c>
      <c r="U71" s="588">
        <v>0</v>
      </c>
      <c r="V71" s="602">
        <v>0</v>
      </c>
      <c r="W71" s="587">
        <v>1.5</v>
      </c>
      <c r="X71" s="587">
        <v>0</v>
      </c>
      <c r="Y71" s="590" t="s">
        <v>998</v>
      </c>
      <c r="Z71" s="603" t="s">
        <v>998</v>
      </c>
      <c r="AA71" s="603" t="s">
        <v>998</v>
      </c>
      <c r="AB71" s="592">
        <v>0.40999847207219942</v>
      </c>
      <c r="AC71" s="592">
        <v>0</v>
      </c>
      <c r="AD71" s="592">
        <v>0</v>
      </c>
      <c r="AE71" s="592">
        <v>0.99999627334682795</v>
      </c>
      <c r="AF71" s="592">
        <v>0</v>
      </c>
      <c r="AG71" s="592">
        <v>0</v>
      </c>
      <c r="AH71" s="592">
        <v>0.99999627334682795</v>
      </c>
      <c r="AI71" s="588"/>
      <c r="AJ71" s="592">
        <f t="shared" si="16"/>
        <v>0.4097732354082394</v>
      </c>
      <c r="AK71" s="592">
        <f t="shared" si="17"/>
        <v>0</v>
      </c>
      <c r="AL71" s="592">
        <f t="shared" si="18"/>
        <v>0</v>
      </c>
      <c r="AM71" s="592">
        <f t="shared" si="19"/>
        <v>0.99944691562985222</v>
      </c>
      <c r="AN71" s="592">
        <f t="shared" si="20"/>
        <v>0</v>
      </c>
      <c r="AO71" s="592">
        <f t="shared" si="21"/>
        <v>0</v>
      </c>
      <c r="AP71" s="592">
        <f t="shared" si="22"/>
        <v>0.99944691562985222</v>
      </c>
    </row>
    <row r="72" spans="1:42" x14ac:dyDescent="0.25">
      <c r="A72" s="586">
        <v>70</v>
      </c>
      <c r="B72" s="599">
        <v>15</v>
      </c>
      <c r="C72" s="604" t="s">
        <v>1029</v>
      </c>
      <c r="D72" s="604" t="s">
        <v>1031</v>
      </c>
      <c r="E72" s="587">
        <f>((-22.17*(N72+P72))/(-9.605+(N72+P72))-G72)</f>
        <v>1.4225299704962922</v>
      </c>
      <c r="F72" s="587">
        <v>0.25</v>
      </c>
      <c r="G72" s="587">
        <f>(-22.17*P72)/(-9.605+P72)</f>
        <v>1.7427288040426725</v>
      </c>
      <c r="H72" s="587">
        <f>11.49/(1+1107.8*EXP(-1.78*(Q72+S72)))-J72</f>
        <v>0.29231273017042497</v>
      </c>
      <c r="I72" s="587">
        <v>0.2</v>
      </c>
      <c r="J72" s="587">
        <f>11.49/(1+1107.8*EXP(-1.78*S72))</f>
        <v>6.1176460213350291E-2</v>
      </c>
      <c r="K72" s="587">
        <f>7.431/(1+937.8*EXP(-1.905*(T72+V72)))-M72</f>
        <v>0.1667312099222007</v>
      </c>
      <c r="L72" s="587">
        <v>0.2</v>
      </c>
      <c r="M72" s="587">
        <f>7.431/(1+937.8*EXP(-1.905*V72))</f>
        <v>2.9944366663954891E-2</v>
      </c>
      <c r="N72" s="588">
        <v>0.5</v>
      </c>
      <c r="O72" s="588">
        <v>0.25</v>
      </c>
      <c r="P72" s="588">
        <v>0.7</v>
      </c>
      <c r="Q72" s="588">
        <v>1</v>
      </c>
      <c r="R72" s="588">
        <v>0.2</v>
      </c>
      <c r="S72" s="588">
        <v>1</v>
      </c>
      <c r="T72" s="588">
        <v>1</v>
      </c>
      <c r="U72" s="588">
        <v>0.2</v>
      </c>
      <c r="V72" s="602">
        <v>0.7</v>
      </c>
      <c r="W72" s="587">
        <v>2</v>
      </c>
      <c r="X72" s="587">
        <v>1.5</v>
      </c>
      <c r="Y72" s="590">
        <v>10</v>
      </c>
      <c r="Z72" s="603" t="s">
        <v>788</v>
      </c>
      <c r="AA72" s="603" t="s">
        <v>948</v>
      </c>
      <c r="AB72" s="592">
        <v>1.1999981366734138</v>
      </c>
      <c r="AC72" s="592">
        <v>1.9999546000702375</v>
      </c>
      <c r="AD72" s="592">
        <v>1.6999546000702375</v>
      </c>
      <c r="AE72" s="592">
        <v>3.1652534732631379</v>
      </c>
      <c r="AF72" s="592">
        <v>0.35347591940635681</v>
      </c>
      <c r="AG72" s="592">
        <v>0.1966680070009359</v>
      </c>
      <c r="AH72" s="592">
        <v>3.7153973996704304</v>
      </c>
      <c r="AI72" s="588"/>
      <c r="AJ72" s="592">
        <f t="shared" si="16"/>
        <v>1.1997234578149261</v>
      </c>
      <c r="AK72" s="592">
        <f t="shared" si="17"/>
        <v>1.9975212478233337</v>
      </c>
      <c r="AL72" s="592">
        <f t="shared" si="18"/>
        <v>1.6975212478233335</v>
      </c>
      <c r="AM72" s="592">
        <f t="shared" si="19"/>
        <v>3.1644719954462164</v>
      </c>
      <c r="AN72" s="592">
        <f t="shared" si="20"/>
        <v>0.35276461956759803</v>
      </c>
      <c r="AO72" s="592">
        <f t="shared" si="21"/>
        <v>0.19626229123664271</v>
      </c>
      <c r="AP72" s="592">
        <f t="shared" si="22"/>
        <v>3.7134989062504573</v>
      </c>
    </row>
    <row r="73" spans="1:42" x14ac:dyDescent="0.25">
      <c r="A73" s="586">
        <v>71</v>
      </c>
      <c r="B73" s="599">
        <v>15</v>
      </c>
      <c r="C73" s="604" t="s">
        <v>1029</v>
      </c>
      <c r="D73" s="604" t="s">
        <v>1032</v>
      </c>
      <c r="E73" s="587">
        <f>((-22.17*(N73+P73))/(-9.605+(N73+P73))-G73)</f>
        <v>3.3004149659253783</v>
      </c>
      <c r="F73" s="587">
        <v>0.25</v>
      </c>
      <c r="G73" s="587">
        <f>(-22.17*P73)/(-9.605+P73)</f>
        <v>1.7427288040426725</v>
      </c>
      <c r="H73" s="587">
        <f>11.49/(1+1107.8*EXP(-1.78*(Q73+S73)))-J73</f>
        <v>0.76321718326003751</v>
      </c>
      <c r="I73" s="587">
        <v>0.2</v>
      </c>
      <c r="J73" s="587">
        <f>11.49/(1+1107.8*EXP(-1.78*S73))</f>
        <v>6.1176460213350291E-2</v>
      </c>
      <c r="K73" s="587">
        <f>7.431/(1+937.8*EXP(-1.905*(T73+V73)))-M73</f>
        <v>2.3580689885784101</v>
      </c>
      <c r="L73" s="587">
        <v>0.2</v>
      </c>
      <c r="M73" s="587">
        <f>7.431/(1+937.8*EXP(-1.905*V73))</f>
        <v>2.9944366663954891E-2</v>
      </c>
      <c r="N73" s="588">
        <v>1.08</v>
      </c>
      <c r="O73" s="588">
        <v>0.25</v>
      </c>
      <c r="P73" s="588">
        <v>0.7</v>
      </c>
      <c r="Q73" s="588">
        <v>1.5</v>
      </c>
      <c r="R73" s="588">
        <v>0.2</v>
      </c>
      <c r="S73" s="588">
        <v>1</v>
      </c>
      <c r="T73" s="588">
        <v>2.5</v>
      </c>
      <c r="U73" s="588">
        <v>0.2</v>
      </c>
      <c r="V73" s="602">
        <v>0.7</v>
      </c>
      <c r="W73" s="587">
        <v>2.5</v>
      </c>
      <c r="X73" s="587">
        <v>3.5</v>
      </c>
      <c r="Y73" s="590">
        <v>15</v>
      </c>
      <c r="Z73" s="603" t="s">
        <v>251</v>
      </c>
      <c r="AA73" s="603" t="s">
        <v>948</v>
      </c>
      <c r="AB73" s="592">
        <v>1.7799959752145742</v>
      </c>
      <c r="AC73" s="592">
        <v>2.4999319001053562</v>
      </c>
      <c r="AD73" s="592">
        <v>3.1998865001755936</v>
      </c>
      <c r="AE73" s="592">
        <v>5.0431314704661485</v>
      </c>
      <c r="AF73" s="592">
        <v>0.82435899346687436</v>
      </c>
      <c r="AG73" s="592">
        <v>2.3879062990759081</v>
      </c>
      <c r="AH73" s="592">
        <v>8.2553967630089318</v>
      </c>
      <c r="AI73" s="588"/>
      <c r="AJ73" s="592">
        <f t="shared" si="16"/>
        <v>1.7794026688802405</v>
      </c>
      <c r="AK73" s="592">
        <f t="shared" si="17"/>
        <v>2.4962818717350004</v>
      </c>
      <c r="AL73" s="592">
        <f t="shared" si="18"/>
        <v>3.1938031195583338</v>
      </c>
      <c r="AM73" s="592">
        <f t="shared" si="19"/>
        <v>5.0413183620353959</v>
      </c>
      <c r="AN73" s="592">
        <f t="shared" si="20"/>
        <v>0.82250181721911286</v>
      </c>
      <c r="AO73" s="592">
        <f t="shared" si="21"/>
        <v>2.3821682866041964</v>
      </c>
      <c r="AP73" s="592">
        <f t="shared" si="22"/>
        <v>8.245988465858705</v>
      </c>
    </row>
    <row r="74" spans="1:42" x14ac:dyDescent="0.25">
      <c r="A74" s="586">
        <v>72</v>
      </c>
      <c r="B74" s="604">
        <v>16</v>
      </c>
      <c r="C74" s="604" t="s">
        <v>1033</v>
      </c>
      <c r="D74" s="604" t="s">
        <v>1034</v>
      </c>
      <c r="E74" s="587">
        <v>0</v>
      </c>
      <c r="F74" s="587">
        <v>0</v>
      </c>
      <c r="G74" s="587">
        <v>0</v>
      </c>
      <c r="H74" s="587">
        <v>0</v>
      </c>
      <c r="I74" s="587">
        <v>0</v>
      </c>
      <c r="J74" s="587">
        <v>0</v>
      </c>
      <c r="K74" s="587">
        <v>0</v>
      </c>
      <c r="L74" s="587">
        <v>0</v>
      </c>
      <c r="M74" s="587">
        <v>0</v>
      </c>
      <c r="N74" s="588">
        <v>0</v>
      </c>
      <c r="O74" s="588">
        <v>0</v>
      </c>
      <c r="P74" s="588">
        <v>0</v>
      </c>
      <c r="Q74" s="601">
        <v>0</v>
      </c>
      <c r="R74" s="601">
        <v>0</v>
      </c>
      <c r="S74" s="601">
        <v>0</v>
      </c>
      <c r="T74" s="601">
        <v>0</v>
      </c>
      <c r="U74" s="601">
        <v>0</v>
      </c>
      <c r="V74" s="602">
        <v>0</v>
      </c>
      <c r="W74" s="587">
        <v>0</v>
      </c>
      <c r="X74" s="587">
        <v>0</v>
      </c>
      <c r="Y74" s="590" t="s">
        <v>998</v>
      </c>
      <c r="Z74" s="603" t="s">
        <v>998</v>
      </c>
      <c r="AA74" s="603" t="s">
        <v>998</v>
      </c>
      <c r="AB74" s="592">
        <v>0</v>
      </c>
      <c r="AC74" s="592">
        <v>0</v>
      </c>
      <c r="AD74" s="592">
        <v>0</v>
      </c>
      <c r="AE74" s="592">
        <v>0</v>
      </c>
      <c r="AF74" s="592">
        <v>0</v>
      </c>
      <c r="AG74" s="592">
        <v>0</v>
      </c>
      <c r="AH74" s="592">
        <v>0</v>
      </c>
      <c r="AI74" s="593"/>
      <c r="AJ74" s="592">
        <f t="shared" si="16"/>
        <v>0</v>
      </c>
      <c r="AK74" s="592">
        <f t="shared" si="17"/>
        <v>0</v>
      </c>
      <c r="AL74" s="592">
        <f t="shared" si="18"/>
        <v>0</v>
      </c>
      <c r="AM74" s="592">
        <f t="shared" si="19"/>
        <v>0</v>
      </c>
      <c r="AN74" s="592">
        <f t="shared" si="20"/>
        <v>0</v>
      </c>
      <c r="AO74" s="592">
        <f t="shared" si="21"/>
        <v>0</v>
      </c>
      <c r="AP74" s="592">
        <f t="shared" si="22"/>
        <v>0</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3"/>
  <sheetViews>
    <sheetView workbookViewId="0">
      <selection activeCell="A3" sqref="A3"/>
    </sheetView>
  </sheetViews>
  <sheetFormatPr defaultRowHeight="13.2" x14ac:dyDescent="0.25"/>
  <cols>
    <col min="1" max="1" width="11.5546875" customWidth="1"/>
  </cols>
  <sheetData>
    <row r="1" spans="1:1" x14ac:dyDescent="0.25">
      <c r="A1" t="s">
        <v>674</v>
      </c>
    </row>
    <row r="2" spans="1:1" x14ac:dyDescent="0.25">
      <c r="A2" t="b">
        <v>1</v>
      </c>
    </row>
    <row r="3" spans="1:1" x14ac:dyDescent="0.25">
      <c r="A3" t="b">
        <v>0</v>
      </c>
    </row>
  </sheetData>
  <phoneticPr fontId="6"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vt:i4>
      </vt:variant>
    </vt:vector>
  </HeadingPairs>
  <TitlesOfParts>
    <vt:vector size="31" baseType="lpstr">
      <vt:lpstr>Version</vt:lpstr>
      <vt:lpstr>RHcount</vt:lpstr>
      <vt:lpstr>Instructions</vt:lpstr>
      <vt:lpstr>Weather_Site</vt:lpstr>
      <vt:lpstr>Forest(McArthur)</vt:lpstr>
      <vt:lpstr>DryForest(VESTA)</vt:lpstr>
      <vt:lpstr>Forest(VESTA)</vt:lpstr>
      <vt:lpstr>VESTA Mk2 Dry</vt:lpstr>
      <vt:lpstr>VESTA Mk2 Wet</vt:lpstr>
      <vt:lpstr>Grass</vt:lpstr>
      <vt:lpstr>Spinifex</vt:lpstr>
      <vt:lpstr>Heath</vt:lpstr>
      <vt:lpstr>Mallee-Heath</vt:lpstr>
      <vt:lpstr>Buttongrass</vt:lpstr>
      <vt:lpstr>Pine</vt:lpstr>
      <vt:lpstr>RedBook</vt:lpstr>
      <vt:lpstr>WA Mallee</vt:lpstr>
      <vt:lpstr>Custom</vt:lpstr>
      <vt:lpstr>Suppression</vt:lpstr>
      <vt:lpstr>Slope_Calcs</vt:lpstr>
      <vt:lpstr>RH_DewPt</vt:lpstr>
      <vt:lpstr>Grid_Convert</vt:lpstr>
      <vt:lpstr>Phoenix</vt:lpstr>
      <vt:lpstr>WindFactors</vt:lpstr>
      <vt:lpstr>FuelTypes_Vic</vt:lpstr>
      <vt:lpstr>FuelTypes_NSW</vt:lpstr>
      <vt:lpstr>Lists</vt:lpstr>
      <vt:lpstr>Fuel_Classes</vt:lpstr>
      <vt:lpstr>Spinifex!FuelClasses</vt:lpstr>
      <vt:lpstr>true_False</vt:lpstr>
      <vt:lpstr>Use_BOM_DF</vt:lpstr>
    </vt:vector>
  </TitlesOfParts>
  <Company>UoM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kgt</dc:creator>
  <cp:lastModifiedBy>Geoff Goldrick</cp:lastModifiedBy>
  <dcterms:created xsi:type="dcterms:W3CDTF">2007-07-18T00:20:22Z</dcterms:created>
  <dcterms:modified xsi:type="dcterms:W3CDTF">2022-06-02T04:19:58Z</dcterms:modified>
</cp:coreProperties>
</file>